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codeName="ThisWorkbook"/>
  <mc:AlternateContent xmlns:mc="http://schemas.openxmlformats.org/markup-compatibility/2006">
    <mc:Choice Requires="x15">
      <x15ac:absPath xmlns:x15ac="http://schemas.microsoft.com/office/spreadsheetml/2010/11/ac" url="/Users/AAA/Library/Mobile Documents/com~apple~CloudDocs/ss/"/>
    </mc:Choice>
  </mc:AlternateContent>
  <xr:revisionPtr revIDLastSave="0" documentId="13_ncr:1_{B54F3C28-7AB2-A54E-A5A8-A0F5834B0732}" xr6:coauthVersionLast="47" xr6:coauthVersionMax="47" xr10:uidLastSave="{00000000-0000-0000-0000-000000000000}"/>
  <bookViews>
    <workbookView xWindow="0" yWindow="760" windowWidth="28800" windowHeight="13260" xr2:uid="{00000000-000D-0000-FFFF-FFFF00000000}"/>
  </bookViews>
  <sheets>
    <sheet name="STOCK" sheetId="1" r:id="rId1"/>
    <sheet name="VENTAS"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2403" i="2" l="1"/>
  <c r="J2403" i="2"/>
  <c r="I2403" i="2"/>
  <c r="L2403" i="2" s="1"/>
  <c r="F2403" i="2"/>
  <c r="K2402" i="2"/>
  <c r="J2402" i="2"/>
  <c r="L2402" i="2" s="1"/>
  <c r="I2402" i="2"/>
  <c r="F2402" i="2"/>
  <c r="K2401" i="2"/>
  <c r="J2401" i="2"/>
  <c r="I2401" i="2"/>
  <c r="F2401" i="2"/>
  <c r="K2400" i="2"/>
  <c r="J2400" i="2"/>
  <c r="I2400" i="2"/>
  <c r="F2400" i="2"/>
  <c r="K2399" i="2"/>
  <c r="J2399" i="2"/>
  <c r="I2399" i="2"/>
  <c r="F2399" i="2"/>
  <c r="K2398" i="2"/>
  <c r="J2398" i="2"/>
  <c r="I2398" i="2"/>
  <c r="F2398" i="2"/>
  <c r="K2397" i="2"/>
  <c r="J2397" i="2"/>
  <c r="I2397" i="2"/>
  <c r="L2397" i="2" s="1"/>
  <c r="F2397" i="2"/>
  <c r="K2396" i="2"/>
  <c r="J2396" i="2"/>
  <c r="L2396" i="2" s="1"/>
  <c r="I2396" i="2"/>
  <c r="F2396" i="2"/>
  <c r="K2395" i="2"/>
  <c r="J2395" i="2"/>
  <c r="I2395" i="2"/>
  <c r="F2395" i="2"/>
  <c r="K2394" i="2"/>
  <c r="J2394" i="2"/>
  <c r="L2394" i="2" s="1"/>
  <c r="I2394" i="2"/>
  <c r="F2394" i="2"/>
  <c r="K2393" i="2"/>
  <c r="J2393" i="2"/>
  <c r="I2393" i="2"/>
  <c r="L2393" i="2" s="1"/>
  <c r="F2393" i="2"/>
  <c r="K2392" i="2"/>
  <c r="J2392" i="2"/>
  <c r="I2392" i="2"/>
  <c r="F2392" i="2"/>
  <c r="K2391" i="2"/>
  <c r="J2391" i="2"/>
  <c r="I2391" i="2"/>
  <c r="F2391" i="2"/>
  <c r="K2390" i="2"/>
  <c r="J2390" i="2"/>
  <c r="I2390" i="2"/>
  <c r="F2390" i="2"/>
  <c r="K2389" i="2"/>
  <c r="J2389" i="2"/>
  <c r="I2389" i="2"/>
  <c r="F2389" i="2"/>
  <c r="K2388" i="2"/>
  <c r="J2388" i="2"/>
  <c r="I2388" i="2"/>
  <c r="F2388" i="2"/>
  <c r="K2387" i="2"/>
  <c r="J2387" i="2"/>
  <c r="I2387" i="2"/>
  <c r="L2387" i="2" s="1"/>
  <c r="F2387" i="2"/>
  <c r="K2386" i="2"/>
  <c r="J2386" i="2"/>
  <c r="L2386" i="2" s="1"/>
  <c r="I2386" i="2"/>
  <c r="F2386" i="2"/>
  <c r="K2385" i="2"/>
  <c r="J2385" i="2"/>
  <c r="I2385" i="2"/>
  <c r="F2385" i="2"/>
  <c r="K2384" i="2"/>
  <c r="J2384" i="2"/>
  <c r="L2384" i="2" s="1"/>
  <c r="I2384" i="2"/>
  <c r="F2384" i="2"/>
  <c r="K2383" i="2"/>
  <c r="J2383" i="2"/>
  <c r="I2383" i="2"/>
  <c r="L2383" i="2" s="1"/>
  <c r="F2383" i="2"/>
  <c r="K2382" i="2"/>
  <c r="J2382" i="2"/>
  <c r="I2382" i="2"/>
  <c r="F2382" i="2"/>
  <c r="K2381" i="2"/>
  <c r="J2381" i="2"/>
  <c r="I2381" i="2"/>
  <c r="F2381" i="2"/>
  <c r="K2380" i="2"/>
  <c r="J2380" i="2"/>
  <c r="I2380" i="2"/>
  <c r="F2380" i="2"/>
  <c r="K2379" i="2"/>
  <c r="J2379" i="2"/>
  <c r="I2379" i="2"/>
  <c r="F2379" i="2"/>
  <c r="K2378" i="2"/>
  <c r="J2378" i="2"/>
  <c r="I2378" i="2"/>
  <c r="F2378" i="2"/>
  <c r="K2377" i="2"/>
  <c r="J2377" i="2"/>
  <c r="I2377" i="2"/>
  <c r="L2377" i="2" s="1"/>
  <c r="F2377" i="2"/>
  <c r="K2376" i="2"/>
  <c r="J2376" i="2"/>
  <c r="L2376" i="2" s="1"/>
  <c r="I2376" i="2"/>
  <c r="F2376" i="2"/>
  <c r="K2375" i="2"/>
  <c r="J2375" i="2"/>
  <c r="I2375" i="2"/>
  <c r="F2375" i="2"/>
  <c r="K2374" i="2"/>
  <c r="J2374" i="2"/>
  <c r="L2374" i="2" s="1"/>
  <c r="I2374" i="2"/>
  <c r="F2374" i="2"/>
  <c r="K2373" i="2"/>
  <c r="J2373" i="2"/>
  <c r="I2373" i="2"/>
  <c r="L2373" i="2" s="1"/>
  <c r="F2373" i="2"/>
  <c r="K2372" i="2"/>
  <c r="J2372" i="2"/>
  <c r="I2372" i="2"/>
  <c r="F2372" i="2"/>
  <c r="K2371" i="2"/>
  <c r="J2371" i="2"/>
  <c r="I2371" i="2"/>
  <c r="F2371" i="2"/>
  <c r="K2370" i="2"/>
  <c r="J2370" i="2"/>
  <c r="I2370" i="2"/>
  <c r="F2370" i="2"/>
  <c r="K2369" i="2"/>
  <c r="J2369" i="2"/>
  <c r="I2369" i="2"/>
  <c r="F2369" i="2"/>
  <c r="K2368" i="2"/>
  <c r="J2368" i="2"/>
  <c r="I2368" i="2"/>
  <c r="F2368" i="2"/>
  <c r="K2367" i="2"/>
  <c r="J2367" i="2"/>
  <c r="I2367" i="2"/>
  <c r="L2367" i="2" s="1"/>
  <c r="F2367" i="2"/>
  <c r="K2366" i="2"/>
  <c r="J2366" i="2"/>
  <c r="I2366" i="2"/>
  <c r="F2366" i="2"/>
  <c r="K2365" i="2"/>
  <c r="J2365" i="2"/>
  <c r="I2365" i="2"/>
  <c r="F2365" i="2"/>
  <c r="K2364" i="2"/>
  <c r="J2364" i="2"/>
  <c r="I2364" i="2"/>
  <c r="F2364" i="2"/>
  <c r="K2363" i="2"/>
  <c r="J2363" i="2"/>
  <c r="I2363" i="2"/>
  <c r="L2363" i="2" s="1"/>
  <c r="F2363" i="2"/>
  <c r="K2362" i="2"/>
  <c r="J2362" i="2"/>
  <c r="I2362" i="2"/>
  <c r="F2362" i="2"/>
  <c r="K2361" i="2"/>
  <c r="J2361" i="2"/>
  <c r="I2361" i="2"/>
  <c r="F2361" i="2"/>
  <c r="K2360" i="2"/>
  <c r="J2360" i="2"/>
  <c r="I2360" i="2"/>
  <c r="F2360" i="2"/>
  <c r="K2359" i="2"/>
  <c r="J2359" i="2"/>
  <c r="I2359" i="2"/>
  <c r="L2359" i="2" s="1"/>
  <c r="F2359" i="2"/>
  <c r="K2358" i="2"/>
  <c r="J2358" i="2"/>
  <c r="I2358" i="2"/>
  <c r="F2358" i="2"/>
  <c r="K2357" i="2"/>
  <c r="J2357" i="2"/>
  <c r="I2357" i="2"/>
  <c r="L2357" i="2" s="1"/>
  <c r="F2357" i="2"/>
  <c r="K2356" i="2"/>
  <c r="J2356" i="2"/>
  <c r="I2356" i="2"/>
  <c r="F2356" i="2"/>
  <c r="K2355" i="2"/>
  <c r="J2355" i="2"/>
  <c r="I2355" i="2"/>
  <c r="F2355" i="2"/>
  <c r="K2354" i="2"/>
  <c r="J2354" i="2"/>
  <c r="I2354" i="2"/>
  <c r="F2354" i="2"/>
  <c r="K2353" i="2"/>
  <c r="J2353" i="2"/>
  <c r="I2353" i="2"/>
  <c r="L2353" i="2" s="1"/>
  <c r="F2353" i="2"/>
  <c r="K2352" i="2"/>
  <c r="J2352" i="2"/>
  <c r="I2352" i="2"/>
  <c r="F2352" i="2"/>
  <c r="J2351" i="2"/>
  <c r="I2351" i="2"/>
  <c r="F2351" i="2"/>
  <c r="K2350" i="2"/>
  <c r="J2350" i="2"/>
  <c r="I2350" i="2"/>
  <c r="F2350" i="2"/>
  <c r="K2349" i="2"/>
  <c r="J2349" i="2"/>
  <c r="I2349" i="2"/>
  <c r="L2349" i="2" s="1"/>
  <c r="F2349" i="2"/>
  <c r="K2348" i="2"/>
  <c r="J2348" i="2"/>
  <c r="I2348" i="2"/>
  <c r="F2348" i="2"/>
  <c r="K2347" i="2"/>
  <c r="J2347" i="2"/>
  <c r="I2347" i="2"/>
  <c r="L2347" i="2" s="1"/>
  <c r="F2347" i="2"/>
  <c r="K2346" i="2"/>
  <c r="J2346" i="2"/>
  <c r="I2346" i="2"/>
  <c r="F2346" i="2"/>
  <c r="K2345" i="2"/>
  <c r="J2345" i="2"/>
  <c r="I2345" i="2"/>
  <c r="F2345" i="2"/>
  <c r="K2344" i="2"/>
  <c r="J2344" i="2"/>
  <c r="L2344" i="2" s="1"/>
  <c r="I2344" i="2"/>
  <c r="F2344" i="2"/>
  <c r="K2343" i="2"/>
  <c r="J2343" i="2"/>
  <c r="I2343" i="2"/>
  <c r="F2343" i="2"/>
  <c r="K2342" i="2"/>
  <c r="J2342" i="2"/>
  <c r="L2342" i="2" s="1"/>
  <c r="I2342" i="2"/>
  <c r="F2342" i="2"/>
  <c r="K2341" i="2"/>
  <c r="J2341" i="2"/>
  <c r="I2341" i="2"/>
  <c r="F2341" i="2"/>
  <c r="K2340" i="2"/>
  <c r="J2340" i="2"/>
  <c r="L2340" i="2" s="1"/>
  <c r="I2340" i="2"/>
  <c r="F2340" i="2"/>
  <c r="K2339" i="2"/>
  <c r="J2339" i="2"/>
  <c r="I2339" i="2"/>
  <c r="F2339" i="2"/>
  <c r="K2338" i="2"/>
  <c r="J2338" i="2"/>
  <c r="I2338" i="2"/>
  <c r="F2338" i="2"/>
  <c r="K2337" i="2"/>
  <c r="J2337" i="2"/>
  <c r="I2337" i="2"/>
  <c r="L2337" i="2" s="1"/>
  <c r="F2337" i="2"/>
  <c r="K2336" i="2"/>
  <c r="J2336" i="2"/>
  <c r="L2336" i="2" s="1"/>
  <c r="I2336" i="2"/>
  <c r="F2336" i="2"/>
  <c r="K2335" i="2"/>
  <c r="J2335" i="2"/>
  <c r="I2335" i="2"/>
  <c r="F2335" i="2"/>
  <c r="K2334" i="2"/>
  <c r="L2334" i="2" s="1"/>
  <c r="J2334" i="2"/>
  <c r="I2334" i="2"/>
  <c r="F2334" i="2"/>
  <c r="K2333" i="2"/>
  <c r="J2333" i="2"/>
  <c r="I2333" i="2"/>
  <c r="L2333" i="2" s="1"/>
  <c r="F2333" i="2"/>
  <c r="K2332" i="2"/>
  <c r="J2332" i="2"/>
  <c r="L2332" i="2" s="1"/>
  <c r="I2332" i="2"/>
  <c r="F2332" i="2"/>
  <c r="K2331" i="2"/>
  <c r="J2331" i="2"/>
  <c r="I2331" i="2"/>
  <c r="L2331" i="2" s="1"/>
  <c r="F2331" i="2"/>
  <c r="K2330" i="2"/>
  <c r="J2330" i="2"/>
  <c r="I2330" i="2"/>
  <c r="F2330" i="2"/>
  <c r="K2329" i="2"/>
  <c r="J2329" i="2"/>
  <c r="I2329" i="2"/>
  <c r="L2329" i="2" s="1"/>
  <c r="F2329" i="2"/>
  <c r="K2328" i="2"/>
  <c r="J2328" i="2"/>
  <c r="L2328" i="2" s="1"/>
  <c r="I2328" i="2"/>
  <c r="F2328" i="2"/>
  <c r="K2327" i="2"/>
  <c r="J2327" i="2"/>
  <c r="I2327" i="2"/>
  <c r="F2327" i="2"/>
  <c r="K2326" i="2"/>
  <c r="J2326" i="2"/>
  <c r="L2326" i="2" s="1"/>
  <c r="I2326" i="2"/>
  <c r="F2326" i="2"/>
  <c r="K2325" i="2"/>
  <c r="J2325" i="2"/>
  <c r="I2325" i="2"/>
  <c r="F2325" i="2"/>
  <c r="L2324" i="2"/>
  <c r="K2324" i="2"/>
  <c r="J2324" i="2"/>
  <c r="I2324" i="2"/>
  <c r="F2324" i="2"/>
  <c r="K2323" i="2"/>
  <c r="J2323" i="2"/>
  <c r="I2323" i="2"/>
  <c r="F2323" i="2"/>
  <c r="K2322" i="2"/>
  <c r="J2322" i="2"/>
  <c r="L2322" i="2" s="1"/>
  <c r="I2322" i="2"/>
  <c r="F2322" i="2"/>
  <c r="K2321" i="2"/>
  <c r="J2321" i="2"/>
  <c r="I2321" i="2"/>
  <c r="L2321" i="2" s="1"/>
  <c r="F2321" i="2"/>
  <c r="K2320" i="2"/>
  <c r="J2320" i="2"/>
  <c r="L2320" i="2" s="1"/>
  <c r="I2320" i="2"/>
  <c r="F2320" i="2"/>
  <c r="K2319" i="2"/>
  <c r="J2319" i="2"/>
  <c r="I2319" i="2"/>
  <c r="F2319" i="2"/>
  <c r="L2318" i="2"/>
  <c r="K2318" i="2"/>
  <c r="J2318" i="2"/>
  <c r="I2318" i="2"/>
  <c r="F2318" i="2"/>
  <c r="K2317" i="2"/>
  <c r="J2317" i="2"/>
  <c r="I2317" i="2"/>
  <c r="L2317" i="2" s="1"/>
  <c r="F2317" i="2"/>
  <c r="L2316" i="2"/>
  <c r="K2316" i="2"/>
  <c r="J2316" i="2"/>
  <c r="I2316" i="2"/>
  <c r="F2316" i="2"/>
  <c r="K2315" i="2"/>
  <c r="J2315" i="2"/>
  <c r="I2315" i="2"/>
  <c r="L2315" i="2" s="1"/>
  <c r="F2315" i="2"/>
  <c r="K2314" i="2"/>
  <c r="J2314" i="2"/>
  <c r="L2314" i="2" s="1"/>
  <c r="I2314" i="2"/>
  <c r="F2314" i="2"/>
  <c r="K2313" i="2"/>
  <c r="J2313" i="2"/>
  <c r="I2313" i="2"/>
  <c r="F2313" i="2"/>
  <c r="L2312" i="2"/>
  <c r="K2312" i="2"/>
  <c r="J2312" i="2"/>
  <c r="I2312" i="2"/>
  <c r="F2312" i="2"/>
  <c r="K2311" i="2"/>
  <c r="J2311" i="2"/>
  <c r="I2311" i="2"/>
  <c r="L2311" i="2" s="1"/>
  <c r="F2311" i="2"/>
  <c r="K2310" i="2"/>
  <c r="L2310" i="2" s="1"/>
  <c r="J2310" i="2"/>
  <c r="I2310" i="2"/>
  <c r="F2310" i="2"/>
  <c r="K2309" i="2"/>
  <c r="J2309" i="2"/>
  <c r="I2309" i="2"/>
  <c r="F2309" i="2"/>
  <c r="J2308" i="2"/>
  <c r="I2308" i="2"/>
  <c r="F2308" i="2"/>
  <c r="K2307" i="2"/>
  <c r="J2307" i="2"/>
  <c r="I2307" i="2"/>
  <c r="F2307" i="2"/>
  <c r="L2306" i="2"/>
  <c r="K2306" i="2"/>
  <c r="J2306" i="2"/>
  <c r="I2306" i="2"/>
  <c r="F2306" i="2"/>
  <c r="K2305" i="2"/>
  <c r="J2305" i="2"/>
  <c r="I2305" i="2"/>
  <c r="F2305" i="2"/>
  <c r="K2304" i="2"/>
  <c r="J2304" i="2"/>
  <c r="L2304" i="2" s="1"/>
  <c r="I2304" i="2"/>
  <c r="F2304" i="2"/>
  <c r="K2303" i="2"/>
  <c r="J2303" i="2"/>
  <c r="I2303" i="2"/>
  <c r="L2303" i="2" s="1"/>
  <c r="F2303" i="2"/>
  <c r="K2302" i="2"/>
  <c r="J2302" i="2"/>
  <c r="L2302" i="2" s="1"/>
  <c r="I2302" i="2"/>
  <c r="F2302" i="2"/>
  <c r="K2301" i="2"/>
  <c r="J2301" i="2"/>
  <c r="I2301" i="2"/>
  <c r="F2301" i="2"/>
  <c r="L2300" i="2"/>
  <c r="K2300" i="2"/>
  <c r="J2300" i="2"/>
  <c r="I2300" i="2"/>
  <c r="F2300" i="2"/>
  <c r="K2299" i="2"/>
  <c r="J2299" i="2"/>
  <c r="I2299" i="2"/>
  <c r="F2299" i="2"/>
  <c r="L2298" i="2"/>
  <c r="K2298" i="2"/>
  <c r="J2298" i="2"/>
  <c r="I2298" i="2"/>
  <c r="F2298" i="2"/>
  <c r="K2297" i="2"/>
  <c r="J2297" i="2"/>
  <c r="I2297" i="2"/>
  <c r="F2297" i="2"/>
  <c r="K2296" i="2"/>
  <c r="J2296" i="2"/>
  <c r="L2296" i="2" s="1"/>
  <c r="I2296" i="2"/>
  <c r="F2296" i="2"/>
  <c r="K2295" i="2"/>
  <c r="J2295" i="2"/>
  <c r="I2295" i="2"/>
  <c r="F2295" i="2"/>
  <c r="K2294" i="2"/>
  <c r="J2294" i="2"/>
  <c r="I2294" i="2"/>
  <c r="F2294" i="2"/>
  <c r="K2293" i="2"/>
  <c r="J2293" i="2"/>
  <c r="I2293" i="2"/>
  <c r="L2293" i="2" s="1"/>
  <c r="F2293" i="2"/>
  <c r="K2292" i="2"/>
  <c r="J2292" i="2"/>
  <c r="L2292" i="2" s="1"/>
  <c r="I2292" i="2"/>
  <c r="F2292" i="2"/>
  <c r="K2291" i="2"/>
  <c r="J2291" i="2"/>
  <c r="I2291" i="2"/>
  <c r="F2291" i="2"/>
  <c r="K2290" i="2"/>
  <c r="L2290" i="2" s="1"/>
  <c r="J2290" i="2"/>
  <c r="I2290" i="2"/>
  <c r="F2290" i="2"/>
  <c r="K2289" i="2"/>
  <c r="J2289" i="2"/>
  <c r="I2289" i="2"/>
  <c r="F2289" i="2"/>
  <c r="L2288" i="2"/>
  <c r="K2288" i="2"/>
  <c r="J2288" i="2"/>
  <c r="I2288" i="2"/>
  <c r="F2288" i="2"/>
  <c r="K2287" i="2"/>
  <c r="J2287" i="2"/>
  <c r="I2287" i="2"/>
  <c r="F2287" i="2"/>
  <c r="K2286" i="2"/>
  <c r="J2286" i="2"/>
  <c r="L2286" i="2" s="1"/>
  <c r="I2286" i="2"/>
  <c r="F2286" i="2"/>
  <c r="K2285" i="2"/>
  <c r="J2285" i="2"/>
  <c r="I2285" i="2"/>
  <c r="L2285" i="2" s="1"/>
  <c r="F2285" i="2"/>
  <c r="K2284" i="2"/>
  <c r="J2284" i="2"/>
  <c r="L2284" i="2" s="1"/>
  <c r="I2284" i="2"/>
  <c r="F2284" i="2"/>
  <c r="K2283" i="2"/>
  <c r="J2283" i="2"/>
  <c r="I2283" i="2"/>
  <c r="F2283" i="2"/>
  <c r="L2282" i="2"/>
  <c r="K2282" i="2"/>
  <c r="J2282" i="2"/>
  <c r="I2282" i="2"/>
  <c r="F2282" i="2"/>
  <c r="K2281" i="2"/>
  <c r="I2281" i="2"/>
  <c r="F2281" i="2"/>
  <c r="K2280" i="2"/>
  <c r="J2280" i="2"/>
  <c r="L2280" i="2" s="1"/>
  <c r="I2280" i="2"/>
  <c r="F2280" i="2"/>
  <c r="K2279" i="2"/>
  <c r="J2279" i="2"/>
  <c r="I2279" i="2"/>
  <c r="F2279" i="2"/>
  <c r="K2278" i="2"/>
  <c r="J2278" i="2"/>
  <c r="L2278" i="2" s="1"/>
  <c r="I2278" i="2"/>
  <c r="F2278" i="2"/>
  <c r="K2277" i="2"/>
  <c r="J2277" i="2"/>
  <c r="I2277" i="2"/>
  <c r="F2277" i="2"/>
  <c r="K2276" i="2"/>
  <c r="L2276" i="2" s="1"/>
  <c r="J2276" i="2"/>
  <c r="I2276" i="2"/>
  <c r="F2276" i="2"/>
  <c r="K2275" i="2"/>
  <c r="I2275" i="2"/>
  <c r="F2275" i="2"/>
  <c r="K2274" i="2"/>
  <c r="J2274" i="2"/>
  <c r="I2274" i="2"/>
  <c r="F2274" i="2"/>
  <c r="K2273" i="2"/>
  <c r="J2273" i="2"/>
  <c r="I2273" i="2"/>
  <c r="F2273" i="2"/>
  <c r="L2272" i="2"/>
  <c r="K2272" i="2"/>
  <c r="J2272" i="2"/>
  <c r="I2272" i="2"/>
  <c r="F2272" i="2"/>
  <c r="K2271" i="2"/>
  <c r="J2271" i="2"/>
  <c r="I2271" i="2"/>
  <c r="F2271" i="2"/>
  <c r="K2270" i="2"/>
  <c r="L2270" i="2" s="1"/>
  <c r="J2270" i="2"/>
  <c r="I2270" i="2"/>
  <c r="F2270" i="2"/>
  <c r="K2269" i="2"/>
  <c r="I2269" i="2"/>
  <c r="F2269" i="2"/>
  <c r="K2268" i="2"/>
  <c r="J2268" i="2"/>
  <c r="L2268" i="2" s="1"/>
  <c r="I2268" i="2"/>
  <c r="F2268" i="2"/>
  <c r="K2267" i="2"/>
  <c r="J2267" i="2"/>
  <c r="I2267" i="2"/>
  <c r="F2267" i="2"/>
  <c r="L2266" i="2"/>
  <c r="K2266" i="2"/>
  <c r="J2266" i="2"/>
  <c r="I2266" i="2"/>
  <c r="F2266" i="2"/>
  <c r="K2265" i="2"/>
  <c r="J2265" i="2"/>
  <c r="I2265" i="2"/>
  <c r="L2265" i="2" s="1"/>
  <c r="F2265" i="2"/>
  <c r="L2264" i="2"/>
  <c r="K2264" i="2"/>
  <c r="J2264" i="2"/>
  <c r="I2264" i="2"/>
  <c r="F2264" i="2"/>
  <c r="K2263" i="2"/>
  <c r="J2263" i="2"/>
  <c r="I2263" i="2"/>
  <c r="F2263" i="2"/>
  <c r="K2262" i="2"/>
  <c r="J2262" i="2"/>
  <c r="L2262" i="2" s="1"/>
  <c r="I2262" i="2"/>
  <c r="F2262" i="2"/>
  <c r="K2261" i="2"/>
  <c r="I2261" i="2"/>
  <c r="F2261" i="2"/>
  <c r="K2260" i="2"/>
  <c r="L2260" i="2" s="1"/>
  <c r="J2260" i="2"/>
  <c r="I2260" i="2"/>
  <c r="F2260" i="2"/>
  <c r="J2259" i="2"/>
  <c r="I2259" i="2"/>
  <c r="F2259" i="2"/>
  <c r="K2258" i="2"/>
  <c r="J2258" i="2"/>
  <c r="L2258" i="2" s="1"/>
  <c r="I2258" i="2"/>
  <c r="F2258" i="2"/>
  <c r="K2257" i="2"/>
  <c r="J2257" i="2"/>
  <c r="I2257" i="2"/>
  <c r="F2257" i="2"/>
  <c r="K2256" i="2"/>
  <c r="I2256" i="2"/>
  <c r="F2256" i="2"/>
  <c r="K2255" i="2"/>
  <c r="J2255" i="2"/>
  <c r="I2255" i="2"/>
  <c r="F2255" i="2"/>
  <c r="K2254" i="2"/>
  <c r="I2254" i="2"/>
  <c r="F2254" i="2"/>
  <c r="K2253" i="2"/>
  <c r="I2253" i="2"/>
  <c r="F2253" i="2"/>
  <c r="K2252" i="2"/>
  <c r="J2252" i="2"/>
  <c r="L2252" i="2" s="1"/>
  <c r="I2252" i="2"/>
  <c r="F2252" i="2"/>
  <c r="K2251" i="2"/>
  <c r="J2251" i="2"/>
  <c r="I2251" i="2"/>
  <c r="F2251" i="2"/>
  <c r="L2250" i="2"/>
  <c r="K2250" i="2"/>
  <c r="I2250" i="2"/>
  <c r="J2250" i="2" s="1"/>
  <c r="F2250" i="2"/>
  <c r="J2249" i="2"/>
  <c r="I2249" i="2"/>
  <c r="F2249" i="2"/>
  <c r="K2248" i="2"/>
  <c r="J2248" i="2"/>
  <c r="L2248" i="2" s="1"/>
  <c r="I2248" i="2"/>
  <c r="F2248" i="2"/>
  <c r="K2247" i="2"/>
  <c r="I2247" i="2"/>
  <c r="F2247" i="2"/>
  <c r="K2246" i="2"/>
  <c r="J2246" i="2"/>
  <c r="I2246" i="2"/>
  <c r="L2246" i="2" s="1"/>
  <c r="F2246" i="2"/>
  <c r="K2245" i="2"/>
  <c r="J2245" i="2"/>
  <c r="I2245" i="2"/>
  <c r="F2245" i="2"/>
  <c r="K2244" i="2"/>
  <c r="I2244" i="2"/>
  <c r="F2244" i="2"/>
  <c r="K2243" i="2"/>
  <c r="I2243" i="2"/>
  <c r="F2243" i="2"/>
  <c r="K2242" i="2"/>
  <c r="J2242" i="2"/>
  <c r="L2242" i="2" s="1"/>
  <c r="I2242" i="2"/>
  <c r="F2242" i="2"/>
  <c r="K2241" i="2"/>
  <c r="I2241" i="2"/>
  <c r="F2241" i="2"/>
  <c r="L2240" i="2"/>
  <c r="K2240" i="2"/>
  <c r="J2240" i="2"/>
  <c r="I2240" i="2"/>
  <c r="F2240" i="2"/>
  <c r="K2239" i="2"/>
  <c r="J2239" i="2"/>
  <c r="I2239" i="2"/>
  <c r="F2239" i="2"/>
  <c r="K2238" i="2"/>
  <c r="I2238" i="2"/>
  <c r="F2238" i="2"/>
  <c r="K2237" i="2"/>
  <c r="I2237" i="2"/>
  <c r="F2237" i="2"/>
  <c r="K2236" i="2"/>
  <c r="J2236" i="2"/>
  <c r="L2236" i="2" s="1"/>
  <c r="I2236" i="2"/>
  <c r="F2236" i="2"/>
  <c r="K2235" i="2"/>
  <c r="J2235" i="2"/>
  <c r="I2235" i="2"/>
  <c r="F2235" i="2"/>
  <c r="K2234" i="2"/>
  <c r="J2234" i="2"/>
  <c r="I2234" i="2"/>
  <c r="F2234" i="2"/>
  <c r="K2233" i="2"/>
  <c r="I2233" i="2"/>
  <c r="F2233" i="2"/>
  <c r="K2232" i="2"/>
  <c r="J2232" i="2"/>
  <c r="I2232" i="2"/>
  <c r="F2232" i="2"/>
  <c r="L2231" i="2"/>
  <c r="K2231" i="2"/>
  <c r="J2231" i="2"/>
  <c r="I2231" i="2"/>
  <c r="F2231" i="2"/>
  <c r="K2230" i="2"/>
  <c r="J2230" i="2"/>
  <c r="I2230" i="2"/>
  <c r="F2230" i="2"/>
  <c r="K2229" i="2"/>
  <c r="I2229" i="2"/>
  <c r="F2229" i="2"/>
  <c r="K2228" i="2"/>
  <c r="I2228" i="2"/>
  <c r="F2228" i="2"/>
  <c r="K2227" i="2"/>
  <c r="J2227" i="2"/>
  <c r="L2227" i="2" s="1"/>
  <c r="I2227" i="2"/>
  <c r="F2227" i="2"/>
  <c r="K2226" i="2"/>
  <c r="J2226" i="2"/>
  <c r="I2226" i="2"/>
  <c r="F2226" i="2"/>
  <c r="K2225" i="2"/>
  <c r="I2225" i="2"/>
  <c r="J2225" i="2" s="1"/>
  <c r="L2225" i="2" s="1"/>
  <c r="F2225" i="2"/>
  <c r="K2224" i="2"/>
  <c r="I2224" i="2"/>
  <c r="F2224" i="2"/>
  <c r="L2223" i="2"/>
  <c r="K2223" i="2"/>
  <c r="J2223" i="2"/>
  <c r="I2223" i="2"/>
  <c r="F2223" i="2"/>
  <c r="K2222" i="2"/>
  <c r="J2222" i="2"/>
  <c r="I2222" i="2"/>
  <c r="F2222" i="2"/>
  <c r="K2221" i="2"/>
  <c r="J2221" i="2"/>
  <c r="I2221" i="2"/>
  <c r="L2221" i="2" s="1"/>
  <c r="F2221" i="2"/>
  <c r="K2220" i="2"/>
  <c r="I2220" i="2"/>
  <c r="F2220" i="2"/>
  <c r="K2219" i="2"/>
  <c r="J2219" i="2"/>
  <c r="I2219" i="2"/>
  <c r="F2219" i="2"/>
  <c r="K2218" i="2"/>
  <c r="J2218" i="2"/>
  <c r="I2218" i="2"/>
  <c r="F2218" i="2"/>
  <c r="K2217" i="2"/>
  <c r="I2217" i="2"/>
  <c r="F2217" i="2"/>
  <c r="K2216" i="2"/>
  <c r="I2216" i="2"/>
  <c r="F2216" i="2"/>
  <c r="K2215" i="2"/>
  <c r="J2215" i="2"/>
  <c r="L2215" i="2" s="1"/>
  <c r="I2215" i="2"/>
  <c r="F2215" i="2"/>
  <c r="K2214" i="2"/>
  <c r="J2214" i="2"/>
  <c r="I2214" i="2"/>
  <c r="F2214" i="2"/>
  <c r="K2213" i="2"/>
  <c r="I2213" i="2"/>
  <c r="F2213" i="2"/>
  <c r="K2212" i="2"/>
  <c r="J2212" i="2"/>
  <c r="I2212" i="2"/>
  <c r="F2212" i="2"/>
  <c r="L2211" i="2"/>
  <c r="K2211" i="2"/>
  <c r="J2211" i="2"/>
  <c r="I2211" i="2"/>
  <c r="F2211" i="2"/>
  <c r="K2210" i="2"/>
  <c r="J2210" i="2"/>
  <c r="I2210" i="2"/>
  <c r="F2210" i="2"/>
  <c r="K2209" i="2"/>
  <c r="I2209" i="2"/>
  <c r="F2209" i="2"/>
  <c r="K2208" i="2"/>
  <c r="I2208" i="2"/>
  <c r="F2208" i="2"/>
  <c r="K2207" i="2"/>
  <c r="J2207" i="2"/>
  <c r="L2207" i="2" s="1"/>
  <c r="I2207" i="2"/>
  <c r="F2207" i="2"/>
  <c r="K2206" i="2"/>
  <c r="J2206" i="2"/>
  <c r="I2206" i="2"/>
  <c r="F2206" i="2"/>
  <c r="K2205" i="2"/>
  <c r="I2205" i="2"/>
  <c r="J2205" i="2" s="1"/>
  <c r="L2205" i="2" s="1"/>
  <c r="F2205" i="2"/>
  <c r="K2204" i="2"/>
  <c r="I2204" i="2"/>
  <c r="F2204" i="2"/>
  <c r="L2203" i="2"/>
  <c r="K2203" i="2"/>
  <c r="J2203" i="2"/>
  <c r="I2203" i="2"/>
  <c r="F2203" i="2"/>
  <c r="K2202" i="2"/>
  <c r="J2202" i="2"/>
  <c r="I2202" i="2"/>
  <c r="F2202" i="2"/>
  <c r="K2201" i="2"/>
  <c r="J2201" i="2"/>
  <c r="I2201" i="2"/>
  <c r="F2201" i="2"/>
  <c r="K2200" i="2"/>
  <c r="I2200" i="2"/>
  <c r="F2200" i="2"/>
  <c r="K2199" i="2"/>
  <c r="I2199" i="2"/>
  <c r="F2199" i="2"/>
  <c r="K2198" i="2"/>
  <c r="J2198" i="2"/>
  <c r="I2198" i="2"/>
  <c r="F2198" i="2"/>
  <c r="K2197" i="2"/>
  <c r="I2197" i="2"/>
  <c r="F2197" i="2"/>
  <c r="K2196" i="2"/>
  <c r="I2196" i="2"/>
  <c r="F2196" i="2"/>
  <c r="K2195" i="2"/>
  <c r="J2195" i="2"/>
  <c r="L2195" i="2" s="1"/>
  <c r="I2195" i="2"/>
  <c r="F2195" i="2"/>
  <c r="K2194" i="2"/>
  <c r="J2194" i="2"/>
  <c r="I2194" i="2"/>
  <c r="F2194" i="2"/>
  <c r="K2193" i="2"/>
  <c r="I2193" i="2"/>
  <c r="F2193" i="2"/>
  <c r="K2192" i="2"/>
  <c r="J2192" i="2"/>
  <c r="I2192" i="2"/>
  <c r="F2192" i="2"/>
  <c r="L2191" i="2"/>
  <c r="K2191" i="2"/>
  <c r="J2191" i="2"/>
  <c r="I2191" i="2"/>
  <c r="F2191" i="2"/>
  <c r="K2190" i="2"/>
  <c r="I2190" i="2"/>
  <c r="F2190" i="2"/>
  <c r="K2189" i="2"/>
  <c r="I2189" i="2"/>
  <c r="F2189" i="2"/>
  <c r="K2188" i="2"/>
  <c r="I2188" i="2"/>
  <c r="F2188" i="2"/>
  <c r="K2187" i="2"/>
  <c r="J2187" i="2"/>
  <c r="L2187" i="2" s="1"/>
  <c r="I2187" i="2"/>
  <c r="F2187" i="2"/>
  <c r="K2186" i="2"/>
  <c r="J2186" i="2"/>
  <c r="I2186" i="2"/>
  <c r="F2186" i="2"/>
  <c r="K2185" i="2"/>
  <c r="I2185" i="2"/>
  <c r="J2185" i="2" s="1"/>
  <c r="L2185" i="2" s="1"/>
  <c r="F2185" i="2"/>
  <c r="K2184" i="2"/>
  <c r="I2184" i="2"/>
  <c r="F2184" i="2"/>
  <c r="J2183" i="2"/>
  <c r="I2183" i="2"/>
  <c r="F2183" i="2"/>
  <c r="K2182" i="2"/>
  <c r="J2182" i="2"/>
  <c r="I2182" i="2"/>
  <c r="F2182" i="2"/>
  <c r="K2181" i="2"/>
  <c r="J2181" i="2"/>
  <c r="I2181" i="2"/>
  <c r="L2181" i="2" s="1"/>
  <c r="F2181" i="2"/>
  <c r="K2180" i="2"/>
  <c r="I2180" i="2"/>
  <c r="F2180" i="2"/>
  <c r="K2179" i="2"/>
  <c r="J2179" i="2"/>
  <c r="I2179" i="2"/>
  <c r="F2179" i="2"/>
  <c r="K2178" i="2"/>
  <c r="J2178" i="2"/>
  <c r="I2178" i="2"/>
  <c r="F2178" i="2"/>
  <c r="K2177" i="2"/>
  <c r="I2177" i="2"/>
  <c r="F2177" i="2"/>
  <c r="K2175" i="2"/>
  <c r="I2175" i="2"/>
  <c r="F2175" i="2"/>
  <c r="K2174" i="2"/>
  <c r="J2174" i="2"/>
  <c r="L2174" i="2" s="1"/>
  <c r="I2174" i="2"/>
  <c r="F2174" i="2"/>
  <c r="K2173" i="2"/>
  <c r="J2173" i="2"/>
  <c r="I2173" i="2"/>
  <c r="F2173" i="2"/>
  <c r="K2172" i="2"/>
  <c r="I2172" i="2"/>
  <c r="F2172" i="2"/>
  <c r="K2171" i="2"/>
  <c r="J2171" i="2"/>
  <c r="I2171" i="2"/>
  <c r="F2171" i="2"/>
  <c r="L2170" i="2"/>
  <c r="K2170" i="2"/>
  <c r="J2170" i="2"/>
  <c r="I2170" i="2"/>
  <c r="F2170" i="2"/>
  <c r="K2169" i="2"/>
  <c r="J2169" i="2"/>
  <c r="I2169" i="2"/>
  <c r="F2169" i="2"/>
  <c r="K2168" i="2"/>
  <c r="I2168" i="2"/>
  <c r="F2168" i="2"/>
  <c r="K2167" i="2"/>
  <c r="I2167" i="2"/>
  <c r="F2167" i="2"/>
  <c r="K2166" i="2"/>
  <c r="J2166" i="2"/>
  <c r="L2166" i="2" s="1"/>
  <c r="I2166" i="2"/>
  <c r="F2166" i="2"/>
  <c r="J2165" i="2"/>
  <c r="I2165" i="2"/>
  <c r="F2165" i="2"/>
  <c r="L2164" i="2"/>
  <c r="K2164" i="2"/>
  <c r="I2164" i="2"/>
  <c r="J2164" i="2" s="1"/>
  <c r="F2164" i="2"/>
  <c r="K2163" i="2"/>
  <c r="I2163" i="2"/>
  <c r="F2163" i="2"/>
  <c r="K2162" i="2"/>
  <c r="L2162" i="2" s="1"/>
  <c r="J2162" i="2"/>
  <c r="I2162" i="2"/>
  <c r="F2162" i="2"/>
  <c r="J2161" i="2"/>
  <c r="I2161" i="2"/>
  <c r="F2161" i="2"/>
  <c r="J2160" i="2"/>
  <c r="I2160" i="2"/>
  <c r="F2160" i="2"/>
  <c r="K2159" i="2"/>
  <c r="I2159" i="2"/>
  <c r="F2159" i="2"/>
  <c r="K2158" i="2"/>
  <c r="I2158" i="2"/>
  <c r="F2158" i="2"/>
  <c r="J2157" i="2"/>
  <c r="I2157" i="2"/>
  <c r="F2157" i="2"/>
  <c r="I2156" i="2"/>
  <c r="F2156" i="2"/>
  <c r="K2155" i="2"/>
  <c r="I2155" i="2"/>
  <c r="F2155" i="2"/>
  <c r="K2154" i="2"/>
  <c r="J2154" i="2"/>
  <c r="I2154" i="2"/>
  <c r="L2154" i="2" s="1"/>
  <c r="F2154" i="2"/>
  <c r="K2153" i="2"/>
  <c r="J2153" i="2"/>
  <c r="I2153" i="2"/>
  <c r="F2153" i="2"/>
  <c r="K2152" i="2"/>
  <c r="I2152" i="2"/>
  <c r="F2152" i="2"/>
  <c r="K2151" i="2"/>
  <c r="J2151" i="2"/>
  <c r="I2151" i="2"/>
  <c r="F2151" i="2"/>
  <c r="J2150" i="2"/>
  <c r="I2150" i="2"/>
  <c r="F2150" i="2"/>
  <c r="K2149" i="2"/>
  <c r="J2149" i="2"/>
  <c r="I2149" i="2"/>
  <c r="L2149" i="2" s="1"/>
  <c r="F2149" i="2"/>
  <c r="K2148" i="2"/>
  <c r="J2148" i="2"/>
  <c r="I2148" i="2"/>
  <c r="L2148" i="2" s="1"/>
  <c r="F2148" i="2"/>
  <c r="K2147" i="2"/>
  <c r="J2147" i="2"/>
  <c r="I2147" i="2"/>
  <c r="L2147" i="2" s="1"/>
  <c r="F2147" i="2"/>
  <c r="K2146" i="2"/>
  <c r="J2146" i="2"/>
  <c r="L2146" i="2" s="1"/>
  <c r="I2146" i="2"/>
  <c r="F2146" i="2"/>
  <c r="K2145" i="2"/>
  <c r="J2145" i="2"/>
  <c r="I2145" i="2"/>
  <c r="F2145" i="2"/>
  <c r="K2144" i="2"/>
  <c r="I2144" i="2"/>
  <c r="J2144" i="2" s="1"/>
  <c r="L2144" i="2" s="1"/>
  <c r="F2144" i="2"/>
  <c r="K2143" i="2"/>
  <c r="I2143" i="2"/>
  <c r="F2143" i="2"/>
  <c r="K2142" i="2"/>
  <c r="L2142" i="2" s="1"/>
  <c r="J2142" i="2"/>
  <c r="I2142" i="2"/>
  <c r="F2142" i="2"/>
  <c r="K2141" i="2"/>
  <c r="J2141" i="2"/>
  <c r="I2141" i="2"/>
  <c r="F2141" i="2"/>
  <c r="K2140" i="2"/>
  <c r="J2140" i="2"/>
  <c r="I2140" i="2"/>
  <c r="L2140" i="2" s="1"/>
  <c r="F2140" i="2"/>
  <c r="K2139" i="2"/>
  <c r="J2139" i="2"/>
  <c r="I2139" i="2"/>
  <c r="F2139" i="2"/>
  <c r="K2138" i="2"/>
  <c r="I2138" i="2"/>
  <c r="F2138" i="2"/>
  <c r="K2137" i="2"/>
  <c r="J2137" i="2"/>
  <c r="I2137" i="2"/>
  <c r="F2137" i="2"/>
  <c r="K2136" i="2"/>
  <c r="I2136" i="2"/>
  <c r="F2136" i="2"/>
  <c r="K2135" i="2"/>
  <c r="I2135" i="2"/>
  <c r="F2135" i="2"/>
  <c r="K2134" i="2"/>
  <c r="J2134" i="2"/>
  <c r="I2134" i="2"/>
  <c r="L2134" i="2" s="1"/>
  <c r="F2134" i="2"/>
  <c r="K2133" i="2"/>
  <c r="J2133" i="2"/>
  <c r="I2133" i="2"/>
  <c r="F2133" i="2"/>
  <c r="K2132" i="2"/>
  <c r="I2132" i="2"/>
  <c r="F2132" i="2"/>
  <c r="K2131" i="2"/>
  <c r="J2131" i="2"/>
  <c r="I2131" i="2"/>
  <c r="F2131" i="2"/>
  <c r="L2130" i="2"/>
  <c r="K2130" i="2"/>
  <c r="J2130" i="2"/>
  <c r="I2130" i="2"/>
  <c r="F2130" i="2"/>
  <c r="K2129" i="2"/>
  <c r="I2129" i="2"/>
  <c r="F2129" i="2"/>
  <c r="K2128" i="2"/>
  <c r="J2128" i="2"/>
  <c r="I2128" i="2"/>
  <c r="L2128" i="2" s="1"/>
  <c r="F2128" i="2"/>
  <c r="K2127" i="2"/>
  <c r="I2127" i="2"/>
  <c r="F2127" i="2"/>
  <c r="K2126" i="2"/>
  <c r="J2126" i="2"/>
  <c r="L2126" i="2" s="1"/>
  <c r="I2126" i="2"/>
  <c r="F2126" i="2"/>
  <c r="K2125" i="2"/>
  <c r="J2125" i="2"/>
  <c r="I2125" i="2"/>
  <c r="F2125" i="2"/>
  <c r="L2124" i="2"/>
  <c r="K2124" i="2"/>
  <c r="J2124" i="2"/>
  <c r="I2124" i="2"/>
  <c r="F2124" i="2"/>
  <c r="K2123" i="2"/>
  <c r="J2123" i="2"/>
  <c r="I2123" i="2"/>
  <c r="L2123" i="2" s="1"/>
  <c r="F2123" i="2"/>
  <c r="L2122" i="2"/>
  <c r="K2122" i="2"/>
  <c r="J2122" i="2"/>
  <c r="I2122" i="2"/>
  <c r="F2122" i="2"/>
  <c r="K2121" i="2"/>
  <c r="J2121" i="2"/>
  <c r="I2121" i="2"/>
  <c r="F2121" i="2"/>
  <c r="K2120" i="2"/>
  <c r="J2120" i="2"/>
  <c r="I2120" i="2"/>
  <c r="F2120" i="2"/>
  <c r="K2119" i="2"/>
  <c r="J2119" i="2"/>
  <c r="I2119" i="2"/>
  <c r="F2119" i="2"/>
  <c r="I2118" i="2"/>
  <c r="F2118" i="2"/>
  <c r="K2117" i="2"/>
  <c r="J2117" i="2"/>
  <c r="I2117" i="2"/>
  <c r="F2117" i="2"/>
  <c r="K2116" i="2"/>
  <c r="I2116" i="2"/>
  <c r="F2116" i="2"/>
  <c r="K2115" i="2"/>
  <c r="I2115" i="2"/>
  <c r="F2115" i="2"/>
  <c r="K2114" i="2"/>
  <c r="J2114" i="2"/>
  <c r="I2114" i="2"/>
  <c r="L2114" i="2" s="1"/>
  <c r="F2114" i="2"/>
  <c r="K2113" i="2"/>
  <c r="J2113" i="2"/>
  <c r="I2113" i="2"/>
  <c r="F2113" i="2"/>
  <c r="K2112" i="2"/>
  <c r="J2112" i="2"/>
  <c r="I2112" i="2"/>
  <c r="L2112" i="2" s="1"/>
  <c r="F2112" i="2"/>
  <c r="K2111" i="2"/>
  <c r="J2111" i="2"/>
  <c r="I2111" i="2"/>
  <c r="F2111" i="2"/>
  <c r="L2110" i="2"/>
  <c r="K2110" i="2"/>
  <c r="J2110" i="2"/>
  <c r="I2110" i="2"/>
  <c r="K2109" i="2"/>
  <c r="I2109" i="2"/>
  <c r="K2108" i="2"/>
  <c r="J2108" i="2"/>
  <c r="L2108" i="2" s="1"/>
  <c r="I2108" i="2"/>
  <c r="K2107" i="2"/>
  <c r="J2107" i="2"/>
  <c r="L2107" i="2" s="1"/>
  <c r="I2107" i="2"/>
  <c r="K2106" i="2"/>
  <c r="L2106" i="2" s="1"/>
  <c r="J2106" i="2"/>
  <c r="I2106" i="2"/>
  <c r="L2105" i="2"/>
  <c r="K2105" i="2"/>
  <c r="J2105" i="2"/>
  <c r="I2105" i="2"/>
  <c r="F2105" i="2"/>
  <c r="K2104" i="2"/>
  <c r="I2104" i="2"/>
  <c r="F2104" i="2"/>
  <c r="K2103" i="2"/>
  <c r="J2103" i="2"/>
  <c r="I2103" i="2"/>
  <c r="F2103" i="2"/>
  <c r="K2102" i="2"/>
  <c r="J2102" i="2"/>
  <c r="I2102" i="2"/>
  <c r="F2102" i="2"/>
  <c r="K2101" i="2"/>
  <c r="J2101" i="2"/>
  <c r="L2101" i="2" s="1"/>
  <c r="I2101" i="2"/>
  <c r="F2101" i="2"/>
  <c r="K2100" i="2"/>
  <c r="I2100" i="2"/>
  <c r="F2100" i="2"/>
  <c r="K2099" i="2"/>
  <c r="J2099" i="2"/>
  <c r="L2099" i="2" s="1"/>
  <c r="I2099" i="2"/>
  <c r="F2099" i="2"/>
  <c r="K2098" i="2"/>
  <c r="I2098" i="2"/>
  <c r="F2098" i="2"/>
  <c r="K2097" i="2"/>
  <c r="J2097" i="2"/>
  <c r="L2097" i="2" s="1"/>
  <c r="I2097" i="2"/>
  <c r="F2097" i="2"/>
  <c r="K2096" i="2"/>
  <c r="I2096" i="2"/>
  <c r="F2096" i="2"/>
  <c r="K2095" i="2"/>
  <c r="J2095" i="2"/>
  <c r="L2095" i="2" s="1"/>
  <c r="I2095" i="2"/>
  <c r="F2095" i="2"/>
  <c r="K2094" i="2"/>
  <c r="I2094" i="2"/>
  <c r="F2094" i="2"/>
  <c r="K2093" i="2"/>
  <c r="J2093" i="2"/>
  <c r="L2093" i="2" s="1"/>
  <c r="I2093" i="2"/>
  <c r="F2093" i="2"/>
  <c r="K2092" i="2"/>
  <c r="I2092" i="2"/>
  <c r="F2092" i="2"/>
  <c r="K2091" i="2"/>
  <c r="J2091" i="2"/>
  <c r="L2091" i="2" s="1"/>
  <c r="I2091" i="2"/>
  <c r="F2091" i="2"/>
  <c r="K2090" i="2"/>
  <c r="I2090" i="2"/>
  <c r="F2090" i="2"/>
  <c r="K2089" i="2"/>
  <c r="J2089" i="2"/>
  <c r="L2089" i="2" s="1"/>
  <c r="I2089" i="2"/>
  <c r="F2089" i="2"/>
  <c r="K2088" i="2"/>
  <c r="J2088" i="2"/>
  <c r="I2088" i="2"/>
  <c r="F2088" i="2"/>
  <c r="K2087" i="2"/>
  <c r="J2087" i="2"/>
  <c r="L2087" i="2" s="1"/>
  <c r="I2087" i="2"/>
  <c r="F2087" i="2"/>
  <c r="K2086" i="2"/>
  <c r="I2086" i="2"/>
  <c r="F2086" i="2"/>
  <c r="K2085" i="2"/>
  <c r="J2085" i="2"/>
  <c r="I2085" i="2"/>
  <c r="L2085" i="2" s="1"/>
  <c r="F2085" i="2"/>
  <c r="K2084" i="2"/>
  <c r="I2084" i="2"/>
  <c r="F2084" i="2"/>
  <c r="K2083" i="2"/>
  <c r="J2083" i="2"/>
  <c r="I2083" i="2"/>
  <c r="L2083" i="2" s="1"/>
  <c r="F2083" i="2"/>
  <c r="K2082" i="2"/>
  <c r="I2082" i="2"/>
  <c r="F2082" i="2"/>
  <c r="K2081" i="2"/>
  <c r="J2081" i="2"/>
  <c r="I2081" i="2"/>
  <c r="F2081" i="2"/>
  <c r="K2080" i="2"/>
  <c r="I2080" i="2"/>
  <c r="F2080" i="2"/>
  <c r="K2079" i="2"/>
  <c r="J2079" i="2"/>
  <c r="I2079" i="2"/>
  <c r="L2079" i="2" s="1"/>
  <c r="F2079" i="2"/>
  <c r="K2078" i="2"/>
  <c r="I2078" i="2"/>
  <c r="F2078" i="2"/>
  <c r="K2077" i="2"/>
  <c r="J2077" i="2"/>
  <c r="I2077" i="2"/>
  <c r="F2077" i="2"/>
  <c r="K2076" i="2"/>
  <c r="I2076" i="2"/>
  <c r="F2076" i="2"/>
  <c r="K2075" i="2"/>
  <c r="J2075" i="2"/>
  <c r="I2075" i="2"/>
  <c r="F2075" i="2"/>
  <c r="K2074" i="2"/>
  <c r="I2074" i="2"/>
  <c r="F2074" i="2"/>
  <c r="K2073" i="2"/>
  <c r="J2073" i="2"/>
  <c r="I2073" i="2"/>
  <c r="F2073" i="2"/>
  <c r="K2072" i="2"/>
  <c r="I2072" i="2"/>
  <c r="F2072" i="2"/>
  <c r="K2071" i="2"/>
  <c r="I2071" i="2"/>
  <c r="F2071" i="2"/>
  <c r="K2070" i="2"/>
  <c r="I2070" i="2"/>
  <c r="F2070" i="2"/>
  <c r="K2069" i="2"/>
  <c r="J2069" i="2"/>
  <c r="I2069" i="2"/>
  <c r="L2069" i="2" s="1"/>
  <c r="F2069" i="2"/>
  <c r="K2068" i="2"/>
  <c r="J2068" i="2"/>
  <c r="I2068" i="2"/>
  <c r="F2068" i="2"/>
  <c r="K2067" i="2"/>
  <c r="J2067" i="2"/>
  <c r="I2067" i="2"/>
  <c r="L2067" i="2" s="1"/>
  <c r="F2067" i="2"/>
  <c r="K2066" i="2"/>
  <c r="I2066" i="2"/>
  <c r="F2066" i="2"/>
  <c r="L2065" i="2"/>
  <c r="K2065" i="2"/>
  <c r="J2065" i="2"/>
  <c r="I2065" i="2"/>
  <c r="F2065" i="2"/>
  <c r="K2064" i="2"/>
  <c r="J2064" i="2"/>
  <c r="I2064" i="2"/>
  <c r="L2064" i="2" s="1"/>
  <c r="F2064" i="2"/>
  <c r="K2063" i="2"/>
  <c r="L2063" i="2" s="1"/>
  <c r="J2063" i="2"/>
  <c r="I2063" i="2"/>
  <c r="F2063" i="2"/>
  <c r="K2062" i="2"/>
  <c r="J2062" i="2"/>
  <c r="I2062" i="2"/>
  <c r="F2062" i="2"/>
  <c r="K2061" i="2"/>
  <c r="J2061" i="2"/>
  <c r="L2061" i="2" s="1"/>
  <c r="I2061" i="2"/>
  <c r="F2061" i="2"/>
  <c r="K2060" i="2"/>
  <c r="J2060" i="2"/>
  <c r="I2060" i="2"/>
  <c r="F2060" i="2"/>
  <c r="K2059" i="2"/>
  <c r="I2059" i="2"/>
  <c r="F2059" i="2"/>
  <c r="K2058" i="2"/>
  <c r="J2058" i="2"/>
  <c r="I2058" i="2"/>
  <c r="F2058" i="2"/>
  <c r="K2057" i="2"/>
  <c r="J2057" i="2"/>
  <c r="I2057" i="2"/>
  <c r="L2057" i="2" s="1"/>
  <c r="F2057" i="2"/>
  <c r="K2056" i="2"/>
  <c r="I2056" i="2"/>
  <c r="F2056" i="2"/>
  <c r="K2055" i="2"/>
  <c r="I2055" i="2"/>
  <c r="F2055" i="2"/>
  <c r="K2054" i="2"/>
  <c r="I2054" i="2"/>
  <c r="F2054" i="2"/>
  <c r="K2053" i="2"/>
  <c r="I2053" i="2"/>
  <c r="F2053" i="2"/>
  <c r="K2052" i="2"/>
  <c r="J2052" i="2"/>
  <c r="I2052" i="2"/>
  <c r="F2052" i="2"/>
  <c r="K2051" i="2"/>
  <c r="I2051" i="2"/>
  <c r="J2051" i="2" s="1"/>
  <c r="L2051" i="2" s="1"/>
  <c r="F2051" i="2"/>
  <c r="K2050" i="2"/>
  <c r="I2050" i="2"/>
  <c r="F2050" i="2"/>
  <c r="K2049" i="2"/>
  <c r="J2049" i="2"/>
  <c r="I2049" i="2"/>
  <c r="L2049" i="2" s="1"/>
  <c r="F2049" i="2"/>
  <c r="K2048" i="2"/>
  <c r="J2048" i="2"/>
  <c r="I2048" i="2"/>
  <c r="F2048" i="2"/>
  <c r="K2047" i="2"/>
  <c r="J2047" i="2"/>
  <c r="I2047" i="2"/>
  <c r="L2047" i="2" s="1"/>
  <c r="F2047" i="2"/>
  <c r="K2046" i="2"/>
  <c r="I2046" i="2"/>
  <c r="F2046" i="2"/>
  <c r="K2045" i="2"/>
  <c r="I2045" i="2"/>
  <c r="J2045" i="2" s="1"/>
  <c r="L2045" i="2" s="1"/>
  <c r="F2045" i="2"/>
  <c r="K2044" i="2"/>
  <c r="I2044" i="2"/>
  <c r="F2044" i="2"/>
  <c r="K2043" i="2"/>
  <c r="I2043" i="2"/>
  <c r="J2043" i="2" s="1"/>
  <c r="L2043" i="2" s="1"/>
  <c r="F2043" i="2"/>
  <c r="K2042" i="2"/>
  <c r="I2042" i="2"/>
  <c r="F2042" i="2"/>
  <c r="K2041" i="2"/>
  <c r="J2041" i="2"/>
  <c r="L2041" i="2" s="1"/>
  <c r="I2041" i="2"/>
  <c r="F2041" i="2"/>
  <c r="K2040" i="2"/>
  <c r="J2040" i="2"/>
  <c r="I2040" i="2"/>
  <c r="F2040" i="2"/>
  <c r="K2039" i="2"/>
  <c r="J2039" i="2"/>
  <c r="I2039" i="2"/>
  <c r="L2039" i="2" s="1"/>
  <c r="F2039" i="2"/>
  <c r="K2038" i="2"/>
  <c r="J2038" i="2"/>
  <c r="I2038" i="2"/>
  <c r="F2038" i="2"/>
  <c r="K2037" i="2"/>
  <c r="J2037" i="2"/>
  <c r="I2037" i="2"/>
  <c r="L2037" i="2" s="1"/>
  <c r="F2037" i="2"/>
  <c r="K2036" i="2"/>
  <c r="I2036" i="2"/>
  <c r="F2036" i="2"/>
  <c r="K2035" i="2"/>
  <c r="I2035" i="2"/>
  <c r="F2035" i="2"/>
  <c r="K2034" i="2"/>
  <c r="I2034" i="2"/>
  <c r="F2034" i="2"/>
  <c r="K2033" i="2"/>
  <c r="I2033" i="2"/>
  <c r="F2033" i="2"/>
  <c r="K2032" i="2"/>
  <c r="J2032" i="2"/>
  <c r="I2032" i="2"/>
  <c r="F2032" i="2"/>
  <c r="K2031" i="2"/>
  <c r="I2031" i="2"/>
  <c r="J2031" i="2" s="1"/>
  <c r="L2031" i="2" s="1"/>
  <c r="F2031" i="2"/>
  <c r="K2030" i="2"/>
  <c r="I2030" i="2"/>
  <c r="F2030" i="2"/>
  <c r="K2029" i="2"/>
  <c r="J2029" i="2"/>
  <c r="L2029" i="2" s="1"/>
  <c r="I2029" i="2"/>
  <c r="F2029" i="2"/>
  <c r="K2028" i="2"/>
  <c r="J2028" i="2"/>
  <c r="I2028" i="2"/>
  <c r="F2028" i="2"/>
  <c r="K2027" i="2"/>
  <c r="J2027" i="2"/>
  <c r="I2027" i="2"/>
  <c r="L2027" i="2" s="1"/>
  <c r="F2027" i="2"/>
  <c r="K2026" i="2"/>
  <c r="I2026" i="2"/>
  <c r="F2026" i="2"/>
  <c r="K2025" i="2"/>
  <c r="I2025" i="2"/>
  <c r="J2025" i="2" s="1"/>
  <c r="L2025" i="2" s="1"/>
  <c r="F2025" i="2"/>
  <c r="K2024" i="2"/>
  <c r="I2024" i="2"/>
  <c r="F2024" i="2"/>
  <c r="K2023" i="2"/>
  <c r="I2023" i="2"/>
  <c r="J2023" i="2" s="1"/>
  <c r="F2023" i="2"/>
  <c r="K2022" i="2"/>
  <c r="I2022" i="2"/>
  <c r="F2022" i="2"/>
  <c r="K2021" i="2"/>
  <c r="J2021" i="2"/>
  <c r="L2021" i="2" s="1"/>
  <c r="I2021" i="2"/>
  <c r="F2021" i="2"/>
  <c r="K2020" i="2"/>
  <c r="J2020" i="2"/>
  <c r="I2020" i="2"/>
  <c r="F2020" i="2"/>
  <c r="K2019" i="2"/>
  <c r="I2019" i="2"/>
  <c r="F2019" i="2"/>
  <c r="K2018" i="2"/>
  <c r="J2018" i="2"/>
  <c r="I2018" i="2"/>
  <c r="F2018" i="2"/>
  <c r="K2017" i="2"/>
  <c r="J2017" i="2"/>
  <c r="I2017" i="2"/>
  <c r="L2017" i="2" s="1"/>
  <c r="F2017" i="2"/>
  <c r="K2016" i="2"/>
  <c r="I2016" i="2"/>
  <c r="F2016" i="2"/>
  <c r="K2015" i="2"/>
  <c r="J2015" i="2"/>
  <c r="I2015" i="2"/>
  <c r="L2015" i="2" s="1"/>
  <c r="F2015" i="2"/>
  <c r="K2014" i="2"/>
  <c r="I2014" i="2"/>
  <c r="F2014" i="2"/>
  <c r="K2013" i="2"/>
  <c r="I2013" i="2"/>
  <c r="F2013" i="2"/>
  <c r="K2012" i="2"/>
  <c r="J2012" i="2"/>
  <c r="I2012" i="2"/>
  <c r="F2012" i="2"/>
  <c r="K2011" i="2"/>
  <c r="I2011" i="2"/>
  <c r="J2011" i="2" s="1"/>
  <c r="L2011" i="2" s="1"/>
  <c r="F2011" i="2"/>
  <c r="K2010" i="2"/>
  <c r="I2010" i="2"/>
  <c r="F2010" i="2"/>
  <c r="K2009" i="2"/>
  <c r="J2009" i="2"/>
  <c r="L2009" i="2" s="1"/>
  <c r="I2009" i="2"/>
  <c r="F2009" i="2"/>
  <c r="K2008" i="2"/>
  <c r="J2008" i="2"/>
  <c r="I2008" i="2"/>
  <c r="F2008" i="2"/>
  <c r="K2007" i="2"/>
  <c r="J2007" i="2"/>
  <c r="I2007" i="2"/>
  <c r="L2007" i="2" s="1"/>
  <c r="F2007" i="2"/>
  <c r="K2006" i="2"/>
  <c r="I2006" i="2"/>
  <c r="F2006" i="2"/>
  <c r="K2005" i="2"/>
  <c r="I2005" i="2"/>
  <c r="J2005" i="2" s="1"/>
  <c r="L2005" i="2" s="1"/>
  <c r="F2005" i="2"/>
  <c r="K2004" i="2"/>
  <c r="I2004" i="2"/>
  <c r="F2004" i="2"/>
  <c r="K2003" i="2"/>
  <c r="I2003" i="2"/>
  <c r="J2003" i="2" s="1"/>
  <c r="L2003" i="2" s="1"/>
  <c r="F2003" i="2"/>
  <c r="K2002" i="2"/>
  <c r="I2002" i="2"/>
  <c r="F2002" i="2"/>
  <c r="K2001" i="2"/>
  <c r="J2001" i="2"/>
  <c r="L2001" i="2" s="1"/>
  <c r="I2001" i="2"/>
  <c r="F2001" i="2"/>
  <c r="J2000" i="2"/>
  <c r="I2000" i="2"/>
  <c r="F2000" i="2"/>
  <c r="K1999" i="2"/>
  <c r="I1999" i="2"/>
  <c r="F1999" i="2"/>
  <c r="K1998" i="2"/>
  <c r="J1998" i="2"/>
  <c r="I1998" i="2"/>
  <c r="F1998" i="2"/>
  <c r="K1997" i="2"/>
  <c r="J1997" i="2"/>
  <c r="I1997" i="2"/>
  <c r="L1997" i="2" s="1"/>
  <c r="F1997" i="2"/>
  <c r="K1996" i="2"/>
  <c r="I1996" i="2"/>
  <c r="F1996" i="2"/>
  <c r="K1995" i="2"/>
  <c r="I1995" i="2"/>
  <c r="F1995" i="2"/>
  <c r="K1994" i="2"/>
  <c r="I1994" i="2"/>
  <c r="J1994" i="2" s="1"/>
  <c r="L1994" i="2" s="1"/>
  <c r="F1994" i="2"/>
  <c r="K1993" i="2"/>
  <c r="I1993" i="2"/>
  <c r="F1993" i="2"/>
  <c r="L1992" i="2"/>
  <c r="K1992" i="2"/>
  <c r="I1992" i="2"/>
  <c r="J1992" i="2" s="1"/>
  <c r="F1992" i="2"/>
  <c r="K1991" i="2"/>
  <c r="I1991" i="2"/>
  <c r="F1991" i="2"/>
  <c r="L1990" i="2"/>
  <c r="K1990" i="2"/>
  <c r="I1990" i="2"/>
  <c r="J1990" i="2" s="1"/>
  <c r="F1990" i="2"/>
  <c r="K1989" i="2"/>
  <c r="I1989" i="2"/>
  <c r="F1989" i="2"/>
  <c r="K1988" i="2"/>
  <c r="I1988" i="2"/>
  <c r="J1988" i="2" s="1"/>
  <c r="L1988" i="2" s="1"/>
  <c r="F1988" i="2"/>
  <c r="K1987" i="2"/>
  <c r="I1987" i="2"/>
  <c r="F1987" i="2"/>
  <c r="L1986" i="2"/>
  <c r="K1986" i="2"/>
  <c r="I1986" i="2"/>
  <c r="J1986" i="2" s="1"/>
  <c r="F1986" i="2"/>
  <c r="K1985" i="2"/>
  <c r="I1985" i="2"/>
  <c r="F1985" i="2"/>
  <c r="K1984" i="2"/>
  <c r="I1984" i="2"/>
  <c r="J1984" i="2" s="1"/>
  <c r="L1984" i="2" s="1"/>
  <c r="F1984" i="2"/>
  <c r="K1983" i="2"/>
  <c r="I1983" i="2"/>
  <c r="F1983" i="2"/>
  <c r="K1982" i="2"/>
  <c r="I1982" i="2"/>
  <c r="J1982" i="2" s="1"/>
  <c r="L1982" i="2" s="1"/>
  <c r="F1982" i="2"/>
  <c r="K1981" i="2"/>
  <c r="I1981" i="2"/>
  <c r="F1981" i="2"/>
  <c r="K1980" i="2"/>
  <c r="I1980" i="2"/>
  <c r="J1980" i="2" s="1"/>
  <c r="L1980" i="2" s="1"/>
  <c r="F1980" i="2"/>
  <c r="K1979" i="2"/>
  <c r="I1979" i="2"/>
  <c r="F1979" i="2"/>
  <c r="K1978" i="2"/>
  <c r="I1978" i="2"/>
  <c r="J1978" i="2" s="1"/>
  <c r="L1978" i="2" s="1"/>
  <c r="F1978" i="2"/>
  <c r="K1977" i="2"/>
  <c r="I1977" i="2"/>
  <c r="F1977" i="2"/>
  <c r="K1976" i="2"/>
  <c r="I1976" i="2"/>
  <c r="J1976" i="2" s="1"/>
  <c r="L1976" i="2" s="1"/>
  <c r="F1976" i="2"/>
  <c r="K1975" i="2"/>
  <c r="I1975" i="2"/>
  <c r="F1975" i="2"/>
  <c r="L1974" i="2"/>
  <c r="K1974" i="2"/>
  <c r="J1974" i="2"/>
  <c r="I1974" i="2"/>
  <c r="F1974" i="2"/>
  <c r="K1973" i="2"/>
  <c r="I1973" i="2"/>
  <c r="F1973" i="2"/>
  <c r="L1972" i="2"/>
  <c r="K1972" i="2"/>
  <c r="I1972" i="2"/>
  <c r="J1972" i="2" s="1"/>
  <c r="F1972" i="2"/>
  <c r="K1971" i="2"/>
  <c r="I1971" i="2"/>
  <c r="F1971" i="2"/>
  <c r="K1970" i="2"/>
  <c r="I1970" i="2"/>
  <c r="J1970" i="2" s="1"/>
  <c r="L1970" i="2" s="1"/>
  <c r="F1970" i="2"/>
  <c r="K1969" i="2"/>
  <c r="I1969" i="2"/>
  <c r="F1969" i="2"/>
  <c r="L1968" i="2"/>
  <c r="K1968" i="2"/>
  <c r="J1968" i="2"/>
  <c r="I1968" i="2"/>
  <c r="F1968" i="2"/>
  <c r="K1967" i="2"/>
  <c r="J1967" i="2"/>
  <c r="I1967" i="2"/>
  <c r="F1967" i="2"/>
  <c r="L1966" i="2"/>
  <c r="K1966" i="2"/>
  <c r="J1966" i="2"/>
  <c r="I1966" i="2"/>
  <c r="F1966" i="2"/>
  <c r="K1965" i="2"/>
  <c r="J1965" i="2"/>
  <c r="I1965" i="2"/>
  <c r="L1965" i="2" s="1"/>
  <c r="F1965" i="2"/>
  <c r="L1964" i="2"/>
  <c r="K1964" i="2"/>
  <c r="J1964" i="2"/>
  <c r="I1964" i="2"/>
  <c r="F1964" i="2"/>
  <c r="K1963" i="2"/>
  <c r="I1963" i="2"/>
  <c r="F1963" i="2"/>
  <c r="L1962" i="2"/>
  <c r="K1962" i="2"/>
  <c r="I1962" i="2"/>
  <c r="J1962" i="2" s="1"/>
  <c r="F1962" i="2"/>
  <c r="K1961" i="2"/>
  <c r="I1961" i="2"/>
  <c r="F1961" i="2"/>
  <c r="K1960" i="2"/>
  <c r="I1960" i="2"/>
  <c r="J1960" i="2" s="1"/>
  <c r="L1960" i="2" s="1"/>
  <c r="F1960" i="2"/>
  <c r="K1959" i="2"/>
  <c r="J1959" i="2"/>
  <c r="I1959" i="2"/>
  <c r="L1959" i="2" s="1"/>
  <c r="F1959" i="2"/>
  <c r="K1958" i="2"/>
  <c r="I1958" i="2"/>
  <c r="J1958" i="2" s="1"/>
  <c r="L1958" i="2" s="1"/>
  <c r="F1958" i="2"/>
  <c r="K1957" i="2"/>
  <c r="I1957" i="2"/>
  <c r="F1957" i="2"/>
  <c r="K1956" i="2"/>
  <c r="I1956" i="2"/>
  <c r="J1956" i="2" s="1"/>
  <c r="L1956" i="2" s="1"/>
  <c r="F1956" i="2"/>
  <c r="K1955" i="2"/>
  <c r="I1955" i="2"/>
  <c r="F1955" i="2"/>
  <c r="K1954" i="2"/>
  <c r="L1954" i="2" s="1"/>
  <c r="I1954" i="2"/>
  <c r="J1954" i="2" s="1"/>
  <c r="F1954" i="2"/>
  <c r="K1953" i="2"/>
  <c r="I1953" i="2"/>
  <c r="F1953" i="2"/>
  <c r="L1952" i="2"/>
  <c r="K1952" i="2"/>
  <c r="I1952" i="2"/>
  <c r="J1952" i="2" s="1"/>
  <c r="F1952" i="2"/>
  <c r="K1951" i="2"/>
  <c r="I1951" i="2"/>
  <c r="F1951" i="2"/>
  <c r="K1950" i="2"/>
  <c r="I1950" i="2"/>
  <c r="J1950" i="2" s="1"/>
  <c r="F1950" i="2"/>
  <c r="K1949" i="2"/>
  <c r="I1949" i="2"/>
  <c r="F1949" i="2"/>
  <c r="I1948" i="2"/>
  <c r="J1948" i="2" s="1"/>
  <c r="F1948" i="2"/>
  <c r="K1947" i="2"/>
  <c r="I1947" i="2"/>
  <c r="F1947" i="2"/>
  <c r="K1946" i="2"/>
  <c r="I1946" i="2"/>
  <c r="J1946" i="2" s="1"/>
  <c r="F1946" i="2"/>
  <c r="K1945" i="2"/>
  <c r="I1945" i="2"/>
  <c r="F1945" i="2"/>
  <c r="L1944" i="2"/>
  <c r="K1944" i="2"/>
  <c r="I1944" i="2"/>
  <c r="J1944" i="2" s="1"/>
  <c r="F1944" i="2"/>
  <c r="K1943" i="2"/>
  <c r="J1943" i="2"/>
  <c r="I1943" i="2"/>
  <c r="F1943" i="2"/>
  <c r="K1942" i="2"/>
  <c r="I1942" i="2"/>
  <c r="J1942" i="2" s="1"/>
  <c r="F1942" i="2"/>
  <c r="K1941" i="2"/>
  <c r="I1941" i="2"/>
  <c r="F1941" i="2"/>
  <c r="K1940" i="2"/>
  <c r="I1940" i="2"/>
  <c r="J1940" i="2" s="1"/>
  <c r="F1940" i="2"/>
  <c r="K1939" i="2"/>
  <c r="I1939" i="2"/>
  <c r="F1939" i="2"/>
  <c r="L1938" i="2"/>
  <c r="K1938" i="2"/>
  <c r="I1938" i="2"/>
  <c r="J1938" i="2" s="1"/>
  <c r="F1938" i="2"/>
  <c r="K1937" i="2"/>
  <c r="I1937" i="2"/>
  <c r="F1937" i="2"/>
  <c r="K1936" i="2"/>
  <c r="I1936" i="2"/>
  <c r="J1936" i="2" s="1"/>
  <c r="F1936" i="2"/>
  <c r="K1935" i="2"/>
  <c r="I1935" i="2"/>
  <c r="F1935" i="2"/>
  <c r="L1934" i="2"/>
  <c r="K1934" i="2"/>
  <c r="I1934" i="2"/>
  <c r="J1934" i="2" s="1"/>
  <c r="F1934" i="2"/>
  <c r="K1933" i="2"/>
  <c r="J1933" i="2"/>
  <c r="I1933" i="2"/>
  <c r="F1933" i="2"/>
  <c r="K1932" i="2"/>
  <c r="I1932" i="2"/>
  <c r="J1932" i="2" s="1"/>
  <c r="F1932" i="2"/>
  <c r="I1931" i="2"/>
  <c r="F1931" i="2"/>
  <c r="K1930" i="2"/>
  <c r="I1930" i="2"/>
  <c r="J1930" i="2" s="1"/>
  <c r="F1930" i="2"/>
  <c r="K1929" i="2"/>
  <c r="I1929" i="2"/>
  <c r="F1929" i="2"/>
  <c r="L1928" i="2"/>
  <c r="K1928" i="2"/>
  <c r="I1928" i="2"/>
  <c r="J1928" i="2" s="1"/>
  <c r="F1928" i="2"/>
  <c r="K1927" i="2"/>
  <c r="I1927" i="2"/>
  <c r="F1927" i="2"/>
  <c r="K1926" i="2"/>
  <c r="I1926" i="2"/>
  <c r="F1926" i="2"/>
  <c r="K1925" i="2"/>
  <c r="I1925" i="2"/>
  <c r="F1925" i="2"/>
  <c r="L1924" i="2"/>
  <c r="K1924" i="2"/>
  <c r="I1924" i="2"/>
  <c r="J1924" i="2" s="1"/>
  <c r="F1924" i="2"/>
  <c r="K1923" i="2"/>
  <c r="J1923" i="2"/>
  <c r="I1923" i="2"/>
  <c r="F1923" i="2"/>
  <c r="K1922" i="2"/>
  <c r="I1922" i="2"/>
  <c r="J1922" i="2" s="1"/>
  <c r="F1922" i="2"/>
  <c r="K1921" i="2"/>
  <c r="I1921" i="2"/>
  <c r="F1921" i="2"/>
  <c r="K1920" i="2"/>
  <c r="I1920" i="2"/>
  <c r="J1920" i="2" s="1"/>
  <c r="F1920" i="2"/>
  <c r="K1919" i="2"/>
  <c r="I1919" i="2"/>
  <c r="F1919" i="2"/>
  <c r="L1918" i="2"/>
  <c r="K1918" i="2"/>
  <c r="I1918" i="2"/>
  <c r="J1918" i="2" s="1"/>
  <c r="F1918" i="2"/>
  <c r="K1917" i="2"/>
  <c r="I1917" i="2"/>
  <c r="F1917" i="2"/>
  <c r="K1916" i="2"/>
  <c r="I1916" i="2"/>
  <c r="F1916" i="2"/>
  <c r="K1915" i="2"/>
  <c r="I1915" i="2"/>
  <c r="F1915" i="2"/>
  <c r="K1914" i="2"/>
  <c r="L1914" i="2" s="1"/>
  <c r="I1914" i="2"/>
  <c r="J1914" i="2" s="1"/>
  <c r="F1914" i="2"/>
  <c r="K1913" i="2"/>
  <c r="J1913" i="2"/>
  <c r="I1913" i="2"/>
  <c r="F1913" i="2"/>
  <c r="K1912" i="2"/>
  <c r="I1912" i="2"/>
  <c r="F1912" i="2"/>
  <c r="J1911" i="2"/>
  <c r="I1911" i="2"/>
  <c r="F1911" i="2"/>
  <c r="K1910" i="2"/>
  <c r="I1910" i="2"/>
  <c r="F1910" i="2"/>
  <c r="K1909" i="2"/>
  <c r="I1909" i="2"/>
  <c r="F1909" i="2"/>
  <c r="K1908" i="2"/>
  <c r="J1908" i="2"/>
  <c r="I1908" i="2"/>
  <c r="L1908" i="2" s="1"/>
  <c r="F1908" i="2"/>
  <c r="K1907" i="2"/>
  <c r="I1907" i="2"/>
  <c r="F1907" i="2"/>
  <c r="K1906" i="2"/>
  <c r="I1906" i="2"/>
  <c r="F1906" i="2"/>
  <c r="K1905" i="2"/>
  <c r="J1905" i="2"/>
  <c r="I1905" i="2"/>
  <c r="F1905" i="2"/>
  <c r="K1904" i="2"/>
  <c r="I1904" i="2"/>
  <c r="J1904" i="2" s="1"/>
  <c r="L1904" i="2" s="1"/>
  <c r="F1904" i="2"/>
  <c r="K1903" i="2"/>
  <c r="I1903" i="2"/>
  <c r="F1903" i="2"/>
  <c r="K1902" i="2"/>
  <c r="L1902" i="2" s="1"/>
  <c r="J1902" i="2"/>
  <c r="I1902" i="2"/>
  <c r="F1902" i="2"/>
  <c r="K1901" i="2"/>
  <c r="I1901" i="2"/>
  <c r="F1901" i="2"/>
  <c r="K1900" i="2"/>
  <c r="J1900" i="2"/>
  <c r="I1900" i="2"/>
  <c r="F1900" i="2"/>
  <c r="K1899" i="2"/>
  <c r="J1899" i="2"/>
  <c r="I1899" i="2"/>
  <c r="F1899" i="2"/>
  <c r="K1898" i="2"/>
  <c r="J1898" i="2"/>
  <c r="I1898" i="2"/>
  <c r="F1898" i="2"/>
  <c r="K1897" i="2"/>
  <c r="I1897" i="2"/>
  <c r="F1897" i="2"/>
  <c r="K1896" i="2"/>
  <c r="I1896" i="2"/>
  <c r="F1896" i="2"/>
  <c r="K1895" i="2"/>
  <c r="I1895" i="2"/>
  <c r="F1895" i="2"/>
  <c r="K1894" i="2"/>
  <c r="I1894" i="2"/>
  <c r="F1894" i="2"/>
  <c r="K1893" i="2"/>
  <c r="J1893" i="2"/>
  <c r="I1893" i="2"/>
  <c r="F1893" i="2"/>
  <c r="K1892" i="2"/>
  <c r="I1892" i="2"/>
  <c r="F1892" i="2"/>
  <c r="K1891" i="2"/>
  <c r="J1891" i="2"/>
  <c r="I1891" i="2"/>
  <c r="F1891" i="2"/>
  <c r="K1890" i="2"/>
  <c r="I1890" i="2"/>
  <c r="F1890" i="2"/>
  <c r="K1889" i="2"/>
  <c r="J1889" i="2"/>
  <c r="I1889" i="2"/>
  <c r="F1889" i="2"/>
  <c r="K1888" i="2"/>
  <c r="J1888" i="2"/>
  <c r="I1888" i="2"/>
  <c r="L1888" i="2" s="1"/>
  <c r="F1888" i="2"/>
  <c r="K1887" i="2"/>
  <c r="I1887" i="2"/>
  <c r="F1887" i="2"/>
  <c r="K1886" i="2"/>
  <c r="I1886" i="2"/>
  <c r="F1886" i="2"/>
  <c r="K1885" i="2"/>
  <c r="I1885" i="2"/>
  <c r="F1885" i="2"/>
  <c r="K1884" i="2"/>
  <c r="I1884" i="2"/>
  <c r="J1884" i="2" s="1"/>
  <c r="L1884" i="2" s="1"/>
  <c r="F1884" i="2"/>
  <c r="K1883" i="2"/>
  <c r="J1883" i="2"/>
  <c r="I1883" i="2"/>
  <c r="F1883" i="2"/>
  <c r="L1882" i="2"/>
  <c r="K1882" i="2"/>
  <c r="J1882" i="2"/>
  <c r="I1882" i="2"/>
  <c r="F1882" i="2"/>
  <c r="K1881" i="2"/>
  <c r="I1881" i="2"/>
  <c r="F1881" i="2"/>
  <c r="J1880" i="2"/>
  <c r="I1880" i="2"/>
  <c r="F1880" i="2"/>
  <c r="K1879" i="2"/>
  <c r="J1879" i="2"/>
  <c r="I1879" i="2"/>
  <c r="F1879" i="2"/>
  <c r="K1878" i="2"/>
  <c r="J1878" i="2"/>
  <c r="I1878" i="2"/>
  <c r="F1878" i="2"/>
  <c r="K1877" i="2"/>
  <c r="J1877" i="2"/>
  <c r="I1877" i="2"/>
  <c r="F1877" i="2"/>
  <c r="K1876" i="2"/>
  <c r="I1876" i="2"/>
  <c r="F1876" i="2"/>
  <c r="K1875" i="2"/>
  <c r="I1875" i="2"/>
  <c r="F1875" i="2"/>
  <c r="K1874" i="2"/>
  <c r="I1874" i="2"/>
  <c r="F1874" i="2"/>
  <c r="K1873" i="2"/>
  <c r="J1873" i="2"/>
  <c r="I1873" i="2"/>
  <c r="F1873" i="2"/>
  <c r="K1872" i="2"/>
  <c r="J1872" i="2"/>
  <c r="I1872" i="2"/>
  <c r="L1872" i="2" s="1"/>
  <c r="F1872" i="2"/>
  <c r="K1871" i="2"/>
  <c r="J1871" i="2"/>
  <c r="I1871" i="2"/>
  <c r="F1871" i="2"/>
  <c r="K1870" i="2"/>
  <c r="J1870" i="2"/>
  <c r="I1870" i="2"/>
  <c r="L1870" i="2" s="1"/>
  <c r="F1870" i="2"/>
  <c r="K1869" i="2"/>
  <c r="J1869" i="2"/>
  <c r="L1869" i="2" s="1"/>
  <c r="I1869" i="2"/>
  <c r="F1869" i="2"/>
  <c r="K1868" i="2"/>
  <c r="I1868" i="2"/>
  <c r="F1868" i="2"/>
  <c r="K1867" i="2"/>
  <c r="J1867" i="2"/>
  <c r="I1867" i="2"/>
  <c r="F1867" i="2"/>
  <c r="K1866" i="2"/>
  <c r="I1866" i="2"/>
  <c r="F1866" i="2"/>
  <c r="K1865" i="2"/>
  <c r="J1865" i="2"/>
  <c r="I1865" i="2"/>
  <c r="F1865" i="2"/>
  <c r="K1864" i="2"/>
  <c r="I1864" i="2"/>
  <c r="F1864" i="2"/>
  <c r="K1863" i="2"/>
  <c r="J1863" i="2"/>
  <c r="I1863" i="2"/>
  <c r="F1863" i="2"/>
  <c r="K1862" i="2"/>
  <c r="J1862" i="2"/>
  <c r="I1862" i="2"/>
  <c r="L1862" i="2" s="1"/>
  <c r="F1862" i="2"/>
  <c r="K1861" i="2"/>
  <c r="J1861" i="2"/>
  <c r="L1861" i="2" s="1"/>
  <c r="I1861" i="2"/>
  <c r="F1861" i="2"/>
  <c r="K1860" i="2"/>
  <c r="I1860" i="2"/>
  <c r="F1860" i="2"/>
  <c r="K1859" i="2"/>
  <c r="J1859" i="2"/>
  <c r="I1859" i="2"/>
  <c r="F1859" i="2"/>
  <c r="K1858" i="2"/>
  <c r="I1858" i="2"/>
  <c r="F1858" i="2"/>
  <c r="K1857" i="2"/>
  <c r="J1857" i="2"/>
  <c r="L1857" i="2" s="1"/>
  <c r="I1857" i="2"/>
  <c r="F1857" i="2"/>
  <c r="K1856" i="2"/>
  <c r="I1856" i="2"/>
  <c r="F1856" i="2"/>
  <c r="K1855" i="2"/>
  <c r="J1855" i="2"/>
  <c r="L1855" i="2" s="1"/>
  <c r="I1855" i="2"/>
  <c r="F1855" i="2"/>
  <c r="K1854" i="2"/>
  <c r="I1854" i="2"/>
  <c r="F1854" i="2"/>
  <c r="K1853" i="2"/>
  <c r="J1853" i="2"/>
  <c r="I1853" i="2"/>
  <c r="F1853" i="2"/>
  <c r="K1852" i="2"/>
  <c r="I1852" i="2"/>
  <c r="F1852" i="2"/>
  <c r="K1851" i="2"/>
  <c r="J1851" i="2"/>
  <c r="I1851" i="2"/>
  <c r="F1851" i="2"/>
  <c r="K1850" i="2"/>
  <c r="I1850" i="2"/>
  <c r="F1850" i="2"/>
  <c r="K1849" i="2"/>
  <c r="J1849" i="2"/>
  <c r="I1849" i="2"/>
  <c r="F1849" i="2"/>
  <c r="K1848" i="2"/>
  <c r="I1848" i="2"/>
  <c r="F1848" i="2"/>
  <c r="K1847" i="2"/>
  <c r="J1847" i="2"/>
  <c r="I1847" i="2"/>
  <c r="F1847" i="2"/>
  <c r="I1846" i="2"/>
  <c r="F1846" i="2"/>
  <c r="K1845" i="2"/>
  <c r="J1845" i="2"/>
  <c r="I1845" i="2"/>
  <c r="F1845" i="2"/>
  <c r="K1844" i="2"/>
  <c r="I1844" i="2"/>
  <c r="F1844" i="2"/>
  <c r="K1843" i="2"/>
  <c r="J1843" i="2"/>
  <c r="I1843" i="2"/>
  <c r="F1843" i="2"/>
  <c r="K1842" i="2"/>
  <c r="I1842" i="2"/>
  <c r="F1842" i="2"/>
  <c r="K1841" i="2"/>
  <c r="J1841" i="2"/>
  <c r="I1841" i="2"/>
  <c r="F1841" i="2"/>
  <c r="K1840" i="2"/>
  <c r="I1840" i="2"/>
  <c r="F1840" i="2"/>
  <c r="K1839" i="2"/>
  <c r="J1839" i="2"/>
  <c r="L1839" i="2" s="1"/>
  <c r="I1839" i="2"/>
  <c r="F1839" i="2"/>
  <c r="K1838" i="2"/>
  <c r="I1838" i="2"/>
  <c r="F1838" i="2"/>
  <c r="K1837" i="2"/>
  <c r="J1837" i="2"/>
  <c r="I1837" i="2"/>
  <c r="F1837" i="2"/>
  <c r="I1836" i="2"/>
  <c r="F1836" i="2"/>
  <c r="K1835" i="2"/>
  <c r="J1835" i="2"/>
  <c r="L1835" i="2" s="1"/>
  <c r="I1835" i="2"/>
  <c r="F1835" i="2"/>
  <c r="K1834" i="2"/>
  <c r="J1834" i="2"/>
  <c r="I1834" i="2"/>
  <c r="L1834" i="2" s="1"/>
  <c r="F1834" i="2"/>
  <c r="K1833" i="2"/>
  <c r="J1833" i="2"/>
  <c r="I1833" i="2"/>
  <c r="F1833" i="2"/>
  <c r="K1832" i="2"/>
  <c r="I1832" i="2"/>
  <c r="F1832" i="2"/>
  <c r="K1831" i="2"/>
  <c r="J1831" i="2"/>
  <c r="I1831" i="2"/>
  <c r="F1831" i="2"/>
  <c r="I1830" i="2"/>
  <c r="F1830" i="2"/>
  <c r="K1829" i="2"/>
  <c r="J1829" i="2"/>
  <c r="I1829" i="2"/>
  <c r="F1829" i="2"/>
  <c r="K1828" i="2"/>
  <c r="I1828" i="2"/>
  <c r="F1828" i="2"/>
  <c r="K1827" i="2"/>
  <c r="J1827" i="2"/>
  <c r="I1827" i="2"/>
  <c r="F1827" i="2"/>
  <c r="K1826" i="2"/>
  <c r="I1826" i="2"/>
  <c r="F1826" i="2"/>
  <c r="K1825" i="2"/>
  <c r="J1825" i="2"/>
  <c r="L1825" i="2" s="1"/>
  <c r="I1825" i="2"/>
  <c r="F1825" i="2"/>
  <c r="K1824" i="2"/>
  <c r="I1824" i="2"/>
  <c r="F1824" i="2"/>
  <c r="K1823" i="2"/>
  <c r="J1823" i="2"/>
  <c r="I1823" i="2"/>
  <c r="F1823" i="2"/>
  <c r="K1822" i="2"/>
  <c r="I1822" i="2"/>
  <c r="F1822" i="2"/>
  <c r="K1821" i="2"/>
  <c r="J1821" i="2"/>
  <c r="L1821" i="2" s="1"/>
  <c r="I1821" i="2"/>
  <c r="F1821" i="2"/>
  <c r="K1820" i="2"/>
  <c r="I1820" i="2"/>
  <c r="F1820" i="2"/>
  <c r="K1819" i="2"/>
  <c r="J1819" i="2"/>
  <c r="L1819" i="2" s="1"/>
  <c r="I1819" i="2"/>
  <c r="F1819" i="2"/>
  <c r="K1818" i="2"/>
  <c r="I1818" i="2"/>
  <c r="F1818" i="2"/>
  <c r="K1817" i="2"/>
  <c r="J1817" i="2"/>
  <c r="L1817" i="2" s="1"/>
  <c r="I1817" i="2"/>
  <c r="F1817" i="2"/>
  <c r="K1816" i="2"/>
  <c r="I1816" i="2"/>
  <c r="F1816" i="2"/>
  <c r="K1815" i="2"/>
  <c r="J1815" i="2"/>
  <c r="L1815" i="2" s="1"/>
  <c r="I1815" i="2"/>
  <c r="F1815" i="2"/>
  <c r="K1814" i="2"/>
  <c r="I1814" i="2"/>
  <c r="F1814" i="2"/>
  <c r="K1813" i="2"/>
  <c r="J1813" i="2"/>
  <c r="I1813" i="2"/>
  <c r="F1813" i="2"/>
  <c r="K1812" i="2"/>
  <c r="I1812" i="2"/>
  <c r="F1812" i="2"/>
  <c r="K1811" i="2"/>
  <c r="J1811" i="2"/>
  <c r="L1811" i="2" s="1"/>
  <c r="I1811" i="2"/>
  <c r="F1811" i="2"/>
  <c r="K1810" i="2"/>
  <c r="I1810" i="2"/>
  <c r="F1810" i="2"/>
  <c r="K1809" i="2"/>
  <c r="J1809" i="2"/>
  <c r="I1809" i="2"/>
  <c r="F1809" i="2"/>
  <c r="K1808" i="2"/>
  <c r="I1808" i="2"/>
  <c r="F1808" i="2"/>
  <c r="K1807" i="2"/>
  <c r="J1807" i="2"/>
  <c r="I1807" i="2"/>
  <c r="F1807" i="2"/>
  <c r="K1806" i="2"/>
  <c r="J1806" i="2"/>
  <c r="I1806" i="2"/>
  <c r="F1806" i="2"/>
  <c r="K1805" i="2"/>
  <c r="J1805" i="2"/>
  <c r="L1805" i="2" s="1"/>
  <c r="I1805" i="2"/>
  <c r="F1805" i="2"/>
  <c r="K1804" i="2"/>
  <c r="J1804" i="2"/>
  <c r="I1804" i="2"/>
  <c r="L1804" i="2" s="1"/>
  <c r="F1804" i="2"/>
  <c r="K1803" i="2"/>
  <c r="J1803" i="2"/>
  <c r="L1803" i="2" s="1"/>
  <c r="I1803" i="2"/>
  <c r="F1803" i="2"/>
  <c r="K1802" i="2"/>
  <c r="J1802" i="2"/>
  <c r="I1802" i="2"/>
  <c r="F1802" i="2"/>
  <c r="K1801" i="2"/>
  <c r="J1801" i="2"/>
  <c r="I1801" i="2"/>
  <c r="F1801" i="2"/>
  <c r="K1800" i="2"/>
  <c r="J1800" i="2"/>
  <c r="I1800" i="2"/>
  <c r="F1800" i="2"/>
  <c r="K1799" i="2"/>
  <c r="J1799" i="2"/>
  <c r="L1799" i="2" s="1"/>
  <c r="I1799" i="2"/>
  <c r="F1799" i="2"/>
  <c r="K1798" i="2"/>
  <c r="J1798" i="2"/>
  <c r="I1798" i="2"/>
  <c r="L1798" i="2" s="1"/>
  <c r="F1798" i="2"/>
  <c r="K1797" i="2"/>
  <c r="J1797" i="2"/>
  <c r="I1797" i="2"/>
  <c r="F1797" i="2"/>
  <c r="K1796" i="2"/>
  <c r="J1796" i="2"/>
  <c r="I1796" i="2"/>
  <c r="F1796" i="2"/>
  <c r="K1795" i="2"/>
  <c r="J1795" i="2"/>
  <c r="L1795" i="2" s="1"/>
  <c r="I1795" i="2"/>
  <c r="F1795" i="2"/>
  <c r="K1794" i="2"/>
  <c r="J1794" i="2"/>
  <c r="I1794" i="2"/>
  <c r="F1794" i="2"/>
  <c r="K1793" i="2"/>
  <c r="J1793" i="2"/>
  <c r="I1793" i="2"/>
  <c r="F1793" i="2"/>
  <c r="K1792" i="2"/>
  <c r="I1792" i="2"/>
  <c r="F1792" i="2"/>
  <c r="K1791" i="2"/>
  <c r="J1791" i="2"/>
  <c r="I1791" i="2"/>
  <c r="F1791" i="2"/>
  <c r="K1790" i="2"/>
  <c r="J1790" i="2"/>
  <c r="I1790" i="2"/>
  <c r="L1790" i="2" s="1"/>
  <c r="F1790" i="2"/>
  <c r="K1789" i="2"/>
  <c r="J1789" i="2"/>
  <c r="L1789" i="2" s="1"/>
  <c r="I1789" i="2"/>
  <c r="F1789" i="2"/>
  <c r="K1788" i="2"/>
  <c r="I1788" i="2"/>
  <c r="F1788" i="2"/>
  <c r="K1787" i="2"/>
  <c r="J1787" i="2"/>
  <c r="L1787" i="2" s="1"/>
  <c r="I1787" i="2"/>
  <c r="F1787" i="2"/>
  <c r="K1786" i="2"/>
  <c r="I1786" i="2"/>
  <c r="F1786" i="2"/>
  <c r="K1785" i="2"/>
  <c r="J1785" i="2"/>
  <c r="L1785" i="2" s="1"/>
  <c r="I1785" i="2"/>
  <c r="F1785" i="2"/>
  <c r="K1784" i="2"/>
  <c r="I1784" i="2"/>
  <c r="F1784" i="2"/>
  <c r="K1783" i="2"/>
  <c r="J1783" i="2"/>
  <c r="I1783" i="2"/>
  <c r="F1783" i="2"/>
  <c r="K1782" i="2"/>
  <c r="I1782" i="2"/>
  <c r="F1782" i="2"/>
  <c r="K1781" i="2"/>
  <c r="J1781" i="2"/>
  <c r="I1781" i="2"/>
  <c r="F1781" i="2"/>
  <c r="K1780" i="2"/>
  <c r="I1780" i="2"/>
  <c r="F1780" i="2"/>
  <c r="K1779" i="2"/>
  <c r="J1779" i="2"/>
  <c r="L1779" i="2" s="1"/>
  <c r="I1779" i="2"/>
  <c r="F1779" i="2"/>
  <c r="K1778" i="2"/>
  <c r="I1778" i="2"/>
  <c r="F1778" i="2"/>
  <c r="L1777" i="2"/>
  <c r="K1777" i="2"/>
  <c r="J1777" i="2"/>
  <c r="I1777" i="2"/>
  <c r="F1777" i="2"/>
  <c r="K1776" i="2"/>
  <c r="I1776" i="2"/>
  <c r="F1776" i="2"/>
  <c r="K1775" i="2"/>
  <c r="J1775" i="2"/>
  <c r="L1775" i="2" s="1"/>
  <c r="I1775" i="2"/>
  <c r="F1775" i="2"/>
  <c r="K1774" i="2"/>
  <c r="I1774" i="2"/>
  <c r="F1774" i="2"/>
  <c r="J1773" i="2"/>
  <c r="I1773" i="2"/>
  <c r="F1773" i="2"/>
  <c r="K1772" i="2"/>
  <c r="I1772" i="2"/>
  <c r="F1772" i="2"/>
  <c r="K1771" i="2"/>
  <c r="J1771" i="2"/>
  <c r="I1771" i="2"/>
  <c r="F1771" i="2"/>
  <c r="K1770" i="2"/>
  <c r="I1770" i="2"/>
  <c r="J1770" i="2" s="1"/>
  <c r="F1770" i="2"/>
  <c r="K1769" i="2"/>
  <c r="J1769" i="2"/>
  <c r="L1769" i="2" s="1"/>
  <c r="I1769" i="2"/>
  <c r="F1769" i="2"/>
  <c r="K1768" i="2"/>
  <c r="I1768" i="2"/>
  <c r="J1768" i="2" s="1"/>
  <c r="F1768" i="2"/>
  <c r="L1767" i="2"/>
  <c r="K1767" i="2"/>
  <c r="J1767" i="2"/>
  <c r="I1767" i="2"/>
  <c r="F1767" i="2"/>
  <c r="K1766" i="2"/>
  <c r="I1766" i="2"/>
  <c r="J1766" i="2" s="1"/>
  <c r="L1766" i="2" s="1"/>
  <c r="F1766" i="2"/>
  <c r="K1765" i="2"/>
  <c r="J1765" i="2"/>
  <c r="L1765" i="2" s="1"/>
  <c r="I1765" i="2"/>
  <c r="F1765" i="2"/>
  <c r="K1764" i="2"/>
  <c r="I1764" i="2"/>
  <c r="J1764" i="2" s="1"/>
  <c r="F1764" i="2"/>
  <c r="L1763" i="2"/>
  <c r="K1763" i="2"/>
  <c r="J1763" i="2"/>
  <c r="I1763" i="2"/>
  <c r="F1763" i="2"/>
  <c r="K1762" i="2"/>
  <c r="I1762" i="2"/>
  <c r="J1762" i="2" s="1"/>
  <c r="F1762" i="2"/>
  <c r="K1761" i="2"/>
  <c r="J1761" i="2"/>
  <c r="L1761" i="2" s="1"/>
  <c r="I1761" i="2"/>
  <c r="F1761" i="2"/>
  <c r="K1760" i="2"/>
  <c r="I1760" i="2"/>
  <c r="J1760" i="2" s="1"/>
  <c r="F1760" i="2"/>
  <c r="K1759" i="2"/>
  <c r="J1759" i="2"/>
  <c r="L1759" i="2" s="1"/>
  <c r="I1759" i="2"/>
  <c r="F1759" i="2"/>
  <c r="K1758" i="2"/>
  <c r="I1758" i="2"/>
  <c r="J1758" i="2" s="1"/>
  <c r="F1758" i="2"/>
  <c r="K1757" i="2"/>
  <c r="L1757" i="2" s="1"/>
  <c r="J1757" i="2"/>
  <c r="I1757" i="2"/>
  <c r="F1757" i="2"/>
  <c r="K1756" i="2"/>
  <c r="I1756" i="2"/>
  <c r="J1756" i="2" s="1"/>
  <c r="F1756" i="2"/>
  <c r="K1755" i="2"/>
  <c r="J1755" i="2"/>
  <c r="L1755" i="2" s="1"/>
  <c r="I1755" i="2"/>
  <c r="F1755" i="2"/>
  <c r="K1754" i="2"/>
  <c r="I1754" i="2"/>
  <c r="J1754" i="2" s="1"/>
  <c r="F1754" i="2"/>
  <c r="L1753" i="2"/>
  <c r="K1753" i="2"/>
  <c r="J1753" i="2"/>
  <c r="I1753" i="2"/>
  <c r="F1753" i="2"/>
  <c r="K1752" i="2"/>
  <c r="I1752" i="2"/>
  <c r="J1752" i="2" s="1"/>
  <c r="F1752" i="2"/>
  <c r="K1751" i="2"/>
  <c r="J1751" i="2"/>
  <c r="L1751" i="2" s="1"/>
  <c r="I1751" i="2"/>
  <c r="F1751" i="2"/>
  <c r="K1750" i="2"/>
  <c r="I1750" i="2"/>
  <c r="J1750" i="2" s="1"/>
  <c r="F1750" i="2"/>
  <c r="K1749" i="2"/>
  <c r="J1749" i="2"/>
  <c r="L1749" i="2" s="1"/>
  <c r="I1749" i="2"/>
  <c r="F1749" i="2"/>
  <c r="K1748" i="2"/>
  <c r="I1748" i="2"/>
  <c r="J1748" i="2" s="1"/>
  <c r="F1748" i="2"/>
  <c r="K1747" i="2"/>
  <c r="L1747" i="2" s="1"/>
  <c r="J1747" i="2"/>
  <c r="I1747" i="2"/>
  <c r="F1747" i="2"/>
  <c r="I1746" i="2"/>
  <c r="J1746" i="2" s="1"/>
  <c r="F1746" i="2"/>
  <c r="K1745" i="2"/>
  <c r="J1745" i="2"/>
  <c r="L1745" i="2" s="1"/>
  <c r="I1745" i="2"/>
  <c r="F1745" i="2"/>
  <c r="K1744" i="2"/>
  <c r="I1744" i="2"/>
  <c r="J1744" i="2" s="1"/>
  <c r="F1744" i="2"/>
  <c r="L1743" i="2"/>
  <c r="K1743" i="2"/>
  <c r="J1743" i="2"/>
  <c r="I1743" i="2"/>
  <c r="F1743" i="2"/>
  <c r="K1742" i="2"/>
  <c r="I1742" i="2"/>
  <c r="J1742" i="2" s="1"/>
  <c r="F1742" i="2"/>
  <c r="K1741" i="2"/>
  <c r="J1741" i="2"/>
  <c r="L1741" i="2" s="1"/>
  <c r="I1741" i="2"/>
  <c r="F1741" i="2"/>
  <c r="K1740" i="2"/>
  <c r="I1740" i="2"/>
  <c r="J1740" i="2" s="1"/>
  <c r="F1740" i="2"/>
  <c r="K1739" i="2"/>
  <c r="J1739" i="2"/>
  <c r="L1739" i="2" s="1"/>
  <c r="I1739" i="2"/>
  <c r="F1739" i="2"/>
  <c r="K1738" i="2"/>
  <c r="I1738" i="2"/>
  <c r="J1738" i="2" s="1"/>
  <c r="F1738" i="2"/>
  <c r="K1737" i="2"/>
  <c r="L1737" i="2" s="1"/>
  <c r="J1737" i="2"/>
  <c r="I1737" i="2"/>
  <c r="F1737" i="2"/>
  <c r="I1736" i="2"/>
  <c r="J1736" i="2" s="1"/>
  <c r="F1736" i="2"/>
  <c r="J1735" i="2"/>
  <c r="I1735" i="2"/>
  <c r="F1735" i="2"/>
  <c r="K1734" i="2"/>
  <c r="I1734" i="2"/>
  <c r="J1734" i="2" s="1"/>
  <c r="F1734" i="2"/>
  <c r="L1733" i="2"/>
  <c r="K1733" i="2"/>
  <c r="J1733" i="2"/>
  <c r="I1733" i="2"/>
  <c r="F1733" i="2"/>
  <c r="K1732" i="2"/>
  <c r="I1732" i="2"/>
  <c r="J1732" i="2" s="1"/>
  <c r="F1732" i="2"/>
  <c r="K1731" i="2"/>
  <c r="J1731" i="2"/>
  <c r="I1731" i="2"/>
  <c r="F1731" i="2"/>
  <c r="K1730" i="2"/>
  <c r="I1730" i="2"/>
  <c r="J1730" i="2" s="1"/>
  <c r="F1730" i="2"/>
  <c r="K1729" i="2"/>
  <c r="J1729" i="2"/>
  <c r="L1729" i="2" s="1"/>
  <c r="I1729" i="2"/>
  <c r="F1729" i="2"/>
  <c r="L1728" i="2"/>
  <c r="K1728" i="2"/>
  <c r="I1728" i="2"/>
  <c r="J1728" i="2" s="1"/>
  <c r="F1728" i="2"/>
  <c r="K1727" i="2"/>
  <c r="J1727" i="2"/>
  <c r="L1727" i="2" s="1"/>
  <c r="I1727" i="2"/>
  <c r="F1727" i="2"/>
  <c r="L1726" i="2"/>
  <c r="K1726" i="2"/>
  <c r="I1726" i="2"/>
  <c r="J1726" i="2" s="1"/>
  <c r="F1726" i="2"/>
  <c r="K1725" i="2"/>
  <c r="L1725" i="2" s="1"/>
  <c r="J1725" i="2"/>
  <c r="I1725" i="2"/>
  <c r="F1725" i="2"/>
  <c r="K1724" i="2"/>
  <c r="L1724" i="2" s="1"/>
  <c r="J1724" i="2"/>
  <c r="I1724" i="2"/>
  <c r="F1724" i="2"/>
  <c r="K1723" i="2"/>
  <c r="L1723" i="2" s="1"/>
  <c r="J1723" i="2"/>
  <c r="I1723" i="2"/>
  <c r="F1723" i="2"/>
  <c r="K1722" i="2"/>
  <c r="L1722" i="2" s="1"/>
  <c r="J1722" i="2"/>
  <c r="I1722" i="2"/>
  <c r="F1722" i="2"/>
  <c r="K1721" i="2"/>
  <c r="L1721" i="2" s="1"/>
  <c r="J1721" i="2"/>
  <c r="I1721" i="2"/>
  <c r="F1721" i="2"/>
  <c r="K1720" i="2"/>
  <c r="L1720" i="2" s="1"/>
  <c r="J1720" i="2"/>
  <c r="I1720" i="2"/>
  <c r="F1720" i="2"/>
  <c r="K1719" i="2"/>
  <c r="L1719" i="2" s="1"/>
  <c r="J1719" i="2"/>
  <c r="I1719" i="2"/>
  <c r="F1719" i="2"/>
  <c r="K1718" i="2"/>
  <c r="L1718" i="2" s="1"/>
  <c r="J1718" i="2"/>
  <c r="I1718" i="2"/>
  <c r="F1718" i="2"/>
  <c r="K1717" i="2"/>
  <c r="L1717" i="2" s="1"/>
  <c r="J1717" i="2"/>
  <c r="I1717" i="2"/>
  <c r="F1717" i="2"/>
  <c r="K1716" i="2"/>
  <c r="L1716" i="2" s="1"/>
  <c r="J1716" i="2"/>
  <c r="I1716" i="2"/>
  <c r="F1716" i="2"/>
  <c r="K1715" i="2"/>
  <c r="L1715" i="2" s="1"/>
  <c r="J1715" i="2"/>
  <c r="I1715" i="2"/>
  <c r="F1715" i="2"/>
  <c r="K1714" i="2"/>
  <c r="L1714" i="2" s="1"/>
  <c r="J1714" i="2"/>
  <c r="I1714" i="2"/>
  <c r="F1714" i="2"/>
  <c r="K1713" i="2"/>
  <c r="L1713" i="2" s="1"/>
  <c r="J1713" i="2"/>
  <c r="I1713" i="2"/>
  <c r="F1713" i="2"/>
  <c r="K1712" i="2"/>
  <c r="L1712" i="2" s="1"/>
  <c r="J1712" i="2"/>
  <c r="I1712" i="2"/>
  <c r="F1712" i="2"/>
  <c r="K1711" i="2"/>
  <c r="L1711" i="2" s="1"/>
  <c r="J1711" i="2"/>
  <c r="I1711" i="2"/>
  <c r="F1711" i="2"/>
  <c r="L1710" i="2"/>
  <c r="K1710" i="2"/>
  <c r="J1710" i="2"/>
  <c r="I1710" i="2"/>
  <c r="F1710" i="2"/>
  <c r="K1709" i="2"/>
  <c r="L1709" i="2" s="1"/>
  <c r="J1709" i="2"/>
  <c r="I1709" i="2"/>
  <c r="F1709" i="2"/>
  <c r="K1708" i="2"/>
  <c r="L1708" i="2" s="1"/>
  <c r="J1708" i="2"/>
  <c r="I1708" i="2"/>
  <c r="F1708" i="2"/>
  <c r="K1707" i="2"/>
  <c r="L1707" i="2" s="1"/>
  <c r="J1707" i="2"/>
  <c r="I1707" i="2"/>
  <c r="F1707" i="2"/>
  <c r="K1706" i="2"/>
  <c r="L1706" i="2" s="1"/>
  <c r="J1706" i="2"/>
  <c r="I1706" i="2"/>
  <c r="F1706" i="2"/>
  <c r="K1705" i="2"/>
  <c r="L1705" i="2" s="1"/>
  <c r="J1705" i="2"/>
  <c r="I1705" i="2"/>
  <c r="F1705" i="2"/>
  <c r="K1704" i="2"/>
  <c r="L1704" i="2" s="1"/>
  <c r="J1704" i="2"/>
  <c r="I1704" i="2"/>
  <c r="F1704" i="2"/>
  <c r="K1703" i="2"/>
  <c r="L1703" i="2" s="1"/>
  <c r="J1703" i="2"/>
  <c r="I1703" i="2"/>
  <c r="F1703" i="2"/>
  <c r="K1702" i="2"/>
  <c r="L1702" i="2" s="1"/>
  <c r="J1702" i="2"/>
  <c r="I1702" i="2"/>
  <c r="F1702" i="2"/>
  <c r="K1701" i="2"/>
  <c r="L1701" i="2" s="1"/>
  <c r="J1701" i="2"/>
  <c r="I1701" i="2"/>
  <c r="F1701" i="2"/>
  <c r="J1700" i="2"/>
  <c r="I1700" i="2"/>
  <c r="F1700" i="2"/>
  <c r="K1699" i="2"/>
  <c r="L1699" i="2" s="1"/>
  <c r="J1699" i="2"/>
  <c r="I1699" i="2"/>
  <c r="F1699" i="2"/>
  <c r="K1698" i="2"/>
  <c r="L1698" i="2" s="1"/>
  <c r="J1698" i="2"/>
  <c r="I1698" i="2"/>
  <c r="F1698" i="2"/>
  <c r="K1697" i="2"/>
  <c r="L1697" i="2" s="1"/>
  <c r="J1697" i="2"/>
  <c r="I1697" i="2"/>
  <c r="F1697" i="2"/>
  <c r="K1696" i="2"/>
  <c r="L1696" i="2" s="1"/>
  <c r="J1696" i="2"/>
  <c r="I1696" i="2"/>
  <c r="F1696" i="2"/>
  <c r="K1695" i="2"/>
  <c r="L1695" i="2" s="1"/>
  <c r="J1695" i="2"/>
  <c r="I1695" i="2"/>
  <c r="F1695" i="2"/>
  <c r="K1694" i="2"/>
  <c r="L1694" i="2" s="1"/>
  <c r="J1694" i="2"/>
  <c r="I1694" i="2"/>
  <c r="F1694" i="2"/>
  <c r="K1693" i="2"/>
  <c r="L1693" i="2" s="1"/>
  <c r="J1693" i="2"/>
  <c r="I1693" i="2"/>
  <c r="F1693" i="2"/>
  <c r="J1692" i="2"/>
  <c r="I1692" i="2"/>
  <c r="F1692" i="2"/>
  <c r="J1691" i="2"/>
  <c r="I1691" i="2"/>
  <c r="F1691" i="2"/>
  <c r="K1690" i="2"/>
  <c r="L1690" i="2" s="1"/>
  <c r="J1690" i="2"/>
  <c r="I1690" i="2"/>
  <c r="F1690" i="2"/>
  <c r="K1689" i="2"/>
  <c r="L1689" i="2" s="1"/>
  <c r="J1689" i="2"/>
  <c r="I1689" i="2"/>
  <c r="F1689" i="2"/>
  <c r="K1688" i="2"/>
  <c r="L1688" i="2" s="1"/>
  <c r="J1688" i="2"/>
  <c r="I1688" i="2"/>
  <c r="F1688" i="2"/>
  <c r="K1687" i="2"/>
  <c r="L1687" i="2" s="1"/>
  <c r="J1687" i="2"/>
  <c r="I1687" i="2"/>
  <c r="F1687" i="2"/>
  <c r="K1686" i="2"/>
  <c r="L1686" i="2" s="1"/>
  <c r="J1686" i="2"/>
  <c r="I1686" i="2"/>
  <c r="F1686" i="2"/>
  <c r="K1685" i="2"/>
  <c r="L1685" i="2" s="1"/>
  <c r="J1685" i="2"/>
  <c r="I1685" i="2"/>
  <c r="F1685" i="2"/>
  <c r="K1684" i="2"/>
  <c r="L1684" i="2" s="1"/>
  <c r="J1684" i="2"/>
  <c r="I1684" i="2"/>
  <c r="F1684" i="2"/>
  <c r="K1683" i="2"/>
  <c r="L1683" i="2" s="1"/>
  <c r="J1683" i="2"/>
  <c r="I1683" i="2"/>
  <c r="F1683" i="2"/>
  <c r="K1682" i="2"/>
  <c r="L1682" i="2" s="1"/>
  <c r="J1682" i="2"/>
  <c r="I1682" i="2"/>
  <c r="F1682" i="2"/>
  <c r="K1681" i="2"/>
  <c r="L1681" i="2" s="1"/>
  <c r="J1681" i="2"/>
  <c r="I1681" i="2"/>
  <c r="F1681" i="2"/>
  <c r="K1680" i="2"/>
  <c r="L1680" i="2" s="1"/>
  <c r="J1680" i="2"/>
  <c r="I1680" i="2"/>
  <c r="F1680" i="2"/>
  <c r="K1679" i="2"/>
  <c r="L1679" i="2" s="1"/>
  <c r="J1679" i="2"/>
  <c r="I1679" i="2"/>
  <c r="F1679" i="2"/>
  <c r="K1678" i="2"/>
  <c r="L1678" i="2" s="1"/>
  <c r="J1678" i="2"/>
  <c r="I1678" i="2"/>
  <c r="F1678" i="2"/>
  <c r="K1677" i="2"/>
  <c r="L1677" i="2" s="1"/>
  <c r="J1677" i="2"/>
  <c r="I1677" i="2"/>
  <c r="F1677" i="2"/>
  <c r="K1676" i="2"/>
  <c r="L1676" i="2" s="1"/>
  <c r="J1676" i="2"/>
  <c r="I1676" i="2"/>
  <c r="F1676" i="2"/>
  <c r="K1675" i="2"/>
  <c r="L1675" i="2" s="1"/>
  <c r="J1675" i="2"/>
  <c r="I1675" i="2"/>
  <c r="F1675" i="2"/>
  <c r="L1674" i="2"/>
  <c r="K1674" i="2"/>
  <c r="J1674" i="2"/>
  <c r="I1674" i="2"/>
  <c r="F1674" i="2"/>
  <c r="K1673" i="2"/>
  <c r="L1673" i="2" s="1"/>
  <c r="J1673" i="2"/>
  <c r="I1673" i="2"/>
  <c r="F1673" i="2"/>
  <c r="L1672" i="2"/>
  <c r="K1672" i="2"/>
  <c r="J1672" i="2"/>
  <c r="I1672" i="2"/>
  <c r="F1672" i="2"/>
  <c r="J1671" i="2"/>
  <c r="I1671" i="2"/>
  <c r="F1671" i="2"/>
  <c r="J1670" i="2"/>
  <c r="I1670" i="2"/>
  <c r="F1670" i="2"/>
  <c r="K1669" i="2"/>
  <c r="L1669" i="2" s="1"/>
  <c r="J1669" i="2"/>
  <c r="I1669" i="2"/>
  <c r="F1669" i="2"/>
  <c r="K1668" i="2"/>
  <c r="L1668" i="2" s="1"/>
  <c r="J1668" i="2"/>
  <c r="I1668" i="2"/>
  <c r="F1668" i="2"/>
  <c r="K1667" i="2"/>
  <c r="L1667" i="2" s="1"/>
  <c r="J1667" i="2"/>
  <c r="I1667" i="2"/>
  <c r="F1667" i="2"/>
  <c r="J1666" i="2"/>
  <c r="I1666" i="2"/>
  <c r="F1666" i="2"/>
  <c r="K1665" i="2"/>
  <c r="L1665" i="2" s="1"/>
  <c r="J1665" i="2"/>
  <c r="I1665" i="2"/>
  <c r="F1665" i="2"/>
  <c r="K1664" i="2"/>
  <c r="L1664" i="2" s="1"/>
  <c r="J1664" i="2"/>
  <c r="I1664" i="2"/>
  <c r="F1664" i="2"/>
  <c r="K1663" i="2"/>
  <c r="L1663" i="2" s="1"/>
  <c r="J1663" i="2"/>
  <c r="I1663" i="2"/>
  <c r="F1663" i="2"/>
  <c r="K1662" i="2"/>
  <c r="L1662" i="2" s="1"/>
  <c r="J1662" i="2"/>
  <c r="I1662" i="2"/>
  <c r="F1662" i="2"/>
  <c r="K1661" i="2"/>
  <c r="L1661" i="2" s="1"/>
  <c r="J1661" i="2"/>
  <c r="I1661" i="2"/>
  <c r="F1661" i="2"/>
  <c r="L1660" i="2"/>
  <c r="K1660" i="2"/>
  <c r="J1660" i="2"/>
  <c r="I1660" i="2"/>
  <c r="F1660" i="2"/>
  <c r="K1659" i="2"/>
  <c r="L1659" i="2" s="1"/>
  <c r="J1659" i="2"/>
  <c r="I1659" i="2"/>
  <c r="F1659" i="2"/>
  <c r="K1658" i="2"/>
  <c r="L1658" i="2" s="1"/>
  <c r="J1658" i="2"/>
  <c r="I1658" i="2"/>
  <c r="F1658" i="2"/>
  <c r="K1657" i="2"/>
  <c r="L1657" i="2" s="1"/>
  <c r="J1657" i="2"/>
  <c r="I1657" i="2"/>
  <c r="F1657" i="2"/>
  <c r="K1656" i="2"/>
  <c r="L1656" i="2" s="1"/>
  <c r="J1656" i="2"/>
  <c r="I1656" i="2"/>
  <c r="F1656" i="2"/>
  <c r="K1655" i="2"/>
  <c r="L1655" i="2" s="1"/>
  <c r="J1655" i="2"/>
  <c r="I1655" i="2"/>
  <c r="F1655" i="2"/>
  <c r="L1654" i="2"/>
  <c r="K1654" i="2"/>
  <c r="J1654" i="2"/>
  <c r="I1654" i="2"/>
  <c r="F1654" i="2"/>
  <c r="K1653" i="2"/>
  <c r="L1653" i="2" s="1"/>
  <c r="J1653" i="2"/>
  <c r="I1653" i="2"/>
  <c r="F1653" i="2"/>
  <c r="L1652" i="2"/>
  <c r="K1652" i="2"/>
  <c r="J1652" i="2"/>
  <c r="I1652" i="2"/>
  <c r="F1652" i="2"/>
  <c r="K1651" i="2"/>
  <c r="L1651" i="2" s="1"/>
  <c r="J1651" i="2"/>
  <c r="I1651" i="2"/>
  <c r="F1651" i="2"/>
  <c r="K1650" i="2"/>
  <c r="L1650" i="2" s="1"/>
  <c r="J1650" i="2"/>
  <c r="I1650" i="2"/>
  <c r="F1650" i="2"/>
  <c r="K1649" i="2"/>
  <c r="L1649" i="2" s="1"/>
  <c r="J1649" i="2"/>
  <c r="I1649" i="2"/>
  <c r="F1649" i="2"/>
  <c r="K1648" i="2"/>
  <c r="L1648" i="2" s="1"/>
  <c r="J1648" i="2"/>
  <c r="I1648" i="2"/>
  <c r="F1648" i="2"/>
  <c r="K1647" i="2"/>
  <c r="L1647" i="2" s="1"/>
  <c r="J1647" i="2"/>
  <c r="I1647" i="2"/>
  <c r="F1647" i="2"/>
  <c r="L1646" i="2"/>
  <c r="K1646" i="2"/>
  <c r="J1646" i="2"/>
  <c r="I1646" i="2"/>
  <c r="F1646" i="2"/>
  <c r="K1645" i="2"/>
  <c r="L1645" i="2" s="1"/>
  <c r="J1645" i="2"/>
  <c r="I1645" i="2"/>
  <c r="F1645" i="2"/>
  <c r="K1644" i="2"/>
  <c r="L1644" i="2" s="1"/>
  <c r="J1644" i="2"/>
  <c r="I1644" i="2"/>
  <c r="F1644" i="2"/>
  <c r="K1643" i="2"/>
  <c r="L1643" i="2" s="1"/>
  <c r="J1643" i="2"/>
  <c r="I1643" i="2"/>
  <c r="F1643" i="2"/>
  <c r="K1642" i="2"/>
  <c r="L1642" i="2" s="1"/>
  <c r="J1642" i="2"/>
  <c r="I1642" i="2"/>
  <c r="F1642" i="2"/>
  <c r="K1641" i="2"/>
  <c r="L1641" i="2" s="1"/>
  <c r="J1641" i="2"/>
  <c r="I1641" i="2"/>
  <c r="F1641" i="2"/>
  <c r="L1640" i="2"/>
  <c r="K1640" i="2"/>
  <c r="J1640" i="2"/>
  <c r="I1640" i="2"/>
  <c r="F1640" i="2"/>
  <c r="K1639" i="2"/>
  <c r="L1639" i="2" s="1"/>
  <c r="J1639" i="2"/>
  <c r="I1639" i="2"/>
  <c r="F1639" i="2"/>
  <c r="L1638" i="2"/>
  <c r="K1638" i="2"/>
  <c r="J1638" i="2"/>
  <c r="I1638" i="2"/>
  <c r="F1638" i="2"/>
  <c r="K1637" i="2"/>
  <c r="L1637" i="2" s="1"/>
  <c r="J1637" i="2"/>
  <c r="I1637" i="2"/>
  <c r="F1637" i="2"/>
  <c r="K1636" i="2"/>
  <c r="L1636" i="2" s="1"/>
  <c r="J1636" i="2"/>
  <c r="I1636" i="2"/>
  <c r="F1636" i="2"/>
  <c r="K1635" i="2"/>
  <c r="L1635" i="2" s="1"/>
  <c r="J1635" i="2"/>
  <c r="I1635" i="2"/>
  <c r="F1635" i="2"/>
  <c r="L1634" i="2"/>
  <c r="K1634" i="2"/>
  <c r="J1634" i="2"/>
  <c r="I1634" i="2"/>
  <c r="F1634" i="2"/>
  <c r="K1633" i="2"/>
  <c r="L1633" i="2" s="1"/>
  <c r="J1633" i="2"/>
  <c r="I1633" i="2"/>
  <c r="F1633" i="2"/>
  <c r="L1632" i="2"/>
  <c r="K1632" i="2"/>
  <c r="J1632" i="2"/>
  <c r="I1632" i="2"/>
  <c r="F1632" i="2"/>
  <c r="K1631" i="2"/>
  <c r="L1631" i="2" s="1"/>
  <c r="J1631" i="2"/>
  <c r="I1631" i="2"/>
  <c r="F1631" i="2"/>
  <c r="K1630" i="2"/>
  <c r="L1630" i="2" s="1"/>
  <c r="J1630" i="2"/>
  <c r="I1630" i="2"/>
  <c r="F1630" i="2"/>
  <c r="K1629" i="2"/>
  <c r="L1629" i="2" s="1"/>
  <c r="J1629" i="2"/>
  <c r="I1629" i="2"/>
  <c r="F1629" i="2"/>
  <c r="K1628" i="2"/>
  <c r="L1628" i="2" s="1"/>
  <c r="J1628" i="2"/>
  <c r="I1628" i="2"/>
  <c r="F1628" i="2"/>
  <c r="K1627" i="2"/>
  <c r="L1627" i="2" s="1"/>
  <c r="J1627" i="2"/>
  <c r="I1627" i="2"/>
  <c r="F1627" i="2"/>
  <c r="L1626" i="2"/>
  <c r="K1626" i="2"/>
  <c r="J1626" i="2"/>
  <c r="I1626" i="2"/>
  <c r="F1626" i="2"/>
  <c r="K1625" i="2"/>
  <c r="L1625" i="2" s="1"/>
  <c r="J1625" i="2"/>
  <c r="I1625" i="2"/>
  <c r="F1625" i="2"/>
  <c r="L1624" i="2"/>
  <c r="K1624" i="2"/>
  <c r="J1624" i="2"/>
  <c r="I1624" i="2"/>
  <c r="F1624" i="2"/>
  <c r="K1623" i="2"/>
  <c r="L1623" i="2" s="1"/>
  <c r="J1623" i="2"/>
  <c r="I1623" i="2"/>
  <c r="F1623" i="2"/>
  <c r="K1622" i="2"/>
  <c r="L1622" i="2" s="1"/>
  <c r="J1622" i="2"/>
  <c r="I1622" i="2"/>
  <c r="F1622" i="2"/>
  <c r="K1621" i="2"/>
  <c r="L1621" i="2" s="1"/>
  <c r="J1621" i="2"/>
  <c r="I1621" i="2"/>
  <c r="F1621" i="2"/>
  <c r="L1620" i="2"/>
  <c r="K1620" i="2"/>
  <c r="J1620" i="2"/>
  <c r="I1620" i="2"/>
  <c r="F1620" i="2"/>
  <c r="K1619" i="2"/>
  <c r="L1619" i="2" s="1"/>
  <c r="J1619" i="2"/>
  <c r="I1619" i="2"/>
  <c r="F1619" i="2"/>
  <c r="K1618" i="2"/>
  <c r="L1618" i="2" s="1"/>
  <c r="J1618" i="2"/>
  <c r="I1618" i="2"/>
  <c r="F1618" i="2"/>
  <c r="K1617" i="2"/>
  <c r="L1617" i="2" s="1"/>
  <c r="J1617" i="2"/>
  <c r="I1617" i="2"/>
  <c r="F1617" i="2"/>
  <c r="K1616" i="2"/>
  <c r="L1616" i="2" s="1"/>
  <c r="J1616" i="2"/>
  <c r="I1616" i="2"/>
  <c r="F1616" i="2"/>
  <c r="K1615" i="2"/>
  <c r="L1615" i="2" s="1"/>
  <c r="J1615" i="2"/>
  <c r="I1615" i="2"/>
  <c r="F1615" i="2"/>
  <c r="L1614" i="2"/>
  <c r="K1614" i="2"/>
  <c r="J1614" i="2"/>
  <c r="I1614" i="2"/>
  <c r="F1614" i="2"/>
  <c r="K1613" i="2"/>
  <c r="L1613" i="2" s="1"/>
  <c r="J1613" i="2"/>
  <c r="I1613" i="2"/>
  <c r="F1613" i="2"/>
  <c r="J1612" i="2"/>
  <c r="I1612" i="2"/>
  <c r="F1612" i="2"/>
  <c r="K1611" i="2"/>
  <c r="L1611" i="2" s="1"/>
  <c r="J1611" i="2"/>
  <c r="I1611" i="2"/>
  <c r="F1611" i="2"/>
  <c r="K1610" i="2"/>
  <c r="L1610" i="2" s="1"/>
  <c r="J1610" i="2"/>
  <c r="I1610" i="2"/>
  <c r="F1610" i="2"/>
  <c r="K1609" i="2"/>
  <c r="L1609" i="2" s="1"/>
  <c r="J1609" i="2"/>
  <c r="I1609" i="2"/>
  <c r="F1609" i="2"/>
  <c r="K1608" i="2"/>
  <c r="L1608" i="2" s="1"/>
  <c r="J1608" i="2"/>
  <c r="I1608" i="2"/>
  <c r="F1608" i="2"/>
  <c r="K1607" i="2"/>
  <c r="L1607" i="2" s="1"/>
  <c r="J1607" i="2"/>
  <c r="I1607" i="2"/>
  <c r="F1607" i="2"/>
  <c r="L1606" i="2"/>
  <c r="K1606" i="2"/>
  <c r="J1606" i="2"/>
  <c r="I1606" i="2"/>
  <c r="F1606" i="2"/>
  <c r="K1605" i="2"/>
  <c r="L1605" i="2" s="1"/>
  <c r="J1605" i="2"/>
  <c r="I1605" i="2"/>
  <c r="F1605" i="2"/>
  <c r="K1604" i="2"/>
  <c r="L1604" i="2" s="1"/>
  <c r="J1604" i="2"/>
  <c r="I1604" i="2"/>
  <c r="F1604" i="2"/>
  <c r="K1603" i="2"/>
  <c r="L1603" i="2" s="1"/>
  <c r="J1603" i="2"/>
  <c r="I1603" i="2"/>
  <c r="F1603" i="2"/>
  <c r="J1602" i="2"/>
  <c r="I1602" i="2"/>
  <c r="F1602" i="2"/>
  <c r="J1601" i="2"/>
  <c r="I1601" i="2"/>
  <c r="F1601" i="2"/>
  <c r="L1600" i="2"/>
  <c r="K1600" i="2"/>
  <c r="J1600" i="2"/>
  <c r="I1600" i="2"/>
  <c r="F1600" i="2"/>
  <c r="K1599" i="2"/>
  <c r="L1599" i="2" s="1"/>
  <c r="J1599" i="2"/>
  <c r="I1599" i="2"/>
  <c r="F1599" i="2"/>
  <c r="K1598" i="2"/>
  <c r="L1598" i="2" s="1"/>
  <c r="J1598" i="2"/>
  <c r="I1598" i="2"/>
  <c r="F1598" i="2"/>
  <c r="K1597" i="2"/>
  <c r="L1597" i="2" s="1"/>
  <c r="J1597" i="2"/>
  <c r="I1597" i="2"/>
  <c r="F1597" i="2"/>
  <c r="K1596" i="2"/>
  <c r="L1596" i="2" s="1"/>
  <c r="J1596" i="2"/>
  <c r="I1596" i="2"/>
  <c r="F1596" i="2"/>
  <c r="K1595" i="2"/>
  <c r="L1595" i="2" s="1"/>
  <c r="J1595" i="2"/>
  <c r="I1595" i="2"/>
  <c r="F1595" i="2"/>
  <c r="L1594" i="2"/>
  <c r="K1594" i="2"/>
  <c r="J1594" i="2"/>
  <c r="I1594" i="2"/>
  <c r="F1594" i="2"/>
  <c r="K1593" i="2"/>
  <c r="L1593" i="2" s="1"/>
  <c r="J1593" i="2"/>
  <c r="I1593" i="2"/>
  <c r="F1593" i="2"/>
  <c r="J1592" i="2"/>
  <c r="I1592" i="2"/>
  <c r="F1592" i="2"/>
  <c r="K1591" i="2"/>
  <c r="L1591" i="2" s="1"/>
  <c r="J1591" i="2"/>
  <c r="I1591" i="2"/>
  <c r="F1591" i="2"/>
  <c r="K1590" i="2"/>
  <c r="L1590" i="2" s="1"/>
  <c r="J1590" i="2"/>
  <c r="I1590" i="2"/>
  <c r="F1590" i="2"/>
  <c r="K1589" i="2"/>
  <c r="L1589" i="2" s="1"/>
  <c r="J1589" i="2"/>
  <c r="I1589" i="2"/>
  <c r="F1589" i="2"/>
  <c r="K1588" i="2"/>
  <c r="L1588" i="2" s="1"/>
  <c r="J1588" i="2"/>
  <c r="I1588" i="2"/>
  <c r="F1588" i="2"/>
  <c r="K1587" i="2"/>
  <c r="L1587" i="2" s="1"/>
  <c r="J1587" i="2"/>
  <c r="I1587" i="2"/>
  <c r="F1587" i="2"/>
  <c r="K1586" i="2"/>
  <c r="L1586" i="2" s="1"/>
  <c r="J1586" i="2"/>
  <c r="I1586" i="2"/>
  <c r="F1586" i="2"/>
  <c r="K1585" i="2"/>
  <c r="L1585" i="2" s="1"/>
  <c r="J1585" i="2"/>
  <c r="I1585" i="2"/>
  <c r="F1585" i="2"/>
  <c r="K1584" i="2"/>
  <c r="L1584" i="2" s="1"/>
  <c r="J1584" i="2"/>
  <c r="I1584" i="2"/>
  <c r="F1584" i="2"/>
  <c r="K1583" i="2"/>
  <c r="L1583" i="2" s="1"/>
  <c r="J1583" i="2"/>
  <c r="I1583" i="2"/>
  <c r="F1583" i="2"/>
  <c r="K1582" i="2"/>
  <c r="L1582" i="2" s="1"/>
  <c r="J1582" i="2"/>
  <c r="I1582" i="2"/>
  <c r="F1582" i="2"/>
  <c r="K1581" i="2"/>
  <c r="L1581" i="2" s="1"/>
  <c r="J1581" i="2"/>
  <c r="I1581" i="2"/>
  <c r="F1581" i="2"/>
  <c r="L1580" i="2"/>
  <c r="K1580" i="2"/>
  <c r="J1580" i="2"/>
  <c r="I1580" i="2"/>
  <c r="F1580" i="2"/>
  <c r="K1579" i="2"/>
  <c r="L1579" i="2" s="1"/>
  <c r="J1579" i="2"/>
  <c r="I1579" i="2"/>
  <c r="F1579" i="2"/>
  <c r="K1578" i="2"/>
  <c r="L1578" i="2" s="1"/>
  <c r="J1578" i="2"/>
  <c r="I1578" i="2"/>
  <c r="F1578" i="2"/>
  <c r="K1577" i="2"/>
  <c r="L1577" i="2" s="1"/>
  <c r="J1577" i="2"/>
  <c r="I1577" i="2"/>
  <c r="F1577" i="2"/>
  <c r="K1576" i="2"/>
  <c r="L1576" i="2" s="1"/>
  <c r="J1576" i="2"/>
  <c r="I1576" i="2"/>
  <c r="F1576" i="2"/>
  <c r="K1575" i="2"/>
  <c r="L1575" i="2" s="1"/>
  <c r="J1575" i="2"/>
  <c r="I1575" i="2"/>
  <c r="F1575" i="2"/>
  <c r="L1574" i="2"/>
  <c r="K1574" i="2"/>
  <c r="J1574" i="2"/>
  <c r="I1574" i="2"/>
  <c r="F1574" i="2"/>
  <c r="K1573" i="2"/>
  <c r="L1573" i="2" s="1"/>
  <c r="J1573" i="2"/>
  <c r="I1573" i="2"/>
  <c r="F1573" i="2"/>
  <c r="L1572" i="2"/>
  <c r="K1572" i="2"/>
  <c r="J1572" i="2"/>
  <c r="I1572" i="2"/>
  <c r="F1572" i="2"/>
  <c r="K1571" i="2"/>
  <c r="L1571" i="2" s="1"/>
  <c r="J1571" i="2"/>
  <c r="I1571" i="2"/>
  <c r="F1571" i="2"/>
  <c r="K1570" i="2"/>
  <c r="L1570" i="2" s="1"/>
  <c r="J1570" i="2"/>
  <c r="I1570" i="2"/>
  <c r="F1570" i="2"/>
  <c r="K1569" i="2"/>
  <c r="L1569" i="2" s="1"/>
  <c r="J1569" i="2"/>
  <c r="I1569" i="2"/>
  <c r="F1569" i="2"/>
  <c r="K1568" i="2"/>
  <c r="L1568" i="2" s="1"/>
  <c r="J1568" i="2"/>
  <c r="I1568" i="2"/>
  <c r="F1568" i="2"/>
  <c r="K1567" i="2"/>
  <c r="L1567" i="2" s="1"/>
  <c r="J1567" i="2"/>
  <c r="I1567" i="2"/>
  <c r="F1567" i="2"/>
  <c r="K1566" i="2"/>
  <c r="L1566" i="2" s="1"/>
  <c r="J1566" i="2"/>
  <c r="I1566" i="2"/>
  <c r="F1566" i="2"/>
  <c r="K1565" i="2"/>
  <c r="L1565" i="2" s="1"/>
  <c r="J1565" i="2"/>
  <c r="I1565" i="2"/>
  <c r="F1565" i="2"/>
  <c r="K1564" i="2"/>
  <c r="L1564" i="2" s="1"/>
  <c r="J1564" i="2"/>
  <c r="I1564" i="2"/>
  <c r="F1564" i="2"/>
  <c r="K1563" i="2"/>
  <c r="L1563" i="2" s="1"/>
  <c r="J1563" i="2"/>
  <c r="I1563" i="2"/>
  <c r="F1563" i="2"/>
  <c r="K1562" i="2"/>
  <c r="L1562" i="2" s="1"/>
  <c r="J1562" i="2"/>
  <c r="I1562" i="2"/>
  <c r="F1562" i="2"/>
  <c r="K1561" i="2"/>
  <c r="L1561" i="2" s="1"/>
  <c r="J1561" i="2"/>
  <c r="I1561" i="2"/>
  <c r="F1561" i="2"/>
  <c r="L1560" i="2"/>
  <c r="K1560" i="2"/>
  <c r="J1560" i="2"/>
  <c r="I1560" i="2"/>
  <c r="F1560" i="2"/>
  <c r="K1559" i="2"/>
  <c r="L1559" i="2" s="1"/>
  <c r="J1559" i="2"/>
  <c r="I1559" i="2"/>
  <c r="F1559" i="2"/>
  <c r="K1558" i="2"/>
  <c r="L1558" i="2" s="1"/>
  <c r="J1558" i="2"/>
  <c r="I1558" i="2"/>
  <c r="F1558" i="2"/>
  <c r="K1557" i="2"/>
  <c r="L1557" i="2" s="1"/>
  <c r="J1557" i="2"/>
  <c r="I1557" i="2"/>
  <c r="F1557" i="2"/>
  <c r="K1556" i="2"/>
  <c r="L1556" i="2" s="1"/>
  <c r="J1556" i="2"/>
  <c r="I1556" i="2"/>
  <c r="F1556" i="2"/>
  <c r="K1555" i="2"/>
  <c r="L1555" i="2" s="1"/>
  <c r="J1555" i="2"/>
  <c r="I1555" i="2"/>
  <c r="F1555" i="2"/>
  <c r="L1554" i="2"/>
  <c r="K1554" i="2"/>
  <c r="J1554" i="2"/>
  <c r="I1554" i="2"/>
  <c r="F1554" i="2"/>
  <c r="K1553" i="2"/>
  <c r="L1553" i="2" s="1"/>
  <c r="J1553" i="2"/>
  <c r="I1553" i="2"/>
  <c r="F1553" i="2"/>
  <c r="L1552" i="2"/>
  <c r="K1552" i="2"/>
  <c r="J1552" i="2"/>
  <c r="I1552" i="2"/>
  <c r="F1552" i="2"/>
  <c r="K1551" i="2"/>
  <c r="L1551" i="2" s="1"/>
  <c r="J1551" i="2"/>
  <c r="I1551" i="2"/>
  <c r="F1551" i="2"/>
  <c r="K1550" i="2"/>
  <c r="L1550" i="2" s="1"/>
  <c r="J1550" i="2"/>
  <c r="I1550" i="2"/>
  <c r="F1550" i="2"/>
  <c r="K1549" i="2"/>
  <c r="L1549" i="2" s="1"/>
  <c r="J1549" i="2"/>
  <c r="I1549" i="2"/>
  <c r="F1549" i="2"/>
  <c r="K1548" i="2"/>
  <c r="L1548" i="2" s="1"/>
  <c r="J1548" i="2"/>
  <c r="I1548" i="2"/>
  <c r="F1548" i="2"/>
  <c r="K1547" i="2"/>
  <c r="L1547" i="2" s="1"/>
  <c r="J1547" i="2"/>
  <c r="I1547" i="2"/>
  <c r="F1547" i="2"/>
  <c r="L1546" i="2"/>
  <c r="K1546" i="2"/>
  <c r="J1546" i="2"/>
  <c r="I1546" i="2"/>
  <c r="F1546" i="2"/>
  <c r="K1545" i="2"/>
  <c r="L1545" i="2" s="1"/>
  <c r="J1545" i="2"/>
  <c r="I1545" i="2"/>
  <c r="F1545" i="2"/>
  <c r="K1544" i="2"/>
  <c r="L1544" i="2" s="1"/>
  <c r="J1544" i="2"/>
  <c r="I1544" i="2"/>
  <c r="F1544" i="2"/>
  <c r="K1543" i="2"/>
  <c r="L1543" i="2" s="1"/>
  <c r="J1543" i="2"/>
  <c r="I1543" i="2"/>
  <c r="F1543" i="2"/>
  <c r="K1542" i="2"/>
  <c r="L1542" i="2" s="1"/>
  <c r="J1542" i="2"/>
  <c r="I1542" i="2"/>
  <c r="F1542" i="2"/>
  <c r="K1541" i="2"/>
  <c r="L1541" i="2" s="1"/>
  <c r="J1541" i="2"/>
  <c r="I1541" i="2"/>
  <c r="F1541" i="2"/>
  <c r="L1540" i="2"/>
  <c r="K1540" i="2"/>
  <c r="J1540" i="2"/>
  <c r="I1540" i="2"/>
  <c r="F1540" i="2"/>
  <c r="K1539" i="2"/>
  <c r="L1539" i="2" s="1"/>
  <c r="J1539" i="2"/>
  <c r="I1539" i="2"/>
  <c r="F1539" i="2"/>
  <c r="K1538" i="2"/>
  <c r="L1538" i="2" s="1"/>
  <c r="J1538" i="2"/>
  <c r="I1538" i="2"/>
  <c r="F1538" i="2"/>
  <c r="K1537" i="2"/>
  <c r="L1537" i="2" s="1"/>
  <c r="J1537" i="2"/>
  <c r="I1537" i="2"/>
  <c r="F1537" i="2"/>
  <c r="K1536" i="2"/>
  <c r="L1536" i="2" s="1"/>
  <c r="J1536" i="2"/>
  <c r="I1536" i="2"/>
  <c r="F1536" i="2"/>
  <c r="K1535" i="2"/>
  <c r="L1535" i="2" s="1"/>
  <c r="J1535" i="2"/>
  <c r="I1535" i="2"/>
  <c r="F1535" i="2"/>
  <c r="L1534" i="2"/>
  <c r="K1534" i="2"/>
  <c r="J1534" i="2"/>
  <c r="I1534" i="2"/>
  <c r="F1534" i="2"/>
  <c r="K1533" i="2"/>
  <c r="L1533" i="2" s="1"/>
  <c r="J1533" i="2"/>
  <c r="I1533" i="2"/>
  <c r="F1533" i="2"/>
  <c r="L1532" i="2"/>
  <c r="K1532" i="2"/>
  <c r="J1532" i="2"/>
  <c r="I1532" i="2"/>
  <c r="F1532" i="2"/>
  <c r="K1531" i="2"/>
  <c r="L1531" i="2" s="1"/>
  <c r="J1531" i="2"/>
  <c r="I1531" i="2"/>
  <c r="F1531" i="2"/>
  <c r="L1530" i="2"/>
  <c r="K1530" i="2"/>
  <c r="J1530" i="2"/>
  <c r="I1530" i="2"/>
  <c r="F1530" i="2"/>
  <c r="K1529" i="2"/>
  <c r="L1529" i="2" s="1"/>
  <c r="J1529" i="2"/>
  <c r="I1529" i="2"/>
  <c r="F1529" i="2"/>
  <c r="J1528" i="2"/>
  <c r="I1528" i="2"/>
  <c r="F1528" i="2"/>
  <c r="K1527" i="2"/>
  <c r="L1527" i="2" s="1"/>
  <c r="J1527" i="2"/>
  <c r="I1527" i="2"/>
  <c r="F1527" i="2"/>
  <c r="L1526" i="2"/>
  <c r="K1526" i="2"/>
  <c r="J1526" i="2"/>
  <c r="I1526" i="2"/>
  <c r="F1526" i="2"/>
  <c r="J1525" i="2"/>
  <c r="I1525" i="2"/>
  <c r="F1525" i="2"/>
  <c r="K1524" i="2"/>
  <c r="L1524" i="2" s="1"/>
  <c r="J1524" i="2"/>
  <c r="I1524" i="2"/>
  <c r="F1524" i="2"/>
  <c r="K1523" i="2"/>
  <c r="L1523" i="2" s="1"/>
  <c r="J1523" i="2"/>
  <c r="I1523" i="2"/>
  <c r="F1523" i="2"/>
  <c r="K1522" i="2"/>
  <c r="L1522" i="2" s="1"/>
  <c r="J1522" i="2"/>
  <c r="I1522" i="2"/>
  <c r="F1522" i="2"/>
  <c r="K1521" i="2"/>
  <c r="L1521" i="2" s="1"/>
  <c r="J1521" i="2"/>
  <c r="I1521" i="2"/>
  <c r="F1521" i="2"/>
  <c r="J1520" i="2"/>
  <c r="I1520" i="2"/>
  <c r="F1520" i="2"/>
  <c r="K1519" i="2"/>
  <c r="L1519" i="2" s="1"/>
  <c r="J1519" i="2"/>
  <c r="I1519" i="2"/>
  <c r="F1519" i="2"/>
  <c r="J1518" i="2"/>
  <c r="I1518" i="2"/>
  <c r="F1518" i="2"/>
  <c r="K1517" i="2"/>
  <c r="L1517" i="2" s="1"/>
  <c r="J1517" i="2"/>
  <c r="I1517" i="2"/>
  <c r="F1517" i="2"/>
  <c r="K1516" i="2"/>
  <c r="L1516" i="2" s="1"/>
  <c r="J1516" i="2"/>
  <c r="I1516" i="2"/>
  <c r="F1516" i="2"/>
  <c r="K1515" i="2"/>
  <c r="L1515" i="2" s="1"/>
  <c r="J1515" i="2"/>
  <c r="I1515" i="2"/>
  <c r="F1515" i="2"/>
  <c r="J1514" i="2"/>
  <c r="I1514" i="2"/>
  <c r="F1514" i="2"/>
  <c r="K1513" i="2"/>
  <c r="L1513" i="2" s="1"/>
  <c r="J1513" i="2"/>
  <c r="I1513" i="2"/>
  <c r="F1513" i="2"/>
  <c r="L1512" i="2"/>
  <c r="K1512" i="2"/>
  <c r="J1512" i="2"/>
  <c r="I1512" i="2"/>
  <c r="F1512" i="2"/>
  <c r="K1511" i="2"/>
  <c r="L1511" i="2" s="1"/>
  <c r="J1511" i="2"/>
  <c r="I1511" i="2"/>
  <c r="F1511" i="2"/>
  <c r="K1510" i="2"/>
  <c r="L1510" i="2" s="1"/>
  <c r="J1510" i="2"/>
  <c r="I1510" i="2"/>
  <c r="F1510" i="2"/>
  <c r="K1509" i="2"/>
  <c r="L1509" i="2" s="1"/>
  <c r="J1509" i="2"/>
  <c r="I1509" i="2"/>
  <c r="F1509" i="2"/>
  <c r="K1508" i="2"/>
  <c r="L1508" i="2" s="1"/>
  <c r="J1508" i="2"/>
  <c r="I1508" i="2"/>
  <c r="F1508" i="2"/>
  <c r="K1507" i="2"/>
  <c r="L1507" i="2" s="1"/>
  <c r="J1507" i="2"/>
  <c r="I1507" i="2"/>
  <c r="F1507" i="2"/>
  <c r="L1506" i="2"/>
  <c r="K1506" i="2"/>
  <c r="J1506" i="2"/>
  <c r="I1506" i="2"/>
  <c r="F1506" i="2"/>
  <c r="K1505" i="2"/>
  <c r="L1505" i="2" s="1"/>
  <c r="J1505" i="2"/>
  <c r="I1505" i="2"/>
  <c r="F1505" i="2"/>
  <c r="J1504" i="2"/>
  <c r="I1504" i="2"/>
  <c r="F1504" i="2"/>
  <c r="K1503" i="2"/>
  <c r="L1503" i="2" s="1"/>
  <c r="J1503" i="2"/>
  <c r="I1503" i="2"/>
  <c r="F1503" i="2"/>
  <c r="K1502" i="2"/>
  <c r="L1502" i="2" s="1"/>
  <c r="J1502" i="2"/>
  <c r="I1502" i="2"/>
  <c r="F1502" i="2"/>
  <c r="K1501" i="2"/>
  <c r="L1501" i="2" s="1"/>
  <c r="J1501" i="2"/>
  <c r="I1501" i="2"/>
  <c r="F1501" i="2"/>
  <c r="L1500" i="2"/>
  <c r="K1500" i="2"/>
  <c r="J1500" i="2"/>
  <c r="I1500" i="2"/>
  <c r="F1500" i="2"/>
  <c r="K1499" i="2"/>
  <c r="L1499" i="2" s="1"/>
  <c r="J1499" i="2"/>
  <c r="I1499" i="2"/>
  <c r="F1499" i="2"/>
  <c r="K1498" i="2"/>
  <c r="L1498" i="2" s="1"/>
  <c r="J1498" i="2"/>
  <c r="I1498" i="2"/>
  <c r="F1498" i="2"/>
  <c r="K1497" i="2"/>
  <c r="L1497" i="2" s="1"/>
  <c r="J1497" i="2"/>
  <c r="I1497" i="2"/>
  <c r="F1497" i="2"/>
  <c r="K1496" i="2"/>
  <c r="L1496" i="2" s="1"/>
  <c r="J1496" i="2"/>
  <c r="I1496" i="2"/>
  <c r="F1496" i="2"/>
  <c r="K1495" i="2"/>
  <c r="L1495" i="2" s="1"/>
  <c r="J1495" i="2"/>
  <c r="I1495" i="2"/>
  <c r="F1495" i="2"/>
  <c r="L1494" i="2"/>
  <c r="K1494" i="2"/>
  <c r="J1494" i="2"/>
  <c r="I1494" i="2"/>
  <c r="F1494" i="2"/>
  <c r="K1493" i="2"/>
  <c r="L1493" i="2" s="1"/>
  <c r="J1493" i="2"/>
  <c r="I1493" i="2"/>
  <c r="F1493" i="2"/>
  <c r="L1492" i="2"/>
  <c r="K1492" i="2"/>
  <c r="J1492" i="2"/>
  <c r="I1492" i="2"/>
  <c r="F1492" i="2"/>
  <c r="K1491" i="2"/>
  <c r="L1491" i="2" s="1"/>
  <c r="J1491" i="2"/>
  <c r="I1491" i="2"/>
  <c r="F1491" i="2"/>
  <c r="K1490" i="2"/>
  <c r="L1490" i="2" s="1"/>
  <c r="J1490" i="2"/>
  <c r="I1490" i="2"/>
  <c r="F1490" i="2"/>
  <c r="K1489" i="2"/>
  <c r="L1489" i="2" s="1"/>
  <c r="J1489" i="2"/>
  <c r="I1489" i="2"/>
  <c r="F1489" i="2"/>
  <c r="K1488" i="2"/>
  <c r="L1488" i="2" s="1"/>
  <c r="J1488" i="2"/>
  <c r="I1488" i="2"/>
  <c r="F1488" i="2"/>
  <c r="K1487" i="2"/>
  <c r="L1487" i="2" s="1"/>
  <c r="J1487" i="2"/>
  <c r="I1487" i="2"/>
  <c r="F1487" i="2"/>
  <c r="L1486" i="2"/>
  <c r="K1486" i="2"/>
  <c r="J1486" i="2"/>
  <c r="I1486" i="2"/>
  <c r="F1486" i="2"/>
  <c r="K1485" i="2"/>
  <c r="L1485" i="2" s="1"/>
  <c r="J1485" i="2"/>
  <c r="I1485" i="2"/>
  <c r="F1485" i="2"/>
  <c r="K1484" i="2"/>
  <c r="L1484" i="2" s="1"/>
  <c r="J1484" i="2"/>
  <c r="I1484" i="2"/>
  <c r="F1484" i="2"/>
  <c r="K1483" i="2"/>
  <c r="L1483" i="2" s="1"/>
  <c r="J1483" i="2"/>
  <c r="I1483" i="2"/>
  <c r="F1483" i="2"/>
  <c r="K1482" i="2"/>
  <c r="L1482" i="2" s="1"/>
  <c r="J1482" i="2"/>
  <c r="I1482" i="2"/>
  <c r="F1482" i="2"/>
  <c r="K1481" i="2"/>
  <c r="L1481" i="2" s="1"/>
  <c r="J1481" i="2"/>
  <c r="I1481" i="2"/>
  <c r="F1481" i="2"/>
  <c r="K1480" i="2"/>
  <c r="L1480" i="2" s="1"/>
  <c r="J1480" i="2"/>
  <c r="I1480" i="2"/>
  <c r="F1480" i="2"/>
  <c r="K1479" i="2"/>
  <c r="L1479" i="2" s="1"/>
  <c r="J1479" i="2"/>
  <c r="I1479" i="2"/>
  <c r="F1479" i="2"/>
  <c r="K1478" i="2"/>
  <c r="L1478" i="2" s="1"/>
  <c r="J1478" i="2"/>
  <c r="I1478" i="2"/>
  <c r="F1478" i="2"/>
  <c r="K1477" i="2"/>
  <c r="L1477" i="2" s="1"/>
  <c r="J1477" i="2"/>
  <c r="I1477" i="2"/>
  <c r="F1477" i="2"/>
  <c r="K1476" i="2"/>
  <c r="L1476" i="2" s="1"/>
  <c r="J1476" i="2"/>
  <c r="I1476" i="2"/>
  <c r="F1476" i="2"/>
  <c r="K1475" i="2"/>
  <c r="L1475" i="2" s="1"/>
  <c r="J1475" i="2"/>
  <c r="I1475" i="2"/>
  <c r="F1475" i="2"/>
  <c r="L1474" i="2"/>
  <c r="K1474" i="2"/>
  <c r="J1474" i="2"/>
  <c r="I1474" i="2"/>
  <c r="F1474" i="2"/>
  <c r="K1473" i="2"/>
  <c r="L1473" i="2" s="1"/>
  <c r="J1473" i="2"/>
  <c r="I1473" i="2"/>
  <c r="F1473" i="2"/>
  <c r="L1472" i="2"/>
  <c r="K1472" i="2"/>
  <c r="J1472" i="2"/>
  <c r="I1472" i="2"/>
  <c r="F1472" i="2"/>
  <c r="J1471" i="2"/>
  <c r="I1471" i="2"/>
  <c r="F1471" i="2"/>
  <c r="K1470" i="2"/>
  <c r="L1470" i="2" s="1"/>
  <c r="J1470" i="2"/>
  <c r="I1470" i="2"/>
  <c r="F1470" i="2"/>
  <c r="K1469" i="2"/>
  <c r="L1469" i="2" s="1"/>
  <c r="J1469" i="2"/>
  <c r="I1469" i="2"/>
  <c r="F1469" i="2"/>
  <c r="K1468" i="2"/>
  <c r="J1468" i="2"/>
  <c r="L1468" i="2" s="1"/>
  <c r="I1468" i="2"/>
  <c r="F1468" i="2"/>
  <c r="K1467" i="2"/>
  <c r="L1467" i="2" s="1"/>
  <c r="J1467" i="2"/>
  <c r="I1467" i="2"/>
  <c r="F1467" i="2"/>
  <c r="K1466" i="2"/>
  <c r="J1466" i="2"/>
  <c r="L1466" i="2" s="1"/>
  <c r="I1466" i="2"/>
  <c r="F1466" i="2"/>
  <c r="K1465" i="2"/>
  <c r="L1465" i="2" s="1"/>
  <c r="J1465" i="2"/>
  <c r="I1465" i="2"/>
  <c r="F1465" i="2"/>
  <c r="K1464" i="2"/>
  <c r="J1464" i="2"/>
  <c r="L1464" i="2" s="1"/>
  <c r="I1464" i="2"/>
  <c r="F1464" i="2"/>
  <c r="K1463" i="2"/>
  <c r="L1463" i="2" s="1"/>
  <c r="J1463" i="2"/>
  <c r="I1463" i="2"/>
  <c r="F1463" i="2"/>
  <c r="K1462" i="2"/>
  <c r="J1462" i="2"/>
  <c r="L1462" i="2" s="1"/>
  <c r="I1462" i="2"/>
  <c r="F1462" i="2"/>
  <c r="K1461" i="2"/>
  <c r="L1461" i="2" s="1"/>
  <c r="J1461" i="2"/>
  <c r="I1461" i="2"/>
  <c r="F1461" i="2"/>
  <c r="K1460" i="2"/>
  <c r="J1460" i="2"/>
  <c r="L1460" i="2" s="1"/>
  <c r="I1460" i="2"/>
  <c r="F1460" i="2"/>
  <c r="K1459" i="2"/>
  <c r="L1459" i="2" s="1"/>
  <c r="J1459" i="2"/>
  <c r="I1459" i="2"/>
  <c r="F1459" i="2"/>
  <c r="K1458" i="2"/>
  <c r="J1458" i="2"/>
  <c r="L1458" i="2" s="1"/>
  <c r="I1458" i="2"/>
  <c r="F1458" i="2"/>
  <c r="K1457" i="2"/>
  <c r="L1457" i="2" s="1"/>
  <c r="J1457" i="2"/>
  <c r="I1457" i="2"/>
  <c r="F1457" i="2"/>
  <c r="K1456" i="2"/>
  <c r="J1456" i="2"/>
  <c r="L1456" i="2" s="1"/>
  <c r="I1456" i="2"/>
  <c r="F1456" i="2"/>
  <c r="K1455" i="2"/>
  <c r="L1455" i="2" s="1"/>
  <c r="J1455" i="2"/>
  <c r="I1455" i="2"/>
  <c r="F1455" i="2"/>
  <c r="J1454" i="2"/>
  <c r="I1454" i="2"/>
  <c r="F1454" i="2"/>
  <c r="K1453" i="2"/>
  <c r="L1453" i="2" s="1"/>
  <c r="J1453" i="2"/>
  <c r="I1453" i="2"/>
  <c r="F1453" i="2"/>
  <c r="L1452" i="2"/>
  <c r="K1452" i="2"/>
  <c r="J1452" i="2"/>
  <c r="I1452" i="2"/>
  <c r="F1452" i="2"/>
  <c r="K1451" i="2"/>
  <c r="L1451" i="2" s="1"/>
  <c r="J1451" i="2"/>
  <c r="I1451" i="2"/>
  <c r="F1451" i="2"/>
  <c r="L1450" i="2"/>
  <c r="K1450" i="2"/>
  <c r="J1450" i="2"/>
  <c r="I1450" i="2"/>
  <c r="F1450" i="2"/>
  <c r="K1449" i="2"/>
  <c r="L1449" i="2" s="1"/>
  <c r="J1449" i="2"/>
  <c r="I1449" i="2"/>
  <c r="F1449" i="2"/>
  <c r="K1448" i="2"/>
  <c r="J1448" i="2"/>
  <c r="L1448" i="2" s="1"/>
  <c r="I1448" i="2"/>
  <c r="F1448" i="2"/>
  <c r="K1447" i="2"/>
  <c r="L1447" i="2" s="1"/>
  <c r="J1447" i="2"/>
  <c r="I1447" i="2"/>
  <c r="F1447" i="2"/>
  <c r="K1446" i="2"/>
  <c r="J1446" i="2"/>
  <c r="L1446" i="2" s="1"/>
  <c r="I1446" i="2"/>
  <c r="F1446" i="2"/>
  <c r="K1445" i="2"/>
  <c r="L1445" i="2" s="1"/>
  <c r="J1445" i="2"/>
  <c r="I1445" i="2"/>
  <c r="F1445" i="2"/>
  <c r="K1444" i="2"/>
  <c r="J1444" i="2"/>
  <c r="L1444" i="2" s="1"/>
  <c r="I1444" i="2"/>
  <c r="F1444" i="2"/>
  <c r="K1443" i="2"/>
  <c r="L1443" i="2" s="1"/>
  <c r="J1443" i="2"/>
  <c r="I1443" i="2"/>
  <c r="F1443" i="2"/>
  <c r="K1442" i="2"/>
  <c r="J1442" i="2"/>
  <c r="L1442" i="2" s="1"/>
  <c r="I1442" i="2"/>
  <c r="F1442" i="2"/>
  <c r="K1441" i="2"/>
  <c r="L1441" i="2" s="1"/>
  <c r="J1441" i="2"/>
  <c r="I1441" i="2"/>
  <c r="F1441" i="2"/>
  <c r="J1440" i="2"/>
  <c r="I1440" i="2"/>
  <c r="F1440" i="2"/>
  <c r="K1439" i="2"/>
  <c r="L1439" i="2" s="1"/>
  <c r="J1439" i="2"/>
  <c r="I1439" i="2"/>
  <c r="F1439" i="2"/>
  <c r="K1438" i="2"/>
  <c r="J1438" i="2"/>
  <c r="L1438" i="2" s="1"/>
  <c r="I1438" i="2"/>
  <c r="F1438" i="2"/>
  <c r="K1437" i="2"/>
  <c r="L1437" i="2" s="1"/>
  <c r="J1437" i="2"/>
  <c r="I1437" i="2"/>
  <c r="F1437" i="2"/>
  <c r="K1436" i="2"/>
  <c r="J1436" i="2"/>
  <c r="L1436" i="2" s="1"/>
  <c r="I1436" i="2"/>
  <c r="F1436" i="2"/>
  <c r="K1435" i="2"/>
  <c r="L1435" i="2" s="1"/>
  <c r="J1435" i="2"/>
  <c r="I1435" i="2"/>
  <c r="F1435" i="2"/>
  <c r="L1434" i="2"/>
  <c r="K1434" i="2"/>
  <c r="J1434" i="2"/>
  <c r="I1434" i="2"/>
  <c r="F1434" i="2"/>
  <c r="K1433" i="2"/>
  <c r="L1433" i="2" s="1"/>
  <c r="J1433" i="2"/>
  <c r="I1433" i="2"/>
  <c r="F1433" i="2"/>
  <c r="L1432" i="2"/>
  <c r="K1432" i="2"/>
  <c r="J1432" i="2"/>
  <c r="I1432" i="2"/>
  <c r="F1432" i="2"/>
  <c r="K1431" i="2"/>
  <c r="L1431" i="2" s="1"/>
  <c r="J1431" i="2"/>
  <c r="I1431" i="2"/>
  <c r="F1431" i="2"/>
  <c r="K1430" i="2"/>
  <c r="L1430" i="2" s="1"/>
  <c r="J1430" i="2"/>
  <c r="I1430" i="2"/>
  <c r="F1430" i="2"/>
  <c r="K1429" i="2"/>
  <c r="L1429" i="2" s="1"/>
  <c r="J1429" i="2"/>
  <c r="I1429" i="2"/>
  <c r="F1429" i="2"/>
  <c r="K1428" i="2"/>
  <c r="J1428" i="2"/>
  <c r="I1428" i="2"/>
  <c r="F1428" i="2"/>
  <c r="J1427" i="2"/>
  <c r="I1427" i="2"/>
  <c r="F1427" i="2"/>
  <c r="J1426" i="2"/>
  <c r="I1426" i="2"/>
  <c r="F1426" i="2"/>
  <c r="J1425" i="2"/>
  <c r="I1425" i="2"/>
  <c r="F1425" i="2"/>
  <c r="K1424" i="2"/>
  <c r="J1424" i="2"/>
  <c r="L1424" i="2" s="1"/>
  <c r="I1424" i="2"/>
  <c r="F1424" i="2"/>
  <c r="K1423" i="2"/>
  <c r="L1423" i="2" s="1"/>
  <c r="J1423" i="2"/>
  <c r="I1423" i="2"/>
  <c r="F1423" i="2"/>
  <c r="K1422" i="2"/>
  <c r="J1422" i="2"/>
  <c r="L1422" i="2" s="1"/>
  <c r="I1422" i="2"/>
  <c r="F1422" i="2"/>
  <c r="K1421" i="2"/>
  <c r="L1421" i="2" s="1"/>
  <c r="J1421" i="2"/>
  <c r="I1421" i="2"/>
  <c r="F1421" i="2"/>
  <c r="K1420" i="2"/>
  <c r="J1420" i="2"/>
  <c r="L1420" i="2" s="1"/>
  <c r="I1420" i="2"/>
  <c r="F1420" i="2"/>
  <c r="K1419" i="2"/>
  <c r="L1419" i="2" s="1"/>
  <c r="J1419" i="2"/>
  <c r="I1419" i="2"/>
  <c r="F1419" i="2"/>
  <c r="K1418" i="2"/>
  <c r="L1418" i="2" s="1"/>
  <c r="J1418" i="2"/>
  <c r="I1418" i="2"/>
  <c r="F1418" i="2"/>
  <c r="K1417" i="2"/>
  <c r="L1417" i="2" s="1"/>
  <c r="J1417" i="2"/>
  <c r="I1417" i="2"/>
  <c r="F1417" i="2"/>
  <c r="K1416" i="2"/>
  <c r="J1416" i="2"/>
  <c r="L1416" i="2" s="1"/>
  <c r="I1416" i="2"/>
  <c r="F1416" i="2"/>
  <c r="K1415" i="2"/>
  <c r="L1415" i="2" s="1"/>
  <c r="J1415" i="2"/>
  <c r="I1415" i="2"/>
  <c r="F1415" i="2"/>
  <c r="K1414" i="2"/>
  <c r="J1414" i="2"/>
  <c r="L1414" i="2" s="1"/>
  <c r="I1414" i="2"/>
  <c r="F1414" i="2"/>
  <c r="K1413" i="2"/>
  <c r="L1413" i="2" s="1"/>
  <c r="J1413" i="2"/>
  <c r="I1413" i="2"/>
  <c r="F1413" i="2"/>
  <c r="L1412" i="2"/>
  <c r="K1412" i="2"/>
  <c r="J1412" i="2"/>
  <c r="I1412" i="2"/>
  <c r="F1412" i="2"/>
  <c r="K1411" i="2"/>
  <c r="L1411" i="2" s="1"/>
  <c r="J1411" i="2"/>
  <c r="I1411" i="2"/>
  <c r="F1411" i="2"/>
  <c r="L1410" i="2"/>
  <c r="K1410" i="2"/>
  <c r="J1410" i="2"/>
  <c r="I1410" i="2"/>
  <c r="F1410" i="2"/>
  <c r="K1409" i="2"/>
  <c r="L1409" i="2" s="1"/>
  <c r="J1409" i="2"/>
  <c r="I1409" i="2"/>
  <c r="F1409" i="2"/>
  <c r="K1408" i="2"/>
  <c r="L1408" i="2" s="1"/>
  <c r="J1408" i="2"/>
  <c r="I1408" i="2"/>
  <c r="F1408" i="2"/>
  <c r="K1407" i="2"/>
  <c r="L1407" i="2" s="1"/>
  <c r="J1407" i="2"/>
  <c r="I1407" i="2"/>
  <c r="F1407" i="2"/>
  <c r="K1406" i="2"/>
  <c r="L1406" i="2" s="1"/>
  <c r="J1406" i="2"/>
  <c r="I1406" i="2"/>
  <c r="F1406" i="2"/>
  <c r="K1405" i="2"/>
  <c r="L1405" i="2" s="1"/>
  <c r="J1405" i="2"/>
  <c r="I1405" i="2"/>
  <c r="F1405" i="2"/>
  <c r="J1404" i="2"/>
  <c r="I1404" i="2"/>
  <c r="F1404" i="2"/>
  <c r="J1403" i="2"/>
  <c r="I1403" i="2"/>
  <c r="F1403" i="2"/>
  <c r="K1402" i="2"/>
  <c r="L1402" i="2" s="1"/>
  <c r="J1402" i="2"/>
  <c r="I1402" i="2"/>
  <c r="F1402" i="2"/>
  <c r="K1401" i="2"/>
  <c r="L1401" i="2" s="1"/>
  <c r="J1401" i="2"/>
  <c r="I1401" i="2"/>
  <c r="F1401" i="2"/>
  <c r="L1400" i="2"/>
  <c r="K1400" i="2"/>
  <c r="J1400" i="2"/>
  <c r="I1400" i="2"/>
  <c r="F1400" i="2"/>
  <c r="K1399" i="2"/>
  <c r="L1399" i="2" s="1"/>
  <c r="J1399" i="2"/>
  <c r="I1399" i="2"/>
  <c r="F1399" i="2"/>
  <c r="K1398" i="2"/>
  <c r="L1398" i="2" s="1"/>
  <c r="J1398" i="2"/>
  <c r="I1398" i="2"/>
  <c r="F1398" i="2"/>
  <c r="K1397" i="2"/>
  <c r="L1397" i="2" s="1"/>
  <c r="J1397" i="2"/>
  <c r="I1397" i="2"/>
  <c r="F1397" i="2"/>
  <c r="L1396" i="2"/>
  <c r="K1396" i="2"/>
  <c r="J1396" i="2"/>
  <c r="I1396" i="2"/>
  <c r="F1396" i="2"/>
  <c r="K1395" i="2"/>
  <c r="L1395" i="2" s="1"/>
  <c r="J1395" i="2"/>
  <c r="I1395" i="2"/>
  <c r="F1395" i="2"/>
  <c r="J1394" i="2"/>
  <c r="I1394" i="2"/>
  <c r="F1394" i="2"/>
  <c r="J1393" i="2"/>
  <c r="I1393" i="2"/>
  <c r="F1393" i="2"/>
  <c r="J1392" i="2"/>
  <c r="I1392" i="2"/>
  <c r="F1392" i="2"/>
  <c r="K1391" i="2"/>
  <c r="L1391" i="2" s="1"/>
  <c r="J1391" i="2"/>
  <c r="I1391" i="2"/>
  <c r="F1391" i="2"/>
  <c r="K1390" i="2"/>
  <c r="L1390" i="2" s="1"/>
  <c r="J1390" i="2"/>
  <c r="I1390" i="2"/>
  <c r="F1390" i="2"/>
  <c r="K1389" i="2"/>
  <c r="L1389" i="2" s="1"/>
  <c r="J1389" i="2"/>
  <c r="I1389" i="2"/>
  <c r="F1389" i="2"/>
  <c r="K1388" i="2"/>
  <c r="L1388" i="2" s="1"/>
  <c r="J1388" i="2"/>
  <c r="I1388" i="2"/>
  <c r="F1388" i="2"/>
  <c r="K1387" i="2"/>
  <c r="L1387" i="2" s="1"/>
  <c r="J1387" i="2"/>
  <c r="I1387" i="2"/>
  <c r="F1387" i="2"/>
  <c r="L1386" i="2"/>
  <c r="K1386" i="2"/>
  <c r="J1386" i="2"/>
  <c r="I1386" i="2"/>
  <c r="F1386" i="2"/>
  <c r="K1385" i="2"/>
  <c r="L1385" i="2" s="1"/>
  <c r="J1385" i="2"/>
  <c r="I1385" i="2"/>
  <c r="F1385" i="2"/>
  <c r="K1384" i="2"/>
  <c r="L1384" i="2" s="1"/>
  <c r="J1384" i="2"/>
  <c r="I1384" i="2"/>
  <c r="F1384" i="2"/>
  <c r="K1383" i="2"/>
  <c r="L1383" i="2" s="1"/>
  <c r="J1383" i="2"/>
  <c r="I1383" i="2"/>
  <c r="F1383" i="2"/>
  <c r="L1382" i="2"/>
  <c r="K1382" i="2"/>
  <c r="J1382" i="2"/>
  <c r="I1382" i="2"/>
  <c r="F1382" i="2"/>
  <c r="K1381" i="2"/>
  <c r="L1381" i="2" s="1"/>
  <c r="J1381" i="2"/>
  <c r="I1381" i="2"/>
  <c r="F1381" i="2"/>
  <c r="K1380" i="2"/>
  <c r="L1380" i="2" s="1"/>
  <c r="J1380" i="2"/>
  <c r="I1380" i="2"/>
  <c r="F1380" i="2"/>
  <c r="K1379" i="2"/>
  <c r="L1379" i="2" s="1"/>
  <c r="J1379" i="2"/>
  <c r="I1379" i="2"/>
  <c r="F1379" i="2"/>
  <c r="L1378" i="2"/>
  <c r="K1378" i="2"/>
  <c r="J1378" i="2"/>
  <c r="I1378" i="2"/>
  <c r="F1378" i="2"/>
  <c r="K1377" i="2"/>
  <c r="L1377" i="2" s="1"/>
  <c r="J1377" i="2"/>
  <c r="I1377" i="2"/>
  <c r="F1377" i="2"/>
  <c r="J1376" i="2"/>
  <c r="I1376" i="2"/>
  <c r="F1376" i="2"/>
  <c r="J1375" i="2"/>
  <c r="I1375" i="2"/>
  <c r="F1375" i="2"/>
  <c r="J1374" i="2"/>
  <c r="I1374" i="2"/>
  <c r="F1374" i="2"/>
  <c r="J1373" i="2"/>
  <c r="I1373" i="2"/>
  <c r="F1373" i="2"/>
  <c r="J1372" i="2"/>
  <c r="I1372" i="2"/>
  <c r="F1372" i="2"/>
  <c r="J1371" i="2"/>
  <c r="I1371" i="2"/>
  <c r="F1371" i="2"/>
  <c r="J1370" i="2"/>
  <c r="I1370" i="2"/>
  <c r="F1370" i="2"/>
  <c r="J1369" i="2"/>
  <c r="I1369" i="2"/>
  <c r="F1369" i="2"/>
  <c r="J1368" i="2"/>
  <c r="I1368" i="2"/>
  <c r="F1368" i="2"/>
  <c r="K1367" i="2"/>
  <c r="L1367" i="2" s="1"/>
  <c r="J1367" i="2"/>
  <c r="I1367" i="2"/>
  <c r="F1367" i="2"/>
  <c r="L1366" i="2"/>
  <c r="K1366" i="2"/>
  <c r="J1366" i="2"/>
  <c r="I1366" i="2"/>
  <c r="F1366" i="2"/>
  <c r="K1365" i="2"/>
  <c r="L1365" i="2" s="1"/>
  <c r="J1365" i="2"/>
  <c r="I1365" i="2"/>
  <c r="F1365" i="2"/>
  <c r="K1364" i="2"/>
  <c r="L1364" i="2" s="1"/>
  <c r="J1364" i="2"/>
  <c r="I1364" i="2"/>
  <c r="F1364" i="2"/>
  <c r="K1363" i="2"/>
  <c r="L1363" i="2" s="1"/>
  <c r="J1363" i="2"/>
  <c r="I1363" i="2"/>
  <c r="F1363" i="2"/>
  <c r="J1362" i="2"/>
  <c r="I1362" i="2"/>
  <c r="F1362" i="2"/>
  <c r="J1361" i="2"/>
  <c r="I1361" i="2"/>
  <c r="F1361" i="2"/>
  <c r="K1360" i="2"/>
  <c r="L1360" i="2" s="1"/>
  <c r="J1360" i="2"/>
  <c r="I1360" i="2"/>
  <c r="F1360" i="2"/>
  <c r="K1359" i="2"/>
  <c r="L1359" i="2" s="1"/>
  <c r="J1359" i="2"/>
  <c r="I1359" i="2"/>
  <c r="F1359" i="2"/>
  <c r="L1358" i="2"/>
  <c r="K1358" i="2"/>
  <c r="J1358" i="2"/>
  <c r="I1358" i="2"/>
  <c r="F1358" i="2"/>
  <c r="K1357" i="2"/>
  <c r="L1357" i="2" s="1"/>
  <c r="J1357" i="2"/>
  <c r="I1357" i="2"/>
  <c r="F1357" i="2"/>
  <c r="K1356" i="2"/>
  <c r="L1356" i="2" s="1"/>
  <c r="J1356" i="2"/>
  <c r="I1356" i="2"/>
  <c r="F1356" i="2"/>
  <c r="K1355" i="2"/>
  <c r="L1355" i="2" s="1"/>
  <c r="J1355" i="2"/>
  <c r="I1355" i="2"/>
  <c r="F1355" i="2"/>
  <c r="L1354" i="2"/>
  <c r="K1354" i="2"/>
  <c r="J1354" i="2"/>
  <c r="I1354" i="2"/>
  <c r="F1354" i="2"/>
  <c r="K1353" i="2"/>
  <c r="L1353" i="2" s="1"/>
  <c r="J1353" i="2"/>
  <c r="I1353" i="2"/>
  <c r="F1353" i="2"/>
  <c r="K1352" i="2"/>
  <c r="L1352" i="2" s="1"/>
  <c r="J1352" i="2"/>
  <c r="I1352" i="2"/>
  <c r="F1352" i="2"/>
  <c r="K1351" i="2"/>
  <c r="L1351" i="2" s="1"/>
  <c r="J1351" i="2"/>
  <c r="I1351" i="2"/>
  <c r="F1351" i="2"/>
  <c r="K1350" i="2"/>
  <c r="L1350" i="2" s="1"/>
  <c r="J1350" i="2"/>
  <c r="I1350" i="2"/>
  <c r="F1350" i="2"/>
  <c r="K1349" i="2"/>
  <c r="L1349" i="2" s="1"/>
  <c r="J1349" i="2"/>
  <c r="I1349" i="2"/>
  <c r="F1349" i="2"/>
  <c r="K1348" i="2"/>
  <c r="L1348" i="2" s="1"/>
  <c r="J1348" i="2"/>
  <c r="I1348" i="2"/>
  <c r="F1348" i="2"/>
  <c r="J1347" i="2"/>
  <c r="I1347" i="2"/>
  <c r="F1347" i="2"/>
  <c r="J1346" i="2"/>
  <c r="I1346" i="2"/>
  <c r="F1346" i="2"/>
  <c r="K1345" i="2"/>
  <c r="L1345" i="2" s="1"/>
  <c r="J1345" i="2"/>
  <c r="I1345" i="2"/>
  <c r="F1345" i="2"/>
  <c r="K1344" i="2"/>
  <c r="L1344" i="2" s="1"/>
  <c r="J1344" i="2"/>
  <c r="I1344" i="2"/>
  <c r="F1344" i="2"/>
  <c r="K1343" i="2"/>
  <c r="L1343" i="2" s="1"/>
  <c r="J1343" i="2"/>
  <c r="I1343" i="2"/>
  <c r="F1343" i="2"/>
  <c r="J1342" i="2"/>
  <c r="I1342" i="2"/>
  <c r="F1342" i="2"/>
  <c r="K1341" i="2"/>
  <c r="L1341" i="2" s="1"/>
  <c r="J1341" i="2"/>
  <c r="I1341" i="2"/>
  <c r="F1341" i="2"/>
  <c r="K1340" i="2"/>
  <c r="L1340" i="2" s="1"/>
  <c r="J1340" i="2"/>
  <c r="I1340" i="2"/>
  <c r="F1340" i="2"/>
  <c r="K1339" i="2"/>
  <c r="L1339" i="2" s="1"/>
  <c r="J1339" i="2"/>
  <c r="I1339" i="2"/>
  <c r="F1339" i="2"/>
  <c r="J1338" i="2"/>
  <c r="I1338" i="2"/>
  <c r="F1338" i="2"/>
  <c r="K1337" i="2"/>
  <c r="L1337" i="2" s="1"/>
  <c r="J1337" i="2"/>
  <c r="I1337" i="2"/>
  <c r="F1337" i="2"/>
  <c r="K1336" i="2"/>
  <c r="L1336" i="2" s="1"/>
  <c r="J1336" i="2"/>
  <c r="I1336" i="2"/>
  <c r="F1336" i="2"/>
  <c r="K1335" i="2"/>
  <c r="L1335" i="2" s="1"/>
  <c r="J1335" i="2"/>
  <c r="I1335" i="2"/>
  <c r="F1335" i="2"/>
  <c r="L1334" i="2"/>
  <c r="K1334" i="2"/>
  <c r="J1334" i="2"/>
  <c r="I1334" i="2"/>
  <c r="F1334" i="2"/>
  <c r="K1333" i="2"/>
  <c r="L1333" i="2" s="1"/>
  <c r="J1333" i="2"/>
  <c r="I1333" i="2"/>
  <c r="F1333" i="2"/>
  <c r="L1332" i="2"/>
  <c r="K1332" i="2"/>
  <c r="J1332" i="2"/>
  <c r="I1332" i="2"/>
  <c r="F1332" i="2"/>
  <c r="K1331" i="2"/>
  <c r="L1331" i="2" s="1"/>
  <c r="J1331" i="2"/>
  <c r="I1331" i="2"/>
  <c r="F1331" i="2"/>
  <c r="K1330" i="2"/>
  <c r="L1330" i="2" s="1"/>
  <c r="J1330" i="2"/>
  <c r="I1330" i="2"/>
  <c r="F1330" i="2"/>
  <c r="K1329" i="2"/>
  <c r="L1329" i="2" s="1"/>
  <c r="J1329" i="2"/>
  <c r="I1329" i="2"/>
  <c r="F1329" i="2"/>
  <c r="J1328" i="2"/>
  <c r="I1328" i="2"/>
  <c r="F1328" i="2"/>
  <c r="K1327" i="2"/>
  <c r="L1327" i="2" s="1"/>
  <c r="J1327" i="2"/>
  <c r="I1327" i="2"/>
  <c r="F1327" i="2"/>
  <c r="L1326" i="2"/>
  <c r="K1326" i="2"/>
  <c r="J1326" i="2"/>
  <c r="I1326" i="2"/>
  <c r="F1326" i="2"/>
  <c r="K1325" i="2"/>
  <c r="L1325" i="2" s="1"/>
  <c r="J1325" i="2"/>
  <c r="I1325" i="2"/>
  <c r="F1325" i="2"/>
  <c r="K1324" i="2"/>
  <c r="L1324" i="2" s="1"/>
  <c r="J1324" i="2"/>
  <c r="I1324" i="2"/>
  <c r="F1324" i="2"/>
  <c r="K1323" i="2"/>
  <c r="L1323" i="2" s="1"/>
  <c r="J1323" i="2"/>
  <c r="I1323" i="2"/>
  <c r="F1323" i="2"/>
  <c r="L1322" i="2"/>
  <c r="K1322" i="2"/>
  <c r="J1322" i="2"/>
  <c r="I1322" i="2"/>
  <c r="F1322" i="2"/>
  <c r="K1321" i="2"/>
  <c r="L1321" i="2" s="1"/>
  <c r="J1321" i="2"/>
  <c r="I1321" i="2"/>
  <c r="F1321" i="2"/>
  <c r="K1320" i="2"/>
  <c r="L1320" i="2" s="1"/>
  <c r="J1320" i="2"/>
  <c r="I1320" i="2"/>
  <c r="F1320" i="2"/>
  <c r="K1319" i="2"/>
  <c r="L1319" i="2" s="1"/>
  <c r="J1319" i="2"/>
  <c r="I1319" i="2"/>
  <c r="F1319" i="2"/>
  <c r="J1318" i="2"/>
  <c r="I1318" i="2"/>
  <c r="F1318" i="2"/>
  <c r="K1317" i="2"/>
  <c r="L1317" i="2" s="1"/>
  <c r="J1317" i="2"/>
  <c r="I1317" i="2"/>
  <c r="F1317" i="2"/>
  <c r="K1316" i="2"/>
  <c r="L1316" i="2" s="1"/>
  <c r="J1316" i="2"/>
  <c r="I1316" i="2"/>
  <c r="F1316" i="2"/>
  <c r="K1315" i="2"/>
  <c r="L1315" i="2" s="1"/>
  <c r="J1315" i="2"/>
  <c r="I1315" i="2"/>
  <c r="F1315" i="2"/>
  <c r="L1314" i="2"/>
  <c r="K1314" i="2"/>
  <c r="J1314" i="2"/>
  <c r="I1314" i="2"/>
  <c r="F1314" i="2"/>
  <c r="K1313" i="2"/>
  <c r="L1313" i="2" s="1"/>
  <c r="J1313" i="2"/>
  <c r="I1313" i="2"/>
  <c r="F1313" i="2"/>
  <c r="K1312" i="2"/>
  <c r="L1312" i="2" s="1"/>
  <c r="J1312" i="2"/>
  <c r="I1312" i="2"/>
  <c r="F1312" i="2"/>
  <c r="K1311" i="2"/>
  <c r="L1311" i="2" s="1"/>
  <c r="J1311" i="2"/>
  <c r="I1311" i="2"/>
  <c r="F1311" i="2"/>
  <c r="K1310" i="2"/>
  <c r="L1310" i="2" s="1"/>
  <c r="J1310" i="2"/>
  <c r="I1310" i="2"/>
  <c r="F1310" i="2"/>
  <c r="K1309" i="2"/>
  <c r="L1309" i="2" s="1"/>
  <c r="J1309" i="2"/>
  <c r="I1309" i="2"/>
  <c r="F1309" i="2"/>
  <c r="K1308" i="2"/>
  <c r="L1308" i="2" s="1"/>
  <c r="J1308" i="2"/>
  <c r="I1308" i="2"/>
  <c r="F1308" i="2"/>
  <c r="K1307" i="2"/>
  <c r="L1307" i="2" s="1"/>
  <c r="J1307" i="2"/>
  <c r="I1307" i="2"/>
  <c r="F1307" i="2"/>
  <c r="L1306" i="2"/>
  <c r="K1306" i="2"/>
  <c r="J1306" i="2"/>
  <c r="I1306" i="2"/>
  <c r="F1306" i="2"/>
  <c r="K1305" i="2"/>
  <c r="L1305" i="2" s="1"/>
  <c r="J1305" i="2"/>
  <c r="I1305" i="2"/>
  <c r="F1305" i="2"/>
  <c r="K1304" i="2"/>
  <c r="L1304" i="2" s="1"/>
  <c r="J1304" i="2"/>
  <c r="I1304" i="2"/>
  <c r="F1304" i="2"/>
  <c r="K1303" i="2"/>
  <c r="L1303" i="2" s="1"/>
  <c r="J1303" i="2"/>
  <c r="I1303" i="2"/>
  <c r="F1303" i="2"/>
  <c r="L1302" i="2"/>
  <c r="K1302" i="2"/>
  <c r="J1302" i="2"/>
  <c r="I1302" i="2"/>
  <c r="F1302" i="2"/>
  <c r="K1301" i="2"/>
  <c r="L1301" i="2" s="1"/>
  <c r="J1301" i="2"/>
  <c r="I1301" i="2"/>
  <c r="F1301" i="2"/>
  <c r="K1300" i="2"/>
  <c r="L1300" i="2" s="1"/>
  <c r="J1300" i="2"/>
  <c r="I1300" i="2"/>
  <c r="F1300" i="2"/>
  <c r="K1299" i="2"/>
  <c r="L1299" i="2" s="1"/>
  <c r="J1299" i="2"/>
  <c r="I1299" i="2"/>
  <c r="F1299" i="2"/>
  <c r="L1298" i="2"/>
  <c r="K1298" i="2"/>
  <c r="J1298" i="2"/>
  <c r="I1298" i="2"/>
  <c r="F1298" i="2"/>
  <c r="K1297" i="2"/>
  <c r="L1297" i="2" s="1"/>
  <c r="J1297" i="2"/>
  <c r="I1297" i="2"/>
  <c r="F1297" i="2"/>
  <c r="J1296" i="2"/>
  <c r="I1296" i="2"/>
  <c r="F1296" i="2"/>
  <c r="K1295" i="2"/>
  <c r="L1295" i="2" s="1"/>
  <c r="J1295" i="2"/>
  <c r="I1295" i="2"/>
  <c r="F1295" i="2"/>
  <c r="L1294" i="2"/>
  <c r="K1294" i="2"/>
  <c r="J1294" i="2"/>
  <c r="I1294" i="2"/>
  <c r="F1294" i="2"/>
  <c r="J1293" i="2"/>
  <c r="I1293" i="2"/>
  <c r="F1293" i="2"/>
  <c r="L1292" i="2"/>
  <c r="K1292" i="2"/>
  <c r="J1292" i="2"/>
  <c r="I1292" i="2"/>
  <c r="F1292" i="2"/>
  <c r="J1291" i="2"/>
  <c r="I1291" i="2"/>
  <c r="F1291" i="2"/>
  <c r="K1290" i="2"/>
  <c r="L1290" i="2" s="1"/>
  <c r="J1290" i="2"/>
  <c r="I1290" i="2"/>
  <c r="F1290" i="2"/>
  <c r="K1289" i="2"/>
  <c r="L1289" i="2" s="1"/>
  <c r="J1289" i="2"/>
  <c r="I1289" i="2"/>
  <c r="F1289" i="2"/>
  <c r="K1288" i="2"/>
  <c r="L1288" i="2" s="1"/>
  <c r="J1288" i="2"/>
  <c r="I1288" i="2"/>
  <c r="F1288" i="2"/>
  <c r="K1287" i="2"/>
  <c r="L1287" i="2" s="1"/>
  <c r="J1287" i="2"/>
  <c r="I1287" i="2"/>
  <c r="F1287" i="2"/>
  <c r="L1286" i="2"/>
  <c r="K1286" i="2"/>
  <c r="J1286" i="2"/>
  <c r="I1286" i="2"/>
  <c r="F1286" i="2"/>
  <c r="K1285" i="2"/>
  <c r="L1285" i="2" s="1"/>
  <c r="J1285" i="2"/>
  <c r="I1285" i="2"/>
  <c r="F1285" i="2"/>
  <c r="K1284" i="2"/>
  <c r="L1284" i="2" s="1"/>
  <c r="J1284" i="2"/>
  <c r="I1284" i="2"/>
  <c r="F1284" i="2"/>
  <c r="K1283" i="2"/>
  <c r="L1283" i="2" s="1"/>
  <c r="J1283" i="2"/>
  <c r="I1283" i="2"/>
  <c r="F1283" i="2"/>
  <c r="L1282" i="2"/>
  <c r="K1282" i="2"/>
  <c r="J1282" i="2"/>
  <c r="I1282" i="2"/>
  <c r="F1282" i="2"/>
  <c r="K1281" i="2"/>
  <c r="L1281" i="2" s="1"/>
  <c r="J1281" i="2"/>
  <c r="I1281" i="2"/>
  <c r="F1281" i="2"/>
  <c r="K1280" i="2"/>
  <c r="L1280" i="2" s="1"/>
  <c r="J1280" i="2"/>
  <c r="I1280" i="2"/>
  <c r="F1280" i="2"/>
  <c r="K1279" i="2"/>
  <c r="L1279" i="2" s="1"/>
  <c r="J1279" i="2"/>
  <c r="I1279" i="2"/>
  <c r="F1279" i="2"/>
  <c r="K1278" i="2"/>
  <c r="L1278" i="2" s="1"/>
  <c r="J1278" i="2"/>
  <c r="I1278" i="2"/>
  <c r="F1278" i="2"/>
  <c r="K1277" i="2"/>
  <c r="L1277" i="2" s="1"/>
  <c r="J1277" i="2"/>
  <c r="I1277" i="2"/>
  <c r="F1277" i="2"/>
  <c r="K1276" i="2"/>
  <c r="L1276" i="2" s="1"/>
  <c r="J1276" i="2"/>
  <c r="I1276" i="2"/>
  <c r="F1276" i="2"/>
  <c r="K1275" i="2"/>
  <c r="L1275" i="2" s="1"/>
  <c r="J1275" i="2"/>
  <c r="I1275" i="2"/>
  <c r="F1275" i="2"/>
  <c r="L1274" i="2"/>
  <c r="K1274" i="2"/>
  <c r="J1274" i="2"/>
  <c r="I1274" i="2"/>
  <c r="F1274" i="2"/>
  <c r="J1273" i="2"/>
  <c r="I1273" i="2"/>
  <c r="F1273" i="2"/>
  <c r="L1272" i="2"/>
  <c r="K1272" i="2"/>
  <c r="J1272" i="2"/>
  <c r="I1272" i="2"/>
  <c r="F1272" i="2"/>
  <c r="K1271" i="2"/>
  <c r="L1271" i="2" s="1"/>
  <c r="J1271" i="2"/>
  <c r="I1271" i="2"/>
  <c r="F1271" i="2"/>
  <c r="K1270" i="2"/>
  <c r="L1270" i="2" s="1"/>
  <c r="J1270" i="2"/>
  <c r="I1270" i="2"/>
  <c r="F1270" i="2"/>
  <c r="K1269" i="2"/>
  <c r="L1269" i="2" s="1"/>
  <c r="J1269" i="2"/>
  <c r="I1269" i="2"/>
  <c r="F1269" i="2"/>
  <c r="J1268" i="2"/>
  <c r="I1268" i="2"/>
  <c r="F1268" i="2"/>
  <c r="K1267" i="2"/>
  <c r="L1267" i="2" s="1"/>
  <c r="J1267" i="2"/>
  <c r="I1267" i="2"/>
  <c r="F1267" i="2"/>
  <c r="L1266" i="2"/>
  <c r="K1266" i="2"/>
  <c r="J1266" i="2"/>
  <c r="I1266" i="2"/>
  <c r="F1266" i="2"/>
  <c r="K1265" i="2"/>
  <c r="L1265" i="2" s="1"/>
  <c r="J1265" i="2"/>
  <c r="I1265" i="2"/>
  <c r="F1265" i="2"/>
  <c r="K1264" i="2"/>
  <c r="L1264" i="2" s="1"/>
  <c r="J1264" i="2"/>
  <c r="I1264" i="2"/>
  <c r="F1264" i="2"/>
  <c r="J1263" i="2"/>
  <c r="I1263" i="2"/>
  <c r="F1263" i="2"/>
  <c r="L1262" i="2"/>
  <c r="K1262" i="2"/>
  <c r="J1262" i="2"/>
  <c r="I1262" i="2"/>
  <c r="F1262" i="2"/>
  <c r="K1261" i="2"/>
  <c r="L1261" i="2" s="1"/>
  <c r="J1261" i="2"/>
  <c r="I1261" i="2"/>
  <c r="F1261" i="2"/>
  <c r="K1260" i="2"/>
  <c r="L1260" i="2" s="1"/>
  <c r="J1260" i="2"/>
  <c r="I1260" i="2"/>
  <c r="F1260" i="2"/>
  <c r="K1259" i="2"/>
  <c r="L1259" i="2" s="1"/>
  <c r="J1259" i="2"/>
  <c r="I1259" i="2"/>
  <c r="F1259" i="2"/>
  <c r="K1258" i="2"/>
  <c r="L1258" i="2" s="1"/>
  <c r="J1258" i="2"/>
  <c r="I1258" i="2"/>
  <c r="F1258" i="2"/>
  <c r="K1257" i="2"/>
  <c r="L1257" i="2" s="1"/>
  <c r="J1257" i="2"/>
  <c r="I1257" i="2"/>
  <c r="F1257" i="2"/>
  <c r="K1256" i="2"/>
  <c r="L1256" i="2" s="1"/>
  <c r="J1256" i="2"/>
  <c r="I1256" i="2"/>
  <c r="F1256" i="2"/>
  <c r="J1255" i="2"/>
  <c r="I1255" i="2"/>
  <c r="F1255" i="2"/>
  <c r="K1254" i="2"/>
  <c r="L1254" i="2" s="1"/>
  <c r="J1254" i="2"/>
  <c r="I1254" i="2"/>
  <c r="F1254" i="2"/>
  <c r="K1253" i="2"/>
  <c r="L1253" i="2" s="1"/>
  <c r="J1253" i="2"/>
  <c r="I1253" i="2"/>
  <c r="F1253" i="2"/>
  <c r="K1252" i="2"/>
  <c r="L1252" i="2" s="1"/>
  <c r="J1252" i="2"/>
  <c r="I1252" i="2"/>
  <c r="F1252" i="2"/>
  <c r="K1251" i="2"/>
  <c r="L1251" i="2" s="1"/>
  <c r="J1251" i="2"/>
  <c r="I1251" i="2"/>
  <c r="F1251" i="2"/>
  <c r="J1250" i="2"/>
  <c r="I1250" i="2"/>
  <c r="F1250" i="2"/>
  <c r="K1249" i="2"/>
  <c r="L1249" i="2" s="1"/>
  <c r="J1249" i="2"/>
  <c r="I1249" i="2"/>
  <c r="F1249" i="2"/>
  <c r="K1248" i="2"/>
  <c r="L1248" i="2" s="1"/>
  <c r="J1248" i="2"/>
  <c r="I1248" i="2"/>
  <c r="F1248" i="2"/>
  <c r="J1247" i="2"/>
  <c r="I1247" i="2"/>
  <c r="F1247" i="2"/>
  <c r="K1246" i="2"/>
  <c r="L1246" i="2" s="1"/>
  <c r="J1246" i="2"/>
  <c r="I1246" i="2"/>
  <c r="F1246" i="2"/>
  <c r="K1245" i="2"/>
  <c r="L1245" i="2" s="1"/>
  <c r="J1245" i="2"/>
  <c r="I1245" i="2"/>
  <c r="F1245" i="2"/>
  <c r="K1244" i="2"/>
  <c r="L1244" i="2" s="1"/>
  <c r="J1244" i="2"/>
  <c r="I1244" i="2"/>
  <c r="F1244" i="2"/>
  <c r="K1243" i="2"/>
  <c r="L1243" i="2" s="1"/>
  <c r="J1243" i="2"/>
  <c r="I1243" i="2"/>
  <c r="F1243" i="2"/>
  <c r="K1242" i="2"/>
  <c r="L1242" i="2" s="1"/>
  <c r="J1242" i="2"/>
  <c r="I1242" i="2"/>
  <c r="F1242" i="2"/>
  <c r="J1241" i="2"/>
  <c r="I1241" i="2"/>
  <c r="F1241" i="2"/>
  <c r="K1240" i="2"/>
  <c r="L1240" i="2" s="1"/>
  <c r="J1240" i="2"/>
  <c r="I1240" i="2"/>
  <c r="F1240" i="2"/>
  <c r="K1239" i="2"/>
  <c r="L1239" i="2" s="1"/>
  <c r="J1239" i="2"/>
  <c r="I1239" i="2"/>
  <c r="F1239" i="2"/>
  <c r="K1238" i="2"/>
  <c r="L1238" i="2" s="1"/>
  <c r="J1238" i="2"/>
  <c r="I1238" i="2"/>
  <c r="F1238" i="2"/>
  <c r="K1237" i="2"/>
  <c r="L1237" i="2" s="1"/>
  <c r="J1237" i="2"/>
  <c r="I1237" i="2"/>
  <c r="F1237" i="2"/>
  <c r="K1236" i="2"/>
  <c r="L1236" i="2" s="1"/>
  <c r="J1236" i="2"/>
  <c r="I1236" i="2"/>
  <c r="F1236" i="2"/>
  <c r="K1235" i="2"/>
  <c r="L1235" i="2" s="1"/>
  <c r="J1235" i="2"/>
  <c r="I1235" i="2"/>
  <c r="F1235" i="2"/>
  <c r="J1234" i="2"/>
  <c r="I1234" i="2"/>
  <c r="F1234" i="2"/>
  <c r="J1233" i="2"/>
  <c r="I1233" i="2"/>
  <c r="F1233" i="2"/>
  <c r="J1232" i="2"/>
  <c r="I1232" i="2"/>
  <c r="F1232" i="2"/>
  <c r="J1231" i="2"/>
  <c r="I1231" i="2"/>
  <c r="F1231" i="2"/>
  <c r="J1230" i="2"/>
  <c r="I1230" i="2"/>
  <c r="F1230" i="2"/>
  <c r="K1229" i="2"/>
  <c r="L1229" i="2" s="1"/>
  <c r="J1229" i="2"/>
  <c r="I1229" i="2"/>
  <c r="F1229" i="2"/>
  <c r="K1228" i="2"/>
  <c r="L1228" i="2" s="1"/>
  <c r="J1228" i="2"/>
  <c r="I1228" i="2"/>
  <c r="F1228" i="2"/>
  <c r="K1227" i="2"/>
  <c r="L1227" i="2" s="1"/>
  <c r="J1227" i="2"/>
  <c r="I1227" i="2"/>
  <c r="F1227" i="2"/>
  <c r="K1226" i="2"/>
  <c r="L1226" i="2" s="1"/>
  <c r="J1226" i="2"/>
  <c r="I1226" i="2"/>
  <c r="F1226" i="2"/>
  <c r="K1225" i="2"/>
  <c r="L1225" i="2" s="1"/>
  <c r="J1225" i="2"/>
  <c r="I1225" i="2"/>
  <c r="F1225" i="2"/>
  <c r="K1224" i="2"/>
  <c r="L1224" i="2" s="1"/>
  <c r="J1224" i="2"/>
  <c r="I1224" i="2"/>
  <c r="F1224" i="2"/>
  <c r="K1223" i="2"/>
  <c r="L1223" i="2" s="1"/>
  <c r="J1223" i="2"/>
  <c r="I1223" i="2"/>
  <c r="F1223" i="2"/>
  <c r="K1222" i="2"/>
  <c r="L1222" i="2" s="1"/>
  <c r="J1222" i="2"/>
  <c r="I1222" i="2"/>
  <c r="F1222" i="2"/>
  <c r="K1221" i="2"/>
  <c r="L1221" i="2" s="1"/>
  <c r="J1221" i="2"/>
  <c r="I1221" i="2"/>
  <c r="F1221" i="2"/>
  <c r="K1220" i="2"/>
  <c r="L1220" i="2" s="1"/>
  <c r="J1220" i="2"/>
  <c r="I1220" i="2"/>
  <c r="F1220" i="2"/>
  <c r="K1219" i="2"/>
  <c r="L1219" i="2" s="1"/>
  <c r="J1219" i="2"/>
  <c r="I1219" i="2"/>
  <c r="F1219" i="2"/>
  <c r="K1218" i="2"/>
  <c r="L1218" i="2" s="1"/>
  <c r="J1218" i="2"/>
  <c r="I1218" i="2"/>
  <c r="F1218" i="2"/>
  <c r="K1217" i="2"/>
  <c r="L1217" i="2" s="1"/>
  <c r="J1217" i="2"/>
  <c r="I1217" i="2"/>
  <c r="F1217" i="2"/>
  <c r="K1216" i="2"/>
  <c r="L1216" i="2" s="1"/>
  <c r="J1216" i="2"/>
  <c r="I1216" i="2"/>
  <c r="F1216" i="2"/>
  <c r="K1215" i="2"/>
  <c r="L1215" i="2" s="1"/>
  <c r="J1215" i="2"/>
  <c r="I1215" i="2"/>
  <c r="F1215" i="2"/>
  <c r="K1214" i="2"/>
  <c r="L1214" i="2" s="1"/>
  <c r="J1214" i="2"/>
  <c r="I1214" i="2"/>
  <c r="F1214" i="2"/>
  <c r="K1213" i="2"/>
  <c r="L1213" i="2" s="1"/>
  <c r="J1213" i="2"/>
  <c r="I1213" i="2"/>
  <c r="F1213" i="2"/>
  <c r="K1212" i="2"/>
  <c r="L1212" i="2" s="1"/>
  <c r="J1212" i="2"/>
  <c r="I1212" i="2"/>
  <c r="F1212" i="2"/>
  <c r="K1211" i="2"/>
  <c r="L1211" i="2" s="1"/>
  <c r="J1211" i="2"/>
  <c r="I1211" i="2"/>
  <c r="F1211" i="2"/>
  <c r="K1210" i="2"/>
  <c r="L1210" i="2" s="1"/>
  <c r="J1210" i="2"/>
  <c r="I1210" i="2"/>
  <c r="F1210" i="2"/>
  <c r="K1209" i="2"/>
  <c r="L1209" i="2" s="1"/>
  <c r="J1209" i="2"/>
  <c r="I1209" i="2"/>
  <c r="F1209" i="2"/>
  <c r="K1208" i="2"/>
  <c r="L1208" i="2" s="1"/>
  <c r="J1208" i="2"/>
  <c r="I1208" i="2"/>
  <c r="F1208" i="2"/>
  <c r="K1207" i="2"/>
  <c r="L1207" i="2" s="1"/>
  <c r="J1207" i="2"/>
  <c r="I1207" i="2"/>
  <c r="F1207" i="2"/>
  <c r="K1206" i="2"/>
  <c r="L1206" i="2" s="1"/>
  <c r="J1206" i="2"/>
  <c r="I1206" i="2"/>
  <c r="F1206" i="2"/>
  <c r="K1205" i="2"/>
  <c r="L1205" i="2" s="1"/>
  <c r="J1205" i="2"/>
  <c r="I1205" i="2"/>
  <c r="F1205" i="2"/>
  <c r="K1204" i="2"/>
  <c r="L1204" i="2" s="1"/>
  <c r="J1204" i="2"/>
  <c r="I1204" i="2"/>
  <c r="F1204" i="2"/>
  <c r="K1203" i="2"/>
  <c r="L1203" i="2" s="1"/>
  <c r="J1203" i="2"/>
  <c r="I1203" i="2"/>
  <c r="F1203" i="2"/>
  <c r="K1202" i="2"/>
  <c r="L1202" i="2" s="1"/>
  <c r="J1202" i="2"/>
  <c r="I1202" i="2"/>
  <c r="F1202" i="2"/>
  <c r="K1201" i="2"/>
  <c r="L1201" i="2" s="1"/>
  <c r="J1201" i="2"/>
  <c r="I1201" i="2"/>
  <c r="F1201" i="2"/>
  <c r="K1200" i="2"/>
  <c r="L1200" i="2" s="1"/>
  <c r="J1200" i="2"/>
  <c r="I1200" i="2"/>
  <c r="F1200" i="2"/>
  <c r="J1199" i="2"/>
  <c r="I1199" i="2"/>
  <c r="F1199" i="2"/>
  <c r="K1198" i="2"/>
  <c r="L1198" i="2" s="1"/>
  <c r="J1198" i="2"/>
  <c r="I1198" i="2"/>
  <c r="F1198" i="2"/>
  <c r="K1197" i="2"/>
  <c r="L1197" i="2" s="1"/>
  <c r="J1197" i="2"/>
  <c r="I1197" i="2"/>
  <c r="F1197" i="2"/>
  <c r="K1196" i="2"/>
  <c r="L1196" i="2" s="1"/>
  <c r="J1196" i="2"/>
  <c r="I1196" i="2"/>
  <c r="F1196" i="2"/>
  <c r="K1195" i="2"/>
  <c r="L1195" i="2" s="1"/>
  <c r="J1195" i="2"/>
  <c r="I1195" i="2"/>
  <c r="F1195" i="2"/>
  <c r="K1194" i="2"/>
  <c r="L1194" i="2" s="1"/>
  <c r="J1194" i="2"/>
  <c r="I1194" i="2"/>
  <c r="F1194" i="2"/>
  <c r="K1193" i="2"/>
  <c r="L1193" i="2" s="1"/>
  <c r="J1193" i="2"/>
  <c r="I1193" i="2"/>
  <c r="F1193" i="2"/>
  <c r="K1192" i="2"/>
  <c r="L1192" i="2" s="1"/>
  <c r="J1192" i="2"/>
  <c r="I1192" i="2"/>
  <c r="F1192" i="2"/>
  <c r="K1191" i="2"/>
  <c r="L1191" i="2" s="1"/>
  <c r="J1191" i="2"/>
  <c r="I1191" i="2"/>
  <c r="F1191" i="2"/>
  <c r="K1190" i="2"/>
  <c r="L1190" i="2" s="1"/>
  <c r="J1190" i="2"/>
  <c r="I1190" i="2"/>
  <c r="F1190" i="2"/>
  <c r="K1189" i="2"/>
  <c r="L1189" i="2" s="1"/>
  <c r="J1189" i="2"/>
  <c r="I1189" i="2"/>
  <c r="F1189" i="2"/>
  <c r="K1188" i="2"/>
  <c r="L1188" i="2" s="1"/>
  <c r="J1188" i="2"/>
  <c r="I1188" i="2"/>
  <c r="F1188" i="2"/>
  <c r="K1187" i="2"/>
  <c r="L1187" i="2" s="1"/>
  <c r="J1187" i="2"/>
  <c r="I1187" i="2"/>
  <c r="F1187" i="2"/>
  <c r="K1186" i="2"/>
  <c r="L1186" i="2" s="1"/>
  <c r="J1186" i="2"/>
  <c r="I1186" i="2"/>
  <c r="F1186" i="2"/>
  <c r="J1185" i="2"/>
  <c r="I1185" i="2"/>
  <c r="F1185" i="2"/>
  <c r="K1184" i="2"/>
  <c r="L1184" i="2" s="1"/>
  <c r="J1184" i="2"/>
  <c r="I1184" i="2"/>
  <c r="F1184" i="2"/>
  <c r="J1183" i="2"/>
  <c r="I1183" i="2"/>
  <c r="F1183" i="2"/>
  <c r="J1182" i="2"/>
  <c r="I1182" i="2"/>
  <c r="F1182" i="2"/>
  <c r="K1181" i="2"/>
  <c r="L1181" i="2" s="1"/>
  <c r="J1181" i="2"/>
  <c r="I1181" i="2"/>
  <c r="F1181" i="2"/>
  <c r="K1180" i="2"/>
  <c r="L1180" i="2" s="1"/>
  <c r="J1180" i="2"/>
  <c r="I1180" i="2"/>
  <c r="F1180" i="2"/>
  <c r="K1179" i="2"/>
  <c r="L1179" i="2" s="1"/>
  <c r="J1179" i="2"/>
  <c r="I1179" i="2"/>
  <c r="F1179" i="2"/>
  <c r="K1178" i="2"/>
  <c r="L1178" i="2" s="1"/>
  <c r="J1178" i="2"/>
  <c r="I1178" i="2"/>
  <c r="F1178" i="2"/>
  <c r="J1177" i="2"/>
  <c r="I1177" i="2"/>
  <c r="F1177" i="2"/>
  <c r="J1176" i="2"/>
  <c r="I1176" i="2"/>
  <c r="F1176" i="2"/>
  <c r="K1175" i="2"/>
  <c r="L1175" i="2" s="1"/>
  <c r="J1175" i="2"/>
  <c r="I1175" i="2"/>
  <c r="F1175" i="2"/>
  <c r="K1174" i="2"/>
  <c r="L1174" i="2" s="1"/>
  <c r="J1174" i="2"/>
  <c r="I1174" i="2"/>
  <c r="F1174" i="2"/>
  <c r="K1173" i="2"/>
  <c r="L1173" i="2" s="1"/>
  <c r="J1173" i="2"/>
  <c r="I1173" i="2"/>
  <c r="F1173" i="2"/>
  <c r="K1172" i="2"/>
  <c r="L1172" i="2" s="1"/>
  <c r="J1172" i="2"/>
  <c r="I1172" i="2"/>
  <c r="F1172" i="2"/>
  <c r="K1171" i="2"/>
  <c r="L1171" i="2" s="1"/>
  <c r="J1171" i="2"/>
  <c r="I1171" i="2"/>
  <c r="F1171" i="2"/>
  <c r="J1170" i="2"/>
  <c r="I1170" i="2"/>
  <c r="F1170" i="2"/>
  <c r="J1169" i="2"/>
  <c r="I1169" i="2"/>
  <c r="F1169" i="2"/>
  <c r="K1168" i="2"/>
  <c r="L1168" i="2" s="1"/>
  <c r="J1168" i="2"/>
  <c r="I1168" i="2"/>
  <c r="F1168" i="2"/>
  <c r="K1167" i="2"/>
  <c r="L1167" i="2" s="1"/>
  <c r="J1167" i="2"/>
  <c r="I1167" i="2"/>
  <c r="F1167" i="2"/>
  <c r="K1166" i="2"/>
  <c r="L1166" i="2" s="1"/>
  <c r="J1166" i="2"/>
  <c r="I1166" i="2"/>
  <c r="F1166" i="2"/>
  <c r="J1165" i="2"/>
  <c r="I1165" i="2"/>
  <c r="F1165" i="2"/>
  <c r="K1164" i="2"/>
  <c r="L1164" i="2" s="1"/>
  <c r="J1164" i="2"/>
  <c r="I1164" i="2"/>
  <c r="F1164" i="2"/>
  <c r="J1163" i="2"/>
  <c r="I1163" i="2"/>
  <c r="F1163" i="2"/>
  <c r="K1162" i="2"/>
  <c r="L1162" i="2" s="1"/>
  <c r="J1162" i="2"/>
  <c r="I1162" i="2"/>
  <c r="F1162" i="2"/>
  <c r="K1161" i="2"/>
  <c r="L1161" i="2" s="1"/>
  <c r="J1161" i="2"/>
  <c r="I1161" i="2"/>
  <c r="F1161" i="2"/>
  <c r="K1160" i="2"/>
  <c r="L1160" i="2" s="1"/>
  <c r="J1160" i="2"/>
  <c r="I1160" i="2"/>
  <c r="F1160" i="2"/>
  <c r="K1159" i="2"/>
  <c r="L1159" i="2" s="1"/>
  <c r="J1159" i="2"/>
  <c r="I1159" i="2"/>
  <c r="F1159" i="2"/>
  <c r="K1158" i="2"/>
  <c r="L1158" i="2" s="1"/>
  <c r="J1158" i="2"/>
  <c r="I1158" i="2"/>
  <c r="F1158" i="2"/>
  <c r="K1157" i="2"/>
  <c r="L1157" i="2" s="1"/>
  <c r="J1157" i="2"/>
  <c r="I1157" i="2"/>
  <c r="F1157" i="2"/>
  <c r="J1156" i="2"/>
  <c r="I1156" i="2"/>
  <c r="F1156" i="2"/>
  <c r="J1155" i="2"/>
  <c r="I1155" i="2"/>
  <c r="F1155" i="2"/>
  <c r="K1154" i="2"/>
  <c r="L1154" i="2" s="1"/>
  <c r="J1154" i="2"/>
  <c r="I1154" i="2"/>
  <c r="F1154" i="2"/>
  <c r="K1153" i="2"/>
  <c r="L1153" i="2" s="1"/>
  <c r="J1153" i="2"/>
  <c r="I1153" i="2"/>
  <c r="F1153" i="2"/>
  <c r="K1152" i="2"/>
  <c r="L1152" i="2" s="1"/>
  <c r="J1152" i="2"/>
  <c r="I1152" i="2"/>
  <c r="F1152" i="2"/>
  <c r="K1151" i="2"/>
  <c r="L1151" i="2" s="1"/>
  <c r="J1151" i="2"/>
  <c r="I1151" i="2"/>
  <c r="F1151" i="2"/>
  <c r="K1150" i="2"/>
  <c r="L1150" i="2" s="1"/>
  <c r="J1150" i="2"/>
  <c r="I1150" i="2"/>
  <c r="F1150" i="2"/>
  <c r="K1149" i="2"/>
  <c r="L1149" i="2" s="1"/>
  <c r="J1149" i="2"/>
  <c r="I1149" i="2"/>
  <c r="F1149" i="2"/>
  <c r="K1148" i="2"/>
  <c r="L1148" i="2" s="1"/>
  <c r="J1148" i="2"/>
  <c r="I1148" i="2"/>
  <c r="F1148" i="2"/>
  <c r="K1147" i="2"/>
  <c r="L1147" i="2" s="1"/>
  <c r="J1147" i="2"/>
  <c r="I1147" i="2"/>
  <c r="F1147" i="2"/>
  <c r="K1146" i="2"/>
  <c r="L1146" i="2" s="1"/>
  <c r="J1146" i="2"/>
  <c r="I1146" i="2"/>
  <c r="F1146" i="2"/>
  <c r="K1145" i="2"/>
  <c r="L1145" i="2" s="1"/>
  <c r="J1145" i="2"/>
  <c r="I1145" i="2"/>
  <c r="F1145" i="2"/>
  <c r="J1144" i="2"/>
  <c r="I1144" i="2"/>
  <c r="F1144" i="2"/>
  <c r="J1143" i="2"/>
  <c r="I1143" i="2"/>
  <c r="F1143" i="2"/>
  <c r="J1142" i="2"/>
  <c r="I1142" i="2"/>
  <c r="F1142" i="2"/>
  <c r="J1141" i="2"/>
  <c r="I1141" i="2"/>
  <c r="F1141" i="2"/>
  <c r="J1140" i="2"/>
  <c r="I1140" i="2"/>
  <c r="F1140" i="2"/>
  <c r="J1139" i="2"/>
  <c r="I1139" i="2"/>
  <c r="F1139" i="2"/>
  <c r="J1138" i="2"/>
  <c r="I1138" i="2"/>
  <c r="F1138" i="2"/>
  <c r="J1137" i="2"/>
  <c r="I1137" i="2"/>
  <c r="F1137" i="2"/>
  <c r="K1136" i="2"/>
  <c r="L1136" i="2" s="1"/>
  <c r="J1136" i="2"/>
  <c r="I1136" i="2"/>
  <c r="F1136" i="2"/>
  <c r="K1135" i="2"/>
  <c r="L1135" i="2" s="1"/>
  <c r="J1135" i="2"/>
  <c r="I1135" i="2"/>
  <c r="F1135" i="2"/>
  <c r="K1134" i="2"/>
  <c r="L1134" i="2" s="1"/>
  <c r="J1134" i="2"/>
  <c r="I1134" i="2"/>
  <c r="F1134" i="2"/>
  <c r="K1133" i="2"/>
  <c r="L1133" i="2" s="1"/>
  <c r="J1133" i="2"/>
  <c r="I1133" i="2"/>
  <c r="F1133" i="2"/>
  <c r="K1132" i="2"/>
  <c r="L1132" i="2" s="1"/>
  <c r="J1132" i="2"/>
  <c r="I1132" i="2"/>
  <c r="F1132" i="2"/>
  <c r="K1131" i="2"/>
  <c r="L1131" i="2" s="1"/>
  <c r="J1131" i="2"/>
  <c r="I1131" i="2"/>
  <c r="F1131" i="2"/>
  <c r="K1130" i="2"/>
  <c r="L1130" i="2" s="1"/>
  <c r="J1130" i="2"/>
  <c r="I1130" i="2"/>
  <c r="F1130" i="2"/>
  <c r="K1129" i="2"/>
  <c r="L1129" i="2" s="1"/>
  <c r="J1129" i="2"/>
  <c r="I1129" i="2"/>
  <c r="F1129" i="2"/>
  <c r="K1128" i="2"/>
  <c r="L1128" i="2" s="1"/>
  <c r="J1128" i="2"/>
  <c r="I1128" i="2"/>
  <c r="F1128" i="2"/>
  <c r="K1127" i="2"/>
  <c r="L1127" i="2" s="1"/>
  <c r="J1127" i="2"/>
  <c r="I1127" i="2"/>
  <c r="F1127" i="2"/>
  <c r="K1126" i="2"/>
  <c r="L1126" i="2" s="1"/>
  <c r="J1126" i="2"/>
  <c r="I1126" i="2"/>
  <c r="F1126" i="2"/>
  <c r="K1125" i="2"/>
  <c r="L1125" i="2" s="1"/>
  <c r="J1125" i="2"/>
  <c r="I1125" i="2"/>
  <c r="F1125" i="2"/>
  <c r="K1124" i="2"/>
  <c r="L1124" i="2" s="1"/>
  <c r="J1124" i="2"/>
  <c r="I1124" i="2"/>
  <c r="F1124" i="2"/>
  <c r="K1123" i="2"/>
  <c r="L1123" i="2" s="1"/>
  <c r="J1123" i="2"/>
  <c r="I1123" i="2"/>
  <c r="F1123" i="2"/>
  <c r="J1122" i="2"/>
  <c r="I1122" i="2"/>
  <c r="F1122" i="2"/>
  <c r="K1121" i="2"/>
  <c r="L1121" i="2" s="1"/>
  <c r="J1121" i="2"/>
  <c r="I1121" i="2"/>
  <c r="F1121" i="2"/>
  <c r="K1120" i="2"/>
  <c r="L1120" i="2" s="1"/>
  <c r="J1120" i="2"/>
  <c r="I1120" i="2"/>
  <c r="F1120" i="2"/>
  <c r="K1119" i="2"/>
  <c r="L1119" i="2" s="1"/>
  <c r="J1119" i="2"/>
  <c r="I1119" i="2"/>
  <c r="F1119" i="2"/>
  <c r="K1118" i="2"/>
  <c r="L1118" i="2" s="1"/>
  <c r="J1118" i="2"/>
  <c r="I1118" i="2"/>
  <c r="F1118" i="2"/>
  <c r="K1117" i="2"/>
  <c r="L1117" i="2" s="1"/>
  <c r="J1117" i="2"/>
  <c r="I1117" i="2"/>
  <c r="F1117" i="2"/>
  <c r="J1116" i="2"/>
  <c r="I1116" i="2"/>
  <c r="F1116" i="2"/>
  <c r="L1115" i="2"/>
  <c r="K1115" i="2"/>
  <c r="J1115" i="2"/>
  <c r="I1115" i="2"/>
  <c r="F1115" i="2"/>
  <c r="L1114" i="2"/>
  <c r="K1114" i="2"/>
  <c r="J1114" i="2"/>
  <c r="I1114" i="2"/>
  <c r="F1114" i="2"/>
  <c r="L1113" i="2"/>
  <c r="K1113" i="2"/>
  <c r="J1113" i="2"/>
  <c r="I1113" i="2"/>
  <c r="F1113" i="2"/>
  <c r="L1112" i="2"/>
  <c r="K1112" i="2"/>
  <c r="J1112" i="2"/>
  <c r="I1112" i="2"/>
  <c r="F1112" i="2"/>
  <c r="L1111" i="2"/>
  <c r="K1111" i="2"/>
  <c r="J1111" i="2"/>
  <c r="I1111" i="2"/>
  <c r="F1111" i="2"/>
  <c r="L1110" i="2"/>
  <c r="K1110" i="2"/>
  <c r="J1110" i="2"/>
  <c r="I1110" i="2"/>
  <c r="F1110" i="2"/>
  <c r="L1109" i="2"/>
  <c r="K1109" i="2"/>
  <c r="J1109" i="2"/>
  <c r="I1109" i="2"/>
  <c r="F1109" i="2"/>
  <c r="L1108" i="2"/>
  <c r="K1108" i="2"/>
  <c r="J1108" i="2"/>
  <c r="I1108" i="2"/>
  <c r="F1108" i="2"/>
  <c r="L1107" i="2"/>
  <c r="K1107" i="2"/>
  <c r="J1107" i="2"/>
  <c r="I1107" i="2"/>
  <c r="F1107" i="2"/>
  <c r="L1106" i="2"/>
  <c r="K1106" i="2"/>
  <c r="J1106" i="2"/>
  <c r="I1106" i="2"/>
  <c r="F1106" i="2"/>
  <c r="L1105" i="2"/>
  <c r="K1105" i="2"/>
  <c r="J1105" i="2"/>
  <c r="I1105" i="2"/>
  <c r="F1105" i="2"/>
  <c r="L1104" i="2"/>
  <c r="K1104" i="2"/>
  <c r="J1104" i="2"/>
  <c r="I1104" i="2"/>
  <c r="F1104" i="2"/>
  <c r="K1103" i="2"/>
  <c r="L1103" i="2" s="1"/>
  <c r="J1103" i="2"/>
  <c r="I1103" i="2"/>
  <c r="F1103" i="2"/>
  <c r="L1102" i="2"/>
  <c r="K1102" i="2"/>
  <c r="J1102" i="2"/>
  <c r="I1102" i="2"/>
  <c r="F1102" i="2"/>
  <c r="K1101" i="2"/>
  <c r="L1101" i="2" s="1"/>
  <c r="J1101" i="2"/>
  <c r="I1101" i="2"/>
  <c r="F1101" i="2"/>
  <c r="L1100" i="2"/>
  <c r="K1100" i="2"/>
  <c r="J1100" i="2"/>
  <c r="I1100" i="2"/>
  <c r="F1100" i="2"/>
  <c r="K1099" i="2"/>
  <c r="L1099" i="2" s="1"/>
  <c r="J1099" i="2"/>
  <c r="I1099" i="2"/>
  <c r="F1099" i="2"/>
  <c r="L1098" i="2"/>
  <c r="K1098" i="2"/>
  <c r="J1098" i="2"/>
  <c r="I1098" i="2"/>
  <c r="F1098" i="2"/>
  <c r="J1097" i="2"/>
  <c r="I1097" i="2"/>
  <c r="F1097" i="2"/>
  <c r="J1096" i="2"/>
  <c r="I1096" i="2"/>
  <c r="F1096" i="2"/>
  <c r="K1095" i="2"/>
  <c r="L1095" i="2" s="1"/>
  <c r="J1095" i="2"/>
  <c r="I1095" i="2"/>
  <c r="F1095" i="2"/>
  <c r="L1094" i="2"/>
  <c r="K1094" i="2"/>
  <c r="J1094" i="2"/>
  <c r="I1094" i="2"/>
  <c r="F1094" i="2"/>
  <c r="K1093" i="2"/>
  <c r="L1093" i="2" s="1"/>
  <c r="J1093" i="2"/>
  <c r="I1093" i="2"/>
  <c r="F1093" i="2"/>
  <c r="L1092" i="2"/>
  <c r="K1092" i="2"/>
  <c r="J1092" i="2"/>
  <c r="I1092" i="2"/>
  <c r="F1092" i="2"/>
  <c r="K1091" i="2"/>
  <c r="L1091" i="2" s="1"/>
  <c r="J1091" i="2"/>
  <c r="I1091" i="2"/>
  <c r="F1091" i="2"/>
  <c r="L1090" i="2"/>
  <c r="K1090" i="2"/>
  <c r="J1090" i="2"/>
  <c r="I1090" i="2"/>
  <c r="F1090" i="2"/>
  <c r="K1089" i="2"/>
  <c r="L1089" i="2" s="1"/>
  <c r="J1089" i="2"/>
  <c r="I1089" i="2"/>
  <c r="F1089" i="2"/>
  <c r="L1088" i="2"/>
  <c r="K1088" i="2"/>
  <c r="J1088" i="2"/>
  <c r="I1088" i="2"/>
  <c r="F1088" i="2"/>
  <c r="J1087" i="2"/>
  <c r="I1087" i="2"/>
  <c r="F1087" i="2"/>
  <c r="L1086" i="2"/>
  <c r="K1086" i="2"/>
  <c r="J1086" i="2"/>
  <c r="I1086" i="2"/>
  <c r="F1086" i="2"/>
  <c r="K1085" i="2"/>
  <c r="L1085" i="2" s="1"/>
  <c r="J1085" i="2"/>
  <c r="I1085" i="2"/>
  <c r="F1085" i="2"/>
  <c r="J1084" i="2"/>
  <c r="I1084" i="2"/>
  <c r="F1084" i="2"/>
  <c r="K1083" i="2"/>
  <c r="L1083" i="2" s="1"/>
  <c r="J1083" i="2"/>
  <c r="I1083" i="2"/>
  <c r="F1083" i="2"/>
  <c r="L1082" i="2"/>
  <c r="K1082" i="2"/>
  <c r="J1082" i="2"/>
  <c r="I1082" i="2"/>
  <c r="F1082" i="2"/>
  <c r="K1081" i="2"/>
  <c r="L1081" i="2" s="1"/>
  <c r="J1081" i="2"/>
  <c r="I1081" i="2"/>
  <c r="F1081" i="2"/>
  <c r="J1080" i="2"/>
  <c r="I1080" i="2"/>
  <c r="F1080" i="2"/>
  <c r="K1079" i="2"/>
  <c r="L1079" i="2" s="1"/>
  <c r="J1079" i="2"/>
  <c r="I1079" i="2"/>
  <c r="F1079" i="2"/>
  <c r="L1078" i="2"/>
  <c r="K1078" i="2"/>
  <c r="J1078" i="2"/>
  <c r="I1078" i="2"/>
  <c r="F1078" i="2"/>
  <c r="K1077" i="2"/>
  <c r="L1077" i="2" s="1"/>
  <c r="J1077" i="2"/>
  <c r="I1077" i="2"/>
  <c r="F1077" i="2"/>
  <c r="L1076" i="2"/>
  <c r="K1076" i="2"/>
  <c r="J1076" i="2"/>
  <c r="I1076" i="2"/>
  <c r="F1076" i="2"/>
  <c r="K1075" i="2"/>
  <c r="L1075" i="2" s="1"/>
  <c r="J1075" i="2"/>
  <c r="I1075" i="2"/>
  <c r="F1075" i="2"/>
  <c r="L1074" i="2"/>
  <c r="K1074" i="2"/>
  <c r="J1074" i="2"/>
  <c r="I1074" i="2"/>
  <c r="F1074" i="2"/>
  <c r="K1073" i="2"/>
  <c r="L1073" i="2" s="1"/>
  <c r="J1073" i="2"/>
  <c r="I1073" i="2"/>
  <c r="F1073" i="2"/>
  <c r="L1072" i="2"/>
  <c r="K1072" i="2"/>
  <c r="J1072" i="2"/>
  <c r="I1072" i="2"/>
  <c r="F1072" i="2"/>
  <c r="K1071" i="2"/>
  <c r="L1071" i="2" s="1"/>
  <c r="J1071" i="2"/>
  <c r="I1071" i="2"/>
  <c r="F1071" i="2"/>
  <c r="L1070" i="2"/>
  <c r="K1070" i="2"/>
  <c r="J1070" i="2"/>
  <c r="I1070" i="2"/>
  <c r="F1070" i="2"/>
  <c r="K1069" i="2"/>
  <c r="L1069" i="2" s="1"/>
  <c r="J1069" i="2"/>
  <c r="I1069" i="2"/>
  <c r="K1068" i="2"/>
  <c r="J1068" i="2"/>
  <c r="L1068" i="2" s="1"/>
  <c r="I1068" i="2"/>
  <c r="F1068" i="2"/>
  <c r="J1067" i="2"/>
  <c r="I1067" i="2"/>
  <c r="F1067" i="2"/>
  <c r="K1066" i="2"/>
  <c r="J1066" i="2"/>
  <c r="L1066" i="2" s="1"/>
  <c r="I1066" i="2"/>
  <c r="F1066" i="2"/>
  <c r="K1065" i="2"/>
  <c r="J1065" i="2"/>
  <c r="L1065" i="2" s="1"/>
  <c r="I1065" i="2"/>
  <c r="F1065" i="2"/>
  <c r="K1064" i="2"/>
  <c r="J1064" i="2"/>
  <c r="L1064" i="2" s="1"/>
  <c r="I1064" i="2"/>
  <c r="F1064" i="2"/>
  <c r="K1063" i="2"/>
  <c r="J1063" i="2"/>
  <c r="L1063" i="2" s="1"/>
  <c r="I1063" i="2"/>
  <c r="F1063" i="2"/>
  <c r="K1062" i="2"/>
  <c r="J1062" i="2"/>
  <c r="L1062" i="2" s="1"/>
  <c r="I1062" i="2"/>
  <c r="F1062" i="2"/>
  <c r="K1061" i="2"/>
  <c r="J1061" i="2"/>
  <c r="L1061" i="2" s="1"/>
  <c r="I1061" i="2"/>
  <c r="F1061" i="2"/>
  <c r="K1060" i="2"/>
  <c r="J1060" i="2"/>
  <c r="L1060" i="2" s="1"/>
  <c r="I1060" i="2"/>
  <c r="F1060" i="2"/>
  <c r="J1059" i="2"/>
  <c r="I1059" i="2"/>
  <c r="F1059" i="2"/>
  <c r="K1058" i="2"/>
  <c r="J1058" i="2"/>
  <c r="L1058" i="2" s="1"/>
  <c r="I1058" i="2"/>
  <c r="F1058" i="2"/>
  <c r="K1057" i="2"/>
  <c r="J1057" i="2"/>
  <c r="I1057" i="2"/>
  <c r="F1057" i="2"/>
  <c r="K1056" i="2"/>
  <c r="J1056" i="2"/>
  <c r="L1056" i="2" s="1"/>
  <c r="I1056" i="2"/>
  <c r="F1056" i="2"/>
  <c r="K1055" i="2"/>
  <c r="J1055" i="2"/>
  <c r="L1055" i="2" s="1"/>
  <c r="I1055" i="2"/>
  <c r="F1055" i="2"/>
  <c r="K1054" i="2"/>
  <c r="J1054" i="2"/>
  <c r="L1054" i="2" s="1"/>
  <c r="I1054" i="2"/>
  <c r="F1054" i="2"/>
  <c r="K1053" i="2"/>
  <c r="J1053" i="2"/>
  <c r="L1053" i="2" s="1"/>
  <c r="I1053" i="2"/>
  <c r="F1053" i="2"/>
  <c r="K1052" i="2"/>
  <c r="J1052" i="2"/>
  <c r="L1052" i="2" s="1"/>
  <c r="I1052" i="2"/>
  <c r="F1052" i="2"/>
  <c r="K1051" i="2"/>
  <c r="J1051" i="2"/>
  <c r="L1051" i="2" s="1"/>
  <c r="I1051" i="2"/>
  <c r="F1051" i="2"/>
  <c r="K1050" i="2"/>
  <c r="J1050" i="2"/>
  <c r="L1050" i="2" s="1"/>
  <c r="I1050" i="2"/>
  <c r="F1050" i="2"/>
  <c r="K1049" i="2"/>
  <c r="J1049" i="2"/>
  <c r="I1049" i="2"/>
  <c r="F1049" i="2"/>
  <c r="K1048" i="2"/>
  <c r="J1048" i="2"/>
  <c r="L1048" i="2" s="1"/>
  <c r="I1048" i="2"/>
  <c r="F1048" i="2"/>
  <c r="K1047" i="2"/>
  <c r="J1047" i="2"/>
  <c r="I1047" i="2"/>
  <c r="F1047" i="2"/>
  <c r="J1046" i="2"/>
  <c r="I1046" i="2"/>
  <c r="F1046" i="2"/>
  <c r="K1045" i="2"/>
  <c r="J1045" i="2"/>
  <c r="L1045" i="2" s="1"/>
  <c r="I1045" i="2"/>
  <c r="F1045" i="2"/>
  <c r="J1044" i="2"/>
  <c r="I1044" i="2"/>
  <c r="F1044" i="2"/>
  <c r="K1043" i="2"/>
  <c r="J1043" i="2"/>
  <c r="I1043" i="2"/>
  <c r="F1043" i="2"/>
  <c r="K1042" i="2"/>
  <c r="J1042" i="2"/>
  <c r="L1042" i="2" s="1"/>
  <c r="I1042" i="2"/>
  <c r="F1042" i="2"/>
  <c r="K1041" i="2"/>
  <c r="J1041" i="2"/>
  <c r="I1041" i="2"/>
  <c r="F1041" i="2"/>
  <c r="K1040" i="2"/>
  <c r="J1040" i="2"/>
  <c r="L1040" i="2" s="1"/>
  <c r="I1040" i="2"/>
  <c r="F1040" i="2"/>
  <c r="K1039" i="2"/>
  <c r="J1039" i="2"/>
  <c r="I1039" i="2"/>
  <c r="F1039" i="2"/>
  <c r="K1038" i="2"/>
  <c r="J1038" i="2"/>
  <c r="L1038" i="2" s="1"/>
  <c r="I1038" i="2"/>
  <c r="F1038" i="2"/>
  <c r="K1037" i="2"/>
  <c r="J1037" i="2"/>
  <c r="I1037" i="2"/>
  <c r="F1037" i="2"/>
  <c r="K1036" i="2"/>
  <c r="J1036" i="2"/>
  <c r="L1036" i="2" s="1"/>
  <c r="I1036" i="2"/>
  <c r="F1036" i="2"/>
  <c r="K1035" i="2"/>
  <c r="J1035" i="2"/>
  <c r="L1035" i="2" s="1"/>
  <c r="I1035" i="2"/>
  <c r="F1035" i="2"/>
  <c r="K1034" i="2"/>
  <c r="J1034" i="2"/>
  <c r="L1034" i="2" s="1"/>
  <c r="I1034" i="2"/>
  <c r="F1034" i="2"/>
  <c r="J1033" i="2"/>
  <c r="I1033" i="2"/>
  <c r="F1033" i="2"/>
  <c r="J1032" i="2"/>
  <c r="I1032" i="2"/>
  <c r="F1032" i="2"/>
  <c r="K1031" i="2"/>
  <c r="J1031" i="2"/>
  <c r="I1031" i="2"/>
  <c r="F1031" i="2"/>
  <c r="J1030" i="2"/>
  <c r="I1030" i="2"/>
  <c r="F1030" i="2"/>
  <c r="J1029" i="2"/>
  <c r="I1029" i="2"/>
  <c r="F1029" i="2"/>
  <c r="J1028" i="2"/>
  <c r="I1028" i="2"/>
  <c r="F1028" i="2"/>
  <c r="J1027" i="2"/>
  <c r="I1027" i="2"/>
  <c r="F1027" i="2"/>
  <c r="J1026" i="2"/>
  <c r="I1026" i="2"/>
  <c r="F1026" i="2"/>
  <c r="K1025" i="2"/>
  <c r="J1025" i="2"/>
  <c r="I1025" i="2"/>
  <c r="F1025" i="2"/>
  <c r="K1024" i="2"/>
  <c r="J1024" i="2"/>
  <c r="I1024" i="2"/>
  <c r="F1024" i="2"/>
  <c r="K1023" i="2"/>
  <c r="J1023" i="2"/>
  <c r="I1023" i="2"/>
  <c r="F1023" i="2"/>
  <c r="K1022" i="2"/>
  <c r="J1022" i="2"/>
  <c r="I1022" i="2"/>
  <c r="F1022" i="2"/>
  <c r="K1021" i="2"/>
  <c r="J1021" i="2"/>
  <c r="I1021" i="2"/>
  <c r="F1021" i="2"/>
  <c r="K1020" i="2"/>
  <c r="J1020" i="2"/>
  <c r="I1020" i="2"/>
  <c r="F1020" i="2"/>
  <c r="K1019" i="2"/>
  <c r="J1019" i="2"/>
  <c r="I1019" i="2"/>
  <c r="F1019" i="2"/>
  <c r="K1018" i="2"/>
  <c r="J1018" i="2"/>
  <c r="I1018" i="2"/>
  <c r="F1018" i="2"/>
  <c r="K1017" i="2"/>
  <c r="J1017" i="2"/>
  <c r="I1017" i="2"/>
  <c r="F1017" i="2"/>
  <c r="K1016" i="2"/>
  <c r="J1016" i="2"/>
  <c r="I1016" i="2"/>
  <c r="F1016" i="2"/>
  <c r="J1015" i="2"/>
  <c r="I1015" i="2"/>
  <c r="F1015" i="2"/>
  <c r="K1014" i="2"/>
  <c r="J1014" i="2"/>
  <c r="I1014" i="2"/>
  <c r="F1014" i="2"/>
  <c r="K1013" i="2"/>
  <c r="J1013" i="2"/>
  <c r="I1013" i="2"/>
  <c r="F1013" i="2"/>
  <c r="K1012" i="2"/>
  <c r="J1012" i="2"/>
  <c r="I1012" i="2"/>
  <c r="F1012" i="2"/>
  <c r="J1011" i="2"/>
  <c r="I1011" i="2"/>
  <c r="F1011" i="2"/>
  <c r="K1010" i="2"/>
  <c r="J1010" i="2"/>
  <c r="I1010" i="2"/>
  <c r="F1010" i="2"/>
  <c r="K1009" i="2"/>
  <c r="J1009" i="2"/>
  <c r="I1009" i="2"/>
  <c r="F1009" i="2"/>
  <c r="K1008" i="2"/>
  <c r="J1008" i="2"/>
  <c r="I1008" i="2"/>
  <c r="F1008" i="2"/>
  <c r="K1007" i="2"/>
  <c r="J1007" i="2"/>
  <c r="I1007" i="2"/>
  <c r="F1007" i="2"/>
  <c r="K1006" i="2"/>
  <c r="J1006" i="2"/>
  <c r="I1006" i="2"/>
  <c r="F1006" i="2"/>
  <c r="K1005" i="2"/>
  <c r="J1005" i="2"/>
  <c r="I1005" i="2"/>
  <c r="F1005" i="2"/>
  <c r="K1004" i="2"/>
  <c r="J1004" i="2"/>
  <c r="I1004" i="2"/>
  <c r="F1004" i="2"/>
  <c r="J1003" i="2"/>
  <c r="I1003" i="2"/>
  <c r="F1003" i="2"/>
  <c r="J1002" i="2"/>
  <c r="I1002" i="2"/>
  <c r="F1002" i="2"/>
  <c r="K1001" i="2"/>
  <c r="J1001" i="2"/>
  <c r="I1001" i="2"/>
  <c r="F1001" i="2"/>
  <c r="K1000" i="2"/>
  <c r="J1000" i="2"/>
  <c r="I1000" i="2"/>
  <c r="F1000" i="2"/>
  <c r="K999" i="2"/>
  <c r="J999" i="2"/>
  <c r="I999" i="2"/>
  <c r="F999" i="2"/>
  <c r="K998" i="2"/>
  <c r="J998" i="2"/>
  <c r="I998" i="2"/>
  <c r="F998" i="2"/>
  <c r="K997" i="2"/>
  <c r="J997" i="2"/>
  <c r="I997" i="2"/>
  <c r="F997" i="2"/>
  <c r="K996" i="2"/>
  <c r="J996" i="2"/>
  <c r="I996" i="2"/>
  <c r="F996" i="2"/>
  <c r="K995" i="2"/>
  <c r="J995" i="2"/>
  <c r="I995" i="2"/>
  <c r="F995" i="2"/>
  <c r="K994" i="2"/>
  <c r="J994" i="2"/>
  <c r="I994" i="2"/>
  <c r="F994" i="2"/>
  <c r="K993" i="2"/>
  <c r="J993" i="2"/>
  <c r="I993" i="2"/>
  <c r="F993" i="2"/>
  <c r="K992" i="2"/>
  <c r="J992" i="2"/>
  <c r="I992" i="2"/>
  <c r="F992" i="2"/>
  <c r="K991" i="2"/>
  <c r="J991" i="2"/>
  <c r="I991" i="2"/>
  <c r="F991" i="2"/>
  <c r="K990" i="2"/>
  <c r="J990" i="2"/>
  <c r="I990" i="2"/>
  <c r="F990" i="2"/>
  <c r="K989" i="2"/>
  <c r="J989" i="2"/>
  <c r="I989" i="2"/>
  <c r="F989" i="2"/>
  <c r="K988" i="2"/>
  <c r="J988" i="2"/>
  <c r="I988" i="2"/>
  <c r="F988" i="2"/>
  <c r="K987" i="2"/>
  <c r="J987" i="2"/>
  <c r="I987" i="2"/>
  <c r="F987" i="2"/>
  <c r="K986" i="2"/>
  <c r="J986" i="2"/>
  <c r="I986" i="2"/>
  <c r="F986" i="2"/>
  <c r="K985" i="2"/>
  <c r="J985" i="2"/>
  <c r="I985" i="2"/>
  <c r="F985" i="2"/>
  <c r="J984" i="2"/>
  <c r="I984" i="2"/>
  <c r="F984" i="2"/>
  <c r="K983" i="2"/>
  <c r="J983" i="2"/>
  <c r="I983" i="2"/>
  <c r="F983" i="2"/>
  <c r="J982" i="2"/>
  <c r="I982" i="2"/>
  <c r="F982" i="2"/>
  <c r="J981" i="2"/>
  <c r="I981" i="2"/>
  <c r="F981" i="2"/>
  <c r="K980" i="2"/>
  <c r="J980" i="2"/>
  <c r="I980" i="2"/>
  <c r="F980" i="2"/>
  <c r="J979" i="2"/>
  <c r="I979" i="2"/>
  <c r="F979" i="2"/>
  <c r="K978" i="2"/>
  <c r="J978" i="2"/>
  <c r="I978" i="2"/>
  <c r="F978" i="2"/>
  <c r="K977" i="2"/>
  <c r="J977" i="2"/>
  <c r="I977" i="2"/>
  <c r="F977" i="2"/>
  <c r="K976" i="2"/>
  <c r="J976" i="2"/>
  <c r="I976" i="2"/>
  <c r="F976" i="2"/>
  <c r="K975" i="2"/>
  <c r="J975" i="2"/>
  <c r="I975" i="2"/>
  <c r="F975" i="2"/>
  <c r="K974" i="2"/>
  <c r="J974" i="2"/>
  <c r="I974" i="2"/>
  <c r="F974" i="2"/>
  <c r="K973" i="2"/>
  <c r="J973" i="2"/>
  <c r="I973" i="2"/>
  <c r="F973" i="2"/>
  <c r="K972" i="2"/>
  <c r="J972" i="2"/>
  <c r="I972" i="2"/>
  <c r="F972" i="2"/>
  <c r="K971" i="2"/>
  <c r="J971" i="2"/>
  <c r="I971" i="2"/>
  <c r="F971" i="2"/>
  <c r="J970" i="2"/>
  <c r="I970" i="2"/>
  <c r="F970" i="2"/>
  <c r="K969" i="2"/>
  <c r="J969" i="2"/>
  <c r="I969" i="2"/>
  <c r="F969" i="2"/>
  <c r="K968" i="2"/>
  <c r="J968" i="2"/>
  <c r="I968" i="2"/>
  <c r="F968" i="2"/>
  <c r="K967" i="2"/>
  <c r="J967" i="2"/>
  <c r="I967" i="2"/>
  <c r="F967" i="2"/>
  <c r="K966" i="2"/>
  <c r="J966" i="2"/>
  <c r="I966" i="2"/>
  <c r="F966" i="2"/>
  <c r="K965" i="2"/>
  <c r="J965" i="2"/>
  <c r="I965" i="2"/>
  <c r="F965" i="2"/>
  <c r="K964" i="2"/>
  <c r="J964" i="2"/>
  <c r="I964" i="2"/>
  <c r="F964" i="2"/>
  <c r="K963" i="2"/>
  <c r="J963" i="2"/>
  <c r="I963" i="2"/>
  <c r="F963" i="2"/>
  <c r="K962" i="2"/>
  <c r="J962" i="2"/>
  <c r="I962" i="2"/>
  <c r="F962" i="2"/>
  <c r="K961" i="2"/>
  <c r="J961" i="2"/>
  <c r="I961" i="2"/>
  <c r="F961" i="2"/>
  <c r="K960" i="2"/>
  <c r="J960" i="2"/>
  <c r="I960" i="2"/>
  <c r="F960" i="2"/>
  <c r="K959" i="2"/>
  <c r="J959" i="2"/>
  <c r="I959" i="2"/>
  <c r="F959" i="2"/>
  <c r="J958" i="2"/>
  <c r="I958" i="2"/>
  <c r="F958" i="2"/>
  <c r="K957" i="2"/>
  <c r="J957" i="2"/>
  <c r="I957" i="2"/>
  <c r="F957" i="2"/>
  <c r="K956" i="2"/>
  <c r="J956" i="2"/>
  <c r="I956" i="2"/>
  <c r="F956" i="2"/>
  <c r="K955" i="2"/>
  <c r="J955" i="2"/>
  <c r="I955" i="2"/>
  <c r="F955" i="2"/>
  <c r="K954" i="2"/>
  <c r="J954" i="2"/>
  <c r="I954" i="2"/>
  <c r="F954" i="2"/>
  <c r="K953" i="2"/>
  <c r="J953" i="2"/>
  <c r="I953" i="2"/>
  <c r="F953" i="2"/>
  <c r="K952" i="2"/>
  <c r="J952" i="2"/>
  <c r="I952" i="2"/>
  <c r="F952" i="2"/>
  <c r="K951" i="2"/>
  <c r="J951" i="2"/>
  <c r="I951" i="2"/>
  <c r="F951" i="2"/>
  <c r="K950" i="2"/>
  <c r="J950" i="2"/>
  <c r="I950" i="2"/>
  <c r="F950" i="2"/>
  <c r="K949" i="2"/>
  <c r="J949" i="2"/>
  <c r="I949" i="2"/>
  <c r="F949" i="2"/>
  <c r="K948" i="2"/>
  <c r="J948" i="2"/>
  <c r="I948" i="2"/>
  <c r="F948" i="2"/>
  <c r="K947" i="2"/>
  <c r="J947" i="2"/>
  <c r="I947" i="2"/>
  <c r="F947" i="2"/>
  <c r="K946" i="2"/>
  <c r="J946" i="2"/>
  <c r="I946" i="2"/>
  <c r="F946" i="2"/>
  <c r="K945" i="2"/>
  <c r="J945" i="2"/>
  <c r="I945" i="2"/>
  <c r="F945" i="2"/>
  <c r="K944" i="2"/>
  <c r="J944" i="2"/>
  <c r="I944" i="2"/>
  <c r="F944" i="2"/>
  <c r="K943" i="2"/>
  <c r="J943" i="2"/>
  <c r="I943" i="2"/>
  <c r="F943" i="2"/>
  <c r="J942" i="2"/>
  <c r="I942" i="2"/>
  <c r="F942" i="2"/>
  <c r="K941" i="2"/>
  <c r="J941" i="2"/>
  <c r="I941" i="2"/>
  <c r="F941" i="2"/>
  <c r="K940" i="2"/>
  <c r="J940" i="2"/>
  <c r="I940" i="2"/>
  <c r="F940" i="2"/>
  <c r="K939" i="2"/>
  <c r="J939" i="2"/>
  <c r="I939" i="2"/>
  <c r="F939" i="2"/>
  <c r="J938" i="2"/>
  <c r="I938" i="2"/>
  <c r="F938" i="2"/>
  <c r="K937" i="2"/>
  <c r="J937" i="2"/>
  <c r="I937" i="2"/>
  <c r="F937" i="2"/>
  <c r="J936" i="2"/>
  <c r="I936" i="2"/>
  <c r="F936" i="2"/>
  <c r="J935" i="2"/>
  <c r="I935" i="2"/>
  <c r="F935" i="2"/>
  <c r="J934" i="2"/>
  <c r="I934" i="2"/>
  <c r="F934" i="2"/>
  <c r="J933" i="2"/>
  <c r="I933" i="2"/>
  <c r="F933" i="2"/>
  <c r="K932" i="2"/>
  <c r="J932" i="2"/>
  <c r="I932" i="2"/>
  <c r="F932" i="2"/>
  <c r="J931" i="2"/>
  <c r="I931" i="2"/>
  <c r="F931" i="2"/>
  <c r="J930" i="2"/>
  <c r="I930" i="2"/>
  <c r="F930" i="2"/>
  <c r="K929" i="2"/>
  <c r="J929" i="2"/>
  <c r="I929" i="2"/>
  <c r="F929" i="2"/>
  <c r="K928" i="2"/>
  <c r="J928" i="2"/>
  <c r="I928" i="2"/>
  <c r="F928" i="2"/>
  <c r="K927" i="2"/>
  <c r="J927" i="2"/>
  <c r="I927" i="2"/>
  <c r="F927" i="2"/>
  <c r="K926" i="2"/>
  <c r="J926" i="2"/>
  <c r="I926" i="2"/>
  <c r="F926" i="2"/>
  <c r="K925" i="2"/>
  <c r="J925" i="2"/>
  <c r="I925" i="2"/>
  <c r="F925" i="2"/>
  <c r="K924" i="2"/>
  <c r="J924" i="2"/>
  <c r="I924" i="2"/>
  <c r="F924" i="2"/>
  <c r="K923" i="2"/>
  <c r="J923" i="2"/>
  <c r="I923" i="2"/>
  <c r="F923" i="2"/>
  <c r="K922" i="2"/>
  <c r="J922" i="2"/>
  <c r="I922" i="2"/>
  <c r="F922" i="2"/>
  <c r="K921" i="2"/>
  <c r="J921" i="2"/>
  <c r="I921" i="2"/>
  <c r="F921" i="2"/>
  <c r="K920" i="2"/>
  <c r="J920" i="2"/>
  <c r="I920" i="2"/>
  <c r="F920" i="2"/>
  <c r="K919" i="2"/>
  <c r="J919" i="2"/>
  <c r="I919" i="2"/>
  <c r="F919" i="2"/>
  <c r="K918" i="2"/>
  <c r="J918" i="2"/>
  <c r="I918" i="2"/>
  <c r="F918" i="2"/>
  <c r="K917" i="2"/>
  <c r="J917" i="2"/>
  <c r="I917" i="2"/>
  <c r="F917" i="2"/>
  <c r="K916" i="2"/>
  <c r="J916" i="2"/>
  <c r="I916" i="2"/>
  <c r="F916" i="2"/>
  <c r="K915" i="2"/>
  <c r="J915" i="2"/>
  <c r="I915" i="2"/>
  <c r="F915" i="2"/>
  <c r="K914" i="2"/>
  <c r="J914" i="2"/>
  <c r="I914" i="2"/>
  <c r="F914" i="2"/>
  <c r="K913" i="2"/>
  <c r="J913" i="2"/>
  <c r="I913" i="2"/>
  <c r="F913" i="2"/>
  <c r="K912" i="2"/>
  <c r="J912" i="2"/>
  <c r="I912" i="2"/>
  <c r="F912" i="2"/>
  <c r="L911" i="2"/>
  <c r="K911" i="2"/>
  <c r="J911" i="2"/>
  <c r="I911" i="2"/>
  <c r="F911" i="2"/>
  <c r="K910" i="2"/>
  <c r="J910" i="2"/>
  <c r="L910" i="2" s="1"/>
  <c r="I910" i="2"/>
  <c r="F910" i="2"/>
  <c r="K909" i="2"/>
  <c r="L909" i="2" s="1"/>
  <c r="J909" i="2"/>
  <c r="I909" i="2"/>
  <c r="F909" i="2"/>
  <c r="K908" i="2"/>
  <c r="J908" i="2"/>
  <c r="I908" i="2"/>
  <c r="F908" i="2"/>
  <c r="K907" i="2"/>
  <c r="J907" i="2"/>
  <c r="L907" i="2" s="1"/>
  <c r="I907" i="2"/>
  <c r="F907" i="2"/>
  <c r="K906" i="2"/>
  <c r="J906" i="2"/>
  <c r="L906" i="2" s="1"/>
  <c r="I906" i="2"/>
  <c r="F906" i="2"/>
  <c r="K905" i="2"/>
  <c r="J905" i="2"/>
  <c r="L905" i="2" s="1"/>
  <c r="I905" i="2"/>
  <c r="F905" i="2"/>
  <c r="K904" i="2"/>
  <c r="J904" i="2"/>
  <c r="I904" i="2"/>
  <c r="F904" i="2"/>
  <c r="J903" i="2"/>
  <c r="I903" i="2"/>
  <c r="F903" i="2"/>
  <c r="J902" i="2"/>
  <c r="I902" i="2"/>
  <c r="F902" i="2"/>
  <c r="J901" i="2"/>
  <c r="I901" i="2"/>
  <c r="F901" i="2"/>
  <c r="J900" i="2"/>
  <c r="I900" i="2"/>
  <c r="F900" i="2"/>
  <c r="J899" i="2"/>
  <c r="I899" i="2"/>
  <c r="F899" i="2"/>
  <c r="J898" i="2"/>
  <c r="I898" i="2"/>
  <c r="F898" i="2"/>
  <c r="I897" i="2"/>
  <c r="F897" i="2"/>
  <c r="J896" i="2"/>
  <c r="I896" i="2"/>
  <c r="F896" i="2"/>
  <c r="K895" i="2"/>
  <c r="J895" i="2"/>
  <c r="L895" i="2" s="1"/>
  <c r="I895" i="2"/>
  <c r="F895" i="2"/>
  <c r="K894" i="2"/>
  <c r="J894" i="2"/>
  <c r="L894" i="2" s="1"/>
  <c r="I894" i="2"/>
  <c r="F894" i="2"/>
  <c r="I893" i="2"/>
  <c r="F893" i="2"/>
  <c r="J892" i="2"/>
  <c r="I892" i="2"/>
  <c r="F892" i="2"/>
  <c r="L891" i="2"/>
  <c r="K891" i="2"/>
  <c r="J891" i="2"/>
  <c r="I891" i="2"/>
  <c r="F891" i="2"/>
  <c r="J890" i="2"/>
  <c r="I890" i="2"/>
  <c r="F890" i="2"/>
  <c r="I889" i="2"/>
  <c r="J889" i="2" s="1"/>
  <c r="F889" i="2"/>
  <c r="J888" i="2"/>
  <c r="I888" i="2"/>
  <c r="F888" i="2"/>
  <c r="L887" i="2"/>
  <c r="K887" i="2"/>
  <c r="J887" i="2"/>
  <c r="I887" i="2"/>
  <c r="F887" i="2"/>
  <c r="K886" i="2"/>
  <c r="J886" i="2"/>
  <c r="L886" i="2" s="1"/>
  <c r="I886" i="2"/>
  <c r="F886" i="2"/>
  <c r="K885" i="2"/>
  <c r="I885" i="2"/>
  <c r="F885" i="2"/>
  <c r="K884" i="2"/>
  <c r="J884" i="2"/>
  <c r="I884" i="2"/>
  <c r="F884" i="2"/>
  <c r="K883" i="2"/>
  <c r="J883" i="2"/>
  <c r="L883" i="2" s="1"/>
  <c r="I883" i="2"/>
  <c r="F883" i="2"/>
  <c r="J882" i="2"/>
  <c r="I882" i="2"/>
  <c r="F882" i="2"/>
  <c r="K881" i="2"/>
  <c r="J881" i="2"/>
  <c r="I881" i="2"/>
  <c r="L881" i="2" s="1"/>
  <c r="F881" i="2"/>
  <c r="K880" i="2"/>
  <c r="J880" i="2"/>
  <c r="I880" i="2"/>
  <c r="F880" i="2"/>
  <c r="L879" i="2"/>
  <c r="K879" i="2"/>
  <c r="J879" i="2"/>
  <c r="I879" i="2"/>
  <c r="F879" i="2"/>
  <c r="K878" i="2"/>
  <c r="J878" i="2"/>
  <c r="L878" i="2" s="1"/>
  <c r="I878" i="2"/>
  <c r="F878" i="2"/>
  <c r="K877" i="2"/>
  <c r="J877" i="2"/>
  <c r="I877" i="2"/>
  <c r="L877" i="2" s="1"/>
  <c r="F877" i="2"/>
  <c r="J876" i="2"/>
  <c r="I876" i="2"/>
  <c r="F876" i="2"/>
  <c r="K875" i="2"/>
  <c r="J875" i="2"/>
  <c r="L875" i="2" s="1"/>
  <c r="I875" i="2"/>
  <c r="F875" i="2"/>
  <c r="K874" i="2"/>
  <c r="J874" i="2"/>
  <c r="L874" i="2" s="1"/>
  <c r="I874" i="2"/>
  <c r="F874" i="2"/>
  <c r="K873" i="2"/>
  <c r="I873" i="2"/>
  <c r="F873" i="2"/>
  <c r="K872" i="2"/>
  <c r="J872" i="2"/>
  <c r="I872" i="2"/>
  <c r="F872" i="2"/>
  <c r="J871" i="2"/>
  <c r="I871" i="2"/>
  <c r="F871" i="2"/>
  <c r="K870" i="2"/>
  <c r="J870" i="2"/>
  <c r="L870" i="2" s="1"/>
  <c r="I870" i="2"/>
  <c r="F870" i="2"/>
  <c r="K869" i="2"/>
  <c r="I869" i="2"/>
  <c r="J869" i="2" s="1"/>
  <c r="F869" i="2"/>
  <c r="K868" i="2"/>
  <c r="J868" i="2"/>
  <c r="I868" i="2"/>
  <c r="F868" i="2"/>
  <c r="K867" i="2"/>
  <c r="J867" i="2"/>
  <c r="L867" i="2" s="1"/>
  <c r="I867" i="2"/>
  <c r="F867" i="2"/>
  <c r="J866" i="2"/>
  <c r="I866" i="2"/>
  <c r="F866" i="2"/>
  <c r="K865" i="2"/>
  <c r="I865" i="2"/>
  <c r="F865" i="2"/>
  <c r="J864" i="2"/>
  <c r="I864" i="2"/>
  <c r="F864" i="2"/>
  <c r="J863" i="2"/>
  <c r="I863" i="2"/>
  <c r="F863" i="2"/>
  <c r="K862" i="2"/>
  <c r="J862" i="2"/>
  <c r="L862" i="2" s="1"/>
  <c r="I862" i="2"/>
  <c r="F862" i="2"/>
  <c r="J861" i="2"/>
  <c r="I861" i="2"/>
  <c r="F861" i="2"/>
  <c r="K860" i="2"/>
  <c r="J860" i="2"/>
  <c r="I860" i="2"/>
  <c r="F860" i="2"/>
  <c r="L859" i="2"/>
  <c r="K859" i="2"/>
  <c r="J859" i="2"/>
  <c r="I859" i="2"/>
  <c r="F859" i="2"/>
  <c r="K858" i="2"/>
  <c r="J858" i="2"/>
  <c r="L858" i="2" s="1"/>
  <c r="I858" i="2"/>
  <c r="F858" i="2"/>
  <c r="K857" i="2"/>
  <c r="J857" i="2"/>
  <c r="I857" i="2"/>
  <c r="L857" i="2" s="1"/>
  <c r="F857" i="2"/>
  <c r="K856" i="2"/>
  <c r="J856" i="2"/>
  <c r="I856" i="2"/>
  <c r="F856" i="2"/>
  <c r="J855" i="2"/>
  <c r="I855" i="2"/>
  <c r="F855" i="2"/>
  <c r="J854" i="2"/>
  <c r="I854" i="2"/>
  <c r="F854" i="2"/>
  <c r="K853" i="2"/>
  <c r="J853" i="2"/>
  <c r="I853" i="2"/>
  <c r="L853" i="2" s="1"/>
  <c r="F853" i="2"/>
  <c r="K852" i="2"/>
  <c r="J852" i="2"/>
  <c r="I852" i="2"/>
  <c r="F852" i="2"/>
  <c r="L851" i="2"/>
  <c r="K851" i="2"/>
  <c r="J851" i="2"/>
  <c r="I851" i="2"/>
  <c r="F851" i="2"/>
  <c r="K850" i="2"/>
  <c r="J850" i="2"/>
  <c r="L850" i="2" s="1"/>
  <c r="I850" i="2"/>
  <c r="F850" i="2"/>
  <c r="K849" i="2"/>
  <c r="J849" i="2"/>
  <c r="I849" i="2"/>
  <c r="L849" i="2" s="1"/>
  <c r="F849" i="2"/>
  <c r="K848" i="2"/>
  <c r="J848" i="2"/>
  <c r="I848" i="2"/>
  <c r="F848" i="2"/>
  <c r="K847" i="2"/>
  <c r="J847" i="2"/>
  <c r="L847" i="2" s="1"/>
  <c r="I847" i="2"/>
  <c r="F847" i="2"/>
  <c r="K846" i="2"/>
  <c r="J846" i="2"/>
  <c r="L846" i="2" s="1"/>
  <c r="I846" i="2"/>
  <c r="F846" i="2"/>
  <c r="K845" i="2"/>
  <c r="J845" i="2"/>
  <c r="I845" i="2"/>
  <c r="L845" i="2" s="1"/>
  <c r="F845" i="2"/>
  <c r="K844" i="2"/>
  <c r="J844" i="2"/>
  <c r="I844" i="2"/>
  <c r="F844" i="2"/>
  <c r="K843" i="2"/>
  <c r="J843" i="2"/>
  <c r="L843" i="2" s="1"/>
  <c r="I843" i="2"/>
  <c r="F843" i="2"/>
  <c r="K842" i="2"/>
  <c r="J842" i="2"/>
  <c r="L842" i="2" s="1"/>
  <c r="I842" i="2"/>
  <c r="F842" i="2"/>
  <c r="K841" i="2"/>
  <c r="I841" i="2"/>
  <c r="F841" i="2"/>
  <c r="J840" i="2"/>
  <c r="I840" i="2"/>
  <c r="F840" i="2"/>
  <c r="J839" i="2"/>
  <c r="I839" i="2"/>
  <c r="F839" i="2"/>
  <c r="K838" i="2"/>
  <c r="J838" i="2"/>
  <c r="L838" i="2" s="1"/>
  <c r="I838" i="2"/>
  <c r="F838" i="2"/>
  <c r="K837" i="2"/>
  <c r="I837" i="2"/>
  <c r="F837" i="2"/>
  <c r="J836" i="2"/>
  <c r="I836" i="2"/>
  <c r="F836" i="2"/>
  <c r="J835" i="2"/>
  <c r="I835" i="2"/>
  <c r="F835" i="2"/>
  <c r="J834" i="2"/>
  <c r="I834" i="2"/>
  <c r="F834" i="2"/>
  <c r="K833" i="2"/>
  <c r="I833" i="2"/>
  <c r="F833" i="2"/>
  <c r="K832" i="2"/>
  <c r="J832" i="2"/>
  <c r="I832" i="2"/>
  <c r="F832" i="2"/>
  <c r="J831" i="2"/>
  <c r="I831" i="2"/>
  <c r="F831" i="2"/>
  <c r="J830" i="2"/>
  <c r="I830" i="2"/>
  <c r="F830" i="2"/>
  <c r="K829" i="2"/>
  <c r="J829" i="2"/>
  <c r="I829" i="2"/>
  <c r="F829" i="2"/>
  <c r="J828" i="2"/>
  <c r="I828" i="2"/>
  <c r="F828" i="2"/>
  <c r="K827" i="2"/>
  <c r="J827" i="2"/>
  <c r="L827" i="2" s="1"/>
  <c r="I827" i="2"/>
  <c r="F827" i="2"/>
  <c r="K826" i="2"/>
  <c r="J826" i="2"/>
  <c r="L826" i="2" s="1"/>
  <c r="I826" i="2"/>
  <c r="F826" i="2"/>
  <c r="I825" i="2"/>
  <c r="F825" i="2"/>
  <c r="K824" i="2"/>
  <c r="J824" i="2"/>
  <c r="I824" i="2"/>
  <c r="F824" i="2"/>
  <c r="J823" i="2"/>
  <c r="I823" i="2"/>
  <c r="F823" i="2"/>
  <c r="K822" i="2"/>
  <c r="J822" i="2"/>
  <c r="L822" i="2" s="1"/>
  <c r="I822" i="2"/>
  <c r="F822" i="2"/>
  <c r="K821" i="2"/>
  <c r="J821" i="2"/>
  <c r="I821" i="2"/>
  <c r="L821" i="2" s="1"/>
  <c r="F821" i="2"/>
  <c r="K820" i="2"/>
  <c r="J820" i="2"/>
  <c r="I820" i="2"/>
  <c r="F820" i="2"/>
  <c r="L819" i="2"/>
  <c r="K819" i="2"/>
  <c r="J819" i="2"/>
  <c r="I819" i="2"/>
  <c r="F819" i="2"/>
  <c r="J818" i="2"/>
  <c r="I818" i="2"/>
  <c r="F818" i="2"/>
  <c r="K817" i="2"/>
  <c r="I817" i="2"/>
  <c r="F817" i="2"/>
  <c r="K816" i="2"/>
  <c r="J816" i="2"/>
  <c r="I816" i="2"/>
  <c r="F816" i="2"/>
  <c r="K815" i="2"/>
  <c r="J815" i="2"/>
  <c r="L815" i="2" s="1"/>
  <c r="I815" i="2"/>
  <c r="F815" i="2"/>
  <c r="K814" i="2"/>
  <c r="J814" i="2"/>
  <c r="L814" i="2" s="1"/>
  <c r="I814" i="2"/>
  <c r="F814" i="2"/>
  <c r="J813" i="2"/>
  <c r="I813" i="2"/>
  <c r="F813" i="2"/>
  <c r="K812" i="2"/>
  <c r="J812" i="2"/>
  <c r="I812" i="2"/>
  <c r="F812" i="2"/>
  <c r="L811" i="2"/>
  <c r="K811" i="2"/>
  <c r="J811" i="2"/>
  <c r="I811" i="2"/>
  <c r="F811" i="2"/>
  <c r="K810" i="2"/>
  <c r="J810" i="2"/>
  <c r="L810" i="2" s="1"/>
  <c r="I810" i="2"/>
  <c r="F810" i="2"/>
  <c r="J809" i="2"/>
  <c r="I809" i="2"/>
  <c r="F809" i="2"/>
  <c r="J808" i="2"/>
  <c r="I808" i="2"/>
  <c r="F808" i="2"/>
  <c r="J807" i="2"/>
  <c r="I807" i="2"/>
  <c r="F807" i="2"/>
  <c r="K806" i="2"/>
  <c r="J806" i="2"/>
  <c r="L806" i="2" s="1"/>
  <c r="I806" i="2"/>
  <c r="F806" i="2"/>
  <c r="I805" i="2"/>
  <c r="F805" i="2"/>
  <c r="J804" i="2"/>
  <c r="I804" i="2"/>
  <c r="F804" i="2"/>
  <c r="J803" i="2"/>
  <c r="I803" i="2"/>
  <c r="F803" i="2"/>
  <c r="J802" i="2"/>
  <c r="I802" i="2"/>
  <c r="F802" i="2"/>
  <c r="K801" i="2"/>
  <c r="J801" i="2"/>
  <c r="I801" i="2"/>
  <c r="L801" i="2" s="1"/>
  <c r="F801" i="2"/>
  <c r="K800" i="2"/>
  <c r="J800" i="2"/>
  <c r="I800" i="2"/>
  <c r="F800" i="2"/>
  <c r="L799" i="2"/>
  <c r="K799" i="2"/>
  <c r="J799" i="2"/>
  <c r="I799" i="2"/>
  <c r="F799" i="2"/>
  <c r="K798" i="2"/>
  <c r="J798" i="2"/>
  <c r="L798" i="2" s="1"/>
  <c r="I798" i="2"/>
  <c r="F798" i="2"/>
  <c r="K797" i="2"/>
  <c r="I797" i="2"/>
  <c r="F797" i="2"/>
  <c r="K796" i="2"/>
  <c r="J796" i="2"/>
  <c r="I796" i="2"/>
  <c r="F796" i="2"/>
  <c r="L795" i="2"/>
  <c r="K795" i="2"/>
  <c r="J795" i="2"/>
  <c r="I795" i="2"/>
  <c r="F795" i="2"/>
  <c r="K794" i="2"/>
  <c r="J794" i="2"/>
  <c r="L794" i="2" s="1"/>
  <c r="I794" i="2"/>
  <c r="F794" i="2"/>
  <c r="K793" i="2"/>
  <c r="J793" i="2"/>
  <c r="I793" i="2"/>
  <c r="L793" i="2" s="1"/>
  <c r="F793" i="2"/>
  <c r="K792" i="2"/>
  <c r="J792" i="2"/>
  <c r="I792" i="2"/>
  <c r="F792" i="2"/>
  <c r="L791" i="2"/>
  <c r="K791" i="2"/>
  <c r="J791" i="2"/>
  <c r="I791" i="2"/>
  <c r="F791" i="2"/>
  <c r="K790" i="2"/>
  <c r="J790" i="2"/>
  <c r="L790" i="2" s="1"/>
  <c r="I790" i="2"/>
  <c r="F790" i="2"/>
  <c r="K789" i="2"/>
  <c r="J789" i="2"/>
  <c r="I789" i="2"/>
  <c r="L789" i="2" s="1"/>
  <c r="F789" i="2"/>
  <c r="K788" i="2"/>
  <c r="J788" i="2"/>
  <c r="I788" i="2"/>
  <c r="F788" i="2"/>
  <c r="K787" i="2"/>
  <c r="J787" i="2"/>
  <c r="L787" i="2" s="1"/>
  <c r="I787" i="2"/>
  <c r="F787" i="2"/>
  <c r="K786" i="2"/>
  <c r="J786" i="2"/>
  <c r="L786" i="2" s="1"/>
  <c r="I786" i="2"/>
  <c r="F786" i="2"/>
  <c r="K785" i="2"/>
  <c r="J785" i="2"/>
  <c r="I785" i="2"/>
  <c r="F785" i="2"/>
  <c r="K784" i="2"/>
  <c r="J784" i="2"/>
  <c r="I784" i="2"/>
  <c r="F784" i="2"/>
  <c r="K783" i="2"/>
  <c r="J783" i="2"/>
  <c r="L783" i="2" s="1"/>
  <c r="I783" i="2"/>
  <c r="F783" i="2"/>
  <c r="J782" i="2"/>
  <c r="I782" i="2"/>
  <c r="F782" i="2"/>
  <c r="K781" i="2"/>
  <c r="J781" i="2"/>
  <c r="I781" i="2"/>
  <c r="L781" i="2" s="1"/>
  <c r="F781" i="2"/>
  <c r="K780" i="2"/>
  <c r="J780" i="2"/>
  <c r="I780" i="2"/>
  <c r="F780" i="2"/>
  <c r="L779" i="2"/>
  <c r="K779" i="2"/>
  <c r="J779" i="2"/>
  <c r="I779" i="2"/>
  <c r="F779" i="2"/>
  <c r="K778" i="2"/>
  <c r="J778" i="2"/>
  <c r="L778" i="2" s="1"/>
  <c r="I778" i="2"/>
  <c r="F778" i="2"/>
  <c r="K777" i="2"/>
  <c r="J777" i="2"/>
  <c r="I777" i="2"/>
  <c r="L777" i="2" s="1"/>
  <c r="F777" i="2"/>
  <c r="K776" i="2"/>
  <c r="J776" i="2"/>
  <c r="I776" i="2"/>
  <c r="F776" i="2"/>
  <c r="J775" i="2"/>
  <c r="I775" i="2"/>
  <c r="F775" i="2"/>
  <c r="K774" i="2"/>
  <c r="J774" i="2"/>
  <c r="L774" i="2" s="1"/>
  <c r="I774" i="2"/>
  <c r="F774" i="2"/>
  <c r="K773" i="2"/>
  <c r="J773" i="2"/>
  <c r="I773" i="2"/>
  <c r="L773" i="2" s="1"/>
  <c r="F773" i="2"/>
  <c r="J772" i="2"/>
  <c r="I772" i="2"/>
  <c r="F772" i="2"/>
  <c r="J771" i="2"/>
  <c r="I771" i="2"/>
  <c r="F771" i="2"/>
  <c r="J770" i="2"/>
  <c r="I770" i="2"/>
  <c r="F770" i="2"/>
  <c r="J769" i="2"/>
  <c r="I769" i="2"/>
  <c r="F769" i="2"/>
  <c r="K768" i="2"/>
  <c r="J768" i="2"/>
  <c r="I768" i="2"/>
  <c r="F768" i="2"/>
  <c r="L767" i="2"/>
  <c r="K767" i="2"/>
  <c r="J767" i="2"/>
  <c r="I767" i="2"/>
  <c r="F767" i="2"/>
  <c r="J766" i="2"/>
  <c r="I766" i="2"/>
  <c r="F766" i="2"/>
  <c r="K765" i="2"/>
  <c r="J765" i="2"/>
  <c r="I765" i="2"/>
  <c r="L765" i="2" s="1"/>
  <c r="F765" i="2"/>
  <c r="K764" i="2"/>
  <c r="J764" i="2"/>
  <c r="I764" i="2"/>
  <c r="F764" i="2"/>
  <c r="J763" i="2"/>
  <c r="I763" i="2"/>
  <c r="F763" i="2"/>
  <c r="K762" i="2"/>
  <c r="J762" i="2"/>
  <c r="L762" i="2" s="1"/>
  <c r="I762" i="2"/>
  <c r="F762" i="2"/>
  <c r="I761" i="2"/>
  <c r="F761" i="2"/>
  <c r="K760" i="2"/>
  <c r="J760" i="2"/>
  <c r="I760" i="2"/>
  <c r="F760" i="2"/>
  <c r="L759" i="2"/>
  <c r="K759" i="2"/>
  <c r="J759" i="2"/>
  <c r="I759" i="2"/>
  <c r="F759" i="2"/>
  <c r="K758" i="2"/>
  <c r="J758" i="2"/>
  <c r="L758" i="2" s="1"/>
  <c r="I758" i="2"/>
  <c r="F758" i="2"/>
  <c r="K757" i="2"/>
  <c r="J757" i="2"/>
  <c r="I757" i="2"/>
  <c r="L757" i="2" s="1"/>
  <c r="F757" i="2"/>
  <c r="K756" i="2"/>
  <c r="J756" i="2"/>
  <c r="I756" i="2"/>
  <c r="F756" i="2"/>
  <c r="K755" i="2"/>
  <c r="J755" i="2"/>
  <c r="L755" i="2" s="1"/>
  <c r="I755" i="2"/>
  <c r="F755" i="2"/>
  <c r="K754" i="2"/>
  <c r="J754" i="2"/>
  <c r="L754" i="2" s="1"/>
  <c r="I754" i="2"/>
  <c r="F754" i="2"/>
  <c r="K753" i="2"/>
  <c r="J753" i="2"/>
  <c r="I753" i="2"/>
  <c r="L753" i="2" s="1"/>
  <c r="F753" i="2"/>
  <c r="J752" i="2"/>
  <c r="I752" i="2"/>
  <c r="F752" i="2"/>
  <c r="L751" i="2"/>
  <c r="K751" i="2"/>
  <c r="J751" i="2"/>
  <c r="I751" i="2"/>
  <c r="F751" i="2"/>
  <c r="K750" i="2"/>
  <c r="J750" i="2"/>
  <c r="L750" i="2" s="1"/>
  <c r="I750" i="2"/>
  <c r="F750" i="2"/>
  <c r="K749" i="2"/>
  <c r="J749" i="2"/>
  <c r="I749" i="2"/>
  <c r="F749" i="2"/>
  <c r="J748" i="2"/>
  <c r="I748" i="2"/>
  <c r="F748" i="2"/>
  <c r="J747" i="2"/>
  <c r="I747" i="2"/>
  <c r="F747" i="2"/>
  <c r="J746" i="2"/>
  <c r="I746" i="2"/>
  <c r="F746" i="2"/>
  <c r="K745" i="2"/>
  <c r="I745" i="2"/>
  <c r="F745" i="2"/>
  <c r="K744" i="2"/>
  <c r="J744" i="2"/>
  <c r="I744" i="2"/>
  <c r="F744" i="2"/>
  <c r="K743" i="2"/>
  <c r="J743" i="2"/>
  <c r="L743" i="2" s="1"/>
  <c r="I743" i="2"/>
  <c r="F743" i="2"/>
  <c r="K742" i="2"/>
  <c r="J742" i="2"/>
  <c r="L742" i="2" s="1"/>
  <c r="I742" i="2"/>
  <c r="F742" i="2"/>
  <c r="K741" i="2"/>
  <c r="J741" i="2"/>
  <c r="I741" i="2"/>
  <c r="L741" i="2" s="1"/>
  <c r="F741" i="2"/>
  <c r="K740" i="2"/>
  <c r="J740" i="2"/>
  <c r="I740" i="2"/>
  <c r="F740" i="2"/>
  <c r="J739" i="2"/>
  <c r="I739" i="2"/>
  <c r="F739" i="2"/>
  <c r="K738" i="2"/>
  <c r="J738" i="2"/>
  <c r="L738" i="2" s="1"/>
  <c r="I738" i="2"/>
  <c r="F738" i="2"/>
  <c r="K737" i="2"/>
  <c r="J737" i="2"/>
  <c r="I737" i="2"/>
  <c r="L737" i="2" s="1"/>
  <c r="F737" i="2"/>
  <c r="J736" i="2"/>
  <c r="I736" i="2"/>
  <c r="F736" i="2"/>
  <c r="K735" i="2"/>
  <c r="J735" i="2"/>
  <c r="L735" i="2" s="1"/>
  <c r="I735" i="2"/>
  <c r="F735" i="2"/>
  <c r="K734" i="2"/>
  <c r="J734" i="2"/>
  <c r="L734" i="2" s="1"/>
  <c r="I734" i="2"/>
  <c r="F734" i="2"/>
  <c r="K733" i="2"/>
  <c r="J733" i="2"/>
  <c r="I733" i="2"/>
  <c r="L733" i="2" s="1"/>
  <c r="F733" i="2"/>
  <c r="B733" i="2"/>
  <c r="K732" i="2"/>
  <c r="J732" i="2"/>
  <c r="I732" i="2"/>
  <c r="L732" i="2" s="1"/>
  <c r="F732" i="2"/>
  <c r="B732" i="2"/>
  <c r="K731" i="2"/>
  <c r="L731" i="2" s="1"/>
  <c r="J731" i="2"/>
  <c r="I731" i="2"/>
  <c r="F731" i="2"/>
  <c r="B731" i="2"/>
  <c r="K730" i="2"/>
  <c r="J730" i="2"/>
  <c r="I730" i="2"/>
  <c r="F730" i="2"/>
  <c r="B730" i="2"/>
  <c r="L729" i="2"/>
  <c r="K729" i="2"/>
  <c r="J729" i="2"/>
  <c r="I729" i="2"/>
  <c r="F729" i="2"/>
  <c r="B729" i="2"/>
  <c r="L728" i="2"/>
  <c r="K728" i="2"/>
  <c r="J728" i="2"/>
  <c r="I728" i="2"/>
  <c r="F728" i="2"/>
  <c r="B728" i="2"/>
  <c r="K727" i="2"/>
  <c r="I727" i="2"/>
  <c r="F727" i="2"/>
  <c r="B727" i="2"/>
  <c r="K726" i="2"/>
  <c r="J726" i="2"/>
  <c r="L726" i="2" s="1"/>
  <c r="I726" i="2"/>
  <c r="F726" i="2"/>
  <c r="B726" i="2"/>
  <c r="K725" i="2"/>
  <c r="J725" i="2"/>
  <c r="I725" i="2"/>
  <c r="F725" i="2"/>
  <c r="B725" i="2"/>
  <c r="L724" i="2"/>
  <c r="K724" i="2"/>
  <c r="J724" i="2"/>
  <c r="I724" i="2"/>
  <c r="F724" i="2"/>
  <c r="B724" i="2"/>
  <c r="K723" i="2"/>
  <c r="J723" i="2"/>
  <c r="L723" i="2" s="1"/>
  <c r="I723" i="2"/>
  <c r="F723" i="2"/>
  <c r="B723" i="2"/>
  <c r="L722" i="2"/>
  <c r="K722" i="2"/>
  <c r="J722" i="2"/>
  <c r="I722" i="2"/>
  <c r="F722" i="2"/>
  <c r="B722" i="2"/>
  <c r="L721" i="2"/>
  <c r="K721" i="2"/>
  <c r="J721" i="2"/>
  <c r="I721" i="2"/>
  <c r="F721" i="2"/>
  <c r="B721" i="2"/>
  <c r="K720" i="2"/>
  <c r="I720" i="2"/>
  <c r="F720" i="2"/>
  <c r="B720" i="2"/>
  <c r="K719" i="2"/>
  <c r="I719" i="2"/>
  <c r="F719" i="2"/>
  <c r="B719" i="2"/>
  <c r="K718" i="2"/>
  <c r="I718" i="2"/>
  <c r="F718" i="2"/>
  <c r="B718" i="2"/>
  <c r="K717" i="2"/>
  <c r="J717" i="2"/>
  <c r="I717" i="2"/>
  <c r="L717" i="2" s="1"/>
  <c r="F717" i="2"/>
  <c r="B717" i="2"/>
  <c r="I716" i="2"/>
  <c r="J716" i="2" s="1"/>
  <c r="F716" i="2"/>
  <c r="B716" i="2"/>
  <c r="J715" i="2"/>
  <c r="I715" i="2"/>
  <c r="F715" i="2"/>
  <c r="B715" i="2"/>
  <c r="J714" i="2"/>
  <c r="I714" i="2"/>
  <c r="F714" i="2"/>
  <c r="B714" i="2"/>
  <c r="J713" i="2"/>
  <c r="I713" i="2"/>
  <c r="F713" i="2"/>
  <c r="B713" i="2"/>
  <c r="J712" i="2"/>
  <c r="I712" i="2"/>
  <c r="F712" i="2"/>
  <c r="B712" i="2"/>
  <c r="J711" i="2"/>
  <c r="I711" i="2"/>
  <c r="F711" i="2"/>
  <c r="B711" i="2"/>
  <c r="J710" i="2"/>
  <c r="I710" i="2"/>
  <c r="F710" i="2"/>
  <c r="B710" i="2"/>
  <c r="J709" i="2"/>
  <c r="I709" i="2"/>
  <c r="F709" i="2"/>
  <c r="B709" i="2"/>
  <c r="J708" i="2"/>
  <c r="I708" i="2"/>
  <c r="F708" i="2"/>
  <c r="B708" i="2"/>
  <c r="K707" i="2"/>
  <c r="J707" i="2"/>
  <c r="I707" i="2"/>
  <c r="L707" i="2" s="1"/>
  <c r="F707" i="2"/>
  <c r="B707" i="2"/>
  <c r="K706" i="2"/>
  <c r="J706" i="2"/>
  <c r="I706" i="2"/>
  <c r="F706" i="2"/>
  <c r="B706" i="2"/>
  <c r="K705" i="2"/>
  <c r="J705" i="2"/>
  <c r="I705" i="2"/>
  <c r="F705" i="2"/>
  <c r="B705" i="2"/>
  <c r="L704" i="2"/>
  <c r="K704" i="2"/>
  <c r="J704" i="2"/>
  <c r="I704" i="2"/>
  <c r="F704" i="2"/>
  <c r="B704" i="2"/>
  <c r="J703" i="2"/>
  <c r="I703" i="2"/>
  <c r="F703" i="2"/>
  <c r="B703" i="2"/>
  <c r="J702" i="2"/>
  <c r="I702" i="2"/>
  <c r="F702" i="2"/>
  <c r="B702" i="2"/>
  <c r="J701" i="2"/>
  <c r="I701" i="2"/>
  <c r="F701" i="2"/>
  <c r="B701" i="2"/>
  <c r="J700" i="2"/>
  <c r="I700" i="2"/>
  <c r="F700" i="2"/>
  <c r="B700" i="2"/>
  <c r="K699" i="2"/>
  <c r="J699" i="2"/>
  <c r="I699" i="2"/>
  <c r="F699" i="2"/>
  <c r="B699" i="2"/>
  <c r="K698" i="2"/>
  <c r="J698" i="2"/>
  <c r="I698" i="2"/>
  <c r="L698" i="2" s="1"/>
  <c r="F698" i="2"/>
  <c r="B698" i="2"/>
  <c r="K697" i="2"/>
  <c r="J697" i="2"/>
  <c r="I697" i="2"/>
  <c r="F697" i="2"/>
  <c r="B697" i="2"/>
  <c r="K696" i="2"/>
  <c r="J696" i="2"/>
  <c r="I696" i="2"/>
  <c r="L696" i="2" s="1"/>
  <c r="F696" i="2"/>
  <c r="B696" i="2"/>
  <c r="K695" i="2"/>
  <c r="J695" i="2"/>
  <c r="I695" i="2"/>
  <c r="F695" i="2"/>
  <c r="B695" i="2"/>
  <c r="K694" i="2"/>
  <c r="J694" i="2"/>
  <c r="L694" i="2" s="1"/>
  <c r="I694" i="2"/>
  <c r="F694" i="2"/>
  <c r="B694" i="2"/>
  <c r="K693" i="2"/>
  <c r="J693" i="2"/>
  <c r="L693" i="2" s="1"/>
  <c r="I693" i="2"/>
  <c r="F693" i="2"/>
  <c r="B693" i="2"/>
  <c r="L692" i="2"/>
  <c r="K692" i="2"/>
  <c r="J692" i="2"/>
  <c r="I692" i="2"/>
  <c r="F692" i="2"/>
  <c r="B692" i="2"/>
  <c r="L691" i="2"/>
  <c r="K691" i="2"/>
  <c r="J691" i="2"/>
  <c r="I691" i="2"/>
  <c r="F691" i="2"/>
  <c r="B691" i="2"/>
  <c r="K690" i="2"/>
  <c r="J690" i="2"/>
  <c r="I690" i="2"/>
  <c r="F690" i="2"/>
  <c r="B690" i="2"/>
  <c r="K689" i="2"/>
  <c r="J689" i="2"/>
  <c r="I689" i="2"/>
  <c r="L689" i="2" s="1"/>
  <c r="F689" i="2"/>
  <c r="B689" i="2"/>
  <c r="K688" i="2"/>
  <c r="J688" i="2"/>
  <c r="I688" i="2"/>
  <c r="L688" i="2" s="1"/>
  <c r="F688" i="2"/>
  <c r="B688" i="2"/>
  <c r="K687" i="2"/>
  <c r="J687" i="2"/>
  <c r="I687" i="2"/>
  <c r="L687" i="2" s="1"/>
  <c r="F687" i="2"/>
  <c r="B687" i="2"/>
  <c r="K686" i="2"/>
  <c r="J686" i="2"/>
  <c r="I686" i="2"/>
  <c r="L686" i="2" s="1"/>
  <c r="F686" i="2"/>
  <c r="B686" i="2"/>
  <c r="K685" i="2"/>
  <c r="J685" i="2"/>
  <c r="I685" i="2"/>
  <c r="F685" i="2"/>
  <c r="B685" i="2"/>
  <c r="L684" i="2"/>
  <c r="K684" i="2"/>
  <c r="J684" i="2"/>
  <c r="I684" i="2"/>
  <c r="F684" i="2"/>
  <c r="B684" i="2"/>
  <c r="J683" i="2"/>
  <c r="I683" i="2"/>
  <c r="F683" i="2"/>
  <c r="B683" i="2"/>
  <c r="J682" i="2"/>
  <c r="I682" i="2"/>
  <c r="F682" i="2"/>
  <c r="B682" i="2"/>
  <c r="K681" i="2"/>
  <c r="J681" i="2"/>
  <c r="L681" i="2" s="1"/>
  <c r="I681" i="2"/>
  <c r="F681" i="2"/>
  <c r="B681" i="2"/>
  <c r="K680" i="2"/>
  <c r="J680" i="2"/>
  <c r="I680" i="2"/>
  <c r="F680" i="2"/>
  <c r="B680" i="2"/>
  <c r="K679" i="2"/>
  <c r="J679" i="2"/>
  <c r="I679" i="2"/>
  <c r="L679" i="2" s="1"/>
  <c r="F679" i="2"/>
  <c r="B679" i="2"/>
  <c r="K678" i="2"/>
  <c r="J678" i="2"/>
  <c r="I678" i="2"/>
  <c r="F678" i="2"/>
  <c r="B678" i="2"/>
  <c r="K677" i="2"/>
  <c r="L677" i="2" s="1"/>
  <c r="I677" i="2"/>
  <c r="J677" i="2" s="1"/>
  <c r="F677" i="2"/>
  <c r="B677" i="2"/>
  <c r="L676" i="2"/>
  <c r="J676" i="2"/>
  <c r="I676" i="2"/>
  <c r="K676" i="2" s="1"/>
  <c r="F676" i="2"/>
  <c r="B676" i="2"/>
  <c r="K675" i="2"/>
  <c r="J675" i="2"/>
  <c r="I675" i="2"/>
  <c r="L675" i="2" s="1"/>
  <c r="F675" i="2"/>
  <c r="B675" i="2"/>
  <c r="K674" i="2"/>
  <c r="J674" i="2"/>
  <c r="I674" i="2"/>
  <c r="L674" i="2" s="1"/>
  <c r="F674" i="2"/>
  <c r="B674" i="2"/>
  <c r="J673" i="2"/>
  <c r="I673" i="2"/>
  <c r="F673" i="2"/>
  <c r="B673" i="2"/>
  <c r="J672" i="2"/>
  <c r="I672" i="2"/>
  <c r="F672" i="2"/>
  <c r="B672" i="2"/>
  <c r="K671" i="2"/>
  <c r="J671" i="2"/>
  <c r="I671" i="2"/>
  <c r="F671" i="2"/>
  <c r="B671" i="2"/>
  <c r="K670" i="2"/>
  <c r="J670" i="2"/>
  <c r="I670" i="2"/>
  <c r="F670" i="2"/>
  <c r="B670" i="2"/>
  <c r="L669" i="2"/>
  <c r="K669" i="2"/>
  <c r="J669" i="2"/>
  <c r="I669" i="2"/>
  <c r="F669" i="2"/>
  <c r="B669" i="2"/>
  <c r="J668" i="2"/>
  <c r="I668" i="2"/>
  <c r="F668" i="2"/>
  <c r="B668" i="2"/>
  <c r="K667" i="2"/>
  <c r="I667" i="2"/>
  <c r="J667" i="2" s="1"/>
  <c r="F667" i="2"/>
  <c r="B667" i="2"/>
  <c r="K666" i="2"/>
  <c r="I666" i="2"/>
  <c r="F666" i="2"/>
  <c r="B666" i="2"/>
  <c r="K665" i="2"/>
  <c r="J665" i="2"/>
  <c r="I665" i="2"/>
  <c r="F665" i="2"/>
  <c r="B665" i="2"/>
  <c r="K664" i="2"/>
  <c r="J664" i="2"/>
  <c r="L664" i="2" s="1"/>
  <c r="I664" i="2"/>
  <c r="F664" i="2"/>
  <c r="B664" i="2"/>
  <c r="L663" i="2"/>
  <c r="K663" i="2"/>
  <c r="J663" i="2"/>
  <c r="I663" i="2"/>
  <c r="F663" i="2"/>
  <c r="B663" i="2"/>
  <c r="L662" i="2"/>
  <c r="K662" i="2"/>
  <c r="J662" i="2"/>
  <c r="I662" i="2"/>
  <c r="F662" i="2"/>
  <c r="B662" i="2"/>
  <c r="K661" i="2"/>
  <c r="J661" i="2"/>
  <c r="L661" i="2" s="1"/>
  <c r="I661" i="2"/>
  <c r="F661" i="2"/>
  <c r="B661" i="2"/>
  <c r="K660" i="2"/>
  <c r="J660" i="2"/>
  <c r="I660" i="2"/>
  <c r="L660" i="2" s="1"/>
  <c r="F660" i="2"/>
  <c r="B660" i="2"/>
  <c r="I659" i="2"/>
  <c r="F659" i="2"/>
  <c r="B659" i="2"/>
  <c r="J658" i="2"/>
  <c r="I658" i="2"/>
  <c r="F658" i="2"/>
  <c r="B658" i="2"/>
  <c r="K657" i="2"/>
  <c r="J657" i="2"/>
  <c r="I657" i="2"/>
  <c r="L657" i="2" s="1"/>
  <c r="F657" i="2"/>
  <c r="B657" i="2"/>
  <c r="K656" i="2"/>
  <c r="J656" i="2"/>
  <c r="I656" i="2"/>
  <c r="L656" i="2" s="1"/>
  <c r="F656" i="2"/>
  <c r="B656" i="2"/>
  <c r="K655" i="2"/>
  <c r="J655" i="2"/>
  <c r="I655" i="2"/>
  <c r="F655" i="2"/>
  <c r="B655" i="2"/>
  <c r="K654" i="2"/>
  <c r="J654" i="2"/>
  <c r="L654" i="2" s="1"/>
  <c r="I654" i="2"/>
  <c r="F654" i="2"/>
  <c r="B654" i="2"/>
  <c r="K653" i="2"/>
  <c r="J653" i="2"/>
  <c r="L653" i="2" s="1"/>
  <c r="I653" i="2"/>
  <c r="F653" i="2"/>
  <c r="B653" i="2"/>
  <c r="L652" i="2"/>
  <c r="K652" i="2"/>
  <c r="J652" i="2"/>
  <c r="I652" i="2"/>
  <c r="F652" i="2"/>
  <c r="B652" i="2"/>
  <c r="L651" i="2"/>
  <c r="K651" i="2"/>
  <c r="J651" i="2"/>
  <c r="I651" i="2"/>
  <c r="F651" i="2"/>
  <c r="B651" i="2"/>
  <c r="K650" i="2"/>
  <c r="J650" i="2"/>
  <c r="I650" i="2"/>
  <c r="F650" i="2"/>
  <c r="B650" i="2"/>
  <c r="K649" i="2"/>
  <c r="J649" i="2"/>
  <c r="I649" i="2"/>
  <c r="L649" i="2" s="1"/>
  <c r="F649" i="2"/>
  <c r="B649" i="2"/>
  <c r="K648" i="2"/>
  <c r="J648" i="2"/>
  <c r="I648" i="2"/>
  <c r="F648" i="2"/>
  <c r="B648" i="2"/>
  <c r="K647" i="2"/>
  <c r="I647" i="2"/>
  <c r="J647" i="2" s="1"/>
  <c r="F647" i="2"/>
  <c r="B647" i="2"/>
  <c r="L646" i="2"/>
  <c r="K646" i="2"/>
  <c r="J646" i="2"/>
  <c r="I646" i="2"/>
  <c r="F646" i="2"/>
  <c r="B646" i="2"/>
  <c r="K645" i="2"/>
  <c r="J645" i="2"/>
  <c r="I645" i="2"/>
  <c r="L645" i="2" s="1"/>
  <c r="F645" i="2"/>
  <c r="B645" i="2"/>
  <c r="K644" i="2"/>
  <c r="I644" i="2"/>
  <c r="F644" i="2"/>
  <c r="B644" i="2"/>
  <c r="I643" i="2"/>
  <c r="F643" i="2"/>
  <c r="B643" i="2"/>
  <c r="K642" i="2"/>
  <c r="I642" i="2"/>
  <c r="F642" i="2"/>
  <c r="B642" i="2"/>
  <c r="K641" i="2"/>
  <c r="I641" i="2"/>
  <c r="F641" i="2"/>
  <c r="B641" i="2"/>
  <c r="K640" i="2"/>
  <c r="I640" i="2"/>
  <c r="F640" i="2"/>
  <c r="B640" i="2"/>
  <c r="K639" i="2"/>
  <c r="I639" i="2"/>
  <c r="F639" i="2"/>
  <c r="B639" i="2"/>
  <c r="K638" i="2"/>
  <c r="I638" i="2"/>
  <c r="F638" i="2"/>
  <c r="B638" i="2"/>
  <c r="K637" i="2"/>
  <c r="I637" i="2"/>
  <c r="F637" i="2"/>
  <c r="B637" i="2"/>
  <c r="K636" i="2"/>
  <c r="J636" i="2"/>
  <c r="I636" i="2"/>
  <c r="F636" i="2"/>
  <c r="B636" i="2"/>
  <c r="K635" i="2"/>
  <c r="J635" i="2"/>
  <c r="I635" i="2"/>
  <c r="F635" i="2"/>
  <c r="B635" i="2"/>
  <c r="K634" i="2"/>
  <c r="J634" i="2"/>
  <c r="I634" i="2"/>
  <c r="F634" i="2"/>
  <c r="B634" i="2"/>
  <c r="J633" i="2"/>
  <c r="I633" i="2"/>
  <c r="F633" i="2"/>
  <c r="B633" i="2"/>
  <c r="J632" i="2"/>
  <c r="I632" i="2"/>
  <c r="F632" i="2"/>
  <c r="B632" i="2"/>
  <c r="K631" i="2"/>
  <c r="J631" i="2"/>
  <c r="I631" i="2"/>
  <c r="F631" i="2"/>
  <c r="B631" i="2"/>
  <c r="K630" i="2"/>
  <c r="J630" i="2"/>
  <c r="I630" i="2"/>
  <c r="F630" i="2"/>
  <c r="B630" i="2"/>
  <c r="K629" i="2"/>
  <c r="J629" i="2"/>
  <c r="I629" i="2"/>
  <c r="F629" i="2"/>
  <c r="B629" i="2"/>
  <c r="K628" i="2"/>
  <c r="J628" i="2"/>
  <c r="I628" i="2"/>
  <c r="F628" i="2"/>
  <c r="B628" i="2"/>
  <c r="K627" i="2"/>
  <c r="J627" i="2"/>
  <c r="I627" i="2"/>
  <c r="F627" i="2"/>
  <c r="B627" i="2"/>
  <c r="K626" i="2"/>
  <c r="J626" i="2"/>
  <c r="I626" i="2"/>
  <c r="F626" i="2"/>
  <c r="B626" i="2"/>
  <c r="K625" i="2"/>
  <c r="J625" i="2"/>
  <c r="I625" i="2"/>
  <c r="F625" i="2"/>
  <c r="B625" i="2"/>
  <c r="K624" i="2"/>
  <c r="J624" i="2"/>
  <c r="I624" i="2"/>
  <c r="F624" i="2"/>
  <c r="B624" i="2"/>
  <c r="K623" i="2"/>
  <c r="J623" i="2"/>
  <c r="I623" i="2"/>
  <c r="F623" i="2"/>
  <c r="B623" i="2"/>
  <c r="K622" i="2"/>
  <c r="J622" i="2"/>
  <c r="I622" i="2"/>
  <c r="F622" i="2"/>
  <c r="B622" i="2"/>
  <c r="K621" i="2"/>
  <c r="J621" i="2"/>
  <c r="I621" i="2"/>
  <c r="F621" i="2"/>
  <c r="B621" i="2"/>
  <c r="K620" i="2"/>
  <c r="J620" i="2"/>
  <c r="I620" i="2"/>
  <c r="F620" i="2"/>
  <c r="B620" i="2"/>
  <c r="J619" i="2"/>
  <c r="I619" i="2"/>
  <c r="F619" i="2"/>
  <c r="B619" i="2"/>
  <c r="K618" i="2"/>
  <c r="J618" i="2"/>
  <c r="I618" i="2"/>
  <c r="F618" i="2"/>
  <c r="B618" i="2"/>
  <c r="J617" i="2"/>
  <c r="I617" i="2"/>
  <c r="F617" i="2"/>
  <c r="B617" i="2"/>
  <c r="J616" i="2"/>
  <c r="I616" i="2"/>
  <c r="F616" i="2"/>
  <c r="B616" i="2"/>
  <c r="J615" i="2"/>
  <c r="I615" i="2"/>
  <c r="F615" i="2"/>
  <c r="B615" i="2"/>
  <c r="I614" i="2"/>
  <c r="F614" i="2"/>
  <c r="B614" i="2"/>
  <c r="J613" i="2"/>
  <c r="I613" i="2"/>
  <c r="F613" i="2"/>
  <c r="B613" i="2"/>
  <c r="I612" i="2"/>
  <c r="F612" i="2"/>
  <c r="B612" i="2"/>
  <c r="J611" i="2"/>
  <c r="I611" i="2"/>
  <c r="F611" i="2"/>
  <c r="B611" i="2"/>
  <c r="J610" i="2"/>
  <c r="I610" i="2"/>
  <c r="F610" i="2"/>
  <c r="B610" i="2"/>
  <c r="K609" i="2"/>
  <c r="J609" i="2"/>
  <c r="I609" i="2"/>
  <c r="L609" i="2" s="1"/>
  <c r="F609" i="2"/>
  <c r="B609" i="2"/>
  <c r="K608" i="2"/>
  <c r="J608" i="2"/>
  <c r="I608" i="2"/>
  <c r="L608" i="2" s="1"/>
  <c r="F608" i="2"/>
  <c r="B608" i="2"/>
  <c r="K607" i="2"/>
  <c r="L607" i="2" s="1"/>
  <c r="J607" i="2"/>
  <c r="I607" i="2"/>
  <c r="F607" i="2"/>
  <c r="B607" i="2"/>
  <c r="J606" i="2"/>
  <c r="I606" i="2"/>
  <c r="F606" i="2"/>
  <c r="B606" i="2"/>
  <c r="J605" i="2"/>
  <c r="I605" i="2"/>
  <c r="F605" i="2"/>
  <c r="B605" i="2"/>
  <c r="K604" i="2"/>
  <c r="J604" i="2"/>
  <c r="I604" i="2"/>
  <c r="F604" i="2"/>
  <c r="B604" i="2"/>
  <c r="K603" i="2"/>
  <c r="L603" i="2" s="1"/>
  <c r="J603" i="2"/>
  <c r="I603" i="2"/>
  <c r="F603" i="2"/>
  <c r="B603" i="2"/>
  <c r="L602" i="2"/>
  <c r="K602" i="2"/>
  <c r="J602" i="2"/>
  <c r="I602" i="2"/>
  <c r="F602" i="2"/>
  <c r="B602" i="2"/>
  <c r="K601" i="2"/>
  <c r="J601" i="2"/>
  <c r="I601" i="2"/>
  <c r="L601" i="2" s="1"/>
  <c r="F601" i="2"/>
  <c r="B601" i="2"/>
  <c r="K600" i="2"/>
  <c r="J600" i="2"/>
  <c r="I600" i="2"/>
  <c r="L600" i="2" s="1"/>
  <c r="F600" i="2"/>
  <c r="B600" i="2"/>
  <c r="K599" i="2"/>
  <c r="J599" i="2"/>
  <c r="I599" i="2"/>
  <c r="L599" i="2" s="1"/>
  <c r="F599" i="2"/>
  <c r="B599" i="2"/>
  <c r="K598" i="2"/>
  <c r="J598" i="2"/>
  <c r="I598" i="2"/>
  <c r="L598" i="2" s="1"/>
  <c r="F598" i="2"/>
  <c r="B598" i="2"/>
  <c r="K597" i="2"/>
  <c r="J597" i="2"/>
  <c r="L597" i="2" s="1"/>
  <c r="I597" i="2"/>
  <c r="F597" i="2"/>
  <c r="B597" i="2"/>
  <c r="J596" i="2"/>
  <c r="I596" i="2"/>
  <c r="F596" i="2"/>
  <c r="B596" i="2"/>
  <c r="J595" i="2"/>
  <c r="I595" i="2"/>
  <c r="F595" i="2"/>
  <c r="B595" i="2"/>
  <c r="J594" i="2"/>
  <c r="I594" i="2"/>
  <c r="F594" i="2"/>
  <c r="B594" i="2"/>
  <c r="J593" i="2"/>
  <c r="I593" i="2"/>
  <c r="F593" i="2"/>
  <c r="B593" i="2"/>
  <c r="J592" i="2"/>
  <c r="I592" i="2"/>
  <c r="F592" i="2"/>
  <c r="B592" i="2"/>
  <c r="J591" i="2"/>
  <c r="I591" i="2"/>
  <c r="F591" i="2"/>
  <c r="B591" i="2"/>
  <c r="J590" i="2"/>
  <c r="I590" i="2"/>
  <c r="F590" i="2"/>
  <c r="B590" i="2"/>
  <c r="J589" i="2"/>
  <c r="I589" i="2"/>
  <c r="F589" i="2"/>
  <c r="B589" i="2"/>
  <c r="J588" i="2"/>
  <c r="I588" i="2"/>
  <c r="F588" i="2"/>
  <c r="B588" i="2"/>
  <c r="J587" i="2"/>
  <c r="I587" i="2"/>
  <c r="F587" i="2"/>
  <c r="B587" i="2"/>
  <c r="J586" i="2"/>
  <c r="I586" i="2"/>
  <c r="F586" i="2"/>
  <c r="B586" i="2"/>
  <c r="J585" i="2"/>
  <c r="I585" i="2"/>
  <c r="F585" i="2"/>
  <c r="B585" i="2"/>
  <c r="J584" i="2"/>
  <c r="I584" i="2"/>
  <c r="F584" i="2"/>
  <c r="B584" i="2"/>
  <c r="J583" i="2"/>
  <c r="I583" i="2"/>
  <c r="F583" i="2"/>
  <c r="B583" i="2"/>
  <c r="J582" i="2"/>
  <c r="I582" i="2"/>
  <c r="F582" i="2"/>
  <c r="B582" i="2"/>
  <c r="J581" i="2"/>
  <c r="I581" i="2"/>
  <c r="F581" i="2"/>
  <c r="B581" i="2"/>
  <c r="J580" i="2"/>
  <c r="I580" i="2"/>
  <c r="F580" i="2"/>
  <c r="B580" i="2"/>
  <c r="J579" i="2"/>
  <c r="I579" i="2"/>
  <c r="F579" i="2"/>
  <c r="B579" i="2"/>
  <c r="K578" i="2"/>
  <c r="L578" i="2" s="1"/>
  <c r="J578" i="2"/>
  <c r="I578" i="2"/>
  <c r="F578" i="2"/>
  <c r="B578" i="2"/>
  <c r="J577" i="2"/>
  <c r="I577" i="2"/>
  <c r="F577" i="2"/>
  <c r="B577" i="2"/>
  <c r="K576" i="2"/>
  <c r="J576" i="2"/>
  <c r="I576" i="2"/>
  <c r="F576" i="2"/>
  <c r="K575" i="2"/>
  <c r="L575" i="2" s="1"/>
  <c r="J575" i="2"/>
  <c r="I575" i="2"/>
  <c r="F575" i="2"/>
  <c r="K574" i="2"/>
  <c r="J574" i="2"/>
  <c r="I574" i="2"/>
  <c r="F574" i="2"/>
  <c r="K573" i="2"/>
  <c r="J573" i="2"/>
  <c r="I573" i="2"/>
  <c r="F573" i="2"/>
  <c r="J572" i="2"/>
  <c r="I572" i="2"/>
  <c r="F572" i="2"/>
  <c r="J571" i="2"/>
  <c r="I571" i="2"/>
  <c r="F571" i="2"/>
  <c r="J570" i="2"/>
  <c r="I570" i="2"/>
  <c r="F570" i="2"/>
  <c r="J569" i="2"/>
  <c r="I569" i="2"/>
  <c r="F569" i="2"/>
  <c r="J568" i="2"/>
  <c r="I568" i="2"/>
  <c r="F568" i="2"/>
  <c r="J567" i="2"/>
  <c r="I567" i="2"/>
  <c r="F567" i="2"/>
  <c r="J566" i="2"/>
  <c r="I566" i="2"/>
  <c r="F566" i="2"/>
  <c r="J565" i="2"/>
  <c r="I565" i="2"/>
  <c r="F565" i="2"/>
  <c r="J564" i="2"/>
  <c r="I564" i="2"/>
  <c r="F564" i="2"/>
  <c r="J563" i="2"/>
  <c r="I563" i="2"/>
  <c r="F563" i="2"/>
  <c r="J562" i="2"/>
  <c r="I562" i="2"/>
  <c r="F562" i="2"/>
  <c r="J561" i="2"/>
  <c r="I561" i="2"/>
  <c r="F561" i="2"/>
  <c r="J560" i="2"/>
  <c r="I560" i="2"/>
  <c r="F560" i="2"/>
  <c r="J559" i="2"/>
  <c r="I559" i="2"/>
  <c r="F559" i="2"/>
  <c r="J558" i="2"/>
  <c r="I558" i="2"/>
  <c r="F558" i="2"/>
  <c r="J557" i="2"/>
  <c r="I557" i="2"/>
  <c r="F557" i="2"/>
  <c r="J556" i="2"/>
  <c r="I556" i="2"/>
  <c r="F556" i="2"/>
  <c r="J555" i="2"/>
  <c r="I555" i="2"/>
  <c r="F555" i="2"/>
  <c r="J554" i="2"/>
  <c r="I554" i="2"/>
  <c r="F554" i="2"/>
  <c r="J553" i="2"/>
  <c r="I553" i="2"/>
  <c r="F553" i="2"/>
  <c r="J552" i="2"/>
  <c r="I552" i="2"/>
  <c r="F552" i="2"/>
  <c r="J551" i="2"/>
  <c r="I551" i="2"/>
  <c r="F551" i="2"/>
  <c r="J550" i="2"/>
  <c r="I550" i="2"/>
  <c r="F550" i="2"/>
  <c r="J549" i="2"/>
  <c r="I549" i="2"/>
  <c r="F549" i="2"/>
  <c r="J548" i="2"/>
  <c r="I548" i="2"/>
  <c r="F548" i="2"/>
  <c r="J547" i="2"/>
  <c r="I547" i="2"/>
  <c r="F547" i="2"/>
  <c r="J546" i="2"/>
  <c r="I546" i="2"/>
  <c r="F546" i="2"/>
  <c r="J545" i="2"/>
  <c r="I545" i="2"/>
  <c r="F545" i="2"/>
  <c r="J544" i="2"/>
  <c r="I544" i="2"/>
  <c r="F544" i="2"/>
  <c r="J543" i="2"/>
  <c r="I543" i="2"/>
  <c r="F543" i="2"/>
  <c r="J542" i="2"/>
  <c r="I542" i="2"/>
  <c r="F542" i="2"/>
  <c r="J541" i="2"/>
  <c r="I541" i="2"/>
  <c r="F541" i="2"/>
  <c r="K540" i="2"/>
  <c r="J540" i="2"/>
  <c r="I540" i="2"/>
  <c r="L540" i="2" s="1"/>
  <c r="F540" i="2"/>
  <c r="K539" i="2"/>
  <c r="J539" i="2"/>
  <c r="I539" i="2"/>
  <c r="L539" i="2" s="1"/>
  <c r="F539" i="2"/>
  <c r="K538" i="2"/>
  <c r="J538" i="2"/>
  <c r="I538" i="2"/>
  <c r="L538" i="2" s="1"/>
  <c r="F538" i="2"/>
  <c r="J537" i="2"/>
  <c r="I537" i="2"/>
  <c r="F537" i="2"/>
  <c r="J536" i="2"/>
  <c r="I536" i="2"/>
  <c r="F536" i="2"/>
  <c r="J535" i="2"/>
  <c r="I535" i="2"/>
  <c r="F535" i="2"/>
  <c r="J534" i="2"/>
  <c r="I534" i="2"/>
  <c r="F534" i="2"/>
  <c r="J533" i="2"/>
  <c r="I533" i="2"/>
  <c r="F533" i="2"/>
  <c r="J532" i="2"/>
  <c r="I532" i="2"/>
  <c r="F532" i="2"/>
  <c r="J531" i="2"/>
  <c r="I531" i="2"/>
  <c r="F531" i="2"/>
  <c r="J530" i="2"/>
  <c r="I530" i="2"/>
  <c r="F530" i="2"/>
  <c r="J529" i="2"/>
  <c r="I529" i="2"/>
  <c r="F529" i="2"/>
  <c r="J528" i="2"/>
  <c r="I528" i="2"/>
  <c r="F528" i="2"/>
  <c r="L527" i="2"/>
  <c r="K527" i="2"/>
  <c r="J527" i="2"/>
  <c r="I527" i="2"/>
  <c r="F527" i="2"/>
  <c r="K526" i="2"/>
  <c r="J526" i="2"/>
  <c r="I526" i="2"/>
  <c r="F526" i="2"/>
  <c r="L525" i="2"/>
  <c r="K525" i="2"/>
  <c r="J525" i="2"/>
  <c r="I525" i="2"/>
  <c r="F525" i="2"/>
  <c r="J524" i="2"/>
  <c r="I524" i="2"/>
  <c r="F524" i="2"/>
  <c r="J523" i="2"/>
  <c r="I523" i="2"/>
  <c r="F523" i="2"/>
  <c r="J522" i="2"/>
  <c r="I522" i="2"/>
  <c r="F522" i="2"/>
  <c r="J521" i="2"/>
  <c r="I521" i="2"/>
  <c r="F521" i="2"/>
  <c r="J520" i="2"/>
  <c r="I520" i="2"/>
  <c r="F520" i="2"/>
  <c r="J519" i="2"/>
  <c r="I519" i="2"/>
  <c r="F519" i="2"/>
  <c r="J518" i="2"/>
  <c r="I518" i="2"/>
  <c r="F518" i="2"/>
  <c r="J517" i="2"/>
  <c r="I517" i="2"/>
  <c r="F517" i="2"/>
  <c r="K516" i="2"/>
  <c r="J516" i="2"/>
  <c r="I516" i="2"/>
  <c r="F516" i="2"/>
  <c r="K515" i="2"/>
  <c r="L515" i="2" s="1"/>
  <c r="J515" i="2"/>
  <c r="I515" i="2"/>
  <c r="F515" i="2"/>
  <c r="K514" i="2"/>
  <c r="J514" i="2"/>
  <c r="I514" i="2"/>
  <c r="F514" i="2"/>
  <c r="K513" i="2"/>
  <c r="J513" i="2"/>
  <c r="I513" i="2"/>
  <c r="F513" i="2"/>
  <c r="J512" i="2"/>
  <c r="I512" i="2"/>
  <c r="F512" i="2"/>
  <c r="K511" i="2"/>
  <c r="J511" i="2"/>
  <c r="I511" i="2"/>
  <c r="F511" i="2"/>
  <c r="K510" i="2"/>
  <c r="J510" i="2"/>
  <c r="I510" i="2"/>
  <c r="L510" i="2" s="1"/>
  <c r="F510" i="2"/>
  <c r="J509" i="2"/>
  <c r="I509" i="2"/>
  <c r="F509" i="2"/>
  <c r="J508" i="2"/>
  <c r="I508" i="2"/>
  <c r="F508" i="2"/>
  <c r="J507" i="2"/>
  <c r="I507" i="2"/>
  <c r="F507" i="2"/>
  <c r="K506" i="2"/>
  <c r="J506" i="2"/>
  <c r="I506" i="2"/>
  <c r="F506" i="2"/>
  <c r="J505" i="2"/>
  <c r="I505" i="2"/>
  <c r="F505" i="2"/>
  <c r="K504" i="2"/>
  <c r="J504" i="2"/>
  <c r="I504" i="2"/>
  <c r="F504" i="2"/>
  <c r="J503" i="2"/>
  <c r="I503" i="2"/>
  <c r="F503" i="2"/>
  <c r="J502" i="2"/>
  <c r="I502" i="2"/>
  <c r="F502" i="2"/>
  <c r="J501" i="2"/>
  <c r="I501" i="2"/>
  <c r="F501" i="2"/>
  <c r="J500" i="2"/>
  <c r="I500" i="2"/>
  <c r="F500" i="2"/>
  <c r="J499" i="2"/>
  <c r="I499" i="2"/>
  <c r="F499" i="2"/>
  <c r="K498" i="2"/>
  <c r="J498" i="2"/>
  <c r="I498" i="2"/>
  <c r="L498" i="2" s="1"/>
  <c r="F498" i="2"/>
  <c r="L497" i="2"/>
  <c r="K497" i="2"/>
  <c r="J497" i="2"/>
  <c r="I497" i="2"/>
  <c r="F497" i="2"/>
  <c r="J496" i="2"/>
  <c r="I496" i="2"/>
  <c r="F496" i="2"/>
  <c r="K495" i="2"/>
  <c r="L495" i="2" s="1"/>
  <c r="J495" i="2"/>
  <c r="I495" i="2"/>
  <c r="F495" i="2"/>
  <c r="J494" i="2"/>
  <c r="I494" i="2"/>
  <c r="F494" i="2"/>
  <c r="J493" i="2"/>
  <c r="I493" i="2"/>
  <c r="F493" i="2"/>
  <c r="J492" i="2"/>
  <c r="I492" i="2"/>
  <c r="F492" i="2"/>
  <c r="J491" i="2"/>
  <c r="I491" i="2"/>
  <c r="F491" i="2"/>
  <c r="K490" i="2"/>
  <c r="J490" i="2"/>
  <c r="I490" i="2"/>
  <c r="L490" i="2" s="1"/>
  <c r="F490" i="2"/>
  <c r="K489" i="2"/>
  <c r="J489" i="2"/>
  <c r="I489" i="2"/>
  <c r="L489" i="2" s="1"/>
  <c r="F489" i="2"/>
  <c r="K488" i="2"/>
  <c r="J488" i="2"/>
  <c r="I488" i="2"/>
  <c r="F488" i="2"/>
  <c r="L487" i="2"/>
  <c r="K487" i="2"/>
  <c r="J487" i="2"/>
  <c r="I487" i="2"/>
  <c r="F487" i="2"/>
  <c r="J486" i="2"/>
  <c r="I486" i="2"/>
  <c r="F486" i="2"/>
  <c r="J485" i="2"/>
  <c r="I485" i="2"/>
  <c r="F485" i="2"/>
  <c r="K484" i="2"/>
  <c r="J484" i="2"/>
  <c r="I484" i="2"/>
  <c r="F484" i="2"/>
  <c r="J483" i="2"/>
  <c r="I483" i="2"/>
  <c r="F483" i="2"/>
  <c r="J482" i="2"/>
  <c r="I482" i="2"/>
  <c r="F482" i="2"/>
  <c r="J481" i="2"/>
  <c r="I481" i="2"/>
  <c r="F481" i="2"/>
  <c r="K480" i="2"/>
  <c r="J480" i="2"/>
  <c r="I480" i="2"/>
  <c r="L480" i="2" s="1"/>
  <c r="F480" i="2"/>
  <c r="J479" i="2"/>
  <c r="I479" i="2"/>
  <c r="F479" i="2"/>
  <c r="J478" i="2"/>
  <c r="I478" i="2"/>
  <c r="F478" i="2"/>
  <c r="L477" i="2"/>
  <c r="K477" i="2"/>
  <c r="J477" i="2"/>
  <c r="I477" i="2"/>
  <c r="F477" i="2"/>
  <c r="J476" i="2"/>
  <c r="I476" i="2"/>
  <c r="F476" i="2"/>
  <c r="J475" i="2"/>
  <c r="I475" i="2"/>
  <c r="F475" i="2"/>
  <c r="K474" i="2"/>
  <c r="J474" i="2"/>
  <c r="I474" i="2"/>
  <c r="F474" i="2"/>
  <c r="K473" i="2"/>
  <c r="J473" i="2"/>
  <c r="I473" i="2"/>
  <c r="F473" i="2"/>
  <c r="K472" i="2"/>
  <c r="J472" i="2"/>
  <c r="I472" i="2"/>
  <c r="F472" i="2"/>
  <c r="J471" i="2"/>
  <c r="I471" i="2"/>
  <c r="F471" i="2"/>
  <c r="J470" i="2"/>
  <c r="I470" i="2"/>
  <c r="F470" i="2"/>
  <c r="J469" i="2"/>
  <c r="I469" i="2"/>
  <c r="F469" i="2"/>
  <c r="J468" i="2"/>
  <c r="I468" i="2"/>
  <c r="F468" i="2"/>
  <c r="J467" i="2"/>
  <c r="I467" i="2"/>
  <c r="F467" i="2"/>
  <c r="J466" i="2"/>
  <c r="I466" i="2"/>
  <c r="F466" i="2"/>
  <c r="J465" i="2"/>
  <c r="I465" i="2"/>
  <c r="F465" i="2"/>
  <c r="J464" i="2"/>
  <c r="I464" i="2"/>
  <c r="F464" i="2"/>
  <c r="J463" i="2"/>
  <c r="I463" i="2"/>
  <c r="F463" i="2"/>
  <c r="J462" i="2"/>
  <c r="I462" i="2"/>
  <c r="F462" i="2"/>
  <c r="K461" i="2"/>
  <c r="J461" i="2"/>
  <c r="I461" i="2"/>
  <c r="L461" i="2" s="1"/>
  <c r="F461" i="2"/>
  <c r="J460" i="2"/>
  <c r="I460" i="2"/>
  <c r="F460" i="2"/>
  <c r="J459" i="2"/>
  <c r="I459" i="2"/>
  <c r="F459" i="2"/>
  <c r="J458" i="2"/>
  <c r="I458" i="2"/>
  <c r="F458" i="2"/>
  <c r="J457" i="2"/>
  <c r="I457" i="2"/>
  <c r="F457" i="2"/>
  <c r="J456" i="2"/>
  <c r="I456" i="2"/>
  <c r="F456" i="2"/>
  <c r="J455" i="2"/>
  <c r="I455" i="2"/>
  <c r="F455" i="2"/>
  <c r="J454" i="2"/>
  <c r="I454" i="2"/>
  <c r="F454" i="2"/>
  <c r="J453" i="2"/>
  <c r="I453" i="2"/>
  <c r="F453" i="2"/>
  <c r="J452" i="2"/>
  <c r="I452" i="2"/>
  <c r="F452" i="2"/>
  <c r="J451" i="2"/>
  <c r="I451" i="2"/>
  <c r="F451" i="2"/>
  <c r="J450" i="2"/>
  <c r="I450" i="2"/>
  <c r="F450" i="2"/>
  <c r="J449" i="2"/>
  <c r="I449" i="2"/>
  <c r="F449" i="2"/>
  <c r="J448" i="2"/>
  <c r="I448" i="2"/>
  <c r="F448" i="2"/>
  <c r="J447" i="2"/>
  <c r="I447" i="2"/>
  <c r="F447" i="2"/>
  <c r="J446" i="2"/>
  <c r="I446" i="2"/>
  <c r="F446" i="2"/>
  <c r="J445" i="2"/>
  <c r="I445" i="2"/>
  <c r="F445" i="2"/>
  <c r="J444" i="2"/>
  <c r="I444" i="2"/>
  <c r="F444" i="2"/>
  <c r="J443" i="2"/>
  <c r="I443" i="2"/>
  <c r="F443" i="2"/>
  <c r="J442" i="2"/>
  <c r="I442" i="2"/>
  <c r="F442" i="2"/>
  <c r="J441" i="2"/>
  <c r="I441" i="2"/>
  <c r="F441" i="2"/>
  <c r="J440" i="2"/>
  <c r="I440" i="2"/>
  <c r="F440" i="2"/>
  <c r="J439" i="2"/>
  <c r="I439" i="2"/>
  <c r="F439" i="2"/>
  <c r="J438" i="2"/>
  <c r="I438" i="2"/>
  <c r="F438" i="2"/>
  <c r="J437" i="2"/>
  <c r="I437" i="2"/>
  <c r="F437" i="2"/>
  <c r="J436" i="2"/>
  <c r="I436" i="2"/>
  <c r="F436" i="2"/>
  <c r="J435" i="2"/>
  <c r="I435" i="2"/>
  <c r="F435" i="2"/>
  <c r="J434" i="2"/>
  <c r="I434" i="2"/>
  <c r="F434" i="2"/>
  <c r="K433" i="2"/>
  <c r="J433" i="2"/>
  <c r="I433" i="2"/>
  <c r="F433" i="2"/>
  <c r="J432" i="2"/>
  <c r="I432" i="2"/>
  <c r="F432" i="2"/>
  <c r="J431" i="2"/>
  <c r="I431" i="2"/>
  <c r="F431" i="2"/>
  <c r="J430" i="2"/>
  <c r="I430" i="2"/>
  <c r="F430" i="2"/>
  <c r="J429" i="2"/>
  <c r="I429" i="2"/>
  <c r="F429" i="2"/>
  <c r="J428" i="2"/>
  <c r="I428" i="2"/>
  <c r="F428" i="2"/>
  <c r="J427" i="2"/>
  <c r="I427" i="2"/>
  <c r="F427" i="2"/>
  <c r="K426" i="2"/>
  <c r="J426" i="2"/>
  <c r="I426" i="2"/>
  <c r="F426" i="2"/>
  <c r="L425" i="2"/>
  <c r="K425" i="2"/>
  <c r="J425" i="2"/>
  <c r="I425" i="2"/>
  <c r="F425" i="2"/>
  <c r="K424" i="2"/>
  <c r="J424" i="2"/>
  <c r="I424" i="2"/>
  <c r="F424" i="2"/>
  <c r="K423" i="2"/>
  <c r="J423" i="2"/>
  <c r="L423" i="2" s="1"/>
  <c r="I423" i="2"/>
  <c r="F423" i="2"/>
  <c r="J422" i="2"/>
  <c r="I422" i="2"/>
  <c r="F422" i="2"/>
  <c r="J421" i="2"/>
  <c r="I421" i="2"/>
  <c r="F421" i="2"/>
  <c r="K420" i="2"/>
  <c r="J420" i="2"/>
  <c r="I420" i="2"/>
  <c r="L420" i="2" s="1"/>
  <c r="F420" i="2"/>
  <c r="K419" i="2"/>
  <c r="J419" i="2"/>
  <c r="I419" i="2"/>
  <c r="L419" i="2" s="1"/>
  <c r="F419" i="2"/>
  <c r="K418" i="2"/>
  <c r="J418" i="2"/>
  <c r="I418" i="2"/>
  <c r="L418" i="2" s="1"/>
  <c r="F418" i="2"/>
  <c r="J417" i="2"/>
  <c r="I417" i="2"/>
  <c r="F417" i="2"/>
  <c r="J416" i="2"/>
  <c r="I416" i="2"/>
  <c r="F416" i="2"/>
  <c r="J415" i="2"/>
  <c r="I415" i="2"/>
  <c r="F415" i="2"/>
  <c r="J414" i="2"/>
  <c r="I414" i="2"/>
  <c r="F414" i="2"/>
  <c r="K413" i="2"/>
  <c r="J413" i="2"/>
  <c r="I413" i="2"/>
  <c r="F413" i="2"/>
  <c r="K412" i="2"/>
  <c r="J412" i="2"/>
  <c r="I412" i="2"/>
  <c r="F412" i="2"/>
  <c r="K411" i="2"/>
  <c r="J411" i="2"/>
  <c r="I411" i="2"/>
  <c r="L411" i="2" s="1"/>
  <c r="F411" i="2"/>
  <c r="K410" i="2"/>
  <c r="J410" i="2"/>
  <c r="I410" i="2"/>
  <c r="L410" i="2" s="1"/>
  <c r="F410" i="2"/>
  <c r="K409" i="2"/>
  <c r="J409" i="2"/>
  <c r="I409" i="2"/>
  <c r="L409" i="2" s="1"/>
  <c r="F409" i="2"/>
  <c r="K408" i="2"/>
  <c r="J408" i="2"/>
  <c r="I408" i="2"/>
  <c r="F408" i="2"/>
  <c r="K407" i="2"/>
  <c r="J407" i="2"/>
  <c r="I407" i="2"/>
  <c r="L407" i="2" s="1"/>
  <c r="F407" i="2"/>
  <c r="K406" i="2"/>
  <c r="J406" i="2"/>
  <c r="I406" i="2"/>
  <c r="F406" i="2"/>
  <c r="L405" i="2"/>
  <c r="K405" i="2"/>
  <c r="J405" i="2"/>
  <c r="I405" i="2"/>
  <c r="F405" i="2"/>
  <c r="J404" i="2"/>
  <c r="I404" i="2"/>
  <c r="F404" i="2"/>
  <c r="J403" i="2"/>
  <c r="I403" i="2"/>
  <c r="F403" i="2"/>
  <c r="J402" i="2"/>
  <c r="I402" i="2"/>
  <c r="F402" i="2"/>
  <c r="J401" i="2"/>
  <c r="I401" i="2"/>
  <c r="F401" i="2"/>
  <c r="J400" i="2"/>
  <c r="I400" i="2"/>
  <c r="F400" i="2"/>
  <c r="J399" i="2"/>
  <c r="I399" i="2"/>
  <c r="F399" i="2"/>
  <c r="J398" i="2"/>
  <c r="I398" i="2"/>
  <c r="F398" i="2"/>
  <c r="J397" i="2"/>
  <c r="I397" i="2"/>
  <c r="F397" i="2"/>
  <c r="J396" i="2"/>
  <c r="I396" i="2"/>
  <c r="F396" i="2"/>
  <c r="J395" i="2"/>
  <c r="I395" i="2"/>
  <c r="F395" i="2"/>
  <c r="J394" i="2"/>
  <c r="I394" i="2"/>
  <c r="F394" i="2"/>
  <c r="J393" i="2"/>
  <c r="I393" i="2"/>
  <c r="F393" i="2"/>
  <c r="J392" i="2"/>
  <c r="I392" i="2"/>
  <c r="F392" i="2"/>
  <c r="J391" i="2"/>
  <c r="I391" i="2"/>
  <c r="F391" i="2"/>
  <c r="J390" i="2"/>
  <c r="I390" i="2"/>
  <c r="F390" i="2"/>
  <c r="J389" i="2"/>
  <c r="I389" i="2"/>
  <c r="F389" i="2"/>
  <c r="J388" i="2"/>
  <c r="I388" i="2"/>
  <c r="F388" i="2"/>
  <c r="J387" i="2"/>
  <c r="I387" i="2"/>
  <c r="F387" i="2"/>
  <c r="J386" i="2"/>
  <c r="I386" i="2"/>
  <c r="F386" i="2"/>
  <c r="J385" i="2"/>
  <c r="I385" i="2"/>
  <c r="F385" i="2"/>
  <c r="J384" i="2"/>
  <c r="I384" i="2"/>
  <c r="F384" i="2"/>
  <c r="J383" i="2"/>
  <c r="I383" i="2"/>
  <c r="F383" i="2"/>
  <c r="J382" i="2"/>
  <c r="I382" i="2"/>
  <c r="F382" i="2"/>
  <c r="J381" i="2"/>
  <c r="I381" i="2"/>
  <c r="F381" i="2"/>
  <c r="J380" i="2"/>
  <c r="I380" i="2"/>
  <c r="F380" i="2"/>
  <c r="K379" i="2"/>
  <c r="J379" i="2"/>
  <c r="I379" i="2"/>
  <c r="L379" i="2" s="1"/>
  <c r="F379" i="2"/>
  <c r="J378" i="2"/>
  <c r="I378" i="2"/>
  <c r="F378" i="2"/>
  <c r="J377" i="2"/>
  <c r="I377" i="2"/>
  <c r="F377" i="2"/>
  <c r="J376" i="2"/>
  <c r="I376" i="2"/>
  <c r="F376" i="2"/>
  <c r="J375" i="2"/>
  <c r="I375" i="2"/>
  <c r="F375" i="2"/>
  <c r="K374" i="2"/>
  <c r="J374" i="2"/>
  <c r="I374" i="2"/>
  <c r="F374" i="2"/>
  <c r="K373" i="2"/>
  <c r="J373" i="2"/>
  <c r="I373" i="2"/>
  <c r="L373" i="2" s="1"/>
  <c r="F373" i="2"/>
  <c r="K372" i="2"/>
  <c r="J372" i="2"/>
  <c r="I372" i="2"/>
  <c r="F372" i="2"/>
  <c r="J371" i="2"/>
  <c r="I371" i="2"/>
  <c r="F371" i="2"/>
  <c r="K370" i="2"/>
  <c r="J370" i="2"/>
  <c r="I370" i="2"/>
  <c r="L370" i="2" s="1"/>
  <c r="F370" i="2"/>
  <c r="J369" i="2"/>
  <c r="I369" i="2"/>
  <c r="F369" i="2"/>
  <c r="K368" i="2"/>
  <c r="J368" i="2"/>
  <c r="I368" i="2"/>
  <c r="L368" i="2" s="1"/>
  <c r="F368" i="2"/>
  <c r="K367" i="2"/>
  <c r="J367" i="2"/>
  <c r="I367" i="2"/>
  <c r="L367" i="2" s="1"/>
  <c r="F367" i="2"/>
  <c r="K366" i="2"/>
  <c r="J366" i="2"/>
  <c r="I366" i="2"/>
  <c r="F366" i="2"/>
  <c r="K365" i="2"/>
  <c r="J365" i="2"/>
  <c r="I365" i="2"/>
  <c r="L365" i="2" s="1"/>
  <c r="F365" i="2"/>
  <c r="K364" i="2"/>
  <c r="J364" i="2"/>
  <c r="I364" i="2"/>
  <c r="F364" i="2"/>
  <c r="K363" i="2"/>
  <c r="J363" i="2"/>
  <c r="I363" i="2"/>
  <c r="L363" i="2" s="1"/>
  <c r="F363" i="2"/>
  <c r="K362" i="2"/>
  <c r="J362" i="2"/>
  <c r="I362" i="2"/>
  <c r="L362" i="2" s="1"/>
  <c r="F362" i="2"/>
  <c r="J361" i="2"/>
  <c r="I361" i="2"/>
  <c r="F361" i="2"/>
  <c r="J360" i="2"/>
  <c r="I360" i="2"/>
  <c r="F360" i="2"/>
  <c r="J359" i="2"/>
  <c r="I359" i="2"/>
  <c r="F359" i="2"/>
  <c r="J358" i="2"/>
  <c r="I358" i="2"/>
  <c r="F358" i="2"/>
  <c r="J357" i="2"/>
  <c r="I357" i="2"/>
  <c r="F357" i="2"/>
  <c r="J356" i="2"/>
  <c r="I356" i="2"/>
  <c r="F356" i="2"/>
  <c r="J355" i="2"/>
  <c r="I355" i="2"/>
  <c r="F355" i="2"/>
  <c r="J354" i="2"/>
  <c r="I354" i="2"/>
  <c r="F354" i="2"/>
  <c r="J353" i="2"/>
  <c r="I353" i="2"/>
  <c r="F353" i="2"/>
  <c r="J352" i="2"/>
  <c r="I352" i="2"/>
  <c r="F352" i="2"/>
  <c r="J351" i="2"/>
  <c r="I351" i="2"/>
  <c r="F351" i="2"/>
  <c r="J350" i="2"/>
  <c r="I350" i="2"/>
  <c r="F350" i="2"/>
  <c r="J349" i="2"/>
  <c r="I349" i="2"/>
  <c r="F349" i="2"/>
  <c r="J348" i="2"/>
  <c r="I348" i="2"/>
  <c r="F348" i="2"/>
  <c r="J347" i="2"/>
  <c r="I347" i="2"/>
  <c r="F347" i="2"/>
  <c r="J346" i="2"/>
  <c r="I346" i="2"/>
  <c r="F346" i="2"/>
  <c r="J345" i="2"/>
  <c r="I345" i="2"/>
  <c r="F345" i="2"/>
  <c r="J344" i="2"/>
  <c r="I344" i="2"/>
  <c r="F344" i="2"/>
  <c r="J343" i="2"/>
  <c r="I343" i="2"/>
  <c r="F343" i="2"/>
  <c r="J342" i="2"/>
  <c r="I342" i="2"/>
  <c r="F342" i="2"/>
  <c r="J341" i="2"/>
  <c r="I341" i="2"/>
  <c r="F341" i="2"/>
  <c r="J340" i="2"/>
  <c r="I340" i="2"/>
  <c r="F340" i="2"/>
  <c r="J339" i="2"/>
  <c r="I339" i="2"/>
  <c r="F339" i="2"/>
  <c r="J338" i="2"/>
  <c r="I338" i="2"/>
  <c r="F338" i="2"/>
  <c r="J337" i="2"/>
  <c r="I337" i="2"/>
  <c r="F337" i="2"/>
  <c r="J336" i="2"/>
  <c r="I336" i="2"/>
  <c r="F336" i="2"/>
  <c r="J335" i="2"/>
  <c r="I335" i="2"/>
  <c r="F335" i="2"/>
  <c r="J334" i="2"/>
  <c r="I334" i="2"/>
  <c r="F334" i="2"/>
  <c r="J333" i="2"/>
  <c r="I333" i="2"/>
  <c r="F333" i="2"/>
  <c r="J332" i="2"/>
  <c r="I332" i="2"/>
  <c r="F332" i="2"/>
  <c r="J331" i="2"/>
  <c r="I331" i="2"/>
  <c r="F331" i="2"/>
  <c r="J330" i="2"/>
  <c r="I330" i="2"/>
  <c r="F330" i="2"/>
  <c r="J329" i="2"/>
  <c r="I329" i="2"/>
  <c r="F329" i="2"/>
  <c r="J328" i="2"/>
  <c r="I328" i="2"/>
  <c r="F328" i="2"/>
  <c r="J327" i="2"/>
  <c r="I327" i="2"/>
  <c r="F327" i="2"/>
  <c r="J326" i="2"/>
  <c r="I326" i="2"/>
  <c r="F326" i="2"/>
  <c r="J325" i="2"/>
  <c r="I325" i="2"/>
  <c r="F325" i="2"/>
  <c r="J324" i="2"/>
  <c r="I324" i="2"/>
  <c r="F324" i="2"/>
  <c r="J323" i="2"/>
  <c r="I323" i="2"/>
  <c r="F323" i="2"/>
  <c r="J322" i="2"/>
  <c r="I322" i="2"/>
  <c r="F322" i="2"/>
  <c r="J321" i="2"/>
  <c r="I321" i="2"/>
  <c r="F321" i="2"/>
  <c r="J320" i="2"/>
  <c r="I320" i="2"/>
  <c r="F320" i="2"/>
  <c r="J319" i="2"/>
  <c r="I319" i="2"/>
  <c r="F319" i="2"/>
  <c r="J318" i="2"/>
  <c r="I318" i="2"/>
  <c r="F318" i="2"/>
  <c r="J317" i="2"/>
  <c r="I317" i="2"/>
  <c r="F317" i="2"/>
  <c r="J316" i="2"/>
  <c r="I316" i="2"/>
  <c r="F316" i="2"/>
  <c r="J315" i="2"/>
  <c r="I315" i="2"/>
  <c r="F315" i="2"/>
  <c r="J314" i="2"/>
  <c r="I314" i="2"/>
  <c r="F314" i="2"/>
  <c r="J313" i="2"/>
  <c r="I313" i="2"/>
  <c r="F313" i="2"/>
  <c r="J312" i="2"/>
  <c r="I312" i="2"/>
  <c r="F312" i="2"/>
  <c r="J311" i="2"/>
  <c r="I311" i="2"/>
  <c r="F311" i="2"/>
  <c r="J310" i="2"/>
  <c r="I310" i="2"/>
  <c r="F310" i="2"/>
  <c r="J309" i="2"/>
  <c r="I309" i="2"/>
  <c r="F309" i="2"/>
  <c r="J308" i="2"/>
  <c r="I308" i="2"/>
  <c r="F308" i="2"/>
  <c r="J307" i="2"/>
  <c r="I307" i="2"/>
  <c r="F307" i="2"/>
  <c r="J306" i="2"/>
  <c r="I306" i="2"/>
  <c r="F306" i="2"/>
  <c r="J305" i="2"/>
  <c r="I305" i="2"/>
  <c r="F305" i="2"/>
  <c r="J304" i="2"/>
  <c r="I304" i="2"/>
  <c r="F304" i="2"/>
  <c r="J303" i="2"/>
  <c r="I303" i="2"/>
  <c r="F303" i="2"/>
  <c r="J302" i="2"/>
  <c r="I302" i="2"/>
  <c r="F302" i="2"/>
  <c r="J301" i="2"/>
  <c r="I301" i="2"/>
  <c r="F301" i="2"/>
  <c r="J300" i="2"/>
  <c r="I300" i="2"/>
  <c r="F300" i="2"/>
  <c r="J299" i="2"/>
  <c r="I299" i="2"/>
  <c r="F299" i="2"/>
  <c r="J298" i="2"/>
  <c r="I298" i="2"/>
  <c r="F298" i="2"/>
  <c r="K297" i="2"/>
  <c r="L297" i="2" s="1"/>
  <c r="J297" i="2"/>
  <c r="I297" i="2"/>
  <c r="F297" i="2"/>
  <c r="J296" i="2"/>
  <c r="I296" i="2"/>
  <c r="F296" i="2"/>
  <c r="J295" i="2"/>
  <c r="I295" i="2"/>
  <c r="F295" i="2"/>
  <c r="J294" i="2"/>
  <c r="I294" i="2"/>
  <c r="F294" i="2"/>
  <c r="J293" i="2"/>
  <c r="I293" i="2"/>
  <c r="F293" i="2"/>
  <c r="J292" i="2"/>
  <c r="I292" i="2"/>
  <c r="F292" i="2"/>
  <c r="J291" i="2"/>
  <c r="I291" i="2"/>
  <c r="F291" i="2"/>
  <c r="J290" i="2"/>
  <c r="I290" i="2"/>
  <c r="F290" i="2"/>
  <c r="J289" i="2"/>
  <c r="I289" i="2"/>
  <c r="F289" i="2"/>
  <c r="J288" i="2"/>
  <c r="I288" i="2"/>
  <c r="F288" i="2"/>
  <c r="J287" i="2"/>
  <c r="I287" i="2"/>
  <c r="F287" i="2"/>
  <c r="J286" i="2"/>
  <c r="I286" i="2"/>
  <c r="F286" i="2"/>
  <c r="J285" i="2"/>
  <c r="I285" i="2"/>
  <c r="F285" i="2"/>
  <c r="J284" i="2"/>
  <c r="I284" i="2"/>
  <c r="F284" i="2"/>
  <c r="J283" i="2"/>
  <c r="I283" i="2"/>
  <c r="F283" i="2"/>
  <c r="J282" i="2"/>
  <c r="I282" i="2"/>
  <c r="F282" i="2"/>
  <c r="J281" i="2"/>
  <c r="I281" i="2"/>
  <c r="F281" i="2"/>
  <c r="J280" i="2"/>
  <c r="I280" i="2"/>
  <c r="F280" i="2"/>
  <c r="J279" i="2"/>
  <c r="I279" i="2"/>
  <c r="F279" i="2"/>
  <c r="J278" i="2"/>
  <c r="I278" i="2"/>
  <c r="F278" i="2"/>
  <c r="J277" i="2"/>
  <c r="I277" i="2"/>
  <c r="F277" i="2"/>
  <c r="J276" i="2"/>
  <c r="I276" i="2"/>
  <c r="F276" i="2"/>
  <c r="J275" i="2"/>
  <c r="I275" i="2"/>
  <c r="F275" i="2"/>
  <c r="J274" i="2"/>
  <c r="I274" i="2"/>
  <c r="F274" i="2"/>
  <c r="J273" i="2"/>
  <c r="I273" i="2"/>
  <c r="F273" i="2"/>
  <c r="J272" i="2"/>
  <c r="I272" i="2"/>
  <c r="F272" i="2"/>
  <c r="J271" i="2"/>
  <c r="I271" i="2"/>
  <c r="F271" i="2"/>
  <c r="K270" i="2"/>
  <c r="J270" i="2"/>
  <c r="I270" i="2"/>
  <c r="L270" i="2" s="1"/>
  <c r="F270" i="2"/>
  <c r="J269" i="2"/>
  <c r="I269" i="2"/>
  <c r="F269" i="2"/>
  <c r="J268" i="2"/>
  <c r="I268" i="2"/>
  <c r="F268" i="2"/>
  <c r="J267" i="2"/>
  <c r="I267" i="2"/>
  <c r="F267" i="2"/>
  <c r="J266" i="2"/>
  <c r="I266" i="2"/>
  <c r="F266" i="2"/>
  <c r="J265" i="2"/>
  <c r="I265" i="2"/>
  <c r="F265" i="2"/>
  <c r="J264" i="2"/>
  <c r="I264" i="2"/>
  <c r="F264" i="2"/>
  <c r="J263" i="2"/>
  <c r="I263" i="2"/>
  <c r="F263" i="2"/>
  <c r="J262" i="2"/>
  <c r="I262" i="2"/>
  <c r="F262" i="2"/>
  <c r="J261" i="2"/>
  <c r="I261" i="2"/>
  <c r="F261" i="2"/>
  <c r="J260" i="2"/>
  <c r="I260" i="2"/>
  <c r="F260" i="2"/>
  <c r="L259" i="2"/>
  <c r="K259" i="2"/>
  <c r="J259" i="2"/>
  <c r="I259" i="2"/>
  <c r="F259" i="2"/>
  <c r="J258" i="2"/>
  <c r="I258" i="2"/>
  <c r="F258" i="2"/>
  <c r="J257" i="2"/>
  <c r="I257" i="2"/>
  <c r="F257" i="2"/>
  <c r="J256" i="2"/>
  <c r="I256" i="2"/>
  <c r="F256" i="2"/>
  <c r="J255" i="2"/>
  <c r="I255" i="2"/>
  <c r="F255" i="2"/>
  <c r="J254" i="2"/>
  <c r="I254" i="2"/>
  <c r="F254" i="2"/>
  <c r="J253" i="2"/>
  <c r="I253" i="2"/>
  <c r="F253" i="2"/>
  <c r="J252" i="2"/>
  <c r="I252" i="2"/>
  <c r="F252" i="2"/>
  <c r="J251" i="2"/>
  <c r="I251" i="2"/>
  <c r="F251" i="2"/>
  <c r="J250" i="2"/>
  <c r="I250" i="2"/>
  <c r="F250" i="2"/>
  <c r="J249" i="2"/>
  <c r="I249" i="2"/>
  <c r="F249" i="2"/>
  <c r="J248" i="2"/>
  <c r="I248" i="2"/>
  <c r="F248" i="2"/>
  <c r="J247" i="2"/>
  <c r="I247" i="2"/>
  <c r="F247" i="2"/>
  <c r="J246" i="2"/>
  <c r="I246" i="2"/>
  <c r="F246" i="2"/>
  <c r="J245" i="2"/>
  <c r="I245" i="2"/>
  <c r="F245" i="2"/>
  <c r="J244" i="2"/>
  <c r="I244" i="2"/>
  <c r="F244" i="2"/>
  <c r="J243" i="2"/>
  <c r="I243" i="2"/>
  <c r="F243" i="2"/>
  <c r="J242" i="2"/>
  <c r="I242" i="2"/>
  <c r="F242" i="2"/>
  <c r="J241" i="2"/>
  <c r="I241" i="2"/>
  <c r="F241" i="2"/>
  <c r="J240" i="2"/>
  <c r="I240" i="2"/>
  <c r="F240" i="2"/>
  <c r="J239" i="2"/>
  <c r="I239" i="2"/>
  <c r="F239" i="2"/>
  <c r="J238" i="2"/>
  <c r="I238" i="2"/>
  <c r="F238" i="2"/>
  <c r="J237" i="2"/>
  <c r="I237" i="2"/>
  <c r="F237" i="2"/>
  <c r="J236" i="2"/>
  <c r="I236" i="2"/>
  <c r="F236" i="2"/>
  <c r="J235" i="2"/>
  <c r="I235" i="2"/>
  <c r="F235" i="2"/>
  <c r="J234" i="2"/>
  <c r="I234" i="2"/>
  <c r="F234" i="2"/>
  <c r="J233" i="2"/>
  <c r="I233" i="2"/>
  <c r="F233" i="2"/>
  <c r="J232" i="2"/>
  <c r="I232" i="2"/>
  <c r="F232" i="2"/>
  <c r="J231" i="2"/>
  <c r="I231" i="2"/>
  <c r="F231" i="2"/>
  <c r="J230" i="2"/>
  <c r="I230" i="2"/>
  <c r="F230" i="2"/>
  <c r="J229" i="2"/>
  <c r="I229" i="2"/>
  <c r="F229" i="2"/>
  <c r="J228" i="2"/>
  <c r="I228" i="2"/>
  <c r="F228" i="2"/>
  <c r="J227" i="2"/>
  <c r="I227" i="2"/>
  <c r="F227" i="2"/>
  <c r="J226" i="2"/>
  <c r="I226" i="2"/>
  <c r="F226" i="2"/>
  <c r="J225" i="2"/>
  <c r="I225" i="2"/>
  <c r="F225" i="2"/>
  <c r="J224" i="2"/>
  <c r="I224" i="2"/>
  <c r="F224" i="2"/>
  <c r="J223" i="2"/>
  <c r="I223" i="2"/>
  <c r="F223" i="2"/>
  <c r="J222" i="2"/>
  <c r="I222" i="2"/>
  <c r="F222" i="2"/>
  <c r="J221" i="2"/>
  <c r="I221" i="2"/>
  <c r="F221" i="2"/>
  <c r="J220" i="2"/>
  <c r="I220" i="2"/>
  <c r="F220" i="2"/>
  <c r="J219" i="2"/>
  <c r="I219" i="2"/>
  <c r="F219" i="2"/>
  <c r="J218" i="2"/>
  <c r="I218" i="2"/>
  <c r="F218" i="2"/>
  <c r="J217" i="2"/>
  <c r="I217" i="2"/>
  <c r="F217" i="2"/>
  <c r="J216" i="2"/>
  <c r="I216" i="2"/>
  <c r="F216" i="2"/>
  <c r="J215" i="2"/>
  <c r="I215" i="2"/>
  <c r="F215" i="2"/>
  <c r="J214" i="2"/>
  <c r="I214" i="2"/>
  <c r="F214" i="2"/>
  <c r="J213" i="2"/>
  <c r="I213" i="2"/>
  <c r="F213" i="2"/>
  <c r="J212" i="2"/>
  <c r="I212" i="2"/>
  <c r="F212" i="2"/>
  <c r="J211" i="2"/>
  <c r="I211" i="2"/>
  <c r="F211" i="2"/>
  <c r="J210" i="2"/>
  <c r="I210" i="2"/>
  <c r="F210" i="2"/>
  <c r="J209" i="2"/>
  <c r="I209" i="2"/>
  <c r="F209" i="2"/>
  <c r="J208" i="2"/>
  <c r="I208" i="2"/>
  <c r="F208" i="2"/>
  <c r="J207" i="2"/>
  <c r="I207" i="2"/>
  <c r="F207" i="2"/>
  <c r="J206" i="2"/>
  <c r="I206" i="2"/>
  <c r="F206" i="2"/>
  <c r="J205" i="2"/>
  <c r="I205" i="2"/>
  <c r="F205" i="2"/>
  <c r="J204" i="2"/>
  <c r="I204" i="2"/>
  <c r="F204" i="2"/>
  <c r="J203" i="2"/>
  <c r="I203" i="2"/>
  <c r="F203" i="2"/>
  <c r="J202" i="2"/>
  <c r="I202" i="2"/>
  <c r="F202" i="2"/>
  <c r="J201" i="2"/>
  <c r="I201" i="2"/>
  <c r="F201" i="2"/>
  <c r="J200" i="2"/>
  <c r="I200" i="2"/>
  <c r="F200" i="2"/>
  <c r="J199" i="2"/>
  <c r="I199" i="2"/>
  <c r="F199" i="2"/>
  <c r="J198" i="2"/>
  <c r="I198" i="2"/>
  <c r="F198" i="2"/>
  <c r="J197" i="2"/>
  <c r="I197" i="2"/>
  <c r="F197" i="2"/>
  <c r="J196" i="2"/>
  <c r="I196" i="2"/>
  <c r="F196" i="2"/>
  <c r="J195" i="2"/>
  <c r="I195" i="2"/>
  <c r="F195" i="2"/>
  <c r="J194" i="2"/>
  <c r="I194" i="2"/>
  <c r="F194" i="2"/>
  <c r="J193" i="2"/>
  <c r="I193" i="2"/>
  <c r="F193" i="2"/>
  <c r="J192" i="2"/>
  <c r="I192" i="2"/>
  <c r="F192" i="2"/>
  <c r="J191" i="2"/>
  <c r="I191" i="2"/>
  <c r="F191" i="2"/>
  <c r="J190" i="2"/>
  <c r="I190" i="2"/>
  <c r="F190" i="2"/>
  <c r="J189" i="2"/>
  <c r="I189" i="2"/>
  <c r="F189" i="2"/>
  <c r="J188" i="2"/>
  <c r="I188" i="2"/>
  <c r="F188" i="2"/>
  <c r="J187" i="2"/>
  <c r="I187" i="2"/>
  <c r="F187" i="2"/>
  <c r="J186" i="2"/>
  <c r="I186" i="2"/>
  <c r="F186" i="2"/>
  <c r="J185" i="2"/>
  <c r="I185" i="2"/>
  <c r="F185" i="2"/>
  <c r="J184" i="2"/>
  <c r="I184" i="2"/>
  <c r="F184" i="2"/>
  <c r="J183" i="2"/>
  <c r="I183" i="2"/>
  <c r="F183" i="2"/>
  <c r="J182" i="2"/>
  <c r="I182" i="2"/>
  <c r="F182" i="2"/>
  <c r="J181" i="2"/>
  <c r="I181" i="2"/>
  <c r="F181" i="2"/>
  <c r="J180" i="2"/>
  <c r="I180" i="2"/>
  <c r="F180" i="2"/>
  <c r="J179" i="2"/>
  <c r="I179" i="2"/>
  <c r="F179" i="2"/>
  <c r="J178" i="2"/>
  <c r="I178" i="2"/>
  <c r="F178" i="2"/>
  <c r="J177" i="2"/>
  <c r="I177" i="2"/>
  <c r="F177" i="2"/>
  <c r="J176" i="2"/>
  <c r="I176" i="2"/>
  <c r="F176" i="2"/>
  <c r="J175" i="2"/>
  <c r="I175" i="2"/>
  <c r="F175" i="2"/>
  <c r="J174" i="2"/>
  <c r="I174" i="2"/>
  <c r="F174" i="2"/>
  <c r="J173" i="2"/>
  <c r="I173" i="2"/>
  <c r="F173" i="2"/>
  <c r="J172" i="2"/>
  <c r="I172" i="2"/>
  <c r="F172" i="2"/>
  <c r="J171" i="2"/>
  <c r="I171" i="2"/>
  <c r="F171" i="2"/>
  <c r="J170" i="2"/>
  <c r="I170" i="2"/>
  <c r="F170" i="2"/>
  <c r="J169" i="2"/>
  <c r="I169" i="2"/>
  <c r="F169" i="2"/>
  <c r="J168" i="2"/>
  <c r="I168" i="2"/>
  <c r="F168" i="2"/>
  <c r="J167" i="2"/>
  <c r="I167" i="2"/>
  <c r="F167" i="2"/>
  <c r="J166" i="2"/>
  <c r="I166" i="2"/>
  <c r="F166" i="2"/>
  <c r="J165" i="2"/>
  <c r="I165" i="2"/>
  <c r="F165" i="2"/>
  <c r="J164" i="2"/>
  <c r="I164" i="2"/>
  <c r="F164" i="2"/>
  <c r="J163" i="2"/>
  <c r="I163" i="2"/>
  <c r="F163" i="2"/>
  <c r="J162" i="2"/>
  <c r="I162" i="2"/>
  <c r="F162" i="2"/>
  <c r="J161" i="2"/>
  <c r="I161" i="2"/>
  <c r="F161" i="2"/>
  <c r="J160" i="2"/>
  <c r="I160" i="2"/>
  <c r="F160" i="2"/>
  <c r="J159" i="2"/>
  <c r="I159" i="2"/>
  <c r="F159" i="2"/>
  <c r="J158" i="2"/>
  <c r="I158" i="2"/>
  <c r="F158" i="2"/>
  <c r="J157" i="2"/>
  <c r="I157" i="2"/>
  <c r="F157" i="2"/>
  <c r="J156" i="2"/>
  <c r="I156" i="2"/>
  <c r="F156" i="2"/>
  <c r="J155" i="2"/>
  <c r="I155" i="2"/>
  <c r="F155" i="2"/>
  <c r="J154" i="2"/>
  <c r="I154" i="2"/>
  <c r="F154" i="2"/>
  <c r="J153" i="2"/>
  <c r="I153" i="2"/>
  <c r="F153" i="2"/>
  <c r="J152" i="2"/>
  <c r="I152" i="2"/>
  <c r="F152" i="2"/>
  <c r="J151" i="2"/>
  <c r="I151" i="2"/>
  <c r="F151" i="2"/>
  <c r="J150" i="2"/>
  <c r="I150" i="2"/>
  <c r="F150" i="2"/>
  <c r="J149" i="2"/>
  <c r="I149" i="2"/>
  <c r="F149" i="2"/>
  <c r="J148" i="2"/>
  <c r="I148" i="2"/>
  <c r="F148" i="2"/>
  <c r="J147" i="2"/>
  <c r="I147" i="2"/>
  <c r="F147" i="2"/>
  <c r="J146" i="2"/>
  <c r="I146" i="2"/>
  <c r="F146" i="2"/>
  <c r="J145" i="2"/>
  <c r="I145" i="2"/>
  <c r="F145" i="2"/>
  <c r="J144" i="2"/>
  <c r="I144" i="2"/>
  <c r="F144" i="2"/>
  <c r="J143" i="2"/>
  <c r="I143" i="2"/>
  <c r="F143" i="2"/>
  <c r="J142" i="2"/>
  <c r="I142" i="2"/>
  <c r="F142" i="2"/>
  <c r="J141" i="2"/>
  <c r="I141" i="2"/>
  <c r="F141" i="2"/>
  <c r="J140" i="2"/>
  <c r="I140" i="2"/>
  <c r="F140" i="2"/>
  <c r="J139" i="2"/>
  <c r="I139" i="2"/>
  <c r="F139" i="2"/>
  <c r="J138" i="2"/>
  <c r="I138" i="2"/>
  <c r="F138" i="2"/>
  <c r="J137" i="2"/>
  <c r="I137" i="2"/>
  <c r="F137" i="2"/>
  <c r="J136" i="2"/>
  <c r="I136" i="2"/>
  <c r="F136" i="2"/>
  <c r="J135" i="2"/>
  <c r="I135" i="2"/>
  <c r="F135" i="2"/>
  <c r="J134" i="2"/>
  <c r="I134" i="2"/>
  <c r="F134" i="2"/>
  <c r="J133" i="2"/>
  <c r="I133" i="2"/>
  <c r="F133" i="2"/>
  <c r="J132" i="2"/>
  <c r="I132" i="2"/>
  <c r="F132" i="2"/>
  <c r="J131" i="2"/>
  <c r="I131" i="2"/>
  <c r="F131" i="2"/>
  <c r="J130" i="2"/>
  <c r="I130" i="2"/>
  <c r="F130" i="2"/>
  <c r="J129" i="2"/>
  <c r="I129" i="2"/>
  <c r="F129" i="2"/>
  <c r="J128" i="2"/>
  <c r="I128" i="2"/>
  <c r="F128" i="2"/>
  <c r="J127" i="2"/>
  <c r="I127" i="2"/>
  <c r="F127" i="2"/>
  <c r="J126" i="2"/>
  <c r="I126" i="2"/>
  <c r="F126" i="2"/>
  <c r="J125" i="2"/>
  <c r="I125" i="2"/>
  <c r="F125" i="2"/>
  <c r="K124" i="2"/>
  <c r="J124" i="2"/>
  <c r="I124" i="2"/>
  <c r="F124" i="2"/>
  <c r="J123" i="2"/>
  <c r="I123" i="2"/>
  <c r="F123" i="2"/>
  <c r="J122" i="2"/>
  <c r="I122" i="2"/>
  <c r="F122" i="2"/>
  <c r="J121" i="2"/>
  <c r="I121" i="2"/>
  <c r="F121" i="2"/>
  <c r="K120" i="2"/>
  <c r="J120" i="2"/>
  <c r="I120" i="2"/>
  <c r="F120" i="2"/>
  <c r="K119" i="2"/>
  <c r="J119" i="2"/>
  <c r="I119" i="2"/>
  <c r="L119" i="2" s="1"/>
  <c r="F119" i="2"/>
  <c r="J118" i="2"/>
  <c r="I118" i="2"/>
  <c r="F118" i="2"/>
  <c r="K117" i="2"/>
  <c r="J117" i="2"/>
  <c r="I117" i="2"/>
  <c r="L117" i="2" s="1"/>
  <c r="F117" i="2"/>
  <c r="J116" i="2"/>
  <c r="I116" i="2"/>
  <c r="F116" i="2"/>
  <c r="J115" i="2"/>
  <c r="I115" i="2"/>
  <c r="F115" i="2"/>
  <c r="J114" i="2"/>
  <c r="I114" i="2"/>
  <c r="F114" i="2"/>
  <c r="J113" i="2"/>
  <c r="I113" i="2"/>
  <c r="F113" i="2"/>
  <c r="J112" i="2"/>
  <c r="I112" i="2"/>
  <c r="F112" i="2"/>
  <c r="K111" i="2"/>
  <c r="J111" i="2"/>
  <c r="I111" i="2"/>
  <c r="L111" i="2" s="1"/>
  <c r="F111" i="2"/>
  <c r="J110" i="2"/>
  <c r="I110" i="2"/>
  <c r="F110" i="2"/>
  <c r="J109" i="2"/>
  <c r="I109" i="2"/>
  <c r="F109" i="2"/>
  <c r="J108" i="2"/>
  <c r="I108" i="2"/>
  <c r="F108" i="2"/>
  <c r="J107" i="2"/>
  <c r="I107" i="2"/>
  <c r="F107" i="2"/>
  <c r="J106" i="2"/>
  <c r="I106" i="2"/>
  <c r="F106" i="2"/>
  <c r="J105" i="2"/>
  <c r="I105" i="2"/>
  <c r="F105" i="2"/>
  <c r="J104" i="2"/>
  <c r="I104" i="2"/>
  <c r="F104" i="2"/>
  <c r="J103" i="2"/>
  <c r="I103" i="2"/>
  <c r="F103" i="2"/>
  <c r="J102" i="2"/>
  <c r="I102" i="2"/>
  <c r="F102" i="2"/>
  <c r="J101" i="2"/>
  <c r="I101" i="2"/>
  <c r="F101" i="2"/>
  <c r="J100" i="2"/>
  <c r="I100" i="2"/>
  <c r="F100" i="2"/>
  <c r="J99" i="2"/>
  <c r="I99" i="2"/>
  <c r="F99" i="2"/>
  <c r="J98" i="2"/>
  <c r="I98" i="2"/>
  <c r="F98" i="2"/>
  <c r="J97" i="2"/>
  <c r="I97" i="2"/>
  <c r="F97" i="2"/>
  <c r="J96" i="2"/>
  <c r="I96" i="2"/>
  <c r="F96" i="2"/>
  <c r="J95" i="2"/>
  <c r="I95" i="2"/>
  <c r="F95" i="2"/>
  <c r="J94" i="2"/>
  <c r="I94" i="2"/>
  <c r="F94" i="2"/>
  <c r="J93" i="2"/>
  <c r="I93" i="2"/>
  <c r="F93" i="2"/>
  <c r="J92" i="2"/>
  <c r="I92" i="2"/>
  <c r="F92" i="2"/>
  <c r="J91" i="2"/>
  <c r="I91" i="2"/>
  <c r="F91" i="2"/>
  <c r="J90" i="2"/>
  <c r="I90" i="2"/>
  <c r="F90" i="2"/>
  <c r="J89" i="2"/>
  <c r="I89" i="2"/>
  <c r="F89" i="2"/>
  <c r="J88" i="2"/>
  <c r="I88" i="2"/>
  <c r="F88" i="2"/>
  <c r="J87" i="2"/>
  <c r="I87" i="2"/>
  <c r="F87" i="2"/>
  <c r="J86" i="2"/>
  <c r="I86" i="2"/>
  <c r="F86" i="2"/>
  <c r="J85" i="2"/>
  <c r="I85" i="2"/>
  <c r="F85" i="2"/>
  <c r="J84" i="2"/>
  <c r="I84" i="2"/>
  <c r="F84" i="2"/>
  <c r="J83" i="2"/>
  <c r="I83" i="2"/>
  <c r="F83" i="2"/>
  <c r="J82" i="2"/>
  <c r="I82" i="2"/>
  <c r="F82" i="2"/>
  <c r="J81" i="2"/>
  <c r="I81" i="2"/>
  <c r="F81" i="2"/>
  <c r="J80" i="2"/>
  <c r="I80" i="2"/>
  <c r="F80" i="2"/>
  <c r="J79" i="2"/>
  <c r="I79" i="2"/>
  <c r="F79" i="2"/>
  <c r="J78" i="2"/>
  <c r="I78" i="2"/>
  <c r="F78" i="2"/>
  <c r="J77" i="2"/>
  <c r="I77" i="2"/>
  <c r="F77" i="2"/>
  <c r="J76" i="2"/>
  <c r="I76" i="2"/>
  <c r="F76" i="2"/>
  <c r="J75" i="2"/>
  <c r="I75" i="2"/>
  <c r="F75" i="2"/>
  <c r="J74" i="2"/>
  <c r="I74" i="2"/>
  <c r="F74" i="2"/>
  <c r="J73" i="2"/>
  <c r="I73" i="2"/>
  <c r="F73" i="2"/>
  <c r="J72" i="2"/>
  <c r="I72" i="2"/>
  <c r="F72" i="2"/>
  <c r="J71" i="2"/>
  <c r="I71" i="2"/>
  <c r="F71" i="2"/>
  <c r="J70" i="2"/>
  <c r="I70" i="2"/>
  <c r="F70" i="2"/>
  <c r="K69" i="2"/>
  <c r="J69" i="2"/>
  <c r="I69" i="2"/>
  <c r="L69" i="2" s="1"/>
  <c r="F69" i="2"/>
  <c r="J68" i="2"/>
  <c r="I68" i="2"/>
  <c r="F68" i="2"/>
  <c r="K67" i="2"/>
  <c r="J67" i="2"/>
  <c r="I67" i="2"/>
  <c r="L67" i="2" s="1"/>
  <c r="F67" i="2"/>
  <c r="J66" i="2"/>
  <c r="I66" i="2"/>
  <c r="F66" i="2"/>
  <c r="K65" i="2"/>
  <c r="J65" i="2"/>
  <c r="I65" i="2"/>
  <c r="L65" i="2" s="1"/>
  <c r="F65" i="2"/>
  <c r="J64" i="2"/>
  <c r="I64" i="2"/>
  <c r="F64" i="2"/>
  <c r="J63" i="2"/>
  <c r="I63" i="2"/>
  <c r="F63" i="2"/>
  <c r="J62" i="2"/>
  <c r="I62" i="2"/>
  <c r="F62" i="2"/>
  <c r="K61" i="2"/>
  <c r="J61" i="2"/>
  <c r="I61" i="2"/>
  <c r="L61" i="2" s="1"/>
  <c r="F61" i="2"/>
  <c r="K60" i="2"/>
  <c r="J60" i="2"/>
  <c r="I60" i="2"/>
  <c r="F60" i="2"/>
  <c r="K59" i="2"/>
  <c r="J59" i="2"/>
  <c r="I59" i="2"/>
  <c r="L59" i="2" s="1"/>
  <c r="F59" i="2"/>
  <c r="J58" i="2"/>
  <c r="I58" i="2"/>
  <c r="F58" i="2"/>
  <c r="J57" i="2"/>
  <c r="I57" i="2"/>
  <c r="F57" i="2"/>
  <c r="J56" i="2"/>
  <c r="I56" i="2"/>
  <c r="F56" i="2"/>
  <c r="J55" i="2"/>
  <c r="I55" i="2"/>
  <c r="F55" i="2"/>
  <c r="J54" i="2"/>
  <c r="I54" i="2"/>
  <c r="F54" i="2"/>
  <c r="J53" i="2"/>
  <c r="I53" i="2"/>
  <c r="F53" i="2"/>
  <c r="J52" i="2"/>
  <c r="I52" i="2"/>
  <c r="F52" i="2"/>
  <c r="J51" i="2"/>
  <c r="I51" i="2"/>
  <c r="F51" i="2"/>
  <c r="J50" i="2"/>
  <c r="I50" i="2"/>
  <c r="F50" i="2"/>
  <c r="J49" i="2"/>
  <c r="I49" i="2"/>
  <c r="F49" i="2"/>
  <c r="J48" i="2"/>
  <c r="I48" i="2"/>
  <c r="F48" i="2"/>
  <c r="J47" i="2"/>
  <c r="I47" i="2"/>
  <c r="F47" i="2"/>
  <c r="J46" i="2"/>
  <c r="I46" i="2"/>
  <c r="F46" i="2"/>
  <c r="J45" i="2"/>
  <c r="I45" i="2"/>
  <c r="F45" i="2"/>
  <c r="J44" i="2"/>
  <c r="I44" i="2"/>
  <c r="F44" i="2"/>
  <c r="J43" i="2"/>
  <c r="I43" i="2"/>
  <c r="F43" i="2"/>
  <c r="J42" i="2"/>
  <c r="I42" i="2"/>
  <c r="F42" i="2"/>
  <c r="J41" i="2"/>
  <c r="I41" i="2"/>
  <c r="F41" i="2"/>
  <c r="J40" i="2"/>
  <c r="I40" i="2"/>
  <c r="F40" i="2"/>
  <c r="J39" i="2"/>
  <c r="I39" i="2"/>
  <c r="F39" i="2"/>
  <c r="J38" i="2"/>
  <c r="I38" i="2"/>
  <c r="F38" i="2"/>
  <c r="J37" i="2"/>
  <c r="I37" i="2"/>
  <c r="F37" i="2"/>
  <c r="J36" i="2"/>
  <c r="I36" i="2"/>
  <c r="F36" i="2"/>
  <c r="J35" i="2"/>
  <c r="I35" i="2"/>
  <c r="F35" i="2"/>
  <c r="J34" i="2"/>
  <c r="I34" i="2"/>
  <c r="F34" i="2"/>
  <c r="J33" i="2"/>
  <c r="I33" i="2"/>
  <c r="F33" i="2"/>
  <c r="J32" i="2"/>
  <c r="I32" i="2"/>
  <c r="F32" i="2"/>
  <c r="J31" i="2"/>
  <c r="I31" i="2"/>
  <c r="F31" i="2"/>
  <c r="J30" i="2"/>
  <c r="I30" i="2"/>
  <c r="F30" i="2"/>
  <c r="J29" i="2"/>
  <c r="I29" i="2"/>
  <c r="F29" i="2"/>
  <c r="J28" i="2"/>
  <c r="I28" i="2"/>
  <c r="F28" i="2"/>
  <c r="J27" i="2"/>
  <c r="I27" i="2"/>
  <c r="F27" i="2"/>
  <c r="J26" i="2"/>
  <c r="I26" i="2"/>
  <c r="F26" i="2"/>
  <c r="J25" i="2"/>
  <c r="I25" i="2"/>
  <c r="F25" i="2"/>
  <c r="J24" i="2"/>
  <c r="I24" i="2"/>
  <c r="F24" i="2"/>
  <c r="J23" i="2"/>
  <c r="I23" i="2"/>
  <c r="F23" i="2"/>
  <c r="J22" i="2"/>
  <c r="I22" i="2"/>
  <c r="F22" i="2"/>
  <c r="J21" i="2"/>
  <c r="I21" i="2"/>
  <c r="F21" i="2"/>
  <c r="J20" i="2"/>
  <c r="I20" i="2"/>
  <c r="F20" i="2"/>
  <c r="J19" i="2"/>
  <c r="I19" i="2"/>
  <c r="F19" i="2"/>
  <c r="J18" i="2"/>
  <c r="I18" i="2"/>
  <c r="F18" i="2"/>
  <c r="J17" i="2"/>
  <c r="I17" i="2"/>
  <c r="F17" i="2"/>
  <c r="J16" i="2"/>
  <c r="I16" i="2"/>
  <c r="F16" i="2"/>
  <c r="J15" i="2"/>
  <c r="I15" i="2"/>
  <c r="F15" i="2"/>
  <c r="J14" i="2"/>
  <c r="I14" i="2"/>
  <c r="F14" i="2"/>
  <c r="J13" i="2"/>
  <c r="I13" i="2"/>
  <c r="F13" i="2"/>
  <c r="J12" i="2"/>
  <c r="I12" i="2"/>
  <c r="F12" i="2"/>
  <c r="J11" i="2"/>
  <c r="I11" i="2"/>
  <c r="F11" i="2"/>
  <c r="J10" i="2"/>
  <c r="I10" i="2"/>
  <c r="F10" i="2"/>
  <c r="J9" i="2"/>
  <c r="I9" i="2"/>
  <c r="F9" i="2"/>
  <c r="J8" i="2"/>
  <c r="I8" i="2"/>
  <c r="F8" i="2"/>
  <c r="K7" i="2"/>
  <c r="J7" i="2"/>
  <c r="I7" i="2"/>
  <c r="L7" i="2" s="1"/>
  <c r="F7" i="2"/>
  <c r="J6" i="2"/>
  <c r="I6" i="2"/>
  <c r="F6" i="2"/>
  <c r="J5" i="2"/>
  <c r="I5" i="2"/>
  <c r="F5" i="2"/>
  <c r="J4" i="2"/>
  <c r="I4" i="2"/>
  <c r="F4" i="2"/>
  <c r="J3" i="2"/>
  <c r="I3" i="2"/>
  <c r="F3" i="2"/>
  <c r="W2142" i="1"/>
  <c r="T2142" i="1"/>
  <c r="U2142" i="1" s="1"/>
  <c r="I2142" i="1" s="1"/>
  <c r="M2142" i="1"/>
  <c r="K2142" i="1"/>
  <c r="L2142" i="1" s="1"/>
  <c r="H2142" i="1"/>
  <c r="M2141" i="1"/>
  <c r="T2141" i="1" s="1"/>
  <c r="W2141" i="1" s="1"/>
  <c r="X2141" i="1" s="1"/>
  <c r="L2141" i="1"/>
  <c r="K2141" i="1"/>
  <c r="H2141" i="1"/>
  <c r="T2140" i="1"/>
  <c r="M2140" i="1"/>
  <c r="L2140" i="1"/>
  <c r="K2140" i="1"/>
  <c r="H2140" i="1"/>
  <c r="M2139" i="1"/>
  <c r="T2139" i="1" s="1"/>
  <c r="K2139" i="1"/>
  <c r="L2139" i="1" s="1"/>
  <c r="H2139" i="1"/>
  <c r="X2138" i="1"/>
  <c r="T2138" i="1"/>
  <c r="W2138" i="1" s="1"/>
  <c r="M2138" i="1"/>
  <c r="L2138" i="1"/>
  <c r="K2138" i="1"/>
  <c r="H2138" i="1"/>
  <c r="W2137" i="1"/>
  <c r="X2137" i="1" s="1"/>
  <c r="M2137" i="1"/>
  <c r="T2137" i="1" s="1"/>
  <c r="U2137" i="1" s="1"/>
  <c r="I2137" i="1" s="1"/>
  <c r="K2137" i="1"/>
  <c r="L2137" i="1" s="1"/>
  <c r="H2137" i="1"/>
  <c r="M2136" i="1"/>
  <c r="T2136" i="1" s="1"/>
  <c r="W2136" i="1" s="1"/>
  <c r="X2136" i="1" s="1"/>
  <c r="L2136" i="1"/>
  <c r="K2136" i="1"/>
  <c r="H2136" i="1"/>
  <c r="X2135" i="1"/>
  <c r="W2135" i="1"/>
  <c r="T2135" i="1"/>
  <c r="U2135" i="1" s="1"/>
  <c r="I2135" i="1" s="1"/>
  <c r="M2135" i="1"/>
  <c r="K2135" i="1"/>
  <c r="L2135" i="1" s="1"/>
  <c r="H2135" i="1"/>
  <c r="M2134" i="1"/>
  <c r="T2134" i="1" s="1"/>
  <c r="W2134" i="1" s="1"/>
  <c r="X2134" i="1" s="1"/>
  <c r="K2134" i="1"/>
  <c r="L2134" i="1" s="1"/>
  <c r="H2134" i="1"/>
  <c r="T2133" i="1"/>
  <c r="W2133" i="1" s="1"/>
  <c r="X2133" i="1" s="1"/>
  <c r="M2133" i="1"/>
  <c r="L2133" i="1"/>
  <c r="K2133" i="1"/>
  <c r="H2133" i="1"/>
  <c r="W2132" i="1"/>
  <c r="X2132" i="1" s="1"/>
  <c r="T2132" i="1"/>
  <c r="U2132" i="1" s="1"/>
  <c r="I2132" i="1" s="1"/>
  <c r="M2132" i="1"/>
  <c r="K2132" i="1"/>
  <c r="L2132" i="1" s="1"/>
  <c r="H2132" i="1"/>
  <c r="M2131" i="1"/>
  <c r="T2131" i="1" s="1"/>
  <c r="W2131" i="1" s="1"/>
  <c r="X2131" i="1" s="1"/>
  <c r="L2131" i="1"/>
  <c r="K2131" i="1"/>
  <c r="H2131" i="1"/>
  <c r="T2130" i="1"/>
  <c r="U2130" i="1" s="1"/>
  <c r="I2130" i="1" s="1"/>
  <c r="M2130" i="1"/>
  <c r="K2130" i="1"/>
  <c r="L2130" i="1" s="1"/>
  <c r="H2130" i="1"/>
  <c r="M2129" i="1"/>
  <c r="T2129" i="1" s="1"/>
  <c r="W2129" i="1" s="1"/>
  <c r="K2129" i="1"/>
  <c r="L2129" i="1" s="1"/>
  <c r="H2129" i="1"/>
  <c r="T2128" i="1"/>
  <c r="M2128" i="1"/>
  <c r="L2128" i="1"/>
  <c r="K2128" i="1"/>
  <c r="H2128" i="1"/>
  <c r="W2127" i="1"/>
  <c r="X2127" i="1" s="1"/>
  <c r="M2127" i="1"/>
  <c r="T2127" i="1" s="1"/>
  <c r="U2127" i="1" s="1"/>
  <c r="I2127" i="1" s="1"/>
  <c r="K2127" i="1"/>
  <c r="L2127" i="1" s="1"/>
  <c r="H2127" i="1"/>
  <c r="X2126" i="1"/>
  <c r="W2126" i="1"/>
  <c r="U2126" i="1"/>
  <c r="I2126" i="1" s="1"/>
  <c r="T2126" i="1"/>
  <c r="M2126" i="1"/>
  <c r="L2126" i="1"/>
  <c r="K2126" i="1"/>
  <c r="H2126" i="1"/>
  <c r="T2125" i="1"/>
  <c r="U2125" i="1" s="1"/>
  <c r="I2125" i="1" s="1"/>
  <c r="M2125" i="1"/>
  <c r="K2125" i="1"/>
  <c r="L2125" i="1" s="1"/>
  <c r="H2125" i="1"/>
  <c r="W2124" i="1"/>
  <c r="X2124" i="1" s="1"/>
  <c r="U2124" i="1"/>
  <c r="I2124" i="1" s="1"/>
  <c r="M2124" i="1"/>
  <c r="T2124" i="1" s="1"/>
  <c r="K2124" i="1"/>
  <c r="L2124" i="1" s="1"/>
  <c r="H2124" i="1"/>
  <c r="T2123" i="1"/>
  <c r="W2123" i="1" s="1"/>
  <c r="X2123" i="1" s="1"/>
  <c r="M2123" i="1"/>
  <c r="L2123" i="1"/>
  <c r="K2123" i="1"/>
  <c r="H2123" i="1"/>
  <c r="W2122" i="1"/>
  <c r="X2122" i="1" s="1"/>
  <c r="T2122" i="1"/>
  <c r="U2122" i="1" s="1"/>
  <c r="I2122" i="1" s="1"/>
  <c r="M2122" i="1"/>
  <c r="K2122" i="1"/>
  <c r="L2122" i="1" s="1"/>
  <c r="H2122" i="1"/>
  <c r="M2121" i="1"/>
  <c r="T2121" i="1" s="1"/>
  <c r="W2121" i="1" s="1"/>
  <c r="X2121" i="1" s="1"/>
  <c r="L2121" i="1"/>
  <c r="K2121" i="1"/>
  <c r="H2121" i="1"/>
  <c r="T2120" i="1"/>
  <c r="U2120" i="1" s="1"/>
  <c r="I2120" i="1" s="1"/>
  <c r="M2120" i="1"/>
  <c r="L2120" i="1"/>
  <c r="K2120" i="1"/>
  <c r="H2120" i="1"/>
  <c r="U2119" i="1"/>
  <c r="I2119" i="1" s="1"/>
  <c r="M2119" i="1"/>
  <c r="T2119" i="1" s="1"/>
  <c r="W2119" i="1" s="1"/>
  <c r="K2119" i="1"/>
  <c r="L2119" i="1" s="1"/>
  <c r="H2119" i="1"/>
  <c r="T2118" i="1"/>
  <c r="M2118" i="1"/>
  <c r="L2118" i="1"/>
  <c r="K2118" i="1"/>
  <c r="H2118" i="1"/>
  <c r="W2117" i="1"/>
  <c r="X2117" i="1" s="1"/>
  <c r="M2117" i="1"/>
  <c r="T2117" i="1" s="1"/>
  <c r="U2117" i="1" s="1"/>
  <c r="I2117" i="1" s="1"/>
  <c r="K2117" i="1"/>
  <c r="L2117" i="1" s="1"/>
  <c r="H2117" i="1"/>
  <c r="X2116" i="1"/>
  <c r="U2116" i="1"/>
  <c r="I2116" i="1" s="1"/>
  <c r="M2116" i="1"/>
  <c r="T2116" i="1" s="1"/>
  <c r="W2116" i="1" s="1"/>
  <c r="L2116" i="1"/>
  <c r="K2116" i="1"/>
  <c r="H2116" i="1"/>
  <c r="T2115" i="1"/>
  <c r="U2115" i="1" s="1"/>
  <c r="I2115" i="1" s="1"/>
  <c r="M2115" i="1"/>
  <c r="K2115" i="1"/>
  <c r="L2115" i="1" s="1"/>
  <c r="H2115" i="1"/>
  <c r="W2114" i="1"/>
  <c r="X2114" i="1" s="1"/>
  <c r="U2114" i="1"/>
  <c r="I2114" i="1" s="1"/>
  <c r="M2114" i="1"/>
  <c r="T2114" i="1" s="1"/>
  <c r="K2114" i="1"/>
  <c r="L2114" i="1" s="1"/>
  <c r="H2114" i="1"/>
  <c r="T2113" i="1"/>
  <c r="W2113" i="1" s="1"/>
  <c r="X2113" i="1" s="1"/>
  <c r="M2113" i="1"/>
  <c r="L2113" i="1"/>
  <c r="K2113" i="1"/>
  <c r="H2113" i="1"/>
  <c r="M2112" i="1"/>
  <c r="T2112" i="1" s="1"/>
  <c r="K2112" i="1"/>
  <c r="L2112" i="1" s="1"/>
  <c r="H2112" i="1"/>
  <c r="T2111" i="1"/>
  <c r="M2111" i="1"/>
  <c r="L2111" i="1"/>
  <c r="K2111" i="1"/>
  <c r="H2111" i="1"/>
  <c r="M2110" i="1"/>
  <c r="T2110" i="1" s="1"/>
  <c r="L2110" i="1"/>
  <c r="K2110" i="1"/>
  <c r="H2110" i="1"/>
  <c r="M2109" i="1"/>
  <c r="T2109" i="1" s="1"/>
  <c r="K2109" i="1"/>
  <c r="L2109" i="1" s="1"/>
  <c r="H2109" i="1"/>
  <c r="M2108" i="1"/>
  <c r="T2108" i="1" s="1"/>
  <c r="L2108" i="1"/>
  <c r="K2108" i="1"/>
  <c r="H2108" i="1"/>
  <c r="M2107" i="1"/>
  <c r="T2107" i="1" s="1"/>
  <c r="K2107" i="1"/>
  <c r="L2107" i="1" s="1"/>
  <c r="H2107" i="1"/>
  <c r="X2106" i="1"/>
  <c r="W2106" i="1"/>
  <c r="U2106" i="1"/>
  <c r="T2106" i="1"/>
  <c r="M2106" i="1"/>
  <c r="K2106" i="1"/>
  <c r="L2106" i="1" s="1"/>
  <c r="I2106" i="1"/>
  <c r="H2106" i="1"/>
  <c r="W2105" i="1"/>
  <c r="X2105" i="1" s="1"/>
  <c r="T2105" i="1"/>
  <c r="U2105" i="1" s="1"/>
  <c r="I2105" i="1" s="1"/>
  <c r="M2105" i="1"/>
  <c r="K2105" i="1"/>
  <c r="L2105" i="1" s="1"/>
  <c r="H2105" i="1"/>
  <c r="U2104" i="1"/>
  <c r="I2104" i="1" s="1"/>
  <c r="M2104" i="1"/>
  <c r="T2104" i="1" s="1"/>
  <c r="W2104" i="1" s="1"/>
  <c r="X2104" i="1" s="1"/>
  <c r="K2104" i="1"/>
  <c r="L2104" i="1" s="1"/>
  <c r="H2104" i="1"/>
  <c r="T2103" i="1"/>
  <c r="W2103" i="1" s="1"/>
  <c r="X2103" i="1" s="1"/>
  <c r="M2103" i="1"/>
  <c r="L2103" i="1"/>
  <c r="K2103" i="1"/>
  <c r="H2103" i="1"/>
  <c r="T2102" i="1"/>
  <c r="M2102" i="1"/>
  <c r="K2102" i="1"/>
  <c r="L2102" i="1" s="1"/>
  <c r="H2102" i="1"/>
  <c r="M2101" i="1"/>
  <c r="T2101" i="1" s="1"/>
  <c r="L2101" i="1"/>
  <c r="K2101" i="1"/>
  <c r="H2101" i="1"/>
  <c r="T2100" i="1"/>
  <c r="W2100" i="1" s="1"/>
  <c r="M2100" i="1"/>
  <c r="K2100" i="1"/>
  <c r="L2100" i="1" s="1"/>
  <c r="H2100" i="1"/>
  <c r="M2099" i="1"/>
  <c r="T2099" i="1" s="1"/>
  <c r="K2099" i="1"/>
  <c r="L2099" i="1" s="1"/>
  <c r="H2099" i="1"/>
  <c r="M2098" i="1"/>
  <c r="T2098" i="1" s="1"/>
  <c r="L2098" i="1"/>
  <c r="K2098" i="1"/>
  <c r="H2098" i="1"/>
  <c r="M2097" i="1"/>
  <c r="T2097" i="1" s="1"/>
  <c r="K2097" i="1"/>
  <c r="L2097" i="1" s="1"/>
  <c r="H2097" i="1"/>
  <c r="X2096" i="1"/>
  <c r="W2096" i="1"/>
  <c r="U2096" i="1"/>
  <c r="T2096" i="1"/>
  <c r="M2096" i="1"/>
  <c r="K2096" i="1"/>
  <c r="L2096" i="1" s="1"/>
  <c r="I2096" i="1"/>
  <c r="H2096" i="1"/>
  <c r="W2095" i="1"/>
  <c r="X2095" i="1" s="1"/>
  <c r="T2095" i="1"/>
  <c r="U2095" i="1" s="1"/>
  <c r="I2095" i="1" s="1"/>
  <c r="M2095" i="1"/>
  <c r="K2095" i="1"/>
  <c r="L2095" i="1" s="1"/>
  <c r="H2095" i="1"/>
  <c r="M2094" i="1"/>
  <c r="T2094" i="1" s="1"/>
  <c r="W2094" i="1" s="1"/>
  <c r="X2094" i="1" s="1"/>
  <c r="K2094" i="1"/>
  <c r="L2094" i="1" s="1"/>
  <c r="H2094" i="1"/>
  <c r="U2093" i="1"/>
  <c r="I2093" i="1" s="1"/>
  <c r="T2093" i="1"/>
  <c r="W2093" i="1" s="1"/>
  <c r="X2093" i="1" s="1"/>
  <c r="K2093" i="1"/>
  <c r="L2093" i="1" s="1"/>
  <c r="H2093" i="1"/>
  <c r="W2092" i="1"/>
  <c r="U2092" i="1"/>
  <c r="I2092" i="1" s="1"/>
  <c r="T2092" i="1"/>
  <c r="L2092" i="1"/>
  <c r="K2092" i="1"/>
  <c r="H2092" i="1"/>
  <c r="T2091" i="1"/>
  <c r="W2091" i="1" s="1"/>
  <c r="X2091" i="1" s="1"/>
  <c r="L2091" i="1"/>
  <c r="K2091" i="1"/>
  <c r="H2091" i="1"/>
  <c r="W2090" i="1"/>
  <c r="X2090" i="1" s="1"/>
  <c r="T2090" i="1"/>
  <c r="U2090" i="1" s="1"/>
  <c r="I2090" i="1" s="1"/>
  <c r="K2090" i="1"/>
  <c r="L2090" i="1" s="1"/>
  <c r="H2090" i="1"/>
  <c r="W2089" i="1"/>
  <c r="X2089" i="1" s="1"/>
  <c r="T2089" i="1"/>
  <c r="U2089" i="1" s="1"/>
  <c r="I2089" i="1" s="1"/>
  <c r="K2089" i="1"/>
  <c r="L2089" i="1" s="1"/>
  <c r="H2089" i="1"/>
  <c r="T2088" i="1"/>
  <c r="W2088" i="1" s="1"/>
  <c r="X2088" i="1" s="1"/>
  <c r="K2088" i="1"/>
  <c r="L2088" i="1" s="1"/>
  <c r="H2088" i="1"/>
  <c r="W2087" i="1"/>
  <c r="U2087" i="1"/>
  <c r="I2087" i="1" s="1"/>
  <c r="T2087" i="1"/>
  <c r="K2087" i="1"/>
  <c r="L2087" i="1" s="1"/>
  <c r="H2087" i="1"/>
  <c r="T2086" i="1"/>
  <c r="W2086" i="1" s="1"/>
  <c r="X2086" i="1" s="1"/>
  <c r="K2086" i="1"/>
  <c r="L2086" i="1" s="1"/>
  <c r="H2086" i="1"/>
  <c r="W2085" i="1"/>
  <c r="X2085" i="1" s="1"/>
  <c r="T2085" i="1"/>
  <c r="U2085" i="1" s="1"/>
  <c r="I2085" i="1" s="1"/>
  <c r="K2085" i="1"/>
  <c r="L2085" i="1" s="1"/>
  <c r="H2085" i="1"/>
  <c r="X2084" i="1"/>
  <c r="W2084" i="1"/>
  <c r="T2084" i="1"/>
  <c r="U2084" i="1" s="1"/>
  <c r="I2084" i="1" s="1"/>
  <c r="K2084" i="1"/>
  <c r="L2084" i="1" s="1"/>
  <c r="H2084" i="1"/>
  <c r="U2083" i="1"/>
  <c r="I2083" i="1" s="1"/>
  <c r="T2083" i="1"/>
  <c r="W2083" i="1" s="1"/>
  <c r="X2083" i="1" s="1"/>
  <c r="K2083" i="1"/>
  <c r="L2083" i="1" s="1"/>
  <c r="H2083" i="1"/>
  <c r="M2082" i="1"/>
  <c r="T2082" i="1" s="1"/>
  <c r="L2082" i="1"/>
  <c r="K2082" i="1"/>
  <c r="H2082" i="1"/>
  <c r="M2081" i="1"/>
  <c r="T2081" i="1" s="1"/>
  <c r="K2081" i="1"/>
  <c r="L2081" i="1" s="1"/>
  <c r="H2081" i="1"/>
  <c r="T2080" i="1"/>
  <c r="W2080" i="1" s="1"/>
  <c r="M2080" i="1"/>
  <c r="K2080" i="1"/>
  <c r="L2080" i="1" s="1"/>
  <c r="H2080" i="1"/>
  <c r="M2079" i="1"/>
  <c r="T2079" i="1" s="1"/>
  <c r="K2079" i="1"/>
  <c r="L2079" i="1" s="1"/>
  <c r="H2079" i="1"/>
  <c r="W2078" i="1"/>
  <c r="X2078" i="1" s="1"/>
  <c r="T2078" i="1"/>
  <c r="U2078" i="1" s="1"/>
  <c r="I2078" i="1" s="1"/>
  <c r="M2078" i="1"/>
  <c r="L2078" i="1"/>
  <c r="K2078" i="1"/>
  <c r="H2078" i="1"/>
  <c r="M2077" i="1"/>
  <c r="T2077" i="1" s="1"/>
  <c r="K2077" i="1"/>
  <c r="L2077" i="1" s="1"/>
  <c r="H2077" i="1"/>
  <c r="X2076" i="1"/>
  <c r="W2076" i="1"/>
  <c r="T2076" i="1"/>
  <c r="U2076" i="1" s="1"/>
  <c r="I2076" i="1" s="1"/>
  <c r="M2076" i="1"/>
  <c r="L2076" i="1"/>
  <c r="K2076" i="1"/>
  <c r="H2076" i="1"/>
  <c r="W2075" i="1"/>
  <c r="X2075" i="1" s="1"/>
  <c r="U2075" i="1"/>
  <c r="I2075" i="1" s="1"/>
  <c r="M2075" i="1"/>
  <c r="T2075" i="1" s="1"/>
  <c r="K2075" i="1"/>
  <c r="L2075" i="1" s="1"/>
  <c r="H2075" i="1"/>
  <c r="U2074" i="1"/>
  <c r="I2074" i="1" s="1"/>
  <c r="T2074" i="1"/>
  <c r="W2074" i="1" s="1"/>
  <c r="X2074" i="1" s="1"/>
  <c r="M2074" i="1"/>
  <c r="L2074" i="1"/>
  <c r="K2074" i="1"/>
  <c r="H2074" i="1"/>
  <c r="T2073" i="1"/>
  <c r="M2073" i="1"/>
  <c r="K2073" i="1"/>
  <c r="L2073" i="1" s="1"/>
  <c r="H2073" i="1"/>
  <c r="W2072" i="1"/>
  <c r="X2072" i="1" s="1"/>
  <c r="M2072" i="1"/>
  <c r="T2072" i="1" s="1"/>
  <c r="U2072" i="1" s="1"/>
  <c r="I2072" i="1" s="1"/>
  <c r="L2072" i="1"/>
  <c r="K2072" i="1"/>
  <c r="H2072" i="1"/>
  <c r="U2071" i="1"/>
  <c r="I2071" i="1" s="1"/>
  <c r="M2071" i="1"/>
  <c r="T2071" i="1" s="1"/>
  <c r="W2071" i="1" s="1"/>
  <c r="K2071" i="1"/>
  <c r="L2071" i="1" s="1"/>
  <c r="H2071" i="1"/>
  <c r="T2070" i="1"/>
  <c r="M2070" i="1"/>
  <c r="K2070" i="1"/>
  <c r="L2070" i="1" s="1"/>
  <c r="H2070" i="1"/>
  <c r="M2069" i="1"/>
  <c r="T2069" i="1" s="1"/>
  <c r="K2069" i="1"/>
  <c r="L2069" i="1" s="1"/>
  <c r="H2069" i="1"/>
  <c r="W2068" i="1"/>
  <c r="X2068" i="1" s="1"/>
  <c r="T2068" i="1"/>
  <c r="U2068" i="1" s="1"/>
  <c r="M2068" i="1"/>
  <c r="L2068" i="1"/>
  <c r="K2068" i="1"/>
  <c r="I2068" i="1"/>
  <c r="H2068" i="1"/>
  <c r="U2067" i="1"/>
  <c r="I2067" i="1" s="1"/>
  <c r="M2067" i="1"/>
  <c r="T2067" i="1" s="1"/>
  <c r="W2067" i="1" s="1"/>
  <c r="K2067" i="1"/>
  <c r="L2067" i="1" s="1"/>
  <c r="H2067" i="1"/>
  <c r="T2066" i="1"/>
  <c r="U2066" i="1" s="1"/>
  <c r="M2066" i="1"/>
  <c r="L2066" i="1"/>
  <c r="K2066" i="1"/>
  <c r="I2066" i="1"/>
  <c r="H2066" i="1"/>
  <c r="M2065" i="1"/>
  <c r="T2065" i="1" s="1"/>
  <c r="W2065" i="1" s="1"/>
  <c r="X2065" i="1" s="1"/>
  <c r="K2065" i="1"/>
  <c r="L2065" i="1" s="1"/>
  <c r="H2065" i="1"/>
  <c r="T2064" i="1"/>
  <c r="W2064" i="1" s="1"/>
  <c r="X2064" i="1" s="1"/>
  <c r="M2064" i="1"/>
  <c r="L2064" i="1"/>
  <c r="K2064" i="1"/>
  <c r="H2064" i="1"/>
  <c r="M2063" i="1"/>
  <c r="T2063" i="1" s="1"/>
  <c r="K2063" i="1"/>
  <c r="L2063" i="1" s="1"/>
  <c r="H2063" i="1"/>
  <c r="M2062" i="1"/>
  <c r="T2062" i="1" s="1"/>
  <c r="L2062" i="1"/>
  <c r="K2062" i="1"/>
  <c r="H2062" i="1"/>
  <c r="X2061" i="1"/>
  <c r="U2061" i="1"/>
  <c r="I2061" i="1" s="1"/>
  <c r="M2061" i="1"/>
  <c r="T2061" i="1" s="1"/>
  <c r="W2061" i="1" s="1"/>
  <c r="L2061" i="1"/>
  <c r="K2061" i="1"/>
  <c r="H2061" i="1"/>
  <c r="T2060" i="1"/>
  <c r="U2060" i="1" s="1"/>
  <c r="M2060" i="1"/>
  <c r="K2060" i="1"/>
  <c r="L2060" i="1" s="1"/>
  <c r="I2060" i="1"/>
  <c r="H2060" i="1"/>
  <c r="X2059" i="1"/>
  <c r="M2059" i="1"/>
  <c r="T2059" i="1" s="1"/>
  <c r="W2059" i="1" s="1"/>
  <c r="K2059" i="1"/>
  <c r="L2059" i="1" s="1"/>
  <c r="H2059" i="1"/>
  <c r="T2058" i="1"/>
  <c r="U2058" i="1" s="1"/>
  <c r="I2058" i="1" s="1"/>
  <c r="M2058" i="1"/>
  <c r="L2058" i="1"/>
  <c r="K2058" i="1"/>
  <c r="H2058" i="1"/>
  <c r="X2057" i="1"/>
  <c r="U2057" i="1"/>
  <c r="M2057" i="1"/>
  <c r="T2057" i="1" s="1"/>
  <c r="W2057" i="1" s="1"/>
  <c r="K2057" i="1"/>
  <c r="L2057" i="1" s="1"/>
  <c r="I2057" i="1"/>
  <c r="H2057" i="1"/>
  <c r="W2056" i="1"/>
  <c r="X2056" i="1" s="1"/>
  <c r="T2056" i="1"/>
  <c r="U2056" i="1" s="1"/>
  <c r="M2056" i="1"/>
  <c r="L2056" i="1"/>
  <c r="K2056" i="1"/>
  <c r="I2056" i="1"/>
  <c r="H2056" i="1"/>
  <c r="W2055" i="1"/>
  <c r="X2055" i="1" s="1"/>
  <c r="M2055" i="1"/>
  <c r="T2055" i="1" s="1"/>
  <c r="U2055" i="1" s="1"/>
  <c r="I2055" i="1" s="1"/>
  <c r="K2055" i="1"/>
  <c r="L2055" i="1" s="1"/>
  <c r="H2055" i="1"/>
  <c r="W2054" i="1"/>
  <c r="X2054" i="1" s="1"/>
  <c r="T2054" i="1"/>
  <c r="U2054" i="1" s="1"/>
  <c r="I2054" i="1" s="1"/>
  <c r="M2054" i="1"/>
  <c r="L2054" i="1"/>
  <c r="K2054" i="1"/>
  <c r="H2054" i="1"/>
  <c r="M2053" i="1"/>
  <c r="T2053" i="1" s="1"/>
  <c r="K2053" i="1"/>
  <c r="L2053" i="1" s="1"/>
  <c r="H2053" i="1"/>
  <c r="U2052" i="1"/>
  <c r="I2052" i="1" s="1"/>
  <c r="T2052" i="1"/>
  <c r="W2052" i="1" s="1"/>
  <c r="X2052" i="1" s="1"/>
  <c r="M2052" i="1"/>
  <c r="L2052" i="1"/>
  <c r="K2052" i="1"/>
  <c r="H2052" i="1"/>
  <c r="M2051" i="1"/>
  <c r="T2051" i="1" s="1"/>
  <c r="L2051" i="1"/>
  <c r="K2051" i="1"/>
  <c r="H2051" i="1"/>
  <c r="M2050" i="1"/>
  <c r="T2050" i="1" s="1"/>
  <c r="K2050" i="1"/>
  <c r="L2050" i="1" s="1"/>
  <c r="H2050" i="1"/>
  <c r="M2049" i="1"/>
  <c r="T2049" i="1" s="1"/>
  <c r="W2049" i="1" s="1"/>
  <c r="X2049" i="1" s="1"/>
  <c r="L2049" i="1"/>
  <c r="K2049" i="1"/>
  <c r="H2049" i="1"/>
  <c r="W2048" i="1"/>
  <c r="X2048" i="1" s="1"/>
  <c r="T2048" i="1"/>
  <c r="U2048" i="1" s="1"/>
  <c r="M2048" i="1"/>
  <c r="K2048" i="1"/>
  <c r="L2048" i="1" s="1"/>
  <c r="I2048" i="1"/>
  <c r="H2048" i="1"/>
  <c r="M2047" i="1"/>
  <c r="T2047" i="1" s="1"/>
  <c r="W2047" i="1" s="1"/>
  <c r="X2047" i="1" s="1"/>
  <c r="K2047" i="1"/>
  <c r="L2047" i="1" s="1"/>
  <c r="H2047" i="1"/>
  <c r="W2046" i="1"/>
  <c r="X2046" i="1" s="1"/>
  <c r="T2046" i="1"/>
  <c r="U2046" i="1" s="1"/>
  <c r="I2046" i="1" s="1"/>
  <c r="M2046" i="1"/>
  <c r="L2046" i="1"/>
  <c r="K2046" i="1"/>
  <c r="H2046" i="1"/>
  <c r="M2045" i="1"/>
  <c r="T2045" i="1" s="1"/>
  <c r="K2045" i="1"/>
  <c r="L2045" i="1" s="1"/>
  <c r="H2045" i="1"/>
  <c r="M2044" i="1"/>
  <c r="T2044" i="1" s="1"/>
  <c r="L2044" i="1"/>
  <c r="K2044" i="1"/>
  <c r="H2044" i="1"/>
  <c r="W2043" i="1"/>
  <c r="X2043" i="1" s="1"/>
  <c r="T2043" i="1"/>
  <c r="U2043" i="1" s="1"/>
  <c r="I2043" i="1" s="1"/>
  <c r="M2043" i="1"/>
  <c r="K2043" i="1"/>
  <c r="L2043" i="1" s="1"/>
  <c r="H2043" i="1"/>
  <c r="T2042" i="1"/>
  <c r="W2042" i="1" s="1"/>
  <c r="X2042" i="1" s="1"/>
  <c r="M2042" i="1"/>
  <c r="L2042" i="1"/>
  <c r="K2042" i="1"/>
  <c r="H2042" i="1"/>
  <c r="M2041" i="1"/>
  <c r="T2041" i="1" s="1"/>
  <c r="K2041" i="1"/>
  <c r="L2041" i="1" s="1"/>
  <c r="H2041" i="1"/>
  <c r="W2040" i="1"/>
  <c r="T2040" i="1"/>
  <c r="U2040" i="1" s="1"/>
  <c r="I2040" i="1" s="1"/>
  <c r="M2040" i="1"/>
  <c r="K2040" i="1"/>
  <c r="L2040" i="1" s="1"/>
  <c r="H2040" i="1"/>
  <c r="T2039" i="1"/>
  <c r="W2039" i="1" s="1"/>
  <c r="X2039" i="1" s="1"/>
  <c r="M2039" i="1"/>
  <c r="L2039" i="1"/>
  <c r="K2039" i="1"/>
  <c r="H2039" i="1"/>
  <c r="W2038" i="1"/>
  <c r="X2038" i="1" s="1"/>
  <c r="T2038" i="1"/>
  <c r="U2038" i="1" s="1"/>
  <c r="M2038" i="1"/>
  <c r="K2038" i="1"/>
  <c r="L2038" i="1" s="1"/>
  <c r="I2038" i="1"/>
  <c r="H2038" i="1"/>
  <c r="W2037" i="1"/>
  <c r="X2037" i="1" s="1"/>
  <c r="M2037" i="1"/>
  <c r="T2037" i="1" s="1"/>
  <c r="U2037" i="1" s="1"/>
  <c r="I2037" i="1" s="1"/>
  <c r="K2037" i="1"/>
  <c r="L2037" i="1" s="1"/>
  <c r="H2037" i="1"/>
  <c r="T2036" i="1"/>
  <c r="W2036" i="1" s="1"/>
  <c r="X2036" i="1" s="1"/>
  <c r="M2036" i="1"/>
  <c r="L2036" i="1"/>
  <c r="K2036" i="1"/>
  <c r="H2036" i="1"/>
  <c r="M2035" i="1"/>
  <c r="T2035" i="1" s="1"/>
  <c r="K2035" i="1"/>
  <c r="L2035" i="1" s="1"/>
  <c r="H2035" i="1"/>
  <c r="X2034" i="1"/>
  <c r="W2034" i="1"/>
  <c r="U2034" i="1"/>
  <c r="I2034" i="1" s="1"/>
  <c r="T2034" i="1"/>
  <c r="M2034" i="1"/>
  <c r="L2034" i="1"/>
  <c r="K2034" i="1"/>
  <c r="H2034" i="1"/>
  <c r="W2033" i="1"/>
  <c r="X2033" i="1" s="1"/>
  <c r="T2033" i="1"/>
  <c r="U2033" i="1" s="1"/>
  <c r="I2033" i="1" s="1"/>
  <c r="M2033" i="1"/>
  <c r="K2033" i="1"/>
  <c r="L2033" i="1" s="1"/>
  <c r="H2033" i="1"/>
  <c r="M2032" i="1"/>
  <c r="T2032" i="1" s="1"/>
  <c r="K2032" i="1"/>
  <c r="L2032" i="1" s="1"/>
  <c r="H2032" i="1"/>
  <c r="W2031" i="1"/>
  <c r="X2031" i="1" s="1"/>
  <c r="T2031" i="1"/>
  <c r="U2031" i="1" s="1"/>
  <c r="I2031" i="1" s="1"/>
  <c r="M2031" i="1"/>
  <c r="K2031" i="1"/>
  <c r="L2031" i="1" s="1"/>
  <c r="H2031" i="1"/>
  <c r="M2030" i="1"/>
  <c r="T2030" i="1" s="1"/>
  <c r="K2030" i="1"/>
  <c r="L2030" i="1" s="1"/>
  <c r="H2030" i="1"/>
  <c r="W2029" i="1"/>
  <c r="X2029" i="1" s="1"/>
  <c r="T2029" i="1"/>
  <c r="U2029" i="1" s="1"/>
  <c r="I2029" i="1" s="1"/>
  <c r="M2029" i="1"/>
  <c r="K2029" i="1"/>
  <c r="L2029" i="1" s="1"/>
  <c r="H2029" i="1"/>
  <c r="M2028" i="1"/>
  <c r="T2028" i="1" s="1"/>
  <c r="K2028" i="1"/>
  <c r="L2028" i="1" s="1"/>
  <c r="H2028" i="1"/>
  <c r="T2027" i="1"/>
  <c r="W2027" i="1" s="1"/>
  <c r="X2027" i="1" s="1"/>
  <c r="M2027" i="1"/>
  <c r="L2027" i="1"/>
  <c r="K2027" i="1"/>
  <c r="H2027" i="1"/>
  <c r="M2026" i="1"/>
  <c r="T2026" i="1" s="1"/>
  <c r="K2026" i="1"/>
  <c r="L2026" i="1" s="1"/>
  <c r="H2026" i="1"/>
  <c r="M2025" i="1"/>
  <c r="T2025" i="1" s="1"/>
  <c r="L2025" i="1"/>
  <c r="K2025" i="1"/>
  <c r="H2025" i="1"/>
  <c r="W2024" i="1"/>
  <c r="U2024" i="1"/>
  <c r="I2024" i="1" s="1"/>
  <c r="T2024" i="1"/>
  <c r="M2024" i="1"/>
  <c r="K2024" i="1"/>
  <c r="X2024" i="1" s="1"/>
  <c r="H2024" i="1"/>
  <c r="W2023" i="1"/>
  <c r="X2023" i="1" s="1"/>
  <c r="T2023" i="1"/>
  <c r="U2023" i="1" s="1"/>
  <c r="I2023" i="1" s="1"/>
  <c r="M2023" i="1"/>
  <c r="K2023" i="1"/>
  <c r="L2023" i="1" s="1"/>
  <c r="H2023" i="1"/>
  <c r="M2022" i="1"/>
  <c r="T2022" i="1" s="1"/>
  <c r="K2022" i="1"/>
  <c r="L2022" i="1" s="1"/>
  <c r="H2022" i="1"/>
  <c r="W2021" i="1"/>
  <c r="X2021" i="1" s="1"/>
  <c r="T2021" i="1"/>
  <c r="U2021" i="1" s="1"/>
  <c r="I2021" i="1" s="1"/>
  <c r="M2021" i="1"/>
  <c r="K2021" i="1"/>
  <c r="L2021" i="1" s="1"/>
  <c r="H2021" i="1"/>
  <c r="M2020" i="1"/>
  <c r="T2020" i="1" s="1"/>
  <c r="K2020" i="1"/>
  <c r="L2020" i="1" s="1"/>
  <c r="H2020" i="1"/>
  <c r="W2019" i="1"/>
  <c r="X2019" i="1" s="1"/>
  <c r="T2019" i="1"/>
  <c r="U2019" i="1" s="1"/>
  <c r="I2019" i="1" s="1"/>
  <c r="M2019" i="1"/>
  <c r="K2019" i="1"/>
  <c r="L2019" i="1" s="1"/>
  <c r="H2019" i="1"/>
  <c r="M2018" i="1"/>
  <c r="T2018" i="1" s="1"/>
  <c r="K2018" i="1"/>
  <c r="L2018" i="1" s="1"/>
  <c r="H2018" i="1"/>
  <c r="T2017" i="1"/>
  <c r="W2017" i="1" s="1"/>
  <c r="X2017" i="1" s="1"/>
  <c r="M2017" i="1"/>
  <c r="L2017" i="1"/>
  <c r="K2017" i="1"/>
  <c r="H2017" i="1"/>
  <c r="M2016" i="1"/>
  <c r="T2016" i="1" s="1"/>
  <c r="K2016" i="1"/>
  <c r="L2016" i="1" s="1"/>
  <c r="H2016" i="1"/>
  <c r="M2015" i="1"/>
  <c r="T2015" i="1" s="1"/>
  <c r="L2015" i="1"/>
  <c r="K2015" i="1"/>
  <c r="H2015" i="1"/>
  <c r="W2014" i="1"/>
  <c r="U2014" i="1"/>
  <c r="I2014" i="1" s="1"/>
  <c r="T2014" i="1"/>
  <c r="M2014" i="1"/>
  <c r="K2014" i="1"/>
  <c r="X2014" i="1" s="1"/>
  <c r="H2014" i="1"/>
  <c r="W2013" i="1"/>
  <c r="X2013" i="1" s="1"/>
  <c r="T2013" i="1"/>
  <c r="U2013" i="1" s="1"/>
  <c r="I2013" i="1" s="1"/>
  <c r="M2013" i="1"/>
  <c r="K2013" i="1"/>
  <c r="L2013" i="1" s="1"/>
  <c r="H2013" i="1"/>
  <c r="M2012" i="1"/>
  <c r="T2012" i="1" s="1"/>
  <c r="K2012" i="1"/>
  <c r="L2012" i="1" s="1"/>
  <c r="H2012" i="1"/>
  <c r="W2011" i="1"/>
  <c r="X2011" i="1" s="1"/>
  <c r="T2011" i="1"/>
  <c r="U2011" i="1" s="1"/>
  <c r="I2011" i="1" s="1"/>
  <c r="M2011" i="1"/>
  <c r="K2011" i="1"/>
  <c r="L2011" i="1" s="1"/>
  <c r="H2011" i="1"/>
  <c r="U2010" i="1"/>
  <c r="I2010" i="1" s="1"/>
  <c r="T2010" i="1"/>
  <c r="W2010" i="1" s="1"/>
  <c r="X2010" i="1" s="1"/>
  <c r="M2010" i="1"/>
  <c r="K2010" i="1"/>
  <c r="L2010" i="1" s="1"/>
  <c r="H2010" i="1"/>
  <c r="W2009" i="1"/>
  <c r="X2009" i="1" s="1"/>
  <c r="T2009" i="1"/>
  <c r="U2009" i="1" s="1"/>
  <c r="I2009" i="1" s="1"/>
  <c r="M2009" i="1"/>
  <c r="K2009" i="1"/>
  <c r="L2009" i="1" s="1"/>
  <c r="H2009" i="1"/>
  <c r="M2008" i="1"/>
  <c r="T2008" i="1" s="1"/>
  <c r="W2008" i="1" s="1"/>
  <c r="X2008" i="1" s="1"/>
  <c r="K2008" i="1"/>
  <c r="L2008" i="1" s="1"/>
  <c r="H2008" i="1"/>
  <c r="T2007" i="1"/>
  <c r="M2007" i="1"/>
  <c r="L2007" i="1"/>
  <c r="K2007" i="1"/>
  <c r="H2007" i="1"/>
  <c r="M2006" i="1"/>
  <c r="T2006" i="1" s="1"/>
  <c r="K2006" i="1"/>
  <c r="L2006" i="1" s="1"/>
  <c r="H2006" i="1"/>
  <c r="M2005" i="1"/>
  <c r="T2005" i="1" s="1"/>
  <c r="L2005" i="1"/>
  <c r="K2005" i="1"/>
  <c r="H2005" i="1"/>
  <c r="W2004" i="1"/>
  <c r="U2004" i="1"/>
  <c r="I2004" i="1" s="1"/>
  <c r="T2004" i="1"/>
  <c r="M2004" i="1"/>
  <c r="K2004" i="1"/>
  <c r="H2004" i="1"/>
  <c r="W2003" i="1"/>
  <c r="X2003" i="1" s="1"/>
  <c r="T2003" i="1"/>
  <c r="U2003" i="1" s="1"/>
  <c r="M2003" i="1"/>
  <c r="K2003" i="1"/>
  <c r="L2003" i="1" s="1"/>
  <c r="I2003" i="1"/>
  <c r="H2003" i="1"/>
  <c r="M2002" i="1"/>
  <c r="T2002" i="1" s="1"/>
  <c r="K2002" i="1"/>
  <c r="L2002" i="1" s="1"/>
  <c r="H2002" i="1"/>
  <c r="W2001" i="1"/>
  <c r="X2001" i="1" s="1"/>
  <c r="T2001" i="1"/>
  <c r="U2001" i="1" s="1"/>
  <c r="I2001" i="1" s="1"/>
  <c r="M2001" i="1"/>
  <c r="K2001" i="1"/>
  <c r="L2001" i="1" s="1"/>
  <c r="H2001" i="1"/>
  <c r="X2000" i="1"/>
  <c r="M2000" i="1"/>
  <c r="T2000" i="1" s="1"/>
  <c r="W2000" i="1" s="1"/>
  <c r="K2000" i="1"/>
  <c r="L2000" i="1" s="1"/>
  <c r="H2000" i="1"/>
  <c r="W1999" i="1"/>
  <c r="X1999" i="1" s="1"/>
  <c r="T1999" i="1"/>
  <c r="U1999" i="1" s="1"/>
  <c r="I1999" i="1" s="1"/>
  <c r="M1999" i="1"/>
  <c r="K1999" i="1"/>
  <c r="L1999" i="1" s="1"/>
  <c r="H1999" i="1"/>
  <c r="U1998" i="1"/>
  <c r="I1998" i="1" s="1"/>
  <c r="M1998" i="1"/>
  <c r="T1998" i="1" s="1"/>
  <c r="W1998" i="1" s="1"/>
  <c r="X1998" i="1" s="1"/>
  <c r="K1998" i="1"/>
  <c r="L1998" i="1" s="1"/>
  <c r="H1998" i="1"/>
  <c r="T1997" i="1"/>
  <c r="M1997" i="1"/>
  <c r="L1997" i="1"/>
  <c r="K1997" i="1"/>
  <c r="H1997" i="1"/>
  <c r="M1996" i="1"/>
  <c r="T1996" i="1" s="1"/>
  <c r="K1996" i="1"/>
  <c r="L1996" i="1" s="1"/>
  <c r="H1996" i="1"/>
  <c r="M1995" i="1"/>
  <c r="T1995" i="1" s="1"/>
  <c r="L1995" i="1"/>
  <c r="K1995" i="1"/>
  <c r="H1995" i="1"/>
  <c r="W1994" i="1"/>
  <c r="U1994" i="1"/>
  <c r="I1994" i="1" s="1"/>
  <c r="T1994" i="1"/>
  <c r="M1994" i="1"/>
  <c r="K1994" i="1"/>
  <c r="H1994" i="1"/>
  <c r="W1993" i="1"/>
  <c r="X1993" i="1" s="1"/>
  <c r="T1993" i="1"/>
  <c r="U1993" i="1" s="1"/>
  <c r="I1993" i="1" s="1"/>
  <c r="M1993" i="1"/>
  <c r="K1993" i="1"/>
  <c r="L1993" i="1" s="1"/>
  <c r="H1993" i="1"/>
  <c r="M1992" i="1"/>
  <c r="T1992" i="1" s="1"/>
  <c r="L1992" i="1"/>
  <c r="K1992" i="1"/>
  <c r="H1992" i="1"/>
  <c r="W1991" i="1"/>
  <c r="X1991" i="1" s="1"/>
  <c r="T1991" i="1"/>
  <c r="U1991" i="1" s="1"/>
  <c r="I1991" i="1" s="1"/>
  <c r="M1991" i="1"/>
  <c r="K1991" i="1"/>
  <c r="L1991" i="1" s="1"/>
  <c r="H1991" i="1"/>
  <c r="U1990" i="1"/>
  <c r="I1990" i="1" s="1"/>
  <c r="M1990" i="1"/>
  <c r="T1990" i="1" s="1"/>
  <c r="W1990" i="1" s="1"/>
  <c r="X1990" i="1" s="1"/>
  <c r="K1990" i="1"/>
  <c r="L1990" i="1" s="1"/>
  <c r="H1990" i="1"/>
  <c r="T1989" i="1"/>
  <c r="U1989" i="1" s="1"/>
  <c r="I1989" i="1" s="1"/>
  <c r="M1989" i="1"/>
  <c r="K1989" i="1"/>
  <c r="L1989" i="1" s="1"/>
  <c r="H1989" i="1"/>
  <c r="M1988" i="1"/>
  <c r="T1988" i="1" s="1"/>
  <c r="W1988" i="1" s="1"/>
  <c r="X1988" i="1" s="1"/>
  <c r="K1988" i="1"/>
  <c r="L1988" i="1" s="1"/>
  <c r="H1988" i="1"/>
  <c r="T1987" i="1"/>
  <c r="M1987" i="1"/>
  <c r="L1987" i="1"/>
  <c r="K1987" i="1"/>
  <c r="H1987" i="1"/>
  <c r="M1986" i="1"/>
  <c r="T1986" i="1" s="1"/>
  <c r="K1986" i="1"/>
  <c r="L1986" i="1" s="1"/>
  <c r="H1986" i="1"/>
  <c r="M1985" i="1"/>
  <c r="T1985" i="1" s="1"/>
  <c r="L1985" i="1"/>
  <c r="K1985" i="1"/>
  <c r="H1985" i="1"/>
  <c r="W1984" i="1"/>
  <c r="U1984" i="1"/>
  <c r="I1984" i="1" s="1"/>
  <c r="T1984" i="1"/>
  <c r="M1984" i="1"/>
  <c r="K1984" i="1"/>
  <c r="H1984" i="1"/>
  <c r="W1983" i="1"/>
  <c r="X1983" i="1" s="1"/>
  <c r="T1983" i="1"/>
  <c r="U1983" i="1" s="1"/>
  <c r="I1983" i="1" s="1"/>
  <c r="M1983" i="1"/>
  <c r="K1983" i="1"/>
  <c r="L1983" i="1" s="1"/>
  <c r="H1983" i="1"/>
  <c r="M1982" i="1"/>
  <c r="T1982" i="1" s="1"/>
  <c r="K1982" i="1"/>
  <c r="L1982" i="1" s="1"/>
  <c r="H1982" i="1"/>
  <c r="W1981" i="1"/>
  <c r="X1981" i="1" s="1"/>
  <c r="T1981" i="1"/>
  <c r="U1981" i="1" s="1"/>
  <c r="I1981" i="1" s="1"/>
  <c r="M1981" i="1"/>
  <c r="K1981" i="1"/>
  <c r="L1981" i="1" s="1"/>
  <c r="H1981" i="1"/>
  <c r="M1980" i="1"/>
  <c r="T1980" i="1" s="1"/>
  <c r="W1980" i="1" s="1"/>
  <c r="X1980" i="1" s="1"/>
  <c r="K1980" i="1"/>
  <c r="L1980" i="1" s="1"/>
  <c r="H1980" i="1"/>
  <c r="T1979" i="1"/>
  <c r="U1979" i="1" s="1"/>
  <c r="I1979" i="1" s="1"/>
  <c r="M1979" i="1"/>
  <c r="K1979" i="1"/>
  <c r="L1979" i="1" s="1"/>
  <c r="H1979" i="1"/>
  <c r="M1978" i="1"/>
  <c r="T1978" i="1" s="1"/>
  <c r="W1978" i="1" s="1"/>
  <c r="X1978" i="1" s="1"/>
  <c r="K1978" i="1"/>
  <c r="L1978" i="1" s="1"/>
  <c r="H1978" i="1"/>
  <c r="T1977" i="1"/>
  <c r="M1977" i="1"/>
  <c r="L1977" i="1"/>
  <c r="K1977" i="1"/>
  <c r="H1977" i="1"/>
  <c r="M1976" i="1"/>
  <c r="T1976" i="1" s="1"/>
  <c r="K1976" i="1"/>
  <c r="L1976" i="1" s="1"/>
  <c r="H1976" i="1"/>
  <c r="M1975" i="1"/>
  <c r="T1975" i="1" s="1"/>
  <c r="L1975" i="1"/>
  <c r="K1975" i="1"/>
  <c r="H1975" i="1"/>
  <c r="W1974" i="1"/>
  <c r="U1974" i="1"/>
  <c r="I1974" i="1" s="1"/>
  <c r="T1974" i="1"/>
  <c r="M1974" i="1"/>
  <c r="K1974" i="1"/>
  <c r="H1974" i="1"/>
  <c r="W1973" i="1"/>
  <c r="X1973" i="1" s="1"/>
  <c r="T1973" i="1"/>
  <c r="U1973" i="1" s="1"/>
  <c r="M1973" i="1"/>
  <c r="K1973" i="1"/>
  <c r="L1973" i="1" s="1"/>
  <c r="I1973" i="1"/>
  <c r="H1973" i="1"/>
  <c r="M1972" i="1"/>
  <c r="T1972" i="1" s="1"/>
  <c r="K1972" i="1"/>
  <c r="L1972" i="1" s="1"/>
  <c r="H1972" i="1"/>
  <c r="W1971" i="1"/>
  <c r="X1971" i="1" s="1"/>
  <c r="T1971" i="1"/>
  <c r="U1971" i="1" s="1"/>
  <c r="I1971" i="1" s="1"/>
  <c r="M1971" i="1"/>
  <c r="K1971" i="1"/>
  <c r="L1971" i="1" s="1"/>
  <c r="H1971" i="1"/>
  <c r="X1970" i="1"/>
  <c r="M1970" i="1"/>
  <c r="T1970" i="1" s="1"/>
  <c r="W1970" i="1" s="1"/>
  <c r="K1970" i="1"/>
  <c r="L1970" i="1" s="1"/>
  <c r="H1970" i="1"/>
  <c r="W1969" i="1"/>
  <c r="X1969" i="1" s="1"/>
  <c r="T1969" i="1"/>
  <c r="U1969" i="1" s="1"/>
  <c r="I1969" i="1" s="1"/>
  <c r="M1969" i="1"/>
  <c r="K1969" i="1"/>
  <c r="L1969" i="1" s="1"/>
  <c r="H1969" i="1"/>
  <c r="U1968" i="1"/>
  <c r="I1968" i="1" s="1"/>
  <c r="M1968" i="1"/>
  <c r="T1968" i="1" s="1"/>
  <c r="W1968" i="1" s="1"/>
  <c r="X1968" i="1" s="1"/>
  <c r="K1968" i="1"/>
  <c r="L1968" i="1" s="1"/>
  <c r="H1968" i="1"/>
  <c r="T1967" i="1"/>
  <c r="M1967" i="1"/>
  <c r="L1967" i="1"/>
  <c r="K1967" i="1"/>
  <c r="H1967" i="1"/>
  <c r="M1966" i="1"/>
  <c r="T1966" i="1" s="1"/>
  <c r="K1966" i="1"/>
  <c r="L1966" i="1" s="1"/>
  <c r="H1966" i="1"/>
  <c r="M1965" i="1"/>
  <c r="T1965" i="1" s="1"/>
  <c r="L1965" i="1"/>
  <c r="K1965" i="1"/>
  <c r="H1965" i="1"/>
  <c r="W1964" i="1"/>
  <c r="U1964" i="1"/>
  <c r="I1964" i="1" s="1"/>
  <c r="T1964" i="1"/>
  <c r="M1964" i="1"/>
  <c r="K1964" i="1"/>
  <c r="H1964" i="1"/>
  <c r="W1963" i="1"/>
  <c r="T1963" i="1"/>
  <c r="U1963" i="1" s="1"/>
  <c r="I1963" i="1" s="1"/>
  <c r="M1963" i="1"/>
  <c r="K1963" i="1"/>
  <c r="X1963" i="1" s="1"/>
  <c r="H1963" i="1"/>
  <c r="M1962" i="1"/>
  <c r="T1962" i="1" s="1"/>
  <c r="K1962" i="1"/>
  <c r="L1962" i="1" s="1"/>
  <c r="H1962" i="1"/>
  <c r="W1961" i="1"/>
  <c r="X1961" i="1" s="1"/>
  <c r="U1961" i="1"/>
  <c r="I1961" i="1" s="1"/>
  <c r="T1961" i="1"/>
  <c r="M1961" i="1"/>
  <c r="K1961" i="1"/>
  <c r="L1961" i="1" s="1"/>
  <c r="H1961" i="1"/>
  <c r="X1960" i="1"/>
  <c r="U1960" i="1"/>
  <c r="I1960" i="1" s="1"/>
  <c r="T1960" i="1"/>
  <c r="W1960" i="1" s="1"/>
  <c r="M1960" i="1"/>
  <c r="K1960" i="1"/>
  <c r="L1960" i="1" s="1"/>
  <c r="H1960" i="1"/>
  <c r="W1959" i="1"/>
  <c r="X1959" i="1" s="1"/>
  <c r="T1959" i="1"/>
  <c r="U1959" i="1" s="1"/>
  <c r="I1959" i="1" s="1"/>
  <c r="M1959" i="1"/>
  <c r="K1959" i="1"/>
  <c r="L1959" i="1" s="1"/>
  <c r="H1959" i="1"/>
  <c r="U1958" i="1"/>
  <c r="I1958" i="1" s="1"/>
  <c r="M1958" i="1"/>
  <c r="T1958" i="1" s="1"/>
  <c r="W1958" i="1" s="1"/>
  <c r="X1958" i="1" s="1"/>
  <c r="K1958" i="1"/>
  <c r="L1958" i="1" s="1"/>
  <c r="H1958" i="1"/>
  <c r="T1957" i="1"/>
  <c r="M1957" i="1"/>
  <c r="L1957" i="1"/>
  <c r="K1957" i="1"/>
  <c r="H1957" i="1"/>
  <c r="M1956" i="1"/>
  <c r="T1956" i="1" s="1"/>
  <c r="K1956" i="1"/>
  <c r="L1956" i="1" s="1"/>
  <c r="H1956" i="1"/>
  <c r="M1955" i="1"/>
  <c r="T1955" i="1" s="1"/>
  <c r="L1955" i="1"/>
  <c r="K1955" i="1"/>
  <c r="H1955" i="1"/>
  <c r="W1954" i="1"/>
  <c r="U1954" i="1"/>
  <c r="I1954" i="1" s="1"/>
  <c r="T1954" i="1"/>
  <c r="M1954" i="1"/>
  <c r="K1954" i="1"/>
  <c r="H1954" i="1"/>
  <c r="W1953" i="1"/>
  <c r="T1953" i="1"/>
  <c r="U1953" i="1" s="1"/>
  <c r="I1953" i="1" s="1"/>
  <c r="M1953" i="1"/>
  <c r="K1953" i="1"/>
  <c r="X1953" i="1" s="1"/>
  <c r="H1953" i="1"/>
  <c r="M1952" i="1"/>
  <c r="T1952" i="1" s="1"/>
  <c r="K1952" i="1"/>
  <c r="L1952" i="1" s="1"/>
  <c r="H1952" i="1"/>
  <c r="W1951" i="1"/>
  <c r="X1951" i="1" s="1"/>
  <c r="U1951" i="1"/>
  <c r="I1951" i="1" s="1"/>
  <c r="T1951" i="1"/>
  <c r="M1951" i="1"/>
  <c r="K1951" i="1"/>
  <c r="L1951" i="1" s="1"/>
  <c r="H1951" i="1"/>
  <c r="U1950" i="1"/>
  <c r="I1950" i="1" s="1"/>
  <c r="T1950" i="1"/>
  <c r="W1950" i="1" s="1"/>
  <c r="X1950" i="1" s="1"/>
  <c r="M1950" i="1"/>
  <c r="K1950" i="1"/>
  <c r="L1950" i="1" s="1"/>
  <c r="H1950" i="1"/>
  <c r="W1949" i="1"/>
  <c r="X1949" i="1" s="1"/>
  <c r="T1949" i="1"/>
  <c r="U1949" i="1" s="1"/>
  <c r="I1949" i="1" s="1"/>
  <c r="M1949" i="1"/>
  <c r="K1949" i="1"/>
  <c r="L1949" i="1" s="1"/>
  <c r="H1949" i="1"/>
  <c r="U1948" i="1"/>
  <c r="I1948" i="1" s="1"/>
  <c r="M1948" i="1"/>
  <c r="T1948" i="1" s="1"/>
  <c r="W1948" i="1" s="1"/>
  <c r="X1948" i="1" s="1"/>
  <c r="K1948" i="1"/>
  <c r="L1948" i="1" s="1"/>
  <c r="H1948" i="1"/>
  <c r="T1947" i="1"/>
  <c r="M1947" i="1"/>
  <c r="L1947" i="1"/>
  <c r="K1947" i="1"/>
  <c r="H1947" i="1"/>
  <c r="M1946" i="1"/>
  <c r="T1946" i="1" s="1"/>
  <c r="K1946" i="1"/>
  <c r="L1946" i="1" s="1"/>
  <c r="H1946" i="1"/>
  <c r="M1945" i="1"/>
  <c r="T1945" i="1" s="1"/>
  <c r="L1945" i="1"/>
  <c r="K1945" i="1"/>
  <c r="H1945" i="1"/>
  <c r="W1944" i="1"/>
  <c r="U1944" i="1"/>
  <c r="I1944" i="1" s="1"/>
  <c r="T1944" i="1"/>
  <c r="M1944" i="1"/>
  <c r="K1944" i="1"/>
  <c r="H1944" i="1"/>
  <c r="W1943" i="1"/>
  <c r="T1943" i="1"/>
  <c r="U1943" i="1" s="1"/>
  <c r="I1943" i="1" s="1"/>
  <c r="M1943" i="1"/>
  <c r="K1943" i="1"/>
  <c r="X1943" i="1" s="1"/>
  <c r="H1943" i="1"/>
  <c r="M1942" i="1"/>
  <c r="T1942" i="1" s="1"/>
  <c r="K1942" i="1"/>
  <c r="L1942" i="1" s="1"/>
  <c r="H1942" i="1"/>
  <c r="W1941" i="1"/>
  <c r="X1941" i="1" s="1"/>
  <c r="U1941" i="1"/>
  <c r="I1941" i="1" s="1"/>
  <c r="T1941" i="1"/>
  <c r="M1941" i="1"/>
  <c r="K1941" i="1"/>
  <c r="L1941" i="1" s="1"/>
  <c r="H1941" i="1"/>
  <c r="U1940" i="1"/>
  <c r="I1940" i="1" s="1"/>
  <c r="T1940" i="1"/>
  <c r="W1940" i="1" s="1"/>
  <c r="X1940" i="1" s="1"/>
  <c r="M1940" i="1"/>
  <c r="K1940" i="1"/>
  <c r="L1940" i="1" s="1"/>
  <c r="H1940" i="1"/>
  <c r="W1939" i="1"/>
  <c r="X1939" i="1" s="1"/>
  <c r="T1939" i="1"/>
  <c r="U1939" i="1" s="1"/>
  <c r="I1939" i="1" s="1"/>
  <c r="M1939" i="1"/>
  <c r="K1939" i="1"/>
  <c r="L1939" i="1" s="1"/>
  <c r="H1939" i="1"/>
  <c r="U1938" i="1"/>
  <c r="I1938" i="1" s="1"/>
  <c r="M1938" i="1"/>
  <c r="T1938" i="1" s="1"/>
  <c r="W1938" i="1" s="1"/>
  <c r="X1938" i="1" s="1"/>
  <c r="K1938" i="1"/>
  <c r="L1938" i="1" s="1"/>
  <c r="H1938" i="1"/>
  <c r="T1937" i="1"/>
  <c r="M1937" i="1"/>
  <c r="L1937" i="1"/>
  <c r="K1937" i="1"/>
  <c r="H1937" i="1"/>
  <c r="M1936" i="1"/>
  <c r="T1936" i="1" s="1"/>
  <c r="K1936" i="1"/>
  <c r="L1936" i="1" s="1"/>
  <c r="H1936" i="1"/>
  <c r="M1935" i="1"/>
  <c r="T1935" i="1" s="1"/>
  <c r="L1935" i="1"/>
  <c r="K1935" i="1"/>
  <c r="H1935" i="1"/>
  <c r="W1934" i="1"/>
  <c r="U1934" i="1"/>
  <c r="I1934" i="1" s="1"/>
  <c r="T1934" i="1"/>
  <c r="M1934" i="1"/>
  <c r="K1934" i="1"/>
  <c r="H1934" i="1"/>
  <c r="W1933" i="1"/>
  <c r="T1933" i="1"/>
  <c r="U1933" i="1" s="1"/>
  <c r="I1933" i="1" s="1"/>
  <c r="M1933" i="1"/>
  <c r="K1933" i="1"/>
  <c r="X1933" i="1" s="1"/>
  <c r="H1933" i="1"/>
  <c r="M1932" i="1"/>
  <c r="T1932" i="1" s="1"/>
  <c r="K1932" i="1"/>
  <c r="L1932" i="1" s="1"/>
  <c r="H1932" i="1"/>
  <c r="W1931" i="1"/>
  <c r="X1931" i="1" s="1"/>
  <c r="U1931" i="1"/>
  <c r="I1931" i="1" s="1"/>
  <c r="T1931" i="1"/>
  <c r="M1931" i="1"/>
  <c r="K1931" i="1"/>
  <c r="L1931" i="1" s="1"/>
  <c r="H1931" i="1"/>
  <c r="U1930" i="1"/>
  <c r="I1930" i="1" s="1"/>
  <c r="T1930" i="1"/>
  <c r="W1930" i="1" s="1"/>
  <c r="X1930" i="1" s="1"/>
  <c r="M1930" i="1"/>
  <c r="K1930" i="1"/>
  <c r="L1930" i="1" s="1"/>
  <c r="H1930" i="1"/>
  <c r="W1929" i="1"/>
  <c r="X1929" i="1" s="1"/>
  <c r="T1929" i="1"/>
  <c r="U1929" i="1" s="1"/>
  <c r="I1929" i="1" s="1"/>
  <c r="M1929" i="1"/>
  <c r="K1929" i="1"/>
  <c r="L1929" i="1" s="1"/>
  <c r="H1929" i="1"/>
  <c r="U1928" i="1"/>
  <c r="I1928" i="1" s="1"/>
  <c r="M1928" i="1"/>
  <c r="T1928" i="1" s="1"/>
  <c r="W1928" i="1" s="1"/>
  <c r="X1928" i="1" s="1"/>
  <c r="K1928" i="1"/>
  <c r="L1928" i="1" s="1"/>
  <c r="H1928" i="1"/>
  <c r="T1927" i="1"/>
  <c r="M1927" i="1"/>
  <c r="L1927" i="1"/>
  <c r="K1927" i="1"/>
  <c r="H1927" i="1"/>
  <c r="M1926" i="1"/>
  <c r="T1926" i="1" s="1"/>
  <c r="K1926" i="1"/>
  <c r="L1926" i="1" s="1"/>
  <c r="H1926" i="1"/>
  <c r="M1925" i="1"/>
  <c r="T1925" i="1" s="1"/>
  <c r="L1925" i="1"/>
  <c r="K1925" i="1"/>
  <c r="H1925" i="1"/>
  <c r="W1924" i="1"/>
  <c r="U1924" i="1"/>
  <c r="I1924" i="1" s="1"/>
  <c r="T1924" i="1"/>
  <c r="M1924" i="1"/>
  <c r="K1924" i="1"/>
  <c r="H1924" i="1"/>
  <c r="W1923" i="1"/>
  <c r="X1923" i="1" s="1"/>
  <c r="T1923" i="1"/>
  <c r="U1923" i="1" s="1"/>
  <c r="I1923" i="1" s="1"/>
  <c r="M1923" i="1"/>
  <c r="K1923" i="1"/>
  <c r="L1923" i="1" s="1"/>
  <c r="H1923" i="1"/>
  <c r="M1922" i="1"/>
  <c r="T1922" i="1" s="1"/>
  <c r="K1922" i="1"/>
  <c r="L1922" i="1" s="1"/>
  <c r="H1922" i="1"/>
  <c r="W1921" i="1"/>
  <c r="X1921" i="1" s="1"/>
  <c r="T1921" i="1"/>
  <c r="U1921" i="1" s="1"/>
  <c r="I1921" i="1" s="1"/>
  <c r="M1921" i="1"/>
  <c r="K1921" i="1"/>
  <c r="L1921" i="1" s="1"/>
  <c r="H1921" i="1"/>
  <c r="M1920" i="1"/>
  <c r="T1920" i="1" s="1"/>
  <c r="K1920" i="1"/>
  <c r="L1920" i="1" s="1"/>
  <c r="H1920" i="1"/>
  <c r="W1919" i="1"/>
  <c r="X1919" i="1" s="1"/>
  <c r="T1919" i="1"/>
  <c r="U1919" i="1" s="1"/>
  <c r="I1919" i="1" s="1"/>
  <c r="M1919" i="1"/>
  <c r="K1919" i="1"/>
  <c r="L1919" i="1" s="1"/>
  <c r="H1919" i="1"/>
  <c r="M1918" i="1"/>
  <c r="T1918" i="1" s="1"/>
  <c r="W1918" i="1" s="1"/>
  <c r="X1918" i="1" s="1"/>
  <c r="K1918" i="1"/>
  <c r="L1918" i="1" s="1"/>
  <c r="H1918" i="1"/>
  <c r="T1917" i="1"/>
  <c r="M1917" i="1"/>
  <c r="L1917" i="1"/>
  <c r="K1917" i="1"/>
  <c r="H1917" i="1"/>
  <c r="M1916" i="1"/>
  <c r="T1916" i="1" s="1"/>
  <c r="K1916" i="1"/>
  <c r="L1916" i="1" s="1"/>
  <c r="H1916" i="1"/>
  <c r="M1915" i="1"/>
  <c r="T1915" i="1" s="1"/>
  <c r="L1915" i="1"/>
  <c r="K1915" i="1"/>
  <c r="H1915" i="1"/>
  <c r="W1914" i="1"/>
  <c r="U1914" i="1"/>
  <c r="I1914" i="1" s="1"/>
  <c r="T1914" i="1"/>
  <c r="M1914" i="1"/>
  <c r="K1914" i="1"/>
  <c r="H1914" i="1"/>
  <c r="W1913" i="1"/>
  <c r="X1913" i="1" s="1"/>
  <c r="T1913" i="1"/>
  <c r="U1913" i="1" s="1"/>
  <c r="M1913" i="1"/>
  <c r="K1913" i="1"/>
  <c r="L1913" i="1" s="1"/>
  <c r="I1913" i="1"/>
  <c r="H1913" i="1"/>
  <c r="M1912" i="1"/>
  <c r="T1912" i="1" s="1"/>
  <c r="K1912" i="1"/>
  <c r="L1912" i="1" s="1"/>
  <c r="H1912" i="1"/>
  <c r="W1911" i="1"/>
  <c r="X1911" i="1" s="1"/>
  <c r="T1911" i="1"/>
  <c r="U1911" i="1" s="1"/>
  <c r="I1911" i="1" s="1"/>
  <c r="M1911" i="1"/>
  <c r="K1911" i="1"/>
  <c r="L1911" i="1" s="1"/>
  <c r="H1911" i="1"/>
  <c r="M1910" i="1"/>
  <c r="T1910" i="1" s="1"/>
  <c r="W1910" i="1" s="1"/>
  <c r="X1910" i="1" s="1"/>
  <c r="K1910" i="1"/>
  <c r="L1910" i="1" s="1"/>
  <c r="H1910" i="1"/>
  <c r="W1909" i="1"/>
  <c r="X1909" i="1" s="1"/>
  <c r="T1909" i="1"/>
  <c r="U1909" i="1" s="1"/>
  <c r="I1909" i="1" s="1"/>
  <c r="M1909" i="1"/>
  <c r="K1909" i="1"/>
  <c r="L1909" i="1" s="1"/>
  <c r="H1909" i="1"/>
  <c r="U1908" i="1"/>
  <c r="I1908" i="1" s="1"/>
  <c r="M1908" i="1"/>
  <c r="T1908" i="1" s="1"/>
  <c r="W1908" i="1" s="1"/>
  <c r="X1908" i="1" s="1"/>
  <c r="K1908" i="1"/>
  <c r="L1908" i="1" s="1"/>
  <c r="H1908" i="1"/>
  <c r="T1907" i="1"/>
  <c r="M1907" i="1"/>
  <c r="L1907" i="1"/>
  <c r="K1907" i="1"/>
  <c r="H1907" i="1"/>
  <c r="M1906" i="1"/>
  <c r="T1906" i="1" s="1"/>
  <c r="K1906" i="1"/>
  <c r="L1906" i="1" s="1"/>
  <c r="H1906" i="1"/>
  <c r="M1905" i="1"/>
  <c r="T1905" i="1" s="1"/>
  <c r="L1905" i="1"/>
  <c r="K1905" i="1"/>
  <c r="H1905" i="1"/>
  <c r="W1904" i="1"/>
  <c r="U1904" i="1"/>
  <c r="I1904" i="1" s="1"/>
  <c r="T1904" i="1"/>
  <c r="M1904" i="1"/>
  <c r="K1904" i="1"/>
  <c r="H1904" i="1"/>
  <c r="W1903" i="1"/>
  <c r="X1903" i="1" s="1"/>
  <c r="T1903" i="1"/>
  <c r="U1903" i="1" s="1"/>
  <c r="I1903" i="1" s="1"/>
  <c r="M1903" i="1"/>
  <c r="K1903" i="1"/>
  <c r="L1903" i="1" s="1"/>
  <c r="H1903" i="1"/>
  <c r="M1902" i="1"/>
  <c r="T1902" i="1" s="1"/>
  <c r="K1902" i="1"/>
  <c r="L1902" i="1" s="1"/>
  <c r="H1902" i="1"/>
  <c r="W1901" i="1"/>
  <c r="X1901" i="1" s="1"/>
  <c r="T1901" i="1"/>
  <c r="U1901" i="1" s="1"/>
  <c r="I1901" i="1" s="1"/>
  <c r="M1901" i="1"/>
  <c r="K1901" i="1"/>
  <c r="L1901" i="1" s="1"/>
  <c r="H1901" i="1"/>
  <c r="U1900" i="1"/>
  <c r="I1900" i="1" s="1"/>
  <c r="M1900" i="1"/>
  <c r="T1900" i="1" s="1"/>
  <c r="W1900" i="1" s="1"/>
  <c r="X1900" i="1" s="1"/>
  <c r="K1900" i="1"/>
  <c r="L1900" i="1" s="1"/>
  <c r="H1900" i="1"/>
  <c r="T1899" i="1"/>
  <c r="M1899" i="1"/>
  <c r="K1899" i="1"/>
  <c r="L1899" i="1" s="1"/>
  <c r="H1899" i="1"/>
  <c r="M1898" i="1"/>
  <c r="T1898" i="1" s="1"/>
  <c r="W1898" i="1" s="1"/>
  <c r="X1898" i="1" s="1"/>
  <c r="K1898" i="1"/>
  <c r="L1898" i="1" s="1"/>
  <c r="H1898" i="1"/>
  <c r="T1897" i="1"/>
  <c r="M1897" i="1"/>
  <c r="L1897" i="1"/>
  <c r="K1897" i="1"/>
  <c r="H1897" i="1"/>
  <c r="M1896" i="1"/>
  <c r="T1896" i="1" s="1"/>
  <c r="K1896" i="1"/>
  <c r="L1896" i="1" s="1"/>
  <c r="H1896" i="1"/>
  <c r="M1895" i="1"/>
  <c r="T1895" i="1" s="1"/>
  <c r="L1895" i="1"/>
  <c r="K1895" i="1"/>
  <c r="H1895" i="1"/>
  <c r="W1894" i="1"/>
  <c r="U1894" i="1"/>
  <c r="I1894" i="1" s="1"/>
  <c r="T1894" i="1"/>
  <c r="M1894" i="1"/>
  <c r="K1894" i="1"/>
  <c r="H1894" i="1"/>
  <c r="W1893" i="1"/>
  <c r="T1893" i="1"/>
  <c r="U1893" i="1" s="1"/>
  <c r="M1893" i="1"/>
  <c r="K1893" i="1"/>
  <c r="X1893" i="1" s="1"/>
  <c r="I1893" i="1"/>
  <c r="H1893" i="1"/>
  <c r="M1892" i="1"/>
  <c r="T1892" i="1" s="1"/>
  <c r="K1892" i="1"/>
  <c r="L1892" i="1" s="1"/>
  <c r="H1892" i="1"/>
  <c r="W1891" i="1"/>
  <c r="X1891" i="1" s="1"/>
  <c r="T1891" i="1"/>
  <c r="U1891" i="1" s="1"/>
  <c r="I1891" i="1" s="1"/>
  <c r="M1891" i="1"/>
  <c r="K1891" i="1"/>
  <c r="L1891" i="1" s="1"/>
  <c r="H1891" i="1"/>
  <c r="M1890" i="1"/>
  <c r="T1890" i="1" s="1"/>
  <c r="W1890" i="1" s="1"/>
  <c r="X1890" i="1" s="1"/>
  <c r="K1890" i="1"/>
  <c r="L1890" i="1" s="1"/>
  <c r="H1890" i="1"/>
  <c r="T1889" i="1"/>
  <c r="U1889" i="1" s="1"/>
  <c r="I1889" i="1" s="1"/>
  <c r="M1889" i="1"/>
  <c r="K1889" i="1"/>
  <c r="L1889" i="1" s="1"/>
  <c r="H1889" i="1"/>
  <c r="M1888" i="1"/>
  <c r="T1888" i="1" s="1"/>
  <c r="W1888" i="1" s="1"/>
  <c r="X1888" i="1" s="1"/>
  <c r="K1888" i="1"/>
  <c r="L1888" i="1" s="1"/>
  <c r="H1888" i="1"/>
  <c r="T1887" i="1"/>
  <c r="M1887" i="1"/>
  <c r="L1887" i="1"/>
  <c r="K1887" i="1"/>
  <c r="H1887" i="1"/>
  <c r="M1886" i="1"/>
  <c r="T1886" i="1" s="1"/>
  <c r="K1886" i="1"/>
  <c r="L1886" i="1" s="1"/>
  <c r="H1886" i="1"/>
  <c r="M1885" i="1"/>
  <c r="T1885" i="1" s="1"/>
  <c r="L1885" i="1"/>
  <c r="K1885" i="1"/>
  <c r="H1885" i="1"/>
  <c r="W1884" i="1"/>
  <c r="U1884" i="1"/>
  <c r="I1884" i="1" s="1"/>
  <c r="T1884" i="1"/>
  <c r="M1884" i="1"/>
  <c r="K1884" i="1"/>
  <c r="H1884" i="1"/>
  <c r="W1883" i="1"/>
  <c r="T1883" i="1"/>
  <c r="U1883" i="1" s="1"/>
  <c r="M1883" i="1"/>
  <c r="K1883" i="1"/>
  <c r="X1883" i="1" s="1"/>
  <c r="I1883" i="1"/>
  <c r="H1883" i="1"/>
  <c r="M1882" i="1"/>
  <c r="T1882" i="1" s="1"/>
  <c r="K1882" i="1"/>
  <c r="L1882" i="1" s="1"/>
  <c r="H1882" i="1"/>
  <c r="W1881" i="1"/>
  <c r="X1881" i="1" s="1"/>
  <c r="T1881" i="1"/>
  <c r="U1881" i="1" s="1"/>
  <c r="I1881" i="1" s="1"/>
  <c r="M1881" i="1"/>
  <c r="K1881" i="1"/>
  <c r="L1881" i="1" s="1"/>
  <c r="H1881" i="1"/>
  <c r="X1880" i="1"/>
  <c r="U1880" i="1"/>
  <c r="I1880" i="1" s="1"/>
  <c r="M1880" i="1"/>
  <c r="T1880" i="1" s="1"/>
  <c r="W1880" i="1" s="1"/>
  <c r="K1880" i="1"/>
  <c r="L1880" i="1" s="1"/>
  <c r="H1880" i="1"/>
  <c r="W1879" i="1"/>
  <c r="X1879" i="1" s="1"/>
  <c r="T1879" i="1"/>
  <c r="U1879" i="1" s="1"/>
  <c r="I1879" i="1" s="1"/>
  <c r="M1879" i="1"/>
  <c r="K1879" i="1"/>
  <c r="L1879" i="1" s="1"/>
  <c r="H1879" i="1"/>
  <c r="U1878" i="1"/>
  <c r="I1878" i="1" s="1"/>
  <c r="M1878" i="1"/>
  <c r="T1878" i="1" s="1"/>
  <c r="W1878" i="1" s="1"/>
  <c r="X1878" i="1" s="1"/>
  <c r="K1878" i="1"/>
  <c r="L1878" i="1" s="1"/>
  <c r="H1878" i="1"/>
  <c r="T1877" i="1"/>
  <c r="M1877" i="1"/>
  <c r="L1877" i="1"/>
  <c r="K1877" i="1"/>
  <c r="H1877" i="1"/>
  <c r="M1876" i="1"/>
  <c r="T1876" i="1" s="1"/>
  <c r="K1876" i="1"/>
  <c r="L1876" i="1" s="1"/>
  <c r="H1876" i="1"/>
  <c r="M1875" i="1"/>
  <c r="T1875" i="1" s="1"/>
  <c r="L1875" i="1"/>
  <c r="K1875" i="1"/>
  <c r="H1875" i="1"/>
  <c r="W1874" i="1"/>
  <c r="U1874" i="1"/>
  <c r="I1874" i="1" s="1"/>
  <c r="T1874" i="1"/>
  <c r="M1874" i="1"/>
  <c r="K1874" i="1"/>
  <c r="H1874" i="1"/>
  <c r="W1873" i="1"/>
  <c r="X1873" i="1" s="1"/>
  <c r="T1873" i="1"/>
  <c r="U1873" i="1" s="1"/>
  <c r="I1873" i="1" s="1"/>
  <c r="M1873" i="1"/>
  <c r="K1873" i="1"/>
  <c r="L1873" i="1" s="1"/>
  <c r="H1873" i="1"/>
  <c r="M1872" i="1"/>
  <c r="T1872" i="1" s="1"/>
  <c r="K1872" i="1"/>
  <c r="L1872" i="1" s="1"/>
  <c r="H1872" i="1"/>
  <c r="W1871" i="1"/>
  <c r="X1871" i="1" s="1"/>
  <c r="T1871" i="1"/>
  <c r="U1871" i="1" s="1"/>
  <c r="I1871" i="1" s="1"/>
  <c r="M1871" i="1"/>
  <c r="K1871" i="1"/>
  <c r="L1871" i="1" s="1"/>
  <c r="H1871" i="1"/>
  <c r="M1870" i="1"/>
  <c r="T1870" i="1" s="1"/>
  <c r="K1870" i="1"/>
  <c r="L1870" i="1" s="1"/>
  <c r="H1870" i="1"/>
  <c r="W1869" i="1"/>
  <c r="X1869" i="1" s="1"/>
  <c r="T1869" i="1"/>
  <c r="U1869" i="1" s="1"/>
  <c r="I1869" i="1" s="1"/>
  <c r="M1869" i="1"/>
  <c r="K1869" i="1"/>
  <c r="L1869" i="1" s="1"/>
  <c r="H1869" i="1"/>
  <c r="M1868" i="1"/>
  <c r="T1868" i="1" s="1"/>
  <c r="W1868" i="1" s="1"/>
  <c r="X1868" i="1" s="1"/>
  <c r="K1868" i="1"/>
  <c r="L1868" i="1" s="1"/>
  <c r="H1868" i="1"/>
  <c r="T1867" i="1"/>
  <c r="M1867" i="1"/>
  <c r="L1867" i="1"/>
  <c r="K1867" i="1"/>
  <c r="H1867" i="1"/>
  <c r="M1866" i="1"/>
  <c r="T1866" i="1" s="1"/>
  <c r="K1866" i="1"/>
  <c r="L1866" i="1" s="1"/>
  <c r="H1866" i="1"/>
  <c r="M1865" i="1"/>
  <c r="T1865" i="1" s="1"/>
  <c r="L1865" i="1"/>
  <c r="K1865" i="1"/>
  <c r="H1865" i="1"/>
  <c r="W1864" i="1"/>
  <c r="U1864" i="1"/>
  <c r="I1864" i="1" s="1"/>
  <c r="T1864" i="1"/>
  <c r="M1864" i="1"/>
  <c r="K1864" i="1"/>
  <c r="H1864" i="1"/>
  <c r="W1863" i="1"/>
  <c r="X1863" i="1" s="1"/>
  <c r="T1863" i="1"/>
  <c r="U1863" i="1" s="1"/>
  <c r="M1863" i="1"/>
  <c r="K1863" i="1"/>
  <c r="L1863" i="1" s="1"/>
  <c r="I1863" i="1"/>
  <c r="H1863" i="1"/>
  <c r="M1862" i="1"/>
  <c r="T1862" i="1" s="1"/>
  <c r="K1862" i="1"/>
  <c r="L1862" i="1" s="1"/>
  <c r="H1862" i="1"/>
  <c r="W1861" i="1"/>
  <c r="X1861" i="1" s="1"/>
  <c r="T1861" i="1"/>
  <c r="U1861" i="1" s="1"/>
  <c r="I1861" i="1" s="1"/>
  <c r="M1861" i="1"/>
  <c r="K1861" i="1"/>
  <c r="L1861" i="1" s="1"/>
  <c r="H1861" i="1"/>
  <c r="M1860" i="1"/>
  <c r="T1860" i="1" s="1"/>
  <c r="W1860" i="1" s="1"/>
  <c r="X1860" i="1" s="1"/>
  <c r="K1860" i="1"/>
  <c r="L1860" i="1" s="1"/>
  <c r="H1860" i="1"/>
  <c r="W1859" i="1"/>
  <c r="X1859" i="1" s="1"/>
  <c r="T1859" i="1"/>
  <c r="U1859" i="1" s="1"/>
  <c r="I1859" i="1" s="1"/>
  <c r="M1859" i="1"/>
  <c r="K1859" i="1"/>
  <c r="L1859" i="1" s="1"/>
  <c r="H1859" i="1"/>
  <c r="U1858" i="1"/>
  <c r="I1858" i="1" s="1"/>
  <c r="M1858" i="1"/>
  <c r="T1858" i="1" s="1"/>
  <c r="W1858" i="1" s="1"/>
  <c r="X1858" i="1" s="1"/>
  <c r="K1858" i="1"/>
  <c r="L1858" i="1" s="1"/>
  <c r="H1858" i="1"/>
  <c r="T1857" i="1"/>
  <c r="M1857" i="1"/>
  <c r="L1857" i="1"/>
  <c r="K1857" i="1"/>
  <c r="H1857" i="1"/>
  <c r="M1856" i="1"/>
  <c r="T1856" i="1" s="1"/>
  <c r="K1856" i="1"/>
  <c r="L1856" i="1" s="1"/>
  <c r="H1856" i="1"/>
  <c r="M1855" i="1"/>
  <c r="T1855" i="1" s="1"/>
  <c r="L1855" i="1"/>
  <c r="K1855" i="1"/>
  <c r="H1855" i="1"/>
  <c r="W1854" i="1"/>
  <c r="U1854" i="1"/>
  <c r="I1854" i="1" s="1"/>
  <c r="T1854" i="1"/>
  <c r="M1854" i="1"/>
  <c r="K1854" i="1"/>
  <c r="H1854" i="1"/>
  <c r="W1853" i="1"/>
  <c r="X1853" i="1" s="1"/>
  <c r="T1853" i="1"/>
  <c r="U1853" i="1" s="1"/>
  <c r="I1853" i="1" s="1"/>
  <c r="M1853" i="1"/>
  <c r="K1853" i="1"/>
  <c r="L1853" i="1" s="1"/>
  <c r="H1853" i="1"/>
  <c r="M1852" i="1"/>
  <c r="T1852" i="1" s="1"/>
  <c r="K1852" i="1"/>
  <c r="L1852" i="1" s="1"/>
  <c r="H1852" i="1"/>
  <c r="W1851" i="1"/>
  <c r="X1851" i="1" s="1"/>
  <c r="T1851" i="1"/>
  <c r="U1851" i="1" s="1"/>
  <c r="I1851" i="1" s="1"/>
  <c r="M1851" i="1"/>
  <c r="K1851" i="1"/>
  <c r="L1851" i="1" s="1"/>
  <c r="H1851" i="1"/>
  <c r="M1850" i="1"/>
  <c r="T1850" i="1" s="1"/>
  <c r="W1850" i="1" s="1"/>
  <c r="X1850" i="1" s="1"/>
  <c r="K1850" i="1"/>
  <c r="L1850" i="1" s="1"/>
  <c r="H1850" i="1"/>
  <c r="T1849" i="1"/>
  <c r="M1849" i="1"/>
  <c r="K1849" i="1"/>
  <c r="L1849" i="1" s="1"/>
  <c r="H1849" i="1"/>
  <c r="M1848" i="1"/>
  <c r="T1848" i="1" s="1"/>
  <c r="W1848" i="1" s="1"/>
  <c r="X1848" i="1" s="1"/>
  <c r="K1848" i="1"/>
  <c r="L1848" i="1" s="1"/>
  <c r="H1848" i="1"/>
  <c r="T1847" i="1"/>
  <c r="M1847" i="1"/>
  <c r="L1847" i="1"/>
  <c r="K1847" i="1"/>
  <c r="H1847" i="1"/>
  <c r="M1846" i="1"/>
  <c r="T1846" i="1" s="1"/>
  <c r="K1846" i="1"/>
  <c r="L1846" i="1" s="1"/>
  <c r="H1846" i="1"/>
  <c r="T1845" i="1"/>
  <c r="M1845" i="1"/>
  <c r="L1845" i="1"/>
  <c r="K1845" i="1"/>
  <c r="H1845" i="1"/>
  <c r="U1844" i="1"/>
  <c r="I1844" i="1" s="1"/>
  <c r="M1844" i="1"/>
  <c r="T1844" i="1" s="1"/>
  <c r="L1844" i="1"/>
  <c r="AB1844" i="1" s="1"/>
  <c r="K1844" i="1"/>
  <c r="H1844" i="1"/>
  <c r="W1843" i="1"/>
  <c r="X1843" i="1" s="1"/>
  <c r="T1843" i="1"/>
  <c r="M1843" i="1"/>
  <c r="L1843" i="1"/>
  <c r="AB1843" i="1" s="1"/>
  <c r="K1843" i="1"/>
  <c r="H1843" i="1"/>
  <c r="M1842" i="1"/>
  <c r="T1842" i="1" s="1"/>
  <c r="K1842" i="1"/>
  <c r="L1842" i="1" s="1"/>
  <c r="AB1842" i="1" s="1"/>
  <c r="H1842" i="1"/>
  <c r="AA1841" i="1"/>
  <c r="W1841" i="1"/>
  <c r="X1841" i="1" s="1"/>
  <c r="T1841" i="1"/>
  <c r="U1841" i="1" s="1"/>
  <c r="I1841" i="1" s="1"/>
  <c r="M1841" i="1"/>
  <c r="L1841" i="1"/>
  <c r="AB1841" i="1" s="1"/>
  <c r="K1841" i="1"/>
  <c r="H1841" i="1"/>
  <c r="M1840" i="1"/>
  <c r="T1840" i="1" s="1"/>
  <c r="L1840" i="1"/>
  <c r="K1840" i="1"/>
  <c r="H1840" i="1"/>
  <c r="AA1839" i="1"/>
  <c r="W1839" i="1"/>
  <c r="X1839" i="1" s="1"/>
  <c r="T1839" i="1"/>
  <c r="U1839" i="1" s="1"/>
  <c r="M1839" i="1"/>
  <c r="K1839" i="1"/>
  <c r="L1839" i="1" s="1"/>
  <c r="AB1839" i="1" s="1"/>
  <c r="I1839" i="1"/>
  <c r="H1839" i="1"/>
  <c r="AA1838" i="1"/>
  <c r="W1838" i="1"/>
  <c r="U1838" i="1"/>
  <c r="I1838" i="1" s="1"/>
  <c r="T1838" i="1"/>
  <c r="M1838" i="1"/>
  <c r="K1838" i="1"/>
  <c r="H1838" i="1"/>
  <c r="M1837" i="1"/>
  <c r="T1837" i="1" s="1"/>
  <c r="L1837" i="1"/>
  <c r="K1837" i="1"/>
  <c r="H1837" i="1"/>
  <c r="M1836" i="1"/>
  <c r="T1836" i="1" s="1"/>
  <c r="K1836" i="1"/>
  <c r="L1836" i="1" s="1"/>
  <c r="H1836" i="1"/>
  <c r="T1835" i="1"/>
  <c r="M1835" i="1"/>
  <c r="L1835" i="1"/>
  <c r="AB1835" i="1" s="1"/>
  <c r="K1835" i="1"/>
  <c r="H1835" i="1"/>
  <c r="M1834" i="1"/>
  <c r="T1834" i="1" s="1"/>
  <c r="L1834" i="1"/>
  <c r="AB1834" i="1" s="1"/>
  <c r="K1834" i="1"/>
  <c r="H1834" i="1"/>
  <c r="W1833" i="1"/>
  <c r="X1833" i="1" s="1"/>
  <c r="T1833" i="1"/>
  <c r="M1833" i="1"/>
  <c r="L1833" i="1"/>
  <c r="AB1833" i="1" s="1"/>
  <c r="K1833" i="1"/>
  <c r="H1833" i="1"/>
  <c r="U1832" i="1"/>
  <c r="I1832" i="1" s="1"/>
  <c r="T1832" i="1"/>
  <c r="AA1832" i="1" s="1"/>
  <c r="M1832" i="1"/>
  <c r="K1832" i="1"/>
  <c r="L1832" i="1" s="1"/>
  <c r="AB1832" i="1" s="1"/>
  <c r="H1832" i="1"/>
  <c r="AA1831" i="1"/>
  <c r="W1831" i="1"/>
  <c r="X1831" i="1" s="1"/>
  <c r="T1831" i="1"/>
  <c r="U1831" i="1" s="1"/>
  <c r="I1831" i="1" s="1"/>
  <c r="M1831" i="1"/>
  <c r="L1831" i="1"/>
  <c r="AB1831" i="1" s="1"/>
  <c r="K1831" i="1"/>
  <c r="H1831" i="1"/>
  <c r="M1830" i="1"/>
  <c r="T1830" i="1" s="1"/>
  <c r="L1830" i="1"/>
  <c r="K1830" i="1"/>
  <c r="H1830" i="1"/>
  <c r="AA1829" i="1"/>
  <c r="W1829" i="1"/>
  <c r="X1829" i="1" s="1"/>
  <c r="T1829" i="1"/>
  <c r="U1829" i="1" s="1"/>
  <c r="I1829" i="1" s="1"/>
  <c r="M1829" i="1"/>
  <c r="K1829" i="1"/>
  <c r="L1829" i="1" s="1"/>
  <c r="AB1829" i="1" s="1"/>
  <c r="H1829" i="1"/>
  <c r="AA1828" i="1"/>
  <c r="W1828" i="1"/>
  <c r="U1828" i="1"/>
  <c r="I1828" i="1" s="1"/>
  <c r="T1828" i="1"/>
  <c r="M1828" i="1"/>
  <c r="K1828" i="1"/>
  <c r="H1828" i="1"/>
  <c r="M1827" i="1"/>
  <c r="T1827" i="1" s="1"/>
  <c r="L1827" i="1"/>
  <c r="K1827" i="1"/>
  <c r="H1827" i="1"/>
  <c r="M1826" i="1"/>
  <c r="T1826" i="1" s="1"/>
  <c r="K1826" i="1"/>
  <c r="L1826" i="1" s="1"/>
  <c r="AB1826" i="1" s="1"/>
  <c r="H1826" i="1"/>
  <c r="T1825" i="1"/>
  <c r="M1825" i="1"/>
  <c r="L1825" i="1"/>
  <c r="K1825" i="1"/>
  <c r="H1825" i="1"/>
  <c r="U1824" i="1"/>
  <c r="I1824" i="1" s="1"/>
  <c r="M1824" i="1"/>
  <c r="T1824" i="1" s="1"/>
  <c r="L1824" i="1"/>
  <c r="AB1824" i="1" s="1"/>
  <c r="K1824" i="1"/>
  <c r="H1824" i="1"/>
  <c r="W1823" i="1"/>
  <c r="X1823" i="1" s="1"/>
  <c r="T1823" i="1"/>
  <c r="M1823" i="1"/>
  <c r="L1823" i="1"/>
  <c r="AB1823" i="1" s="1"/>
  <c r="K1823" i="1"/>
  <c r="H1823" i="1"/>
  <c r="U1822" i="1"/>
  <c r="I1822" i="1" s="1"/>
  <c r="T1822" i="1"/>
  <c r="AA1822" i="1" s="1"/>
  <c r="M1822" i="1"/>
  <c r="L1822" i="1"/>
  <c r="AB1822" i="1" s="1"/>
  <c r="K1822" i="1"/>
  <c r="H1822" i="1"/>
  <c r="AA1821" i="1"/>
  <c r="W1821" i="1"/>
  <c r="X1821" i="1" s="1"/>
  <c r="T1821" i="1"/>
  <c r="U1821" i="1" s="1"/>
  <c r="I1821" i="1" s="1"/>
  <c r="M1821" i="1"/>
  <c r="L1821" i="1"/>
  <c r="AB1821" i="1" s="1"/>
  <c r="K1821" i="1"/>
  <c r="H1821" i="1"/>
  <c r="AB1820" i="1"/>
  <c r="X1820" i="1"/>
  <c r="W1820" i="1"/>
  <c r="U1820" i="1"/>
  <c r="I1820" i="1" s="1"/>
  <c r="T1820" i="1"/>
  <c r="AA1820" i="1" s="1"/>
  <c r="M1820" i="1"/>
  <c r="L1820" i="1"/>
  <c r="K1820" i="1"/>
  <c r="H1820" i="1"/>
  <c r="AA1819" i="1"/>
  <c r="X1819" i="1"/>
  <c r="W1819" i="1"/>
  <c r="T1819" i="1"/>
  <c r="U1819" i="1" s="1"/>
  <c r="M1819" i="1"/>
  <c r="K1819" i="1"/>
  <c r="L1819" i="1" s="1"/>
  <c r="AB1819" i="1" s="1"/>
  <c r="I1819" i="1"/>
  <c r="H1819" i="1"/>
  <c r="AA1818" i="1"/>
  <c r="W1818" i="1"/>
  <c r="U1818" i="1"/>
  <c r="I1818" i="1" s="1"/>
  <c r="T1818" i="1"/>
  <c r="M1818" i="1"/>
  <c r="K1818" i="1"/>
  <c r="H1818" i="1"/>
  <c r="M1817" i="1"/>
  <c r="T1817" i="1" s="1"/>
  <c r="L1817" i="1"/>
  <c r="K1817" i="1"/>
  <c r="H1817" i="1"/>
  <c r="M1816" i="1"/>
  <c r="T1816" i="1" s="1"/>
  <c r="L1816" i="1"/>
  <c r="H1816" i="1"/>
  <c r="M1815" i="1"/>
  <c r="T1815" i="1" s="1"/>
  <c r="K1815" i="1"/>
  <c r="L1815" i="1" s="1"/>
  <c r="AB1815" i="1" s="1"/>
  <c r="H1815" i="1"/>
  <c r="T1814" i="1"/>
  <c r="M1814" i="1"/>
  <c r="L1814" i="1"/>
  <c r="AB1814" i="1" s="1"/>
  <c r="K1814" i="1"/>
  <c r="H1814" i="1"/>
  <c r="M1813" i="1"/>
  <c r="T1813" i="1" s="1"/>
  <c r="L1813" i="1"/>
  <c r="K1813" i="1"/>
  <c r="H1813" i="1"/>
  <c r="M1812" i="1"/>
  <c r="T1812" i="1" s="1"/>
  <c r="L1812" i="1"/>
  <c r="K1812" i="1"/>
  <c r="H1812" i="1"/>
  <c r="T1811" i="1"/>
  <c r="M1811" i="1"/>
  <c r="L1811" i="1"/>
  <c r="K1811" i="1"/>
  <c r="H1811" i="1"/>
  <c r="AA1810" i="1"/>
  <c r="T1810" i="1"/>
  <c r="W1810" i="1" s="1"/>
  <c r="X1810" i="1" s="1"/>
  <c r="M1810" i="1"/>
  <c r="L1810" i="1"/>
  <c r="AB1810" i="1" s="1"/>
  <c r="K1810" i="1"/>
  <c r="H1810" i="1"/>
  <c r="M1809" i="1"/>
  <c r="T1809" i="1" s="1"/>
  <c r="L1809" i="1"/>
  <c r="K1809" i="1"/>
  <c r="H1809" i="1"/>
  <c r="AA1808" i="1"/>
  <c r="W1808" i="1"/>
  <c r="X1808" i="1" s="1"/>
  <c r="U1808" i="1"/>
  <c r="I1808" i="1" s="1"/>
  <c r="T1808" i="1"/>
  <c r="M1808" i="1"/>
  <c r="K1808" i="1"/>
  <c r="L1808" i="1" s="1"/>
  <c r="AB1808" i="1" s="1"/>
  <c r="H1808" i="1"/>
  <c r="AA1807" i="1"/>
  <c r="W1807" i="1"/>
  <c r="X1807" i="1" s="1"/>
  <c r="U1807" i="1"/>
  <c r="I1807" i="1" s="1"/>
  <c r="T1807" i="1"/>
  <c r="M1807" i="1"/>
  <c r="K1807" i="1"/>
  <c r="L1807" i="1" s="1"/>
  <c r="AB1807" i="1" s="1"/>
  <c r="H1807" i="1"/>
  <c r="W1806" i="1"/>
  <c r="X1806" i="1" s="1"/>
  <c r="M1806" i="1"/>
  <c r="T1806" i="1" s="1"/>
  <c r="U1806" i="1" s="1"/>
  <c r="I1806" i="1" s="1"/>
  <c r="L1806" i="1"/>
  <c r="AB1806" i="1" s="1"/>
  <c r="K1806" i="1"/>
  <c r="H1806" i="1"/>
  <c r="M1805" i="1"/>
  <c r="T1805" i="1" s="1"/>
  <c r="K1805" i="1"/>
  <c r="L1805" i="1" s="1"/>
  <c r="H1805" i="1"/>
  <c r="AA1804" i="1"/>
  <c r="U1804" i="1"/>
  <c r="T1804" i="1"/>
  <c r="W1804" i="1" s="1"/>
  <c r="M1804" i="1"/>
  <c r="K1804" i="1"/>
  <c r="L1804" i="1" s="1"/>
  <c r="AB1804" i="1" s="1"/>
  <c r="I1804" i="1"/>
  <c r="H1804" i="1"/>
  <c r="M1803" i="1"/>
  <c r="T1803" i="1" s="1"/>
  <c r="AA1803" i="1" s="1"/>
  <c r="K1803" i="1"/>
  <c r="L1803" i="1" s="1"/>
  <c r="AB1803" i="1" s="1"/>
  <c r="H1803" i="1"/>
  <c r="M1802" i="1"/>
  <c r="T1802" i="1" s="1"/>
  <c r="K1802" i="1"/>
  <c r="L1802" i="1" s="1"/>
  <c r="AB1802" i="1" s="1"/>
  <c r="H1802" i="1"/>
  <c r="M1801" i="1"/>
  <c r="T1801" i="1" s="1"/>
  <c r="K1801" i="1"/>
  <c r="L1801" i="1" s="1"/>
  <c r="AB1801" i="1" s="1"/>
  <c r="H1801" i="1"/>
  <c r="W1800" i="1"/>
  <c r="X1800" i="1" s="1"/>
  <c r="U1800" i="1"/>
  <c r="I1800" i="1" s="1"/>
  <c r="T1800" i="1"/>
  <c r="AA1800" i="1" s="1"/>
  <c r="M1800" i="1"/>
  <c r="L1800" i="1"/>
  <c r="AB1800" i="1" s="1"/>
  <c r="K1800" i="1"/>
  <c r="H1800" i="1"/>
  <c r="T1799" i="1"/>
  <c r="M1799" i="1"/>
  <c r="L1799" i="1"/>
  <c r="K1799" i="1"/>
  <c r="H1799" i="1"/>
  <c r="T1798" i="1"/>
  <c r="M1798" i="1"/>
  <c r="K1798" i="1"/>
  <c r="L1798" i="1" s="1"/>
  <c r="H1798" i="1"/>
  <c r="T1797" i="1"/>
  <c r="M1797" i="1"/>
  <c r="K1797" i="1"/>
  <c r="L1797" i="1" s="1"/>
  <c r="AB1797" i="1" s="1"/>
  <c r="H1797" i="1"/>
  <c r="T1796" i="1"/>
  <c r="M1796" i="1"/>
  <c r="L1796" i="1"/>
  <c r="K1796" i="1"/>
  <c r="H1796" i="1"/>
  <c r="W1795" i="1"/>
  <c r="X1795" i="1" s="1"/>
  <c r="U1795" i="1"/>
  <c r="I1795" i="1" s="1"/>
  <c r="T1795" i="1"/>
  <c r="AA1795" i="1" s="1"/>
  <c r="M1795" i="1"/>
  <c r="K1795" i="1"/>
  <c r="L1795" i="1" s="1"/>
  <c r="AB1795" i="1" s="1"/>
  <c r="H1795" i="1"/>
  <c r="M1794" i="1"/>
  <c r="T1794" i="1" s="1"/>
  <c r="K1794" i="1"/>
  <c r="L1794" i="1" s="1"/>
  <c r="H1794" i="1"/>
  <c r="M1793" i="1"/>
  <c r="T1793" i="1" s="1"/>
  <c r="K1793" i="1"/>
  <c r="L1793" i="1" s="1"/>
  <c r="AB1793" i="1" s="1"/>
  <c r="H1793" i="1"/>
  <c r="AA1792" i="1"/>
  <c r="M1792" i="1"/>
  <c r="T1792" i="1" s="1"/>
  <c r="L1792" i="1"/>
  <c r="K1792" i="1"/>
  <c r="H1792" i="1"/>
  <c r="M1791" i="1"/>
  <c r="T1791" i="1" s="1"/>
  <c r="K1791" i="1"/>
  <c r="L1791" i="1" s="1"/>
  <c r="AB1791" i="1" s="1"/>
  <c r="H1791" i="1"/>
  <c r="AB1790" i="1"/>
  <c r="T1790" i="1"/>
  <c r="AA1790" i="1" s="1"/>
  <c r="M1790" i="1"/>
  <c r="L1790" i="1"/>
  <c r="H1790" i="1"/>
  <c r="T1789" i="1"/>
  <c r="AA1789" i="1" s="1"/>
  <c r="M1789" i="1"/>
  <c r="K1789" i="1"/>
  <c r="L1789" i="1" s="1"/>
  <c r="AB1789" i="1" s="1"/>
  <c r="H1789" i="1"/>
  <c r="M1788" i="1"/>
  <c r="T1788" i="1" s="1"/>
  <c r="K1788" i="1"/>
  <c r="L1788" i="1" s="1"/>
  <c r="H1788" i="1"/>
  <c r="M1787" i="1"/>
  <c r="T1787" i="1" s="1"/>
  <c r="L1787" i="1"/>
  <c r="AB1787" i="1" s="1"/>
  <c r="K1787" i="1"/>
  <c r="H1787" i="1"/>
  <c r="M1786" i="1"/>
  <c r="T1786" i="1" s="1"/>
  <c r="L1786" i="1"/>
  <c r="AB1786" i="1" s="1"/>
  <c r="K1786" i="1"/>
  <c r="H1786" i="1"/>
  <c r="T1785" i="1"/>
  <c r="M1785" i="1"/>
  <c r="K1785" i="1"/>
  <c r="L1785" i="1" s="1"/>
  <c r="H1785" i="1"/>
  <c r="W1784" i="1"/>
  <c r="X1784" i="1" s="1"/>
  <c r="U1784" i="1"/>
  <c r="I1784" i="1" s="1"/>
  <c r="T1784" i="1"/>
  <c r="AA1784" i="1" s="1"/>
  <c r="M1784" i="1"/>
  <c r="K1784" i="1"/>
  <c r="L1784" i="1" s="1"/>
  <c r="AB1784" i="1" s="1"/>
  <c r="H1784" i="1"/>
  <c r="W1783" i="1"/>
  <c r="X1783" i="1" s="1"/>
  <c r="M1783" i="1"/>
  <c r="T1783" i="1" s="1"/>
  <c r="K1783" i="1"/>
  <c r="L1783" i="1" s="1"/>
  <c r="H1783" i="1"/>
  <c r="M1782" i="1"/>
  <c r="T1782" i="1" s="1"/>
  <c r="K1782" i="1"/>
  <c r="L1782" i="1" s="1"/>
  <c r="H1782" i="1"/>
  <c r="M1781" i="1"/>
  <c r="T1781" i="1" s="1"/>
  <c r="L1781" i="1"/>
  <c r="K1781" i="1"/>
  <c r="H1781" i="1"/>
  <c r="AB1780" i="1"/>
  <c r="M1780" i="1"/>
  <c r="T1780" i="1" s="1"/>
  <c r="K1780" i="1"/>
  <c r="L1780" i="1" s="1"/>
  <c r="H1780" i="1"/>
  <c r="T1779" i="1"/>
  <c r="AA1779" i="1" s="1"/>
  <c r="M1779" i="1"/>
  <c r="K1779" i="1"/>
  <c r="L1779" i="1" s="1"/>
  <c r="AB1779" i="1" s="1"/>
  <c r="H1779" i="1"/>
  <c r="M1778" i="1"/>
  <c r="T1778" i="1" s="1"/>
  <c r="L1778" i="1"/>
  <c r="AB1778" i="1" s="1"/>
  <c r="K1778" i="1"/>
  <c r="H1778" i="1"/>
  <c r="M1777" i="1"/>
  <c r="T1777" i="1" s="1"/>
  <c r="L1777" i="1"/>
  <c r="AB1777" i="1" s="1"/>
  <c r="K1777" i="1"/>
  <c r="H1777" i="1"/>
  <c r="T1776" i="1"/>
  <c r="M1776" i="1"/>
  <c r="L1776" i="1"/>
  <c r="K1776" i="1"/>
  <c r="H1776" i="1"/>
  <c r="U1775" i="1"/>
  <c r="I1775" i="1" s="1"/>
  <c r="T1775" i="1"/>
  <c r="M1775" i="1"/>
  <c r="K1775" i="1"/>
  <c r="L1775" i="1" s="1"/>
  <c r="AB1775" i="1" s="1"/>
  <c r="H1775" i="1"/>
  <c r="W1774" i="1"/>
  <c r="X1774" i="1" s="1"/>
  <c r="U1774" i="1"/>
  <c r="I1774" i="1" s="1"/>
  <c r="T1774" i="1"/>
  <c r="AA1774" i="1" s="1"/>
  <c r="M1774" i="1"/>
  <c r="K1774" i="1"/>
  <c r="L1774" i="1" s="1"/>
  <c r="AB1774" i="1" s="1"/>
  <c r="H1774" i="1"/>
  <c r="M1773" i="1"/>
  <c r="T1773" i="1" s="1"/>
  <c r="K1773" i="1"/>
  <c r="L1773" i="1" s="1"/>
  <c r="AB1773" i="1" s="1"/>
  <c r="H1773" i="1"/>
  <c r="M1772" i="1"/>
  <c r="T1772" i="1" s="1"/>
  <c r="AA1772" i="1" s="1"/>
  <c r="K1772" i="1"/>
  <c r="L1772" i="1" s="1"/>
  <c r="H1772" i="1"/>
  <c r="M1771" i="1"/>
  <c r="T1771" i="1" s="1"/>
  <c r="L1771" i="1"/>
  <c r="K1771" i="1"/>
  <c r="H1771" i="1"/>
  <c r="M1770" i="1"/>
  <c r="T1770" i="1" s="1"/>
  <c r="K1770" i="1"/>
  <c r="L1770" i="1" s="1"/>
  <c r="AB1770" i="1" s="1"/>
  <c r="H1770" i="1"/>
  <c r="T1769" i="1"/>
  <c r="AA1769" i="1" s="1"/>
  <c r="M1769" i="1"/>
  <c r="K1769" i="1"/>
  <c r="L1769" i="1" s="1"/>
  <c r="AB1769" i="1" s="1"/>
  <c r="H1769" i="1"/>
  <c r="M1768" i="1"/>
  <c r="T1768" i="1" s="1"/>
  <c r="K1768" i="1"/>
  <c r="L1768" i="1" s="1"/>
  <c r="AB1768" i="1" s="1"/>
  <c r="H1768" i="1"/>
  <c r="M1767" i="1"/>
  <c r="T1767" i="1" s="1"/>
  <c r="L1767" i="1"/>
  <c r="AB1767" i="1" s="1"/>
  <c r="K1767" i="1"/>
  <c r="H1767" i="1"/>
  <c r="T1766" i="1"/>
  <c r="M1766" i="1"/>
  <c r="L1766" i="1"/>
  <c r="K1766" i="1"/>
  <c r="H1766" i="1"/>
  <c r="U1765" i="1"/>
  <c r="I1765" i="1" s="1"/>
  <c r="T1765" i="1"/>
  <c r="M1765" i="1"/>
  <c r="K1765" i="1"/>
  <c r="L1765" i="1" s="1"/>
  <c r="AB1765" i="1" s="1"/>
  <c r="H1765" i="1"/>
  <c r="W1764" i="1"/>
  <c r="X1764" i="1" s="1"/>
  <c r="U1764" i="1"/>
  <c r="I1764" i="1" s="1"/>
  <c r="T1764" i="1"/>
  <c r="AB1764" i="1" s="1"/>
  <c r="M1764" i="1"/>
  <c r="L1764" i="1"/>
  <c r="H1764" i="1"/>
  <c r="W1763" i="1"/>
  <c r="X1763" i="1" s="1"/>
  <c r="U1763" i="1"/>
  <c r="I1763" i="1" s="1"/>
  <c r="T1763" i="1"/>
  <c r="AA1763" i="1" s="1"/>
  <c r="M1763" i="1"/>
  <c r="K1763" i="1"/>
  <c r="L1763" i="1" s="1"/>
  <c r="AB1763" i="1" s="1"/>
  <c r="H1763" i="1"/>
  <c r="M1762" i="1"/>
  <c r="T1762" i="1" s="1"/>
  <c r="L1762" i="1"/>
  <c r="H1762" i="1"/>
  <c r="M1761" i="1"/>
  <c r="T1761" i="1" s="1"/>
  <c r="K1761" i="1"/>
  <c r="L1761" i="1" s="1"/>
  <c r="H1761" i="1"/>
  <c r="M1760" i="1"/>
  <c r="T1760" i="1" s="1"/>
  <c r="K1760" i="1"/>
  <c r="L1760" i="1" s="1"/>
  <c r="H1760" i="1"/>
  <c r="M1759" i="1"/>
  <c r="T1759" i="1" s="1"/>
  <c r="L1759" i="1"/>
  <c r="K1759" i="1"/>
  <c r="H1759" i="1"/>
  <c r="M1758" i="1"/>
  <c r="T1758" i="1" s="1"/>
  <c r="K1758" i="1"/>
  <c r="L1758" i="1" s="1"/>
  <c r="H1758" i="1"/>
  <c r="T1757" i="1"/>
  <c r="AA1757" i="1" s="1"/>
  <c r="M1757" i="1"/>
  <c r="K1757" i="1"/>
  <c r="L1757" i="1" s="1"/>
  <c r="AB1757" i="1" s="1"/>
  <c r="H1757" i="1"/>
  <c r="M1756" i="1"/>
  <c r="T1756" i="1" s="1"/>
  <c r="L1756" i="1"/>
  <c r="AB1756" i="1" s="1"/>
  <c r="K1756" i="1"/>
  <c r="H1756" i="1"/>
  <c r="M1755" i="1"/>
  <c r="T1755" i="1" s="1"/>
  <c r="L1755" i="1"/>
  <c r="AB1755" i="1" s="1"/>
  <c r="K1755" i="1"/>
  <c r="H1755" i="1"/>
  <c r="T1754" i="1"/>
  <c r="M1754" i="1"/>
  <c r="L1754" i="1"/>
  <c r="AB1754" i="1" s="1"/>
  <c r="K1754" i="1"/>
  <c r="H1754" i="1"/>
  <c r="T1753" i="1"/>
  <c r="M1753" i="1"/>
  <c r="K1753" i="1"/>
  <c r="L1753" i="1" s="1"/>
  <c r="AB1753" i="1" s="1"/>
  <c r="H1753" i="1"/>
  <c r="W1752" i="1"/>
  <c r="X1752" i="1" s="1"/>
  <c r="U1752" i="1"/>
  <c r="I1752" i="1" s="1"/>
  <c r="T1752" i="1"/>
  <c r="AA1752" i="1" s="1"/>
  <c r="M1752" i="1"/>
  <c r="K1752" i="1"/>
  <c r="L1752" i="1" s="1"/>
  <c r="AB1752" i="1" s="1"/>
  <c r="H1752" i="1"/>
  <c r="M1751" i="1"/>
  <c r="T1751" i="1" s="1"/>
  <c r="K1751" i="1"/>
  <c r="L1751" i="1" s="1"/>
  <c r="H1751" i="1"/>
  <c r="M1750" i="1"/>
  <c r="T1750" i="1" s="1"/>
  <c r="K1750" i="1"/>
  <c r="L1750" i="1" s="1"/>
  <c r="H1750" i="1"/>
  <c r="M1749" i="1"/>
  <c r="T1749" i="1" s="1"/>
  <c r="L1749" i="1"/>
  <c r="K1749" i="1"/>
  <c r="H1749" i="1"/>
  <c r="M1748" i="1"/>
  <c r="T1748" i="1" s="1"/>
  <c r="K1748" i="1"/>
  <c r="L1748" i="1" s="1"/>
  <c r="H1748" i="1"/>
  <c r="T1747" i="1"/>
  <c r="AA1747" i="1" s="1"/>
  <c r="M1747" i="1"/>
  <c r="K1747" i="1"/>
  <c r="L1747" i="1" s="1"/>
  <c r="AB1747" i="1" s="1"/>
  <c r="H1747" i="1"/>
  <c r="M1746" i="1"/>
  <c r="T1746" i="1" s="1"/>
  <c r="L1746" i="1"/>
  <c r="AB1746" i="1" s="1"/>
  <c r="K1746" i="1"/>
  <c r="H1746" i="1"/>
  <c r="M1745" i="1"/>
  <c r="T1745" i="1" s="1"/>
  <c r="L1745" i="1"/>
  <c r="AB1745" i="1" s="1"/>
  <c r="K1745" i="1"/>
  <c r="H1745" i="1"/>
  <c r="T1744" i="1"/>
  <c r="M1744" i="1"/>
  <c r="L1744" i="1"/>
  <c r="AB1744" i="1" s="1"/>
  <c r="K1744" i="1"/>
  <c r="H1744" i="1"/>
  <c r="T1743" i="1"/>
  <c r="M1743" i="1"/>
  <c r="K1743" i="1"/>
  <c r="L1743" i="1" s="1"/>
  <c r="AB1743" i="1" s="1"/>
  <c r="H1743" i="1"/>
  <c r="W1742" i="1"/>
  <c r="X1742" i="1" s="1"/>
  <c r="U1742" i="1"/>
  <c r="I1742" i="1" s="1"/>
  <c r="T1742" i="1"/>
  <c r="AA1742" i="1" s="1"/>
  <c r="M1742" i="1"/>
  <c r="K1742" i="1"/>
  <c r="L1742" i="1" s="1"/>
  <c r="AB1742" i="1" s="1"/>
  <c r="H1742" i="1"/>
  <c r="M1741" i="1"/>
  <c r="T1741" i="1" s="1"/>
  <c r="K1741" i="1"/>
  <c r="L1741" i="1" s="1"/>
  <c r="AB1741" i="1" s="1"/>
  <c r="H1741" i="1"/>
  <c r="M1740" i="1"/>
  <c r="T1740" i="1" s="1"/>
  <c r="K1740" i="1"/>
  <c r="L1740" i="1" s="1"/>
  <c r="H1740" i="1"/>
  <c r="M1739" i="1"/>
  <c r="T1739" i="1" s="1"/>
  <c r="L1739" i="1"/>
  <c r="K1739" i="1"/>
  <c r="H1739" i="1"/>
  <c r="M1738" i="1"/>
  <c r="T1738" i="1" s="1"/>
  <c r="K1738" i="1"/>
  <c r="L1738" i="1" s="1"/>
  <c r="AB1738" i="1" s="1"/>
  <c r="H1738" i="1"/>
  <c r="T1737" i="1"/>
  <c r="AA1737" i="1" s="1"/>
  <c r="M1737" i="1"/>
  <c r="K1737" i="1"/>
  <c r="L1737" i="1" s="1"/>
  <c r="AB1737" i="1" s="1"/>
  <c r="H1737" i="1"/>
  <c r="M1736" i="1"/>
  <c r="T1736" i="1" s="1"/>
  <c r="K1736" i="1"/>
  <c r="L1736" i="1" s="1"/>
  <c r="AB1736" i="1" s="1"/>
  <c r="H1736" i="1"/>
  <c r="M1735" i="1"/>
  <c r="T1735" i="1" s="1"/>
  <c r="L1735" i="1"/>
  <c r="AB1735" i="1" s="1"/>
  <c r="K1735" i="1"/>
  <c r="H1735" i="1"/>
  <c r="T1734" i="1"/>
  <c r="M1734" i="1"/>
  <c r="L1734" i="1"/>
  <c r="AB1734" i="1" s="1"/>
  <c r="K1734" i="1"/>
  <c r="H1734" i="1"/>
  <c r="T1733" i="1"/>
  <c r="M1733" i="1"/>
  <c r="K1733" i="1"/>
  <c r="L1733" i="1" s="1"/>
  <c r="AB1733" i="1" s="1"/>
  <c r="H1733" i="1"/>
  <c r="W1732" i="1"/>
  <c r="X1732" i="1" s="1"/>
  <c r="U1732" i="1"/>
  <c r="I1732" i="1" s="1"/>
  <c r="T1732" i="1"/>
  <c r="AA1732" i="1" s="1"/>
  <c r="M1732" i="1"/>
  <c r="K1732" i="1"/>
  <c r="L1732" i="1" s="1"/>
  <c r="AB1732" i="1" s="1"/>
  <c r="H1732" i="1"/>
  <c r="M1731" i="1"/>
  <c r="T1731" i="1" s="1"/>
  <c r="K1731" i="1"/>
  <c r="L1731" i="1" s="1"/>
  <c r="AB1731" i="1" s="1"/>
  <c r="H1731" i="1"/>
  <c r="M1730" i="1"/>
  <c r="T1730" i="1" s="1"/>
  <c r="K1730" i="1"/>
  <c r="L1730" i="1" s="1"/>
  <c r="AB1730" i="1" s="1"/>
  <c r="H1730" i="1"/>
  <c r="M1729" i="1"/>
  <c r="T1729" i="1" s="1"/>
  <c r="L1729" i="1"/>
  <c r="K1729" i="1"/>
  <c r="H1729" i="1"/>
  <c r="M1728" i="1"/>
  <c r="T1728" i="1" s="1"/>
  <c r="K1728" i="1"/>
  <c r="L1728" i="1" s="1"/>
  <c r="AB1728" i="1" s="1"/>
  <c r="H1728" i="1"/>
  <c r="T1727" i="1"/>
  <c r="AA1727" i="1" s="1"/>
  <c r="M1727" i="1"/>
  <c r="K1727" i="1"/>
  <c r="L1727" i="1" s="1"/>
  <c r="AB1727" i="1" s="1"/>
  <c r="H1727" i="1"/>
  <c r="M1726" i="1"/>
  <c r="T1726" i="1" s="1"/>
  <c r="K1726" i="1"/>
  <c r="L1726" i="1" s="1"/>
  <c r="AB1726" i="1" s="1"/>
  <c r="H1726" i="1"/>
  <c r="M1725" i="1"/>
  <c r="T1725" i="1" s="1"/>
  <c r="L1725" i="1"/>
  <c r="AB1725" i="1" s="1"/>
  <c r="K1725" i="1"/>
  <c r="H1725" i="1"/>
  <c r="T1724" i="1"/>
  <c r="M1724" i="1"/>
  <c r="L1724" i="1"/>
  <c r="AB1724" i="1" s="1"/>
  <c r="K1724" i="1"/>
  <c r="H1724" i="1"/>
  <c r="T1723" i="1"/>
  <c r="M1723" i="1"/>
  <c r="K1723" i="1"/>
  <c r="L1723" i="1" s="1"/>
  <c r="AB1723" i="1" s="1"/>
  <c r="H1723" i="1"/>
  <c r="W1722" i="1"/>
  <c r="X1722" i="1" s="1"/>
  <c r="U1722" i="1"/>
  <c r="I1722" i="1" s="1"/>
  <c r="T1722" i="1"/>
  <c r="AA1722" i="1" s="1"/>
  <c r="M1722" i="1"/>
  <c r="K1722" i="1"/>
  <c r="L1722" i="1" s="1"/>
  <c r="AB1722" i="1" s="1"/>
  <c r="H1722" i="1"/>
  <c r="M1721" i="1"/>
  <c r="T1721" i="1" s="1"/>
  <c r="K1721" i="1"/>
  <c r="L1721" i="1" s="1"/>
  <c r="AB1721" i="1" s="1"/>
  <c r="H1721" i="1"/>
  <c r="M1720" i="1"/>
  <c r="T1720" i="1" s="1"/>
  <c r="K1720" i="1"/>
  <c r="L1720" i="1" s="1"/>
  <c r="AB1720" i="1" s="1"/>
  <c r="H1720" i="1"/>
  <c r="M1719" i="1"/>
  <c r="T1719" i="1" s="1"/>
  <c r="L1719" i="1"/>
  <c r="K1719" i="1"/>
  <c r="H1719" i="1"/>
  <c r="M1718" i="1"/>
  <c r="T1718" i="1" s="1"/>
  <c r="K1718" i="1"/>
  <c r="L1718" i="1" s="1"/>
  <c r="AB1718" i="1" s="1"/>
  <c r="H1718" i="1"/>
  <c r="T1717" i="1"/>
  <c r="AA1717" i="1" s="1"/>
  <c r="M1717" i="1"/>
  <c r="K1717" i="1"/>
  <c r="L1717" i="1" s="1"/>
  <c r="AB1717" i="1" s="1"/>
  <c r="H1717" i="1"/>
  <c r="M1716" i="1"/>
  <c r="T1716" i="1" s="1"/>
  <c r="K1716" i="1"/>
  <c r="L1716" i="1" s="1"/>
  <c r="AB1716" i="1" s="1"/>
  <c r="H1716" i="1"/>
  <c r="M1715" i="1"/>
  <c r="T1715" i="1" s="1"/>
  <c r="L1715" i="1"/>
  <c r="AB1715" i="1" s="1"/>
  <c r="K1715" i="1"/>
  <c r="H1715" i="1"/>
  <c r="T1714" i="1"/>
  <c r="M1714" i="1"/>
  <c r="L1714" i="1"/>
  <c r="AB1714" i="1" s="1"/>
  <c r="K1714" i="1"/>
  <c r="H1714" i="1"/>
  <c r="T1713" i="1"/>
  <c r="M1713" i="1"/>
  <c r="K1713" i="1"/>
  <c r="L1713" i="1" s="1"/>
  <c r="AB1713" i="1" s="1"/>
  <c r="H1713" i="1"/>
  <c r="W1712" i="1"/>
  <c r="X1712" i="1" s="1"/>
  <c r="U1712" i="1"/>
  <c r="I1712" i="1" s="1"/>
  <c r="T1712" i="1"/>
  <c r="AA1712" i="1" s="1"/>
  <c r="M1712" i="1"/>
  <c r="K1712" i="1"/>
  <c r="L1712" i="1" s="1"/>
  <c r="AB1712" i="1" s="1"/>
  <c r="H1712" i="1"/>
  <c r="M1711" i="1"/>
  <c r="T1711" i="1" s="1"/>
  <c r="K1711" i="1"/>
  <c r="L1711" i="1" s="1"/>
  <c r="AB1711" i="1" s="1"/>
  <c r="H1711" i="1"/>
  <c r="M1710" i="1"/>
  <c r="T1710" i="1" s="1"/>
  <c r="K1710" i="1"/>
  <c r="L1710" i="1" s="1"/>
  <c r="AB1710" i="1" s="1"/>
  <c r="H1710" i="1"/>
  <c r="M1709" i="1"/>
  <c r="T1709" i="1" s="1"/>
  <c r="L1709" i="1"/>
  <c r="K1709" i="1"/>
  <c r="H1709" i="1"/>
  <c r="M1708" i="1"/>
  <c r="T1708" i="1" s="1"/>
  <c r="K1708" i="1"/>
  <c r="L1708" i="1" s="1"/>
  <c r="AB1708" i="1" s="1"/>
  <c r="H1708" i="1"/>
  <c r="T1707" i="1"/>
  <c r="AA1707" i="1" s="1"/>
  <c r="M1707" i="1"/>
  <c r="K1707" i="1"/>
  <c r="L1707" i="1" s="1"/>
  <c r="AB1707" i="1" s="1"/>
  <c r="H1707" i="1"/>
  <c r="M1706" i="1"/>
  <c r="T1706" i="1" s="1"/>
  <c r="K1706" i="1"/>
  <c r="L1706" i="1" s="1"/>
  <c r="AB1706" i="1" s="1"/>
  <c r="H1706" i="1"/>
  <c r="M1705" i="1"/>
  <c r="T1705" i="1" s="1"/>
  <c r="L1705" i="1"/>
  <c r="AB1705" i="1" s="1"/>
  <c r="K1705" i="1"/>
  <c r="H1705" i="1"/>
  <c r="T1704" i="1"/>
  <c r="M1704" i="1"/>
  <c r="L1704" i="1"/>
  <c r="AB1704" i="1" s="1"/>
  <c r="K1704" i="1"/>
  <c r="H1704" i="1"/>
  <c r="T1703" i="1"/>
  <c r="M1703" i="1"/>
  <c r="K1703" i="1"/>
  <c r="L1703" i="1" s="1"/>
  <c r="AB1703" i="1" s="1"/>
  <c r="H1703" i="1"/>
  <c r="W1702" i="1"/>
  <c r="X1702" i="1" s="1"/>
  <c r="U1702" i="1"/>
  <c r="I1702" i="1" s="1"/>
  <c r="T1702" i="1"/>
  <c r="AA1702" i="1" s="1"/>
  <c r="M1702" i="1"/>
  <c r="K1702" i="1"/>
  <c r="L1702" i="1" s="1"/>
  <c r="AB1702" i="1" s="1"/>
  <c r="H1702" i="1"/>
  <c r="M1701" i="1"/>
  <c r="T1701" i="1" s="1"/>
  <c r="K1701" i="1"/>
  <c r="L1701" i="1" s="1"/>
  <c r="AB1701" i="1" s="1"/>
  <c r="H1701" i="1"/>
  <c r="M1700" i="1"/>
  <c r="T1700" i="1" s="1"/>
  <c r="K1700" i="1"/>
  <c r="L1700" i="1" s="1"/>
  <c r="AB1700" i="1" s="1"/>
  <c r="H1700" i="1"/>
  <c r="M1699" i="1"/>
  <c r="T1699" i="1" s="1"/>
  <c r="L1699" i="1"/>
  <c r="K1699" i="1"/>
  <c r="H1699" i="1"/>
  <c r="M1698" i="1"/>
  <c r="T1698" i="1" s="1"/>
  <c r="K1698" i="1"/>
  <c r="L1698" i="1" s="1"/>
  <c r="AB1698" i="1" s="1"/>
  <c r="H1698" i="1"/>
  <c r="T1697" i="1"/>
  <c r="AA1697" i="1" s="1"/>
  <c r="M1697" i="1"/>
  <c r="K1697" i="1"/>
  <c r="L1697" i="1" s="1"/>
  <c r="AB1697" i="1" s="1"/>
  <c r="H1697" i="1"/>
  <c r="M1696" i="1"/>
  <c r="T1696" i="1" s="1"/>
  <c r="K1696" i="1"/>
  <c r="L1696" i="1" s="1"/>
  <c r="AB1696" i="1" s="1"/>
  <c r="H1696" i="1"/>
  <c r="M1695" i="1"/>
  <c r="T1695" i="1" s="1"/>
  <c r="L1695" i="1"/>
  <c r="AB1695" i="1" s="1"/>
  <c r="K1695" i="1"/>
  <c r="H1695" i="1"/>
  <c r="T1694" i="1"/>
  <c r="M1694" i="1"/>
  <c r="L1694" i="1"/>
  <c r="AB1694" i="1" s="1"/>
  <c r="K1694" i="1"/>
  <c r="H1694" i="1"/>
  <c r="T1693" i="1"/>
  <c r="M1693" i="1"/>
  <c r="K1693" i="1"/>
  <c r="L1693" i="1" s="1"/>
  <c r="AB1693" i="1" s="1"/>
  <c r="H1693" i="1"/>
  <c r="W1692" i="1"/>
  <c r="X1692" i="1" s="1"/>
  <c r="U1692" i="1"/>
  <c r="I1692" i="1" s="1"/>
  <c r="T1692" i="1"/>
  <c r="AA1692" i="1" s="1"/>
  <c r="M1692" i="1"/>
  <c r="K1692" i="1"/>
  <c r="L1692" i="1" s="1"/>
  <c r="AB1692" i="1" s="1"/>
  <c r="H1692" i="1"/>
  <c r="M1691" i="1"/>
  <c r="T1691" i="1" s="1"/>
  <c r="K1691" i="1"/>
  <c r="L1691" i="1" s="1"/>
  <c r="AB1691" i="1" s="1"/>
  <c r="H1691" i="1"/>
  <c r="M1690" i="1"/>
  <c r="T1690" i="1" s="1"/>
  <c r="K1690" i="1"/>
  <c r="L1690" i="1" s="1"/>
  <c r="AB1690" i="1" s="1"/>
  <c r="H1690" i="1"/>
  <c r="M1689" i="1"/>
  <c r="T1689" i="1" s="1"/>
  <c r="L1689" i="1"/>
  <c r="K1689" i="1"/>
  <c r="H1689" i="1"/>
  <c r="M1688" i="1"/>
  <c r="T1688" i="1" s="1"/>
  <c r="K1688" i="1"/>
  <c r="L1688" i="1" s="1"/>
  <c r="AB1688" i="1" s="1"/>
  <c r="H1688" i="1"/>
  <c r="T1687" i="1"/>
  <c r="AA1687" i="1" s="1"/>
  <c r="M1687" i="1"/>
  <c r="K1687" i="1"/>
  <c r="L1687" i="1" s="1"/>
  <c r="AB1687" i="1" s="1"/>
  <c r="H1687" i="1"/>
  <c r="M1686" i="1"/>
  <c r="T1686" i="1" s="1"/>
  <c r="K1686" i="1"/>
  <c r="L1686" i="1" s="1"/>
  <c r="AB1686" i="1" s="1"/>
  <c r="H1686" i="1"/>
  <c r="M1685" i="1"/>
  <c r="T1685" i="1" s="1"/>
  <c r="L1685" i="1"/>
  <c r="AB1685" i="1" s="1"/>
  <c r="K1685" i="1"/>
  <c r="H1685" i="1"/>
  <c r="T1684" i="1"/>
  <c r="M1684" i="1"/>
  <c r="L1684" i="1"/>
  <c r="AB1684" i="1" s="1"/>
  <c r="K1684" i="1"/>
  <c r="H1684" i="1"/>
  <c r="T1683" i="1"/>
  <c r="M1683" i="1"/>
  <c r="K1683" i="1"/>
  <c r="L1683" i="1" s="1"/>
  <c r="AB1683" i="1" s="1"/>
  <c r="H1683" i="1"/>
  <c r="W1682" i="1"/>
  <c r="X1682" i="1" s="1"/>
  <c r="U1682" i="1"/>
  <c r="I1682" i="1" s="1"/>
  <c r="T1682" i="1"/>
  <c r="AA1682" i="1" s="1"/>
  <c r="M1682" i="1"/>
  <c r="K1682" i="1"/>
  <c r="L1682" i="1" s="1"/>
  <c r="AB1682" i="1" s="1"/>
  <c r="H1682" i="1"/>
  <c r="M1681" i="1"/>
  <c r="T1681" i="1" s="1"/>
  <c r="K1681" i="1"/>
  <c r="L1681" i="1" s="1"/>
  <c r="AB1681" i="1" s="1"/>
  <c r="H1681" i="1"/>
  <c r="M1680" i="1"/>
  <c r="T1680" i="1" s="1"/>
  <c r="K1680" i="1"/>
  <c r="L1680" i="1" s="1"/>
  <c r="AB1680" i="1" s="1"/>
  <c r="H1680" i="1"/>
  <c r="M1679" i="1"/>
  <c r="T1679" i="1" s="1"/>
  <c r="L1679" i="1"/>
  <c r="K1679" i="1"/>
  <c r="H1679" i="1"/>
  <c r="M1678" i="1"/>
  <c r="T1678" i="1" s="1"/>
  <c r="K1678" i="1"/>
  <c r="L1678" i="1" s="1"/>
  <c r="AB1678" i="1" s="1"/>
  <c r="H1678" i="1"/>
  <c r="T1677" i="1"/>
  <c r="AA1677" i="1" s="1"/>
  <c r="M1677" i="1"/>
  <c r="K1677" i="1"/>
  <c r="L1677" i="1" s="1"/>
  <c r="AB1677" i="1" s="1"/>
  <c r="H1677" i="1"/>
  <c r="M1676" i="1"/>
  <c r="T1676" i="1" s="1"/>
  <c r="K1676" i="1"/>
  <c r="L1676" i="1" s="1"/>
  <c r="AB1676" i="1" s="1"/>
  <c r="H1676" i="1"/>
  <c r="M1675" i="1"/>
  <c r="T1675" i="1" s="1"/>
  <c r="L1675" i="1"/>
  <c r="AB1675" i="1" s="1"/>
  <c r="K1675" i="1"/>
  <c r="H1675" i="1"/>
  <c r="T1674" i="1"/>
  <c r="M1674" i="1"/>
  <c r="L1674" i="1"/>
  <c r="AB1674" i="1" s="1"/>
  <c r="K1674" i="1"/>
  <c r="H1674" i="1"/>
  <c r="T1673" i="1"/>
  <c r="M1673" i="1"/>
  <c r="K1673" i="1"/>
  <c r="L1673" i="1" s="1"/>
  <c r="AB1673" i="1" s="1"/>
  <c r="H1673" i="1"/>
  <c r="W1672" i="1"/>
  <c r="X1672" i="1" s="1"/>
  <c r="U1672" i="1"/>
  <c r="I1672" i="1" s="1"/>
  <c r="T1672" i="1"/>
  <c r="AA1672" i="1" s="1"/>
  <c r="M1672" i="1"/>
  <c r="K1672" i="1"/>
  <c r="L1672" i="1" s="1"/>
  <c r="AB1672" i="1" s="1"/>
  <c r="H1672" i="1"/>
  <c r="M1671" i="1"/>
  <c r="T1671" i="1" s="1"/>
  <c r="K1671" i="1"/>
  <c r="L1671" i="1" s="1"/>
  <c r="AB1671" i="1" s="1"/>
  <c r="H1671" i="1"/>
  <c r="M1670" i="1"/>
  <c r="T1670" i="1" s="1"/>
  <c r="K1670" i="1"/>
  <c r="L1670" i="1" s="1"/>
  <c r="AB1670" i="1" s="1"/>
  <c r="H1670" i="1"/>
  <c r="M1669" i="1"/>
  <c r="T1669" i="1" s="1"/>
  <c r="L1669" i="1"/>
  <c r="K1669" i="1"/>
  <c r="H1669" i="1"/>
  <c r="M1668" i="1"/>
  <c r="T1668" i="1" s="1"/>
  <c r="K1668" i="1"/>
  <c r="L1668" i="1" s="1"/>
  <c r="AB1668" i="1" s="1"/>
  <c r="H1668" i="1"/>
  <c r="T1667" i="1"/>
  <c r="AA1667" i="1" s="1"/>
  <c r="M1667" i="1"/>
  <c r="K1667" i="1"/>
  <c r="L1667" i="1" s="1"/>
  <c r="AB1667" i="1" s="1"/>
  <c r="H1667" i="1"/>
  <c r="M1666" i="1"/>
  <c r="T1666" i="1" s="1"/>
  <c r="K1666" i="1"/>
  <c r="L1666" i="1" s="1"/>
  <c r="AB1666" i="1" s="1"/>
  <c r="H1666" i="1"/>
  <c r="M1665" i="1"/>
  <c r="T1665" i="1" s="1"/>
  <c r="L1665" i="1"/>
  <c r="AB1665" i="1" s="1"/>
  <c r="K1665" i="1"/>
  <c r="H1665" i="1"/>
  <c r="T1664" i="1"/>
  <c r="M1664" i="1"/>
  <c r="L1664" i="1"/>
  <c r="AB1664" i="1" s="1"/>
  <c r="K1664" i="1"/>
  <c r="H1664" i="1"/>
  <c r="T1663" i="1"/>
  <c r="M1663" i="1"/>
  <c r="K1663" i="1"/>
  <c r="L1663" i="1" s="1"/>
  <c r="AB1663" i="1" s="1"/>
  <c r="H1663" i="1"/>
  <c r="W1662" i="1"/>
  <c r="X1662" i="1" s="1"/>
  <c r="U1662" i="1"/>
  <c r="I1662" i="1" s="1"/>
  <c r="T1662" i="1"/>
  <c r="AA1662" i="1" s="1"/>
  <c r="M1662" i="1"/>
  <c r="K1662" i="1"/>
  <c r="L1662" i="1" s="1"/>
  <c r="AB1662" i="1" s="1"/>
  <c r="H1662" i="1"/>
  <c r="M1661" i="1"/>
  <c r="T1661" i="1" s="1"/>
  <c r="K1661" i="1"/>
  <c r="L1661" i="1" s="1"/>
  <c r="AB1661" i="1" s="1"/>
  <c r="H1661" i="1"/>
  <c r="M1660" i="1"/>
  <c r="T1660" i="1" s="1"/>
  <c r="K1660" i="1"/>
  <c r="L1660" i="1" s="1"/>
  <c r="AB1660" i="1" s="1"/>
  <c r="H1660" i="1"/>
  <c r="M1659" i="1"/>
  <c r="T1659" i="1" s="1"/>
  <c r="L1659" i="1"/>
  <c r="K1659" i="1"/>
  <c r="H1659" i="1"/>
  <c r="M1658" i="1"/>
  <c r="T1658" i="1" s="1"/>
  <c r="K1658" i="1"/>
  <c r="L1658" i="1" s="1"/>
  <c r="AB1658" i="1" s="1"/>
  <c r="H1658" i="1"/>
  <c r="T1657" i="1"/>
  <c r="AA1657" i="1" s="1"/>
  <c r="M1657" i="1"/>
  <c r="K1657" i="1"/>
  <c r="L1657" i="1" s="1"/>
  <c r="AB1657" i="1" s="1"/>
  <c r="H1657" i="1"/>
  <c r="M1656" i="1"/>
  <c r="T1656" i="1" s="1"/>
  <c r="K1656" i="1"/>
  <c r="L1656" i="1" s="1"/>
  <c r="AB1656" i="1" s="1"/>
  <c r="H1656" i="1"/>
  <c r="M1655" i="1"/>
  <c r="T1655" i="1" s="1"/>
  <c r="L1655" i="1"/>
  <c r="AB1655" i="1" s="1"/>
  <c r="K1655" i="1"/>
  <c r="H1655" i="1"/>
  <c r="T1654" i="1"/>
  <c r="M1654" i="1"/>
  <c r="L1654" i="1"/>
  <c r="AB1654" i="1" s="1"/>
  <c r="K1654" i="1"/>
  <c r="H1654" i="1"/>
  <c r="T1653" i="1"/>
  <c r="M1653" i="1"/>
  <c r="K1653" i="1"/>
  <c r="L1653" i="1" s="1"/>
  <c r="AB1653" i="1" s="1"/>
  <c r="H1653" i="1"/>
  <c r="W1652" i="1"/>
  <c r="X1652" i="1" s="1"/>
  <c r="U1652" i="1"/>
  <c r="I1652" i="1" s="1"/>
  <c r="T1652" i="1"/>
  <c r="AA1652" i="1" s="1"/>
  <c r="M1652" i="1"/>
  <c r="K1652" i="1"/>
  <c r="L1652" i="1" s="1"/>
  <c r="AB1652" i="1" s="1"/>
  <c r="H1652" i="1"/>
  <c r="M1651" i="1"/>
  <c r="T1651" i="1" s="1"/>
  <c r="K1651" i="1"/>
  <c r="L1651" i="1" s="1"/>
  <c r="AB1651" i="1" s="1"/>
  <c r="H1651" i="1"/>
  <c r="M1650" i="1"/>
  <c r="T1650" i="1" s="1"/>
  <c r="K1650" i="1"/>
  <c r="L1650" i="1" s="1"/>
  <c r="AB1650" i="1" s="1"/>
  <c r="H1650" i="1"/>
  <c r="B1650" i="1"/>
  <c r="M1649" i="1"/>
  <c r="T1649" i="1" s="1"/>
  <c r="K1649" i="1"/>
  <c r="L1649" i="1" s="1"/>
  <c r="AB1649" i="1" s="1"/>
  <c r="H1649" i="1"/>
  <c r="B1649" i="1"/>
  <c r="M1648" i="1"/>
  <c r="T1648" i="1" s="1"/>
  <c r="L1648" i="1"/>
  <c r="AB1648" i="1" s="1"/>
  <c r="K1648" i="1"/>
  <c r="H1648" i="1"/>
  <c r="B1648" i="1"/>
  <c r="M1647" i="1"/>
  <c r="T1647" i="1" s="1"/>
  <c r="L1647" i="1"/>
  <c r="K1647" i="1"/>
  <c r="H1647" i="1"/>
  <c r="T1646" i="1"/>
  <c r="M1646" i="1"/>
  <c r="K1646" i="1"/>
  <c r="L1646" i="1" s="1"/>
  <c r="H1646" i="1"/>
  <c r="W1645" i="1"/>
  <c r="X1645" i="1" s="1"/>
  <c r="U1645" i="1"/>
  <c r="I1645" i="1" s="1"/>
  <c r="T1645" i="1"/>
  <c r="AA1645" i="1" s="1"/>
  <c r="M1645" i="1"/>
  <c r="K1645" i="1"/>
  <c r="L1645" i="1" s="1"/>
  <c r="AB1645" i="1" s="1"/>
  <c r="H1645" i="1"/>
  <c r="M1644" i="1"/>
  <c r="T1644" i="1" s="1"/>
  <c r="K1644" i="1"/>
  <c r="L1644" i="1" s="1"/>
  <c r="AB1644" i="1" s="1"/>
  <c r="H1644" i="1"/>
  <c r="AA1643" i="1"/>
  <c r="M1643" i="1"/>
  <c r="T1643" i="1" s="1"/>
  <c r="K1643" i="1"/>
  <c r="L1643" i="1" s="1"/>
  <c r="AB1643" i="1" s="1"/>
  <c r="H1643" i="1"/>
  <c r="B1643" i="1"/>
  <c r="M1642" i="1"/>
  <c r="T1642" i="1" s="1"/>
  <c r="K1642" i="1"/>
  <c r="L1642" i="1" s="1"/>
  <c r="AB1642" i="1" s="1"/>
  <c r="H1642" i="1"/>
  <c r="B1642" i="1"/>
  <c r="M1641" i="1"/>
  <c r="T1641" i="1" s="1"/>
  <c r="K1641" i="1"/>
  <c r="L1641" i="1" s="1"/>
  <c r="AB1641" i="1" s="1"/>
  <c r="H1641" i="1"/>
  <c r="B1641" i="1"/>
  <c r="M1640" i="1"/>
  <c r="T1640" i="1" s="1"/>
  <c r="L1640" i="1"/>
  <c r="K1640" i="1"/>
  <c r="H1640" i="1"/>
  <c r="T1639" i="1"/>
  <c r="M1639" i="1"/>
  <c r="K1639" i="1"/>
  <c r="L1639" i="1" s="1"/>
  <c r="AB1639" i="1" s="1"/>
  <c r="H1639" i="1"/>
  <c r="W1638" i="1"/>
  <c r="X1638" i="1" s="1"/>
  <c r="U1638" i="1"/>
  <c r="I1638" i="1" s="1"/>
  <c r="T1638" i="1"/>
  <c r="AA1638" i="1" s="1"/>
  <c r="M1638" i="1"/>
  <c r="K1638" i="1"/>
  <c r="L1638" i="1" s="1"/>
  <c r="AB1638" i="1" s="1"/>
  <c r="H1638" i="1"/>
  <c r="B1638" i="1"/>
  <c r="AA1637" i="1"/>
  <c r="M1637" i="1"/>
  <c r="T1637" i="1" s="1"/>
  <c r="K1637" i="1"/>
  <c r="L1637" i="1" s="1"/>
  <c r="AB1637" i="1" s="1"/>
  <c r="H1637" i="1"/>
  <c r="B1637" i="1"/>
  <c r="AB1636" i="1"/>
  <c r="M1636" i="1"/>
  <c r="T1636" i="1" s="1"/>
  <c r="K1636" i="1"/>
  <c r="L1636" i="1" s="1"/>
  <c r="H1636" i="1"/>
  <c r="B1636" i="1"/>
  <c r="M1635" i="1"/>
  <c r="T1635" i="1" s="1"/>
  <c r="K1635" i="1"/>
  <c r="L1635" i="1" s="1"/>
  <c r="AB1635" i="1" s="1"/>
  <c r="H1635" i="1"/>
  <c r="B1635" i="1"/>
  <c r="T1634" i="1"/>
  <c r="M1634" i="1"/>
  <c r="L1634" i="1"/>
  <c r="AB1634" i="1" s="1"/>
  <c r="K1634" i="1"/>
  <c r="H1634" i="1"/>
  <c r="B1634" i="1"/>
  <c r="W1633" i="1"/>
  <c r="X1633" i="1" s="1"/>
  <c r="U1633" i="1"/>
  <c r="I1633" i="1" s="1"/>
  <c r="T1633" i="1"/>
  <c r="AA1633" i="1" s="1"/>
  <c r="M1633" i="1"/>
  <c r="K1633" i="1"/>
  <c r="L1633" i="1" s="1"/>
  <c r="AB1633" i="1" s="1"/>
  <c r="H1633" i="1"/>
  <c r="B1633" i="1"/>
  <c r="AA1632" i="1"/>
  <c r="M1632" i="1"/>
  <c r="T1632" i="1" s="1"/>
  <c r="K1632" i="1"/>
  <c r="L1632" i="1" s="1"/>
  <c r="AB1632" i="1" s="1"/>
  <c r="H1632" i="1"/>
  <c r="AB1631" i="1"/>
  <c r="AA1631" i="1"/>
  <c r="T1631" i="1"/>
  <c r="W1631" i="1" s="1"/>
  <c r="X1631" i="1" s="1"/>
  <c r="M1631" i="1"/>
  <c r="L1631" i="1"/>
  <c r="K1631" i="1"/>
  <c r="H1631" i="1"/>
  <c r="M1630" i="1"/>
  <c r="T1630" i="1" s="1"/>
  <c r="K1630" i="1"/>
  <c r="L1630" i="1" s="1"/>
  <c r="AB1630" i="1" s="1"/>
  <c r="H1630" i="1"/>
  <c r="T1629" i="1"/>
  <c r="AA1629" i="1" s="1"/>
  <c r="M1629" i="1"/>
  <c r="K1629" i="1"/>
  <c r="L1629" i="1" s="1"/>
  <c r="AB1629" i="1" s="1"/>
  <c r="H1629" i="1"/>
  <c r="B1629" i="1"/>
  <c r="M1628" i="1"/>
  <c r="T1628" i="1" s="1"/>
  <c r="L1628" i="1"/>
  <c r="AB1628" i="1" s="1"/>
  <c r="K1628" i="1"/>
  <c r="H1628" i="1"/>
  <c r="B1628" i="1"/>
  <c r="T1627" i="1"/>
  <c r="M1627" i="1"/>
  <c r="K1627" i="1"/>
  <c r="L1627" i="1" s="1"/>
  <c r="AB1627" i="1" s="1"/>
  <c r="H1627" i="1"/>
  <c r="B1627" i="1"/>
  <c r="M1626" i="1"/>
  <c r="T1626" i="1" s="1"/>
  <c r="K1626" i="1"/>
  <c r="L1626" i="1" s="1"/>
  <c r="H1626" i="1"/>
  <c r="B1626" i="1"/>
  <c r="AB1625" i="1"/>
  <c r="AA1625" i="1"/>
  <c r="M1625" i="1"/>
  <c r="T1625" i="1" s="1"/>
  <c r="L1625" i="1"/>
  <c r="K1625" i="1"/>
  <c r="H1625" i="1"/>
  <c r="B1625" i="1"/>
  <c r="T1624" i="1"/>
  <c r="AA1624" i="1" s="1"/>
  <c r="M1624" i="1"/>
  <c r="K1624" i="1"/>
  <c r="L1624" i="1" s="1"/>
  <c r="AB1624" i="1" s="1"/>
  <c r="H1624" i="1"/>
  <c r="M1623" i="1"/>
  <c r="T1623" i="1" s="1"/>
  <c r="K1623" i="1"/>
  <c r="L1623" i="1" s="1"/>
  <c r="AB1623" i="1" s="1"/>
  <c r="H1623" i="1"/>
  <c r="B1623" i="1"/>
  <c r="T1622" i="1"/>
  <c r="M1622" i="1"/>
  <c r="L1622" i="1"/>
  <c r="AB1622" i="1" s="1"/>
  <c r="K1622" i="1"/>
  <c r="H1622" i="1"/>
  <c r="T1621" i="1"/>
  <c r="M1621" i="1"/>
  <c r="K1621" i="1"/>
  <c r="L1621" i="1" s="1"/>
  <c r="AB1621" i="1" s="1"/>
  <c r="H1621" i="1"/>
  <c r="B1621" i="1"/>
  <c r="W1620" i="1"/>
  <c r="X1620" i="1" s="1"/>
  <c r="M1620" i="1"/>
  <c r="T1620" i="1" s="1"/>
  <c r="K1620" i="1"/>
  <c r="L1620" i="1" s="1"/>
  <c r="AB1620" i="1" s="1"/>
  <c r="H1620" i="1"/>
  <c r="B1620" i="1"/>
  <c r="M1619" i="1"/>
  <c r="T1619" i="1" s="1"/>
  <c r="L1619" i="1"/>
  <c r="K1619" i="1"/>
  <c r="H1619" i="1"/>
  <c r="B1619" i="1"/>
  <c r="T1618" i="1"/>
  <c r="AA1618" i="1" s="1"/>
  <c r="M1618" i="1"/>
  <c r="K1618" i="1"/>
  <c r="L1618" i="1" s="1"/>
  <c r="AB1618" i="1" s="1"/>
  <c r="H1618" i="1"/>
  <c r="B1618" i="1"/>
  <c r="M1617" i="1"/>
  <c r="T1617" i="1" s="1"/>
  <c r="L1617" i="1"/>
  <c r="K1617" i="1"/>
  <c r="H1617" i="1"/>
  <c r="B1617" i="1"/>
  <c r="M1616" i="1"/>
  <c r="T1616" i="1" s="1"/>
  <c r="K1616" i="1"/>
  <c r="L1616" i="1" s="1"/>
  <c r="H1616" i="1"/>
  <c r="B1616" i="1"/>
  <c r="M1615" i="1"/>
  <c r="T1615" i="1" s="1"/>
  <c r="AA1615" i="1" s="1"/>
  <c r="K1615" i="1"/>
  <c r="L1615" i="1" s="1"/>
  <c r="H1615" i="1"/>
  <c r="B1615" i="1"/>
  <c r="AB1614" i="1"/>
  <c r="AA1614" i="1"/>
  <c r="M1614" i="1"/>
  <c r="T1614" i="1" s="1"/>
  <c r="L1614" i="1"/>
  <c r="K1614" i="1"/>
  <c r="H1614" i="1"/>
  <c r="B1614" i="1"/>
  <c r="U1613" i="1"/>
  <c r="T1613" i="1"/>
  <c r="AA1613" i="1" s="1"/>
  <c r="M1613" i="1"/>
  <c r="K1613" i="1"/>
  <c r="L1613" i="1" s="1"/>
  <c r="AB1613" i="1" s="1"/>
  <c r="I1613" i="1"/>
  <c r="H1613" i="1"/>
  <c r="B1613" i="1"/>
  <c r="M1612" i="1"/>
  <c r="T1612" i="1" s="1"/>
  <c r="K1612" i="1"/>
  <c r="L1612" i="1" s="1"/>
  <c r="AB1612" i="1" s="1"/>
  <c r="H1612" i="1"/>
  <c r="B1612" i="1"/>
  <c r="U1611" i="1"/>
  <c r="I1611" i="1" s="1"/>
  <c r="T1611" i="1"/>
  <c r="M1611" i="1"/>
  <c r="K1611" i="1"/>
  <c r="L1611" i="1" s="1"/>
  <c r="AB1611" i="1" s="1"/>
  <c r="H1611" i="1"/>
  <c r="B1611" i="1"/>
  <c r="M1610" i="1"/>
  <c r="T1610" i="1" s="1"/>
  <c r="AA1610" i="1" s="1"/>
  <c r="K1610" i="1"/>
  <c r="L1610" i="1" s="1"/>
  <c r="AB1610" i="1" s="1"/>
  <c r="H1610" i="1"/>
  <c r="AA1609" i="1"/>
  <c r="X1609" i="1"/>
  <c r="W1609" i="1"/>
  <c r="T1609" i="1"/>
  <c r="U1609" i="1" s="1"/>
  <c r="I1609" i="1" s="1"/>
  <c r="M1609" i="1"/>
  <c r="L1609" i="1"/>
  <c r="AB1609" i="1" s="1"/>
  <c r="K1609" i="1"/>
  <c r="H1609" i="1"/>
  <c r="B1609" i="1"/>
  <c r="T1608" i="1"/>
  <c r="M1608" i="1"/>
  <c r="K1608" i="1"/>
  <c r="L1608" i="1" s="1"/>
  <c r="AB1608" i="1" s="1"/>
  <c r="H1608" i="1"/>
  <c r="B1608" i="1"/>
  <c r="W1607" i="1"/>
  <c r="X1607" i="1" s="1"/>
  <c r="U1607" i="1"/>
  <c r="I1607" i="1" s="1"/>
  <c r="M1607" i="1"/>
  <c r="T1607" i="1" s="1"/>
  <c r="AA1607" i="1" s="1"/>
  <c r="K1607" i="1"/>
  <c r="L1607" i="1" s="1"/>
  <c r="AB1607" i="1" s="1"/>
  <c r="H1607" i="1"/>
  <c r="B1607" i="1"/>
  <c r="M1606" i="1"/>
  <c r="T1606" i="1" s="1"/>
  <c r="L1606" i="1"/>
  <c r="K1606" i="1"/>
  <c r="H1606" i="1"/>
  <c r="B1606" i="1"/>
  <c r="AB1605" i="1"/>
  <c r="T1605" i="1"/>
  <c r="AA1605" i="1" s="1"/>
  <c r="M1605" i="1"/>
  <c r="L1605" i="1"/>
  <c r="K1605" i="1"/>
  <c r="H1605" i="1"/>
  <c r="B1605" i="1"/>
  <c r="AA1604" i="1"/>
  <c r="W1604" i="1"/>
  <c r="X1604" i="1" s="1"/>
  <c r="T1604" i="1"/>
  <c r="U1604" i="1" s="1"/>
  <c r="I1604" i="1" s="1"/>
  <c r="M1604" i="1"/>
  <c r="L1604" i="1"/>
  <c r="AB1604" i="1" s="1"/>
  <c r="K1604" i="1"/>
  <c r="H1604" i="1"/>
  <c r="B1604" i="1"/>
  <c r="M1603" i="1"/>
  <c r="T1603" i="1" s="1"/>
  <c r="K1603" i="1"/>
  <c r="L1603" i="1" s="1"/>
  <c r="AB1603" i="1" s="1"/>
  <c r="H1603" i="1"/>
  <c r="U1602" i="1"/>
  <c r="I1602" i="1" s="1"/>
  <c r="T1602" i="1"/>
  <c r="AB1602" i="1" s="1"/>
  <c r="M1602" i="1"/>
  <c r="K1602" i="1"/>
  <c r="L1602" i="1" s="1"/>
  <c r="H1602" i="1"/>
  <c r="B1602" i="1"/>
  <c r="M1601" i="1"/>
  <c r="T1601" i="1" s="1"/>
  <c r="K1601" i="1"/>
  <c r="L1601" i="1" s="1"/>
  <c r="AB1601" i="1" s="1"/>
  <c r="H1601" i="1"/>
  <c r="B1601" i="1"/>
  <c r="AA1600" i="1"/>
  <c r="U1600" i="1"/>
  <c r="I1600" i="1" s="1"/>
  <c r="T1600" i="1"/>
  <c r="W1600" i="1" s="1"/>
  <c r="M1600" i="1"/>
  <c r="K1600" i="1"/>
  <c r="L1600" i="1" s="1"/>
  <c r="AB1600" i="1" s="1"/>
  <c r="H1600" i="1"/>
  <c r="B1600" i="1"/>
  <c r="M1599" i="1"/>
  <c r="T1599" i="1" s="1"/>
  <c r="AA1599" i="1" s="1"/>
  <c r="K1599" i="1"/>
  <c r="L1599" i="1" s="1"/>
  <c r="AB1599" i="1" s="1"/>
  <c r="H1599" i="1"/>
  <c r="B1599" i="1"/>
  <c r="AA1598" i="1"/>
  <c r="M1598" i="1"/>
  <c r="T1598" i="1" s="1"/>
  <c r="W1598" i="1" s="1"/>
  <c r="X1598" i="1" s="1"/>
  <c r="L1598" i="1"/>
  <c r="AB1598" i="1" s="1"/>
  <c r="K1598" i="1"/>
  <c r="H1598" i="1"/>
  <c r="T1597" i="1"/>
  <c r="U1597" i="1" s="1"/>
  <c r="I1597" i="1" s="1"/>
  <c r="M1597" i="1"/>
  <c r="K1597" i="1"/>
  <c r="L1597" i="1" s="1"/>
  <c r="AB1597" i="1" s="1"/>
  <c r="H1597" i="1"/>
  <c r="AB1596" i="1"/>
  <c r="T1596" i="1"/>
  <c r="M1596" i="1"/>
  <c r="L1596" i="1"/>
  <c r="K1596" i="1"/>
  <c r="H1596" i="1"/>
  <c r="AA1595" i="1"/>
  <c r="W1595" i="1"/>
  <c r="X1595" i="1" s="1"/>
  <c r="U1595" i="1"/>
  <c r="M1595" i="1"/>
  <c r="T1595" i="1" s="1"/>
  <c r="L1595" i="1"/>
  <c r="AB1595" i="1" s="1"/>
  <c r="K1595" i="1"/>
  <c r="I1595" i="1"/>
  <c r="H1595" i="1"/>
  <c r="T1594" i="1"/>
  <c r="M1594" i="1"/>
  <c r="K1594" i="1"/>
  <c r="L1594" i="1" s="1"/>
  <c r="H1594" i="1"/>
  <c r="M1593" i="1"/>
  <c r="T1593" i="1" s="1"/>
  <c r="L1593" i="1"/>
  <c r="K1593" i="1"/>
  <c r="H1593" i="1"/>
  <c r="B1593" i="1"/>
  <c r="AB1592" i="1"/>
  <c r="T1592" i="1"/>
  <c r="AA1592" i="1" s="1"/>
  <c r="M1592" i="1"/>
  <c r="L1592" i="1"/>
  <c r="K1592" i="1"/>
  <c r="H1592" i="1"/>
  <c r="B1592" i="1"/>
  <c r="T1591" i="1"/>
  <c r="M1591" i="1"/>
  <c r="K1591" i="1"/>
  <c r="L1591" i="1" s="1"/>
  <c r="AB1591" i="1" s="1"/>
  <c r="H1591" i="1"/>
  <c r="B1591" i="1"/>
  <c r="T1590" i="1"/>
  <c r="M1590" i="1"/>
  <c r="K1590" i="1"/>
  <c r="L1590" i="1" s="1"/>
  <c r="H1590" i="1"/>
  <c r="B1590" i="1"/>
  <c r="M1589" i="1"/>
  <c r="T1589" i="1" s="1"/>
  <c r="L1589" i="1"/>
  <c r="K1589" i="1"/>
  <c r="H1589" i="1"/>
  <c r="B1589" i="1"/>
  <c r="T1588" i="1"/>
  <c r="M1588" i="1"/>
  <c r="L1588" i="1"/>
  <c r="K1588" i="1"/>
  <c r="H1588" i="1"/>
  <c r="B1588" i="1"/>
  <c r="W1587" i="1"/>
  <c r="X1587" i="1" s="1"/>
  <c r="U1587" i="1"/>
  <c r="I1587" i="1" s="1"/>
  <c r="T1587" i="1"/>
  <c r="AA1587" i="1" s="1"/>
  <c r="M1587" i="1"/>
  <c r="L1587" i="1"/>
  <c r="AB1587" i="1" s="1"/>
  <c r="K1587" i="1"/>
  <c r="H1587" i="1"/>
  <c r="B1587" i="1"/>
  <c r="AA1586" i="1"/>
  <c r="T1586" i="1"/>
  <c r="U1586" i="1" s="1"/>
  <c r="I1586" i="1" s="1"/>
  <c r="M1586" i="1"/>
  <c r="L1586" i="1"/>
  <c r="AB1586" i="1" s="1"/>
  <c r="K1586" i="1"/>
  <c r="H1586" i="1"/>
  <c r="B1586" i="1"/>
  <c r="M1585" i="1"/>
  <c r="T1585" i="1" s="1"/>
  <c r="K1585" i="1"/>
  <c r="L1585" i="1" s="1"/>
  <c r="H1585" i="1"/>
  <c r="B1585" i="1"/>
  <c r="AB1584" i="1"/>
  <c r="M1584" i="1"/>
  <c r="T1584" i="1" s="1"/>
  <c r="W1584" i="1" s="1"/>
  <c r="X1584" i="1" s="1"/>
  <c r="K1584" i="1"/>
  <c r="L1584" i="1" s="1"/>
  <c r="H1584" i="1"/>
  <c r="M1583" i="1"/>
  <c r="T1583" i="1" s="1"/>
  <c r="K1583" i="1"/>
  <c r="L1583" i="1" s="1"/>
  <c r="AB1583" i="1" s="1"/>
  <c r="H1583" i="1"/>
  <c r="B1583" i="1"/>
  <c r="T1582" i="1"/>
  <c r="AA1582" i="1" s="1"/>
  <c r="M1582" i="1"/>
  <c r="L1582" i="1"/>
  <c r="AB1582" i="1" s="1"/>
  <c r="K1582" i="1"/>
  <c r="H1582" i="1"/>
  <c r="B1582" i="1"/>
  <c r="M1581" i="1"/>
  <c r="T1581" i="1" s="1"/>
  <c r="K1581" i="1"/>
  <c r="L1581" i="1" s="1"/>
  <c r="AB1581" i="1" s="1"/>
  <c r="H1581" i="1"/>
  <c r="B1581" i="1"/>
  <c r="M1580" i="1"/>
  <c r="T1580" i="1" s="1"/>
  <c r="L1580" i="1"/>
  <c r="K1580" i="1"/>
  <c r="H1580" i="1"/>
  <c r="M1579" i="1"/>
  <c r="T1579" i="1" s="1"/>
  <c r="K1579" i="1"/>
  <c r="L1579" i="1" s="1"/>
  <c r="H1579" i="1"/>
  <c r="B1579" i="1"/>
  <c r="M1578" i="1"/>
  <c r="T1578" i="1" s="1"/>
  <c r="L1578" i="1"/>
  <c r="K1578" i="1"/>
  <c r="H1578" i="1"/>
  <c r="B1578" i="1"/>
  <c r="T1577" i="1"/>
  <c r="M1577" i="1"/>
  <c r="K1577" i="1"/>
  <c r="L1577" i="1" s="1"/>
  <c r="AB1577" i="1" s="1"/>
  <c r="H1577" i="1"/>
  <c r="T1576" i="1"/>
  <c r="M1576" i="1"/>
  <c r="K1576" i="1"/>
  <c r="L1576" i="1" s="1"/>
  <c r="AB1576" i="1" s="1"/>
  <c r="H1576" i="1"/>
  <c r="T1575" i="1"/>
  <c r="M1575" i="1"/>
  <c r="K1575" i="1"/>
  <c r="L1575" i="1" s="1"/>
  <c r="H1575" i="1"/>
  <c r="T1574" i="1"/>
  <c r="M1574" i="1"/>
  <c r="K1574" i="1"/>
  <c r="L1574" i="1" s="1"/>
  <c r="H1574" i="1"/>
  <c r="AA1573" i="1"/>
  <c r="W1573" i="1"/>
  <c r="X1573" i="1" s="1"/>
  <c r="U1573" i="1"/>
  <c r="I1573" i="1" s="1"/>
  <c r="T1573" i="1"/>
  <c r="M1573" i="1"/>
  <c r="L1573" i="1"/>
  <c r="AB1573" i="1" s="1"/>
  <c r="K1573" i="1"/>
  <c r="H1573" i="1"/>
  <c r="AA1572" i="1"/>
  <c r="W1572" i="1"/>
  <c r="X1572" i="1" s="1"/>
  <c r="U1572" i="1"/>
  <c r="I1572" i="1" s="1"/>
  <c r="T1572" i="1"/>
  <c r="M1572" i="1"/>
  <c r="L1572" i="1"/>
  <c r="AB1572" i="1" s="1"/>
  <c r="K1572" i="1"/>
  <c r="H1572" i="1"/>
  <c r="M1571" i="1"/>
  <c r="T1571" i="1" s="1"/>
  <c r="K1571" i="1"/>
  <c r="L1571" i="1" s="1"/>
  <c r="H1571" i="1"/>
  <c r="AA1570" i="1"/>
  <c r="W1570" i="1"/>
  <c r="X1570" i="1" s="1"/>
  <c r="U1570" i="1"/>
  <c r="T1570" i="1"/>
  <c r="M1570" i="1"/>
  <c r="K1570" i="1"/>
  <c r="L1570" i="1" s="1"/>
  <c r="AB1570" i="1" s="1"/>
  <c r="I1570" i="1"/>
  <c r="H1570" i="1"/>
  <c r="AA1569" i="1"/>
  <c r="M1569" i="1"/>
  <c r="T1569" i="1" s="1"/>
  <c r="U1569" i="1" s="1"/>
  <c r="I1569" i="1" s="1"/>
  <c r="K1569" i="1"/>
  <c r="L1569" i="1" s="1"/>
  <c r="AB1569" i="1" s="1"/>
  <c r="H1569" i="1"/>
  <c r="M1568" i="1"/>
  <c r="T1568" i="1" s="1"/>
  <c r="K1568" i="1"/>
  <c r="L1568" i="1" s="1"/>
  <c r="AB1568" i="1" s="1"/>
  <c r="H1568" i="1"/>
  <c r="M1567" i="1"/>
  <c r="T1567" i="1" s="1"/>
  <c r="K1567" i="1"/>
  <c r="L1567" i="1" s="1"/>
  <c r="H1567" i="1"/>
  <c r="W1566" i="1"/>
  <c r="X1566" i="1" s="1"/>
  <c r="M1566" i="1"/>
  <c r="T1566" i="1" s="1"/>
  <c r="K1566" i="1"/>
  <c r="L1566" i="1" s="1"/>
  <c r="H1566" i="1"/>
  <c r="M1565" i="1"/>
  <c r="T1565" i="1" s="1"/>
  <c r="K1565" i="1"/>
  <c r="L1565" i="1" s="1"/>
  <c r="AB1565" i="1" s="1"/>
  <c r="H1565" i="1"/>
  <c r="M1564" i="1"/>
  <c r="T1564" i="1" s="1"/>
  <c r="K1564" i="1"/>
  <c r="L1564" i="1" s="1"/>
  <c r="AB1564" i="1" s="1"/>
  <c r="H1564" i="1"/>
  <c r="AA1563" i="1"/>
  <c r="T1563" i="1"/>
  <c r="U1563" i="1" s="1"/>
  <c r="I1563" i="1" s="1"/>
  <c r="M1563" i="1"/>
  <c r="L1563" i="1"/>
  <c r="AB1563" i="1" s="1"/>
  <c r="K1563" i="1"/>
  <c r="H1563" i="1"/>
  <c r="AA1562" i="1"/>
  <c r="T1562" i="1"/>
  <c r="U1562" i="1" s="1"/>
  <c r="I1562" i="1" s="1"/>
  <c r="M1562" i="1"/>
  <c r="L1562" i="1"/>
  <c r="AB1562" i="1" s="1"/>
  <c r="K1562" i="1"/>
  <c r="H1562" i="1"/>
  <c r="AA1561" i="1"/>
  <c r="M1561" i="1"/>
  <c r="T1561" i="1" s="1"/>
  <c r="K1561" i="1"/>
  <c r="L1561" i="1" s="1"/>
  <c r="H1561" i="1"/>
  <c r="B1561" i="1"/>
  <c r="M1560" i="1"/>
  <c r="T1560" i="1" s="1"/>
  <c r="K1560" i="1"/>
  <c r="L1560" i="1" s="1"/>
  <c r="H1560" i="1"/>
  <c r="B1560" i="1"/>
  <c r="M1559" i="1"/>
  <c r="T1559" i="1" s="1"/>
  <c r="L1559" i="1"/>
  <c r="K1559" i="1"/>
  <c r="H1559" i="1"/>
  <c r="B1559" i="1"/>
  <c r="T1558" i="1"/>
  <c r="M1558" i="1"/>
  <c r="K1558" i="1"/>
  <c r="L1558" i="1" s="1"/>
  <c r="H1558" i="1"/>
  <c r="B1558" i="1"/>
  <c r="W1557" i="1"/>
  <c r="X1557" i="1" s="1"/>
  <c r="M1557" i="1"/>
  <c r="T1557" i="1" s="1"/>
  <c r="K1557" i="1"/>
  <c r="L1557" i="1" s="1"/>
  <c r="H1557" i="1"/>
  <c r="B1557" i="1"/>
  <c r="AA1556" i="1"/>
  <c r="M1556" i="1"/>
  <c r="T1556" i="1" s="1"/>
  <c r="K1556" i="1"/>
  <c r="L1556" i="1" s="1"/>
  <c r="H1556" i="1"/>
  <c r="B1556" i="1"/>
  <c r="M1555" i="1"/>
  <c r="T1555" i="1" s="1"/>
  <c r="K1555" i="1"/>
  <c r="L1555" i="1" s="1"/>
  <c r="H1555" i="1"/>
  <c r="B1555" i="1"/>
  <c r="M1554" i="1"/>
  <c r="T1554" i="1" s="1"/>
  <c r="L1554" i="1"/>
  <c r="K1554" i="1"/>
  <c r="H1554" i="1"/>
  <c r="B1554" i="1"/>
  <c r="T1553" i="1"/>
  <c r="M1553" i="1"/>
  <c r="K1553" i="1"/>
  <c r="L1553" i="1" s="1"/>
  <c r="H1553" i="1"/>
  <c r="B1553" i="1"/>
  <c r="W1552" i="1"/>
  <c r="X1552" i="1" s="1"/>
  <c r="M1552" i="1"/>
  <c r="T1552" i="1" s="1"/>
  <c r="K1552" i="1"/>
  <c r="L1552" i="1" s="1"/>
  <c r="H1552" i="1"/>
  <c r="B1552" i="1"/>
  <c r="AA1551" i="1"/>
  <c r="M1551" i="1"/>
  <c r="T1551" i="1" s="1"/>
  <c r="K1551" i="1"/>
  <c r="L1551" i="1" s="1"/>
  <c r="H1551" i="1"/>
  <c r="B1551" i="1"/>
  <c r="M1550" i="1"/>
  <c r="T1550" i="1" s="1"/>
  <c r="K1550" i="1"/>
  <c r="L1550" i="1" s="1"/>
  <c r="H1550" i="1"/>
  <c r="B1550" i="1"/>
  <c r="AB1549" i="1"/>
  <c r="AA1549" i="1"/>
  <c r="T1548" i="1"/>
  <c r="M1548" i="1"/>
  <c r="K1548" i="1"/>
  <c r="L1548" i="1" s="1"/>
  <c r="AB1548" i="1" s="1"/>
  <c r="H1548" i="1"/>
  <c r="AA1547" i="1"/>
  <c r="W1547" i="1"/>
  <c r="X1547" i="1" s="1"/>
  <c r="U1547" i="1"/>
  <c r="I1547" i="1" s="1"/>
  <c r="T1547" i="1"/>
  <c r="M1547" i="1"/>
  <c r="L1547" i="1"/>
  <c r="AB1547" i="1" s="1"/>
  <c r="K1547" i="1"/>
  <c r="H1547" i="1"/>
  <c r="B1547" i="1"/>
  <c r="AA1546" i="1"/>
  <c r="T1546" i="1"/>
  <c r="U1546" i="1" s="1"/>
  <c r="I1546" i="1" s="1"/>
  <c r="M1546" i="1"/>
  <c r="L1546" i="1"/>
  <c r="AB1546" i="1" s="1"/>
  <c r="K1546" i="1"/>
  <c r="H1546" i="1"/>
  <c r="B1546" i="1"/>
  <c r="AB1545" i="1"/>
  <c r="T1545" i="1"/>
  <c r="W1545" i="1" s="1"/>
  <c r="X1545" i="1" s="1"/>
  <c r="M1545" i="1"/>
  <c r="L1545" i="1"/>
  <c r="K1545" i="1"/>
  <c r="H1545" i="1"/>
  <c r="B1545" i="1"/>
  <c r="AA1544" i="1"/>
  <c r="W1544" i="1"/>
  <c r="T1544" i="1"/>
  <c r="U1544" i="1" s="1"/>
  <c r="I1544" i="1" s="1"/>
  <c r="M1544" i="1"/>
  <c r="K1544" i="1"/>
  <c r="L1544" i="1" s="1"/>
  <c r="AB1544" i="1" s="1"/>
  <c r="H1544" i="1"/>
  <c r="M1543" i="1"/>
  <c r="T1543" i="1" s="1"/>
  <c r="L1543" i="1"/>
  <c r="K1543" i="1"/>
  <c r="H1543" i="1"/>
  <c r="B1543" i="1"/>
  <c r="T1542" i="1"/>
  <c r="M1542" i="1"/>
  <c r="K1542" i="1"/>
  <c r="L1542" i="1" s="1"/>
  <c r="AB1542" i="1" s="1"/>
  <c r="H1542" i="1"/>
  <c r="B1542" i="1"/>
  <c r="W1541" i="1"/>
  <c r="X1541" i="1" s="1"/>
  <c r="M1541" i="1"/>
  <c r="T1541" i="1" s="1"/>
  <c r="K1541" i="1"/>
  <c r="L1541" i="1" s="1"/>
  <c r="AB1541" i="1" s="1"/>
  <c r="H1541" i="1"/>
  <c r="B1541" i="1"/>
  <c r="AA1540" i="1"/>
  <c r="M1540" i="1"/>
  <c r="T1540" i="1" s="1"/>
  <c r="K1540" i="1"/>
  <c r="L1540" i="1" s="1"/>
  <c r="AB1540" i="1" s="1"/>
  <c r="H1540" i="1"/>
  <c r="B1540" i="1"/>
  <c r="M1539" i="1"/>
  <c r="T1539" i="1" s="1"/>
  <c r="K1539" i="1"/>
  <c r="L1539" i="1" s="1"/>
  <c r="H1539" i="1"/>
  <c r="B1539" i="1"/>
  <c r="M1538" i="1"/>
  <c r="T1538" i="1" s="1"/>
  <c r="L1538" i="1"/>
  <c r="K1538" i="1"/>
  <c r="H1538" i="1"/>
  <c r="B1538" i="1"/>
  <c r="U1537" i="1"/>
  <c r="I1537" i="1" s="1"/>
  <c r="T1537" i="1"/>
  <c r="M1537" i="1"/>
  <c r="K1537" i="1"/>
  <c r="L1537" i="1" s="1"/>
  <c r="AB1537" i="1" s="1"/>
  <c r="H1537" i="1"/>
  <c r="B1537" i="1"/>
  <c r="M1536" i="1"/>
  <c r="T1536" i="1" s="1"/>
  <c r="K1536" i="1"/>
  <c r="L1536" i="1" s="1"/>
  <c r="H1536" i="1"/>
  <c r="B1536" i="1"/>
  <c r="M1535" i="1"/>
  <c r="T1535" i="1" s="1"/>
  <c r="K1535" i="1"/>
  <c r="L1535" i="1" s="1"/>
  <c r="AB1535" i="1" s="1"/>
  <c r="H1535" i="1"/>
  <c r="B1535" i="1"/>
  <c r="M1534" i="1"/>
  <c r="T1534" i="1" s="1"/>
  <c r="K1534" i="1"/>
  <c r="L1534" i="1" s="1"/>
  <c r="H1534" i="1"/>
  <c r="B1534" i="1"/>
  <c r="M1533" i="1"/>
  <c r="T1533" i="1" s="1"/>
  <c r="L1533" i="1"/>
  <c r="AB1533" i="1" s="1"/>
  <c r="K1533" i="1"/>
  <c r="H1533" i="1"/>
  <c r="B1533" i="1"/>
  <c r="U1532" i="1"/>
  <c r="I1532" i="1" s="1"/>
  <c r="T1532" i="1"/>
  <c r="M1532" i="1"/>
  <c r="K1532" i="1"/>
  <c r="L1532" i="1" s="1"/>
  <c r="H1532" i="1"/>
  <c r="B1532" i="1"/>
  <c r="X1531" i="1"/>
  <c r="W1531" i="1"/>
  <c r="M1531" i="1"/>
  <c r="T1531" i="1" s="1"/>
  <c r="K1531" i="1"/>
  <c r="L1531" i="1" s="1"/>
  <c r="AB1531" i="1" s="1"/>
  <c r="H1531" i="1"/>
  <c r="B1531" i="1"/>
  <c r="M1530" i="1"/>
  <c r="T1530" i="1" s="1"/>
  <c r="K1530" i="1"/>
  <c r="L1530" i="1" s="1"/>
  <c r="AB1530" i="1" s="1"/>
  <c r="H1530" i="1"/>
  <c r="AB1529" i="1"/>
  <c r="T1529" i="1"/>
  <c r="W1529" i="1" s="1"/>
  <c r="X1529" i="1" s="1"/>
  <c r="M1529" i="1"/>
  <c r="L1529" i="1"/>
  <c r="K1529" i="1"/>
  <c r="H1529" i="1"/>
  <c r="M1528" i="1"/>
  <c r="T1528" i="1" s="1"/>
  <c r="K1528" i="1"/>
  <c r="L1528" i="1" s="1"/>
  <c r="AB1528" i="1" s="1"/>
  <c r="H1528" i="1"/>
  <c r="AA1527" i="1"/>
  <c r="W1527" i="1"/>
  <c r="T1527" i="1"/>
  <c r="U1527" i="1" s="1"/>
  <c r="I1527" i="1" s="1"/>
  <c r="M1527" i="1"/>
  <c r="K1527" i="1"/>
  <c r="L1527" i="1" s="1"/>
  <c r="AB1527" i="1" s="1"/>
  <c r="H1527" i="1"/>
  <c r="M1526" i="1"/>
  <c r="T1526" i="1" s="1"/>
  <c r="L1526" i="1"/>
  <c r="K1526" i="1"/>
  <c r="H1526" i="1"/>
  <c r="M1525" i="1"/>
  <c r="T1525" i="1" s="1"/>
  <c r="L1525" i="1"/>
  <c r="K1525" i="1"/>
  <c r="H1525" i="1"/>
  <c r="T1524" i="1"/>
  <c r="M1524" i="1"/>
  <c r="K1524" i="1"/>
  <c r="L1524" i="1" s="1"/>
  <c r="H1524" i="1"/>
  <c r="AA1523" i="1"/>
  <c r="W1523" i="1"/>
  <c r="X1523" i="1" s="1"/>
  <c r="U1523" i="1"/>
  <c r="I1523" i="1" s="1"/>
  <c r="T1523" i="1"/>
  <c r="M1523" i="1"/>
  <c r="L1523" i="1"/>
  <c r="AB1523" i="1" s="1"/>
  <c r="K1523" i="1"/>
  <c r="H1523" i="1"/>
  <c r="M1522" i="1"/>
  <c r="T1522" i="1" s="1"/>
  <c r="K1522" i="1"/>
  <c r="L1522" i="1" s="1"/>
  <c r="AB1522" i="1" s="1"/>
  <c r="H1522" i="1"/>
  <c r="AA1521" i="1"/>
  <c r="T1521" i="1"/>
  <c r="U1521" i="1" s="1"/>
  <c r="I1521" i="1" s="1"/>
  <c r="M1521" i="1"/>
  <c r="L1521" i="1"/>
  <c r="AB1521" i="1" s="1"/>
  <c r="K1521" i="1"/>
  <c r="H1521" i="1"/>
  <c r="AA1520" i="1"/>
  <c r="M1520" i="1"/>
  <c r="T1520" i="1" s="1"/>
  <c r="K1520" i="1"/>
  <c r="L1520" i="1" s="1"/>
  <c r="H1520" i="1"/>
  <c r="T1519" i="1"/>
  <c r="M1519" i="1"/>
  <c r="L1519" i="1"/>
  <c r="K1519" i="1"/>
  <c r="H1519" i="1"/>
  <c r="U1518" i="1"/>
  <c r="I1518" i="1" s="1"/>
  <c r="M1518" i="1"/>
  <c r="T1518" i="1" s="1"/>
  <c r="K1518" i="1"/>
  <c r="L1518" i="1" s="1"/>
  <c r="AB1518" i="1" s="1"/>
  <c r="H1518" i="1"/>
  <c r="AA1517" i="1"/>
  <c r="W1517" i="1"/>
  <c r="T1517" i="1"/>
  <c r="U1517" i="1" s="1"/>
  <c r="I1517" i="1" s="1"/>
  <c r="M1517" i="1"/>
  <c r="K1517" i="1"/>
  <c r="L1517" i="1" s="1"/>
  <c r="AB1517" i="1" s="1"/>
  <c r="H1517" i="1"/>
  <c r="M1516" i="1"/>
  <c r="T1516" i="1" s="1"/>
  <c r="L1516" i="1"/>
  <c r="AB1516" i="1" s="1"/>
  <c r="K1516" i="1"/>
  <c r="H1516" i="1"/>
  <c r="M1515" i="1"/>
  <c r="T1515" i="1" s="1"/>
  <c r="L1515" i="1"/>
  <c r="K1515" i="1"/>
  <c r="H1515" i="1"/>
  <c r="U1514" i="1"/>
  <c r="I1514" i="1" s="1"/>
  <c r="T1514" i="1"/>
  <c r="M1514" i="1"/>
  <c r="K1514" i="1"/>
  <c r="L1514" i="1" s="1"/>
  <c r="H1514" i="1"/>
  <c r="AA1513" i="1"/>
  <c r="W1513" i="1"/>
  <c r="X1513" i="1" s="1"/>
  <c r="U1513" i="1"/>
  <c r="I1513" i="1" s="1"/>
  <c r="T1513" i="1"/>
  <c r="M1513" i="1"/>
  <c r="L1513" i="1"/>
  <c r="AB1513" i="1" s="1"/>
  <c r="K1513" i="1"/>
  <c r="H1513" i="1"/>
  <c r="M1512" i="1"/>
  <c r="T1512" i="1" s="1"/>
  <c r="K1512" i="1"/>
  <c r="L1512" i="1" s="1"/>
  <c r="H1512" i="1"/>
  <c r="AA1511" i="1"/>
  <c r="T1511" i="1"/>
  <c r="U1511" i="1" s="1"/>
  <c r="I1511" i="1" s="1"/>
  <c r="M1511" i="1"/>
  <c r="L1511" i="1"/>
  <c r="AB1511" i="1" s="1"/>
  <c r="K1511" i="1"/>
  <c r="H1511" i="1"/>
  <c r="AB1510" i="1"/>
  <c r="M1510" i="1"/>
  <c r="T1510" i="1" s="1"/>
  <c r="K1510" i="1"/>
  <c r="L1510" i="1" s="1"/>
  <c r="H1510" i="1"/>
  <c r="AB1509" i="1"/>
  <c r="T1509" i="1"/>
  <c r="M1509" i="1"/>
  <c r="L1509" i="1"/>
  <c r="K1509" i="1"/>
  <c r="H1509" i="1"/>
  <c r="U1508" i="1"/>
  <c r="M1508" i="1"/>
  <c r="T1508" i="1" s="1"/>
  <c r="K1508" i="1"/>
  <c r="L1508" i="1" s="1"/>
  <c r="AB1508" i="1" s="1"/>
  <c r="I1508" i="1"/>
  <c r="H1508" i="1"/>
  <c r="AA1507" i="1"/>
  <c r="W1507" i="1"/>
  <c r="T1507" i="1"/>
  <c r="U1507" i="1" s="1"/>
  <c r="I1507" i="1" s="1"/>
  <c r="M1507" i="1"/>
  <c r="K1507" i="1"/>
  <c r="L1507" i="1" s="1"/>
  <c r="AB1507" i="1" s="1"/>
  <c r="H1507" i="1"/>
  <c r="M1506" i="1"/>
  <c r="T1506" i="1" s="1"/>
  <c r="L1506" i="1"/>
  <c r="K1506" i="1"/>
  <c r="H1506" i="1"/>
  <c r="T1505" i="1"/>
  <c r="M1505" i="1"/>
  <c r="L1505" i="1"/>
  <c r="AB1505" i="1" s="1"/>
  <c r="K1505" i="1"/>
  <c r="H1505" i="1"/>
  <c r="AB1504" i="1"/>
  <c r="U1504" i="1"/>
  <c r="I1504" i="1" s="1"/>
  <c r="T1504" i="1"/>
  <c r="M1504" i="1"/>
  <c r="K1504" i="1"/>
  <c r="L1504" i="1" s="1"/>
  <c r="H1504" i="1"/>
  <c r="AA1503" i="1"/>
  <c r="W1503" i="1"/>
  <c r="X1503" i="1" s="1"/>
  <c r="U1503" i="1"/>
  <c r="T1503" i="1"/>
  <c r="M1503" i="1"/>
  <c r="L1503" i="1"/>
  <c r="AB1503" i="1" s="1"/>
  <c r="K1503" i="1"/>
  <c r="I1503" i="1"/>
  <c r="H1503" i="1"/>
  <c r="M1502" i="1"/>
  <c r="T1502" i="1" s="1"/>
  <c r="K1502" i="1"/>
  <c r="L1502" i="1" s="1"/>
  <c r="H1502" i="1"/>
  <c r="AA1501" i="1"/>
  <c r="T1501" i="1"/>
  <c r="U1501" i="1" s="1"/>
  <c r="I1501" i="1" s="1"/>
  <c r="M1501" i="1"/>
  <c r="L1501" i="1"/>
  <c r="AB1501" i="1" s="1"/>
  <c r="K1501" i="1"/>
  <c r="H1501" i="1"/>
  <c r="M1500" i="1"/>
  <c r="T1500" i="1" s="1"/>
  <c r="K1500" i="1"/>
  <c r="L1500" i="1" s="1"/>
  <c r="H1500" i="1"/>
  <c r="T1499" i="1"/>
  <c r="M1499" i="1"/>
  <c r="L1499" i="1"/>
  <c r="K1499" i="1"/>
  <c r="H1499" i="1"/>
  <c r="U1498" i="1"/>
  <c r="I1498" i="1" s="1"/>
  <c r="M1498" i="1"/>
  <c r="T1498" i="1" s="1"/>
  <c r="K1498" i="1"/>
  <c r="L1498" i="1" s="1"/>
  <c r="H1498" i="1"/>
  <c r="AA1497" i="1"/>
  <c r="W1497" i="1"/>
  <c r="T1497" i="1"/>
  <c r="U1497" i="1" s="1"/>
  <c r="I1497" i="1" s="1"/>
  <c r="M1497" i="1"/>
  <c r="K1497" i="1"/>
  <c r="L1497" i="1" s="1"/>
  <c r="AB1497" i="1" s="1"/>
  <c r="H1497" i="1"/>
  <c r="M1496" i="1"/>
  <c r="T1496" i="1" s="1"/>
  <c r="L1496" i="1"/>
  <c r="AB1496" i="1" s="1"/>
  <c r="K1496" i="1"/>
  <c r="H1496" i="1"/>
  <c r="T1495" i="1"/>
  <c r="M1495" i="1"/>
  <c r="L1495" i="1"/>
  <c r="AB1495" i="1" s="1"/>
  <c r="K1495" i="1"/>
  <c r="H1495" i="1"/>
  <c r="T1494" i="1"/>
  <c r="M1494" i="1"/>
  <c r="K1494" i="1"/>
  <c r="L1494" i="1" s="1"/>
  <c r="AB1494" i="1" s="1"/>
  <c r="H1494" i="1"/>
  <c r="AA1493" i="1"/>
  <c r="W1493" i="1"/>
  <c r="X1493" i="1" s="1"/>
  <c r="U1493" i="1"/>
  <c r="T1493" i="1"/>
  <c r="M1493" i="1"/>
  <c r="L1493" i="1"/>
  <c r="AB1493" i="1" s="1"/>
  <c r="K1493" i="1"/>
  <c r="I1493" i="1"/>
  <c r="H1493" i="1"/>
  <c r="M1492" i="1"/>
  <c r="T1492" i="1" s="1"/>
  <c r="K1492" i="1"/>
  <c r="L1492" i="1" s="1"/>
  <c r="H1492" i="1"/>
  <c r="T1491" i="1"/>
  <c r="M1491" i="1"/>
  <c r="L1491" i="1"/>
  <c r="AB1491" i="1" s="1"/>
  <c r="K1491" i="1"/>
  <c r="H1491" i="1"/>
  <c r="AB1490" i="1"/>
  <c r="AA1490" i="1"/>
  <c r="U1490" i="1"/>
  <c r="I1490" i="1" s="1"/>
  <c r="M1490" i="1"/>
  <c r="T1490" i="1" s="1"/>
  <c r="W1490" i="1" s="1"/>
  <c r="X1490" i="1" s="1"/>
  <c r="K1490" i="1"/>
  <c r="L1490" i="1" s="1"/>
  <c r="H1490" i="1"/>
  <c r="T1489" i="1"/>
  <c r="M1489" i="1"/>
  <c r="L1489" i="1"/>
  <c r="K1489" i="1"/>
  <c r="H1489" i="1"/>
  <c r="M1488" i="1"/>
  <c r="T1488" i="1" s="1"/>
  <c r="K1488" i="1"/>
  <c r="L1488" i="1" s="1"/>
  <c r="AB1488" i="1" s="1"/>
  <c r="H1488" i="1"/>
  <c r="AA1487" i="1"/>
  <c r="W1487" i="1"/>
  <c r="X1487" i="1" s="1"/>
  <c r="T1487" i="1"/>
  <c r="U1487" i="1" s="1"/>
  <c r="I1487" i="1" s="1"/>
  <c r="M1487" i="1"/>
  <c r="K1487" i="1"/>
  <c r="L1487" i="1" s="1"/>
  <c r="AB1487" i="1" s="1"/>
  <c r="H1487" i="1"/>
  <c r="M1486" i="1"/>
  <c r="T1486" i="1" s="1"/>
  <c r="L1486" i="1"/>
  <c r="AB1486" i="1" s="1"/>
  <c r="K1486" i="1"/>
  <c r="H1486" i="1"/>
  <c r="M1485" i="1"/>
  <c r="T1485" i="1" s="1"/>
  <c r="L1485" i="1"/>
  <c r="K1485" i="1"/>
  <c r="H1485" i="1"/>
  <c r="AB1484" i="1"/>
  <c r="U1484" i="1"/>
  <c r="I1484" i="1" s="1"/>
  <c r="T1484" i="1"/>
  <c r="M1484" i="1"/>
  <c r="K1484" i="1"/>
  <c r="L1484" i="1" s="1"/>
  <c r="H1484" i="1"/>
  <c r="AA1483" i="1"/>
  <c r="W1483" i="1"/>
  <c r="X1483" i="1" s="1"/>
  <c r="U1483" i="1"/>
  <c r="I1483" i="1" s="1"/>
  <c r="T1483" i="1"/>
  <c r="M1483" i="1"/>
  <c r="L1483" i="1"/>
  <c r="AB1483" i="1" s="1"/>
  <c r="K1483" i="1"/>
  <c r="H1483" i="1"/>
  <c r="M1482" i="1"/>
  <c r="T1482" i="1" s="1"/>
  <c r="K1482" i="1"/>
  <c r="L1482" i="1" s="1"/>
  <c r="AB1482" i="1" s="1"/>
  <c r="H1482" i="1"/>
  <c r="AA1481" i="1"/>
  <c r="T1481" i="1"/>
  <c r="M1481" i="1"/>
  <c r="L1481" i="1"/>
  <c r="AB1481" i="1" s="1"/>
  <c r="K1481" i="1"/>
  <c r="H1481" i="1"/>
  <c r="M1480" i="1"/>
  <c r="T1480" i="1" s="1"/>
  <c r="W1480" i="1" s="1"/>
  <c r="X1480" i="1" s="1"/>
  <c r="K1480" i="1"/>
  <c r="L1480" i="1" s="1"/>
  <c r="AB1480" i="1" s="1"/>
  <c r="H1480" i="1"/>
  <c r="T1479" i="1"/>
  <c r="M1479" i="1"/>
  <c r="L1479" i="1"/>
  <c r="K1479" i="1"/>
  <c r="H1479" i="1"/>
  <c r="U1478" i="1"/>
  <c r="M1478" i="1"/>
  <c r="T1478" i="1" s="1"/>
  <c r="K1478" i="1"/>
  <c r="L1478" i="1" s="1"/>
  <c r="AB1478" i="1" s="1"/>
  <c r="I1478" i="1"/>
  <c r="H1478" i="1"/>
  <c r="AA1477" i="1"/>
  <c r="W1477" i="1"/>
  <c r="X1477" i="1" s="1"/>
  <c r="T1477" i="1"/>
  <c r="U1477" i="1" s="1"/>
  <c r="I1477" i="1" s="1"/>
  <c r="M1477" i="1"/>
  <c r="L1477" i="1"/>
  <c r="AB1477" i="1" s="1"/>
  <c r="K1477" i="1"/>
  <c r="H1477" i="1"/>
  <c r="AB1476" i="1"/>
  <c r="M1476" i="1"/>
  <c r="T1476" i="1" s="1"/>
  <c r="L1476" i="1"/>
  <c r="K1476" i="1"/>
  <c r="H1476" i="1"/>
  <c r="AA1475" i="1"/>
  <c r="T1475" i="1"/>
  <c r="M1475" i="1"/>
  <c r="L1475" i="1"/>
  <c r="K1475" i="1"/>
  <c r="H1475" i="1"/>
  <c r="U1474" i="1"/>
  <c r="I1474" i="1" s="1"/>
  <c r="T1474" i="1"/>
  <c r="M1474" i="1"/>
  <c r="K1474" i="1"/>
  <c r="L1474" i="1" s="1"/>
  <c r="AB1474" i="1" s="1"/>
  <c r="H1474" i="1"/>
  <c r="AA1473" i="1"/>
  <c r="W1473" i="1"/>
  <c r="X1473" i="1" s="1"/>
  <c r="U1473" i="1"/>
  <c r="T1473" i="1"/>
  <c r="M1473" i="1"/>
  <c r="L1473" i="1"/>
  <c r="AB1473" i="1" s="1"/>
  <c r="K1473" i="1"/>
  <c r="I1473" i="1"/>
  <c r="H1473" i="1"/>
  <c r="M1472" i="1"/>
  <c r="T1472" i="1" s="1"/>
  <c r="K1472" i="1"/>
  <c r="L1472" i="1" s="1"/>
  <c r="AB1472" i="1" s="1"/>
  <c r="H1472" i="1"/>
  <c r="AA1471" i="1"/>
  <c r="T1471" i="1"/>
  <c r="M1471" i="1"/>
  <c r="L1471" i="1"/>
  <c r="AB1471" i="1" s="1"/>
  <c r="K1471" i="1"/>
  <c r="H1471" i="1"/>
  <c r="AA1470" i="1"/>
  <c r="M1470" i="1"/>
  <c r="T1470" i="1" s="1"/>
  <c r="W1470" i="1" s="1"/>
  <c r="X1470" i="1" s="1"/>
  <c r="K1470" i="1"/>
  <c r="L1470" i="1" s="1"/>
  <c r="AB1470" i="1" s="1"/>
  <c r="H1470" i="1"/>
  <c r="AB1469" i="1"/>
  <c r="W1469" i="1"/>
  <c r="X1469" i="1" s="1"/>
  <c r="T1469" i="1"/>
  <c r="M1469" i="1"/>
  <c r="L1469" i="1"/>
  <c r="K1469" i="1"/>
  <c r="H1469" i="1"/>
  <c r="M1468" i="1"/>
  <c r="T1468" i="1" s="1"/>
  <c r="K1468" i="1"/>
  <c r="L1468" i="1" s="1"/>
  <c r="AB1468" i="1" s="1"/>
  <c r="H1468" i="1"/>
  <c r="AA1467" i="1"/>
  <c r="W1467" i="1"/>
  <c r="X1467" i="1" s="1"/>
  <c r="T1467" i="1"/>
  <c r="U1467" i="1" s="1"/>
  <c r="I1467" i="1" s="1"/>
  <c r="M1467" i="1"/>
  <c r="L1467" i="1"/>
  <c r="AB1467" i="1" s="1"/>
  <c r="K1467" i="1"/>
  <c r="H1467" i="1"/>
  <c r="AB1466" i="1"/>
  <c r="M1466" i="1"/>
  <c r="T1466" i="1" s="1"/>
  <c r="L1466" i="1"/>
  <c r="K1466" i="1"/>
  <c r="H1466" i="1"/>
  <c r="T1465" i="1"/>
  <c r="M1465" i="1"/>
  <c r="L1465" i="1"/>
  <c r="AB1465" i="1" s="1"/>
  <c r="K1465" i="1"/>
  <c r="H1465" i="1"/>
  <c r="U1464" i="1"/>
  <c r="I1464" i="1" s="1"/>
  <c r="T1464" i="1"/>
  <c r="M1464" i="1"/>
  <c r="K1464" i="1"/>
  <c r="L1464" i="1" s="1"/>
  <c r="AB1464" i="1" s="1"/>
  <c r="H1464" i="1"/>
  <c r="AA1463" i="1"/>
  <c r="W1463" i="1"/>
  <c r="X1463" i="1" s="1"/>
  <c r="U1463" i="1"/>
  <c r="T1463" i="1"/>
  <c r="M1463" i="1"/>
  <c r="L1463" i="1"/>
  <c r="AB1463" i="1" s="1"/>
  <c r="K1463" i="1"/>
  <c r="I1463" i="1"/>
  <c r="H1463" i="1"/>
  <c r="M1462" i="1"/>
  <c r="T1462" i="1" s="1"/>
  <c r="K1462" i="1"/>
  <c r="L1462" i="1" s="1"/>
  <c r="H1462" i="1"/>
  <c r="AA1461" i="1"/>
  <c r="T1461" i="1"/>
  <c r="M1461" i="1"/>
  <c r="L1461" i="1"/>
  <c r="AB1461" i="1" s="1"/>
  <c r="K1461" i="1"/>
  <c r="H1461" i="1"/>
  <c r="AB1460" i="1"/>
  <c r="AA1460" i="1"/>
  <c r="M1460" i="1"/>
  <c r="T1460" i="1" s="1"/>
  <c r="W1460" i="1" s="1"/>
  <c r="X1460" i="1" s="1"/>
  <c r="K1460" i="1"/>
  <c r="L1460" i="1" s="1"/>
  <c r="H1460" i="1"/>
  <c r="W1459" i="1"/>
  <c r="X1459" i="1" s="1"/>
  <c r="T1459" i="1"/>
  <c r="M1459" i="1"/>
  <c r="L1459" i="1"/>
  <c r="AB1459" i="1" s="1"/>
  <c r="K1459" i="1"/>
  <c r="H1459" i="1"/>
  <c r="M1458" i="1"/>
  <c r="T1458" i="1" s="1"/>
  <c r="K1458" i="1"/>
  <c r="L1458" i="1" s="1"/>
  <c r="AB1458" i="1" s="1"/>
  <c r="H1458" i="1"/>
  <c r="AA1457" i="1"/>
  <c r="W1457" i="1"/>
  <c r="X1457" i="1" s="1"/>
  <c r="T1457" i="1"/>
  <c r="U1457" i="1" s="1"/>
  <c r="I1457" i="1" s="1"/>
  <c r="M1457" i="1"/>
  <c r="L1457" i="1"/>
  <c r="AB1457" i="1" s="1"/>
  <c r="K1457" i="1"/>
  <c r="H1457" i="1"/>
  <c r="M1456" i="1"/>
  <c r="T1456" i="1" s="1"/>
  <c r="L1456" i="1"/>
  <c r="K1456" i="1"/>
  <c r="H1456" i="1"/>
  <c r="M1455" i="1"/>
  <c r="T1455" i="1" s="1"/>
  <c r="L1455" i="1"/>
  <c r="K1455" i="1"/>
  <c r="H1455" i="1"/>
  <c r="U1454" i="1"/>
  <c r="I1454" i="1" s="1"/>
  <c r="T1454" i="1"/>
  <c r="M1454" i="1"/>
  <c r="K1454" i="1"/>
  <c r="L1454" i="1" s="1"/>
  <c r="AB1454" i="1" s="1"/>
  <c r="H1454" i="1"/>
  <c r="AA1453" i="1"/>
  <c r="W1453" i="1"/>
  <c r="X1453" i="1" s="1"/>
  <c r="U1453" i="1"/>
  <c r="I1453" i="1" s="1"/>
  <c r="T1453" i="1"/>
  <c r="M1453" i="1"/>
  <c r="L1453" i="1"/>
  <c r="AB1453" i="1" s="1"/>
  <c r="K1453" i="1"/>
  <c r="H1453" i="1"/>
  <c r="W1452" i="1"/>
  <c r="X1452" i="1" s="1"/>
  <c r="U1452" i="1"/>
  <c r="I1452" i="1" s="1"/>
  <c r="P1452" i="1"/>
  <c r="T1452" i="1" s="1"/>
  <c r="AA1452" i="1" s="1"/>
  <c r="M1452" i="1"/>
  <c r="L1452" i="1"/>
  <c r="AB1452" i="1" s="1"/>
  <c r="K1452" i="1"/>
  <c r="H1452" i="1"/>
  <c r="AA1451" i="1"/>
  <c r="X1451" i="1"/>
  <c r="U1451" i="1"/>
  <c r="I1451" i="1" s="1"/>
  <c r="P1451" i="1"/>
  <c r="T1451" i="1" s="1"/>
  <c r="W1451" i="1" s="1"/>
  <c r="M1451" i="1"/>
  <c r="L1451" i="1"/>
  <c r="AB1451" i="1" s="1"/>
  <c r="K1451" i="1"/>
  <c r="H1451" i="1"/>
  <c r="U1450" i="1"/>
  <c r="I1450" i="1" s="1"/>
  <c r="M1450" i="1"/>
  <c r="T1450" i="1" s="1"/>
  <c r="K1450" i="1"/>
  <c r="L1450" i="1" s="1"/>
  <c r="H1450" i="1"/>
  <c r="T1449" i="1"/>
  <c r="U1449" i="1" s="1"/>
  <c r="I1449" i="1" s="1"/>
  <c r="M1449" i="1"/>
  <c r="K1449" i="1"/>
  <c r="L1449" i="1" s="1"/>
  <c r="AB1449" i="1" s="1"/>
  <c r="H1449" i="1"/>
  <c r="U1448" i="1"/>
  <c r="I1448" i="1" s="1"/>
  <c r="M1448" i="1"/>
  <c r="T1448" i="1" s="1"/>
  <c r="L1448" i="1"/>
  <c r="AB1448" i="1" s="1"/>
  <c r="K1448" i="1"/>
  <c r="H1448" i="1"/>
  <c r="M1447" i="1"/>
  <c r="T1447" i="1" s="1"/>
  <c r="L1447" i="1"/>
  <c r="K1447" i="1"/>
  <c r="H1447" i="1"/>
  <c r="U1446" i="1"/>
  <c r="I1446" i="1" s="1"/>
  <c r="T1446" i="1"/>
  <c r="M1446" i="1"/>
  <c r="K1446" i="1"/>
  <c r="L1446" i="1" s="1"/>
  <c r="AB1446" i="1" s="1"/>
  <c r="H1446" i="1"/>
  <c r="AA1445" i="1"/>
  <c r="U1445" i="1"/>
  <c r="I1445" i="1" s="1"/>
  <c r="T1445" i="1"/>
  <c r="W1445" i="1" s="1"/>
  <c r="X1445" i="1" s="1"/>
  <c r="M1445" i="1"/>
  <c r="L1445" i="1"/>
  <c r="AB1445" i="1" s="1"/>
  <c r="K1445" i="1"/>
  <c r="H1445" i="1"/>
  <c r="U1444" i="1"/>
  <c r="I1444" i="1" s="1"/>
  <c r="M1444" i="1"/>
  <c r="T1444" i="1" s="1"/>
  <c r="AA1444" i="1" s="1"/>
  <c r="K1444" i="1"/>
  <c r="L1444" i="1" s="1"/>
  <c r="AB1444" i="1" s="1"/>
  <c r="H1444" i="1"/>
  <c r="X1443" i="1"/>
  <c r="W1443" i="1"/>
  <c r="T1443" i="1"/>
  <c r="U1443" i="1" s="1"/>
  <c r="M1443" i="1"/>
  <c r="L1443" i="1"/>
  <c r="AB1443" i="1" s="1"/>
  <c r="K1443" i="1"/>
  <c r="I1443" i="1"/>
  <c r="H1443" i="1"/>
  <c r="U1442" i="1"/>
  <c r="I1442" i="1" s="1"/>
  <c r="T1442" i="1"/>
  <c r="W1442" i="1" s="1"/>
  <c r="M1442" i="1"/>
  <c r="K1442" i="1"/>
  <c r="L1442" i="1" s="1"/>
  <c r="AB1442" i="1" s="1"/>
  <c r="H1442" i="1"/>
  <c r="AB1441" i="1"/>
  <c r="AA1441" i="1"/>
  <c r="T1441" i="1"/>
  <c r="U1441" i="1" s="1"/>
  <c r="I1441" i="1" s="1"/>
  <c r="M1441" i="1"/>
  <c r="L1441" i="1"/>
  <c r="K1441" i="1"/>
  <c r="H1441" i="1"/>
  <c r="AB1440" i="1"/>
  <c r="M1440" i="1"/>
  <c r="T1440" i="1" s="1"/>
  <c r="AA1440" i="1" s="1"/>
  <c r="K1440" i="1"/>
  <c r="L1440" i="1" s="1"/>
  <c r="H1440" i="1"/>
  <c r="T1439" i="1"/>
  <c r="U1439" i="1" s="1"/>
  <c r="I1439" i="1" s="1"/>
  <c r="M1439" i="1"/>
  <c r="K1439" i="1"/>
  <c r="L1439" i="1" s="1"/>
  <c r="AB1439" i="1" s="1"/>
  <c r="H1439" i="1"/>
  <c r="M1438" i="1"/>
  <c r="T1438" i="1" s="1"/>
  <c r="W1438" i="1" s="1"/>
  <c r="X1438" i="1" s="1"/>
  <c r="L1438" i="1"/>
  <c r="AB1438" i="1" s="1"/>
  <c r="K1438" i="1"/>
  <c r="H1438" i="1"/>
  <c r="M1437" i="1"/>
  <c r="T1437" i="1" s="1"/>
  <c r="L1437" i="1"/>
  <c r="AB1437" i="1" s="1"/>
  <c r="K1437" i="1"/>
  <c r="H1437" i="1"/>
  <c r="M1436" i="1"/>
  <c r="T1436" i="1" s="1"/>
  <c r="K1436" i="1"/>
  <c r="L1436" i="1" s="1"/>
  <c r="H1436" i="1"/>
  <c r="T1435" i="1"/>
  <c r="AA1435" i="1" s="1"/>
  <c r="M1435" i="1"/>
  <c r="K1435" i="1"/>
  <c r="L1435" i="1" s="1"/>
  <c r="AB1435" i="1" s="1"/>
  <c r="H1435" i="1"/>
  <c r="M1434" i="1"/>
  <c r="T1434" i="1" s="1"/>
  <c r="AA1434" i="1" s="1"/>
  <c r="K1434" i="1"/>
  <c r="L1434" i="1" s="1"/>
  <c r="AB1434" i="1" s="1"/>
  <c r="H1434" i="1"/>
  <c r="X1433" i="1"/>
  <c r="W1433" i="1"/>
  <c r="T1433" i="1"/>
  <c r="U1433" i="1" s="1"/>
  <c r="M1433" i="1"/>
  <c r="L1433" i="1"/>
  <c r="AB1433" i="1" s="1"/>
  <c r="K1433" i="1"/>
  <c r="I1433" i="1"/>
  <c r="H1433" i="1"/>
  <c r="U1432" i="1"/>
  <c r="I1432" i="1" s="1"/>
  <c r="T1432" i="1"/>
  <c r="W1432" i="1" s="1"/>
  <c r="M1432" i="1"/>
  <c r="L1432" i="1"/>
  <c r="AB1432" i="1" s="1"/>
  <c r="K1432" i="1"/>
  <c r="X1432" i="1" s="1"/>
  <c r="H1432" i="1"/>
  <c r="U1431" i="1"/>
  <c r="T1431" i="1"/>
  <c r="W1431" i="1" s="1"/>
  <c r="X1431" i="1" s="1"/>
  <c r="M1431" i="1"/>
  <c r="K1431" i="1"/>
  <c r="L1431" i="1" s="1"/>
  <c r="AB1431" i="1" s="1"/>
  <c r="I1431" i="1"/>
  <c r="H1431" i="1"/>
  <c r="U1430" i="1"/>
  <c r="T1430" i="1"/>
  <c r="AA1430" i="1" s="1"/>
  <c r="M1430" i="1"/>
  <c r="K1430" i="1"/>
  <c r="L1430" i="1" s="1"/>
  <c r="AB1430" i="1" s="1"/>
  <c r="I1430" i="1"/>
  <c r="H1430" i="1"/>
  <c r="AA1429" i="1"/>
  <c r="U1429" i="1"/>
  <c r="T1429" i="1"/>
  <c r="W1429" i="1" s="1"/>
  <c r="X1429" i="1" s="1"/>
  <c r="M1429" i="1"/>
  <c r="K1429" i="1"/>
  <c r="L1429" i="1" s="1"/>
  <c r="AB1429" i="1" s="1"/>
  <c r="I1429" i="1"/>
  <c r="H1429" i="1"/>
  <c r="AB1428" i="1"/>
  <c r="AA1428" i="1"/>
  <c r="W1428" i="1"/>
  <c r="X1428" i="1" s="1"/>
  <c r="U1428" i="1"/>
  <c r="I1428" i="1" s="1"/>
  <c r="T1428" i="1"/>
  <c r="M1428" i="1"/>
  <c r="L1428" i="1"/>
  <c r="K1428" i="1"/>
  <c r="H1428" i="1"/>
  <c r="AB1427" i="1"/>
  <c r="AA1427" i="1"/>
  <c r="W1427" i="1"/>
  <c r="X1427" i="1" s="1"/>
  <c r="U1427" i="1"/>
  <c r="T1427" i="1"/>
  <c r="M1427" i="1"/>
  <c r="L1427" i="1"/>
  <c r="K1427" i="1"/>
  <c r="I1427" i="1"/>
  <c r="H1427" i="1"/>
  <c r="M1426" i="1"/>
  <c r="T1426" i="1" s="1"/>
  <c r="K1426" i="1"/>
  <c r="L1426" i="1" s="1"/>
  <c r="AB1426" i="1" s="1"/>
  <c r="H1426" i="1"/>
  <c r="W1425" i="1"/>
  <c r="U1425" i="1"/>
  <c r="T1425" i="1"/>
  <c r="AA1425" i="1" s="1"/>
  <c r="M1425" i="1"/>
  <c r="K1425" i="1"/>
  <c r="X1425" i="1" s="1"/>
  <c r="I1425" i="1"/>
  <c r="H1425" i="1"/>
  <c r="M1424" i="1"/>
  <c r="T1424" i="1" s="1"/>
  <c r="AA1424" i="1" s="1"/>
  <c r="K1424" i="1"/>
  <c r="L1424" i="1" s="1"/>
  <c r="AB1424" i="1" s="1"/>
  <c r="H1424" i="1"/>
  <c r="M1423" i="1"/>
  <c r="T1423" i="1" s="1"/>
  <c r="K1423" i="1"/>
  <c r="L1423" i="1" s="1"/>
  <c r="H1423" i="1"/>
  <c r="M1422" i="1"/>
  <c r="T1422" i="1" s="1"/>
  <c r="K1422" i="1"/>
  <c r="L1422" i="1" s="1"/>
  <c r="AB1422" i="1" s="1"/>
  <c r="H1422" i="1"/>
  <c r="M1421" i="1"/>
  <c r="T1421" i="1" s="1"/>
  <c r="K1421" i="1"/>
  <c r="L1421" i="1" s="1"/>
  <c r="H1421" i="1"/>
  <c r="M1420" i="1"/>
  <c r="T1420" i="1" s="1"/>
  <c r="K1420" i="1"/>
  <c r="L1420" i="1" s="1"/>
  <c r="H1420" i="1"/>
  <c r="M1419" i="1"/>
  <c r="T1419" i="1" s="1"/>
  <c r="K1419" i="1"/>
  <c r="L1419" i="1" s="1"/>
  <c r="H1419" i="1"/>
  <c r="T1418" i="1"/>
  <c r="AA1418" i="1" s="1"/>
  <c r="M1418" i="1"/>
  <c r="L1418" i="1"/>
  <c r="AB1418" i="1" s="1"/>
  <c r="K1418" i="1"/>
  <c r="H1418" i="1"/>
  <c r="T1417" i="1"/>
  <c r="AA1417" i="1" s="1"/>
  <c r="M1417" i="1"/>
  <c r="L1417" i="1"/>
  <c r="AB1417" i="1" s="1"/>
  <c r="K1417" i="1"/>
  <c r="H1417" i="1"/>
  <c r="M1416" i="1"/>
  <c r="T1416" i="1" s="1"/>
  <c r="L1416" i="1"/>
  <c r="K1416" i="1"/>
  <c r="H1416" i="1"/>
  <c r="T1415" i="1"/>
  <c r="AA1415" i="1" s="1"/>
  <c r="M1415" i="1"/>
  <c r="L1415" i="1"/>
  <c r="AB1415" i="1" s="1"/>
  <c r="K1415" i="1"/>
  <c r="H1415" i="1"/>
  <c r="U1414" i="1"/>
  <c r="I1414" i="1" s="1"/>
  <c r="T1414" i="1"/>
  <c r="AA1414" i="1" s="1"/>
  <c r="M1414" i="1"/>
  <c r="K1414" i="1"/>
  <c r="L1414" i="1" s="1"/>
  <c r="AB1414" i="1" s="1"/>
  <c r="H1414" i="1"/>
  <c r="AA1413" i="1"/>
  <c r="W1413" i="1"/>
  <c r="X1413" i="1" s="1"/>
  <c r="U1413" i="1"/>
  <c r="I1413" i="1" s="1"/>
  <c r="T1413" i="1"/>
  <c r="M1413" i="1"/>
  <c r="L1413" i="1"/>
  <c r="AB1413" i="1" s="1"/>
  <c r="K1413" i="1"/>
  <c r="H1413" i="1"/>
  <c r="M1412" i="1"/>
  <c r="T1412" i="1" s="1"/>
  <c r="L1412" i="1"/>
  <c r="K1412" i="1"/>
  <c r="H1412" i="1"/>
  <c r="AB1411" i="1"/>
  <c r="AA1411" i="1"/>
  <c r="T1411" i="1"/>
  <c r="U1411" i="1" s="1"/>
  <c r="I1411" i="1" s="1"/>
  <c r="M1411" i="1"/>
  <c r="L1411" i="1"/>
  <c r="K1411" i="1"/>
  <c r="H1411" i="1"/>
  <c r="AA1410" i="1"/>
  <c r="U1410" i="1"/>
  <c r="T1410" i="1"/>
  <c r="W1410" i="1" s="1"/>
  <c r="X1410" i="1" s="1"/>
  <c r="M1410" i="1"/>
  <c r="K1410" i="1"/>
  <c r="L1410" i="1" s="1"/>
  <c r="AB1410" i="1" s="1"/>
  <c r="I1410" i="1"/>
  <c r="H1410" i="1"/>
  <c r="AB1409" i="1"/>
  <c r="AA1409" i="1"/>
  <c r="W1409" i="1"/>
  <c r="X1409" i="1" s="1"/>
  <c r="U1409" i="1"/>
  <c r="T1409" i="1"/>
  <c r="M1409" i="1"/>
  <c r="L1409" i="1"/>
  <c r="K1409" i="1"/>
  <c r="I1409" i="1"/>
  <c r="H1409" i="1"/>
  <c r="M1408" i="1"/>
  <c r="T1408" i="1" s="1"/>
  <c r="K1408" i="1"/>
  <c r="L1408" i="1" s="1"/>
  <c r="H1408" i="1"/>
  <c r="T1407" i="1"/>
  <c r="AA1407" i="1" s="1"/>
  <c r="M1407" i="1"/>
  <c r="L1407" i="1"/>
  <c r="AB1407" i="1" s="1"/>
  <c r="K1407" i="1"/>
  <c r="H1407" i="1"/>
  <c r="M1406" i="1"/>
  <c r="T1406" i="1" s="1"/>
  <c r="L1406" i="1"/>
  <c r="AB1406" i="1" s="1"/>
  <c r="K1406" i="1"/>
  <c r="H1406" i="1"/>
  <c r="T1405" i="1"/>
  <c r="AA1405" i="1" s="1"/>
  <c r="M1405" i="1"/>
  <c r="L1405" i="1"/>
  <c r="AB1405" i="1" s="1"/>
  <c r="K1405" i="1"/>
  <c r="H1405" i="1"/>
  <c r="U1404" i="1"/>
  <c r="I1404" i="1" s="1"/>
  <c r="T1404" i="1"/>
  <c r="AA1404" i="1" s="1"/>
  <c r="M1404" i="1"/>
  <c r="K1404" i="1"/>
  <c r="L1404" i="1" s="1"/>
  <c r="AB1404" i="1" s="1"/>
  <c r="H1404" i="1"/>
  <c r="AA1403" i="1"/>
  <c r="W1403" i="1"/>
  <c r="X1403" i="1" s="1"/>
  <c r="U1403" i="1"/>
  <c r="I1403" i="1" s="1"/>
  <c r="T1403" i="1"/>
  <c r="M1403" i="1"/>
  <c r="L1403" i="1"/>
  <c r="AB1403" i="1" s="1"/>
  <c r="K1403" i="1"/>
  <c r="H1403" i="1"/>
  <c r="M1402" i="1"/>
  <c r="T1402" i="1" s="1"/>
  <c r="L1402" i="1"/>
  <c r="K1402" i="1"/>
  <c r="H1402" i="1"/>
  <c r="AB1401" i="1"/>
  <c r="AA1401" i="1"/>
  <c r="T1401" i="1"/>
  <c r="U1401" i="1" s="1"/>
  <c r="I1401" i="1" s="1"/>
  <c r="M1401" i="1"/>
  <c r="L1401" i="1"/>
  <c r="K1401" i="1"/>
  <c r="H1401" i="1"/>
  <c r="AA1400" i="1"/>
  <c r="U1400" i="1"/>
  <c r="T1400" i="1"/>
  <c r="W1400" i="1" s="1"/>
  <c r="X1400" i="1" s="1"/>
  <c r="M1400" i="1"/>
  <c r="K1400" i="1"/>
  <c r="L1400" i="1" s="1"/>
  <c r="AB1400" i="1" s="1"/>
  <c r="I1400" i="1"/>
  <c r="H1400" i="1"/>
  <c r="AB1399" i="1"/>
  <c r="AA1399" i="1"/>
  <c r="W1399" i="1"/>
  <c r="X1399" i="1" s="1"/>
  <c r="U1399" i="1"/>
  <c r="T1399" i="1"/>
  <c r="M1399" i="1"/>
  <c r="L1399" i="1"/>
  <c r="K1399" i="1"/>
  <c r="I1399" i="1"/>
  <c r="H1399" i="1"/>
  <c r="M1398" i="1"/>
  <c r="T1398" i="1" s="1"/>
  <c r="K1398" i="1"/>
  <c r="L1398" i="1" s="1"/>
  <c r="AB1398" i="1" s="1"/>
  <c r="H1398" i="1"/>
  <c r="T1397" i="1"/>
  <c r="AA1397" i="1" s="1"/>
  <c r="M1397" i="1"/>
  <c r="L1397" i="1"/>
  <c r="AB1397" i="1" s="1"/>
  <c r="K1397" i="1"/>
  <c r="H1397" i="1"/>
  <c r="M1396" i="1"/>
  <c r="T1396" i="1" s="1"/>
  <c r="L1396" i="1"/>
  <c r="AB1396" i="1" s="1"/>
  <c r="K1396" i="1"/>
  <c r="H1396" i="1"/>
  <c r="T1395" i="1"/>
  <c r="AA1395" i="1" s="1"/>
  <c r="M1395" i="1"/>
  <c r="L1395" i="1"/>
  <c r="AB1395" i="1" s="1"/>
  <c r="K1395" i="1"/>
  <c r="H1395" i="1"/>
  <c r="U1394" i="1"/>
  <c r="I1394" i="1" s="1"/>
  <c r="T1394" i="1"/>
  <c r="AA1394" i="1" s="1"/>
  <c r="M1394" i="1"/>
  <c r="K1394" i="1"/>
  <c r="L1394" i="1" s="1"/>
  <c r="AB1394" i="1" s="1"/>
  <c r="H1394" i="1"/>
  <c r="AA1393" i="1"/>
  <c r="W1393" i="1"/>
  <c r="X1393" i="1" s="1"/>
  <c r="U1393" i="1"/>
  <c r="I1393" i="1" s="1"/>
  <c r="T1393" i="1"/>
  <c r="M1393" i="1"/>
  <c r="L1393" i="1"/>
  <c r="AB1393" i="1" s="1"/>
  <c r="K1393" i="1"/>
  <c r="H1393" i="1"/>
  <c r="M1392" i="1"/>
  <c r="T1392" i="1" s="1"/>
  <c r="L1392" i="1"/>
  <c r="K1392" i="1"/>
  <c r="H1392" i="1"/>
  <c r="AB1391" i="1"/>
  <c r="AA1391" i="1"/>
  <c r="T1391" i="1"/>
  <c r="U1391" i="1" s="1"/>
  <c r="I1391" i="1" s="1"/>
  <c r="M1391" i="1"/>
  <c r="L1391" i="1"/>
  <c r="K1391" i="1"/>
  <c r="H1391" i="1"/>
  <c r="AA1390" i="1"/>
  <c r="U1390" i="1"/>
  <c r="T1390" i="1"/>
  <c r="W1390" i="1" s="1"/>
  <c r="X1390" i="1" s="1"/>
  <c r="M1390" i="1"/>
  <c r="K1390" i="1"/>
  <c r="L1390" i="1" s="1"/>
  <c r="AB1390" i="1" s="1"/>
  <c r="I1390" i="1"/>
  <c r="H1390" i="1"/>
  <c r="AB1389" i="1"/>
  <c r="AA1389" i="1"/>
  <c r="W1389" i="1"/>
  <c r="X1389" i="1" s="1"/>
  <c r="U1389" i="1"/>
  <c r="T1389" i="1"/>
  <c r="M1389" i="1"/>
  <c r="L1389" i="1"/>
  <c r="K1389" i="1"/>
  <c r="I1389" i="1"/>
  <c r="H1389" i="1"/>
  <c r="M1388" i="1"/>
  <c r="T1388" i="1" s="1"/>
  <c r="K1388" i="1"/>
  <c r="L1388" i="1" s="1"/>
  <c r="AB1388" i="1" s="1"/>
  <c r="H1388" i="1"/>
  <c r="T1387" i="1"/>
  <c r="AA1387" i="1" s="1"/>
  <c r="M1387" i="1"/>
  <c r="L1387" i="1"/>
  <c r="AB1387" i="1" s="1"/>
  <c r="K1387" i="1"/>
  <c r="H1387" i="1"/>
  <c r="M1386" i="1"/>
  <c r="T1386" i="1" s="1"/>
  <c r="L1386" i="1"/>
  <c r="K1386" i="1"/>
  <c r="H1386" i="1"/>
  <c r="T1385" i="1"/>
  <c r="AA1385" i="1" s="1"/>
  <c r="M1385" i="1"/>
  <c r="L1385" i="1"/>
  <c r="AB1385" i="1" s="1"/>
  <c r="K1385" i="1"/>
  <c r="H1385" i="1"/>
  <c r="U1384" i="1"/>
  <c r="I1384" i="1" s="1"/>
  <c r="T1384" i="1"/>
  <c r="AA1384" i="1" s="1"/>
  <c r="M1384" i="1"/>
  <c r="K1384" i="1"/>
  <c r="L1384" i="1" s="1"/>
  <c r="AB1384" i="1" s="1"/>
  <c r="H1384" i="1"/>
  <c r="AA1383" i="1"/>
  <c r="W1383" i="1"/>
  <c r="X1383" i="1" s="1"/>
  <c r="U1383" i="1"/>
  <c r="I1383" i="1" s="1"/>
  <c r="T1383" i="1"/>
  <c r="M1383" i="1"/>
  <c r="L1383" i="1"/>
  <c r="AB1383" i="1" s="1"/>
  <c r="K1383" i="1"/>
  <c r="H1383" i="1"/>
  <c r="M1382" i="1"/>
  <c r="T1382" i="1" s="1"/>
  <c r="L1382" i="1"/>
  <c r="K1382" i="1"/>
  <c r="H1382" i="1"/>
  <c r="AB1381" i="1"/>
  <c r="AA1381" i="1"/>
  <c r="T1381" i="1"/>
  <c r="U1381" i="1" s="1"/>
  <c r="I1381" i="1" s="1"/>
  <c r="M1381" i="1"/>
  <c r="L1381" i="1"/>
  <c r="K1381" i="1"/>
  <c r="H1381" i="1"/>
  <c r="AA1380" i="1"/>
  <c r="U1380" i="1"/>
  <c r="T1380" i="1"/>
  <c r="W1380" i="1" s="1"/>
  <c r="X1380" i="1" s="1"/>
  <c r="M1380" i="1"/>
  <c r="K1380" i="1"/>
  <c r="L1380" i="1" s="1"/>
  <c r="AB1380" i="1" s="1"/>
  <c r="I1380" i="1"/>
  <c r="H1380" i="1"/>
  <c r="AB1379" i="1"/>
  <c r="AA1379" i="1"/>
  <c r="W1379" i="1"/>
  <c r="X1379" i="1" s="1"/>
  <c r="U1379" i="1"/>
  <c r="T1379" i="1"/>
  <c r="M1379" i="1"/>
  <c r="L1379" i="1"/>
  <c r="K1379" i="1"/>
  <c r="I1379" i="1"/>
  <c r="H1379" i="1"/>
  <c r="M1378" i="1"/>
  <c r="T1378" i="1" s="1"/>
  <c r="K1378" i="1"/>
  <c r="L1378" i="1" s="1"/>
  <c r="H1378" i="1"/>
  <c r="T1377" i="1"/>
  <c r="AA1377" i="1" s="1"/>
  <c r="M1377" i="1"/>
  <c r="L1377" i="1"/>
  <c r="AB1377" i="1" s="1"/>
  <c r="K1377" i="1"/>
  <c r="H1377" i="1"/>
  <c r="M1376" i="1"/>
  <c r="T1376" i="1" s="1"/>
  <c r="L1376" i="1"/>
  <c r="AB1376" i="1" s="1"/>
  <c r="K1376" i="1"/>
  <c r="H1376" i="1"/>
  <c r="T1375" i="1"/>
  <c r="AA1375" i="1" s="1"/>
  <c r="M1375" i="1"/>
  <c r="L1375" i="1"/>
  <c r="AB1375" i="1" s="1"/>
  <c r="K1375" i="1"/>
  <c r="H1375" i="1"/>
  <c r="U1374" i="1"/>
  <c r="I1374" i="1" s="1"/>
  <c r="T1374" i="1"/>
  <c r="AA1374" i="1" s="1"/>
  <c r="M1374" i="1"/>
  <c r="K1374" i="1"/>
  <c r="L1374" i="1" s="1"/>
  <c r="AB1374" i="1" s="1"/>
  <c r="H1374" i="1"/>
  <c r="AA1373" i="1"/>
  <c r="W1373" i="1"/>
  <c r="X1373" i="1" s="1"/>
  <c r="U1373" i="1"/>
  <c r="I1373" i="1" s="1"/>
  <c r="T1373" i="1"/>
  <c r="M1373" i="1"/>
  <c r="L1373" i="1"/>
  <c r="AB1373" i="1" s="1"/>
  <c r="K1373" i="1"/>
  <c r="H1373" i="1"/>
  <c r="M1372" i="1"/>
  <c r="T1372" i="1" s="1"/>
  <c r="L1372" i="1"/>
  <c r="K1372" i="1"/>
  <c r="H1372" i="1"/>
  <c r="AB1371" i="1"/>
  <c r="AA1371" i="1"/>
  <c r="T1371" i="1"/>
  <c r="U1371" i="1" s="1"/>
  <c r="I1371" i="1" s="1"/>
  <c r="M1371" i="1"/>
  <c r="L1371" i="1"/>
  <c r="K1371" i="1"/>
  <c r="H1371" i="1"/>
  <c r="AA1370" i="1"/>
  <c r="U1370" i="1"/>
  <c r="T1370" i="1"/>
  <c r="W1370" i="1" s="1"/>
  <c r="X1370" i="1" s="1"/>
  <c r="M1370" i="1"/>
  <c r="K1370" i="1"/>
  <c r="L1370" i="1" s="1"/>
  <c r="AB1370" i="1" s="1"/>
  <c r="I1370" i="1"/>
  <c r="H1370" i="1"/>
  <c r="AB1369" i="1"/>
  <c r="AA1369" i="1"/>
  <c r="W1369" i="1"/>
  <c r="X1369" i="1" s="1"/>
  <c r="U1369" i="1"/>
  <c r="T1369" i="1"/>
  <c r="M1369" i="1"/>
  <c r="L1369" i="1"/>
  <c r="K1369" i="1"/>
  <c r="I1369" i="1"/>
  <c r="H1369" i="1"/>
  <c r="M1368" i="1"/>
  <c r="T1368" i="1" s="1"/>
  <c r="K1368" i="1"/>
  <c r="L1368" i="1" s="1"/>
  <c r="AB1368" i="1" s="1"/>
  <c r="H1368" i="1"/>
  <c r="T1367" i="1"/>
  <c r="AA1367" i="1" s="1"/>
  <c r="M1367" i="1"/>
  <c r="L1367" i="1"/>
  <c r="AB1367" i="1" s="1"/>
  <c r="K1367" i="1"/>
  <c r="H1367" i="1"/>
  <c r="M1366" i="1"/>
  <c r="T1366" i="1" s="1"/>
  <c r="L1366" i="1"/>
  <c r="AB1366" i="1" s="1"/>
  <c r="K1366" i="1"/>
  <c r="H1366" i="1"/>
  <c r="T1365" i="1"/>
  <c r="AA1365" i="1" s="1"/>
  <c r="M1365" i="1"/>
  <c r="L1365" i="1"/>
  <c r="AB1365" i="1" s="1"/>
  <c r="K1365" i="1"/>
  <c r="H1365" i="1"/>
  <c r="U1364" i="1"/>
  <c r="I1364" i="1" s="1"/>
  <c r="T1364" i="1"/>
  <c r="AA1364" i="1" s="1"/>
  <c r="M1364" i="1"/>
  <c r="K1364" i="1"/>
  <c r="L1364" i="1" s="1"/>
  <c r="AB1364" i="1" s="1"/>
  <c r="H1364" i="1"/>
  <c r="AA1363" i="1"/>
  <c r="W1363" i="1"/>
  <c r="X1363" i="1" s="1"/>
  <c r="U1363" i="1"/>
  <c r="I1363" i="1" s="1"/>
  <c r="T1363" i="1"/>
  <c r="M1363" i="1"/>
  <c r="L1363" i="1"/>
  <c r="AB1363" i="1" s="1"/>
  <c r="K1363" i="1"/>
  <c r="H1363" i="1"/>
  <c r="M1362" i="1"/>
  <c r="T1362" i="1" s="1"/>
  <c r="L1362" i="1"/>
  <c r="K1362" i="1"/>
  <c r="H1362" i="1"/>
  <c r="AB1361" i="1"/>
  <c r="AA1361" i="1"/>
  <c r="T1361" i="1"/>
  <c r="U1361" i="1" s="1"/>
  <c r="I1361" i="1" s="1"/>
  <c r="M1361" i="1"/>
  <c r="L1361" i="1"/>
  <c r="H1361" i="1"/>
  <c r="AB1360" i="1"/>
  <c r="AA1360" i="1"/>
  <c r="T1360" i="1"/>
  <c r="U1360" i="1" s="1"/>
  <c r="I1360" i="1" s="1"/>
  <c r="M1360" i="1"/>
  <c r="L1360" i="1"/>
  <c r="H1360" i="1"/>
  <c r="AB1359" i="1"/>
  <c r="AA1359" i="1"/>
  <c r="T1359" i="1"/>
  <c r="U1359" i="1" s="1"/>
  <c r="I1359" i="1" s="1"/>
  <c r="M1359" i="1"/>
  <c r="L1359" i="1"/>
  <c r="K1359" i="1"/>
  <c r="H1359" i="1"/>
  <c r="AB1358" i="1"/>
  <c r="AA1358" i="1"/>
  <c r="U1358" i="1"/>
  <c r="T1358" i="1"/>
  <c r="W1358" i="1" s="1"/>
  <c r="X1358" i="1" s="1"/>
  <c r="M1358" i="1"/>
  <c r="L1358" i="1"/>
  <c r="I1358" i="1"/>
  <c r="H1358" i="1"/>
  <c r="AA1357" i="1"/>
  <c r="U1357" i="1"/>
  <c r="T1357" i="1"/>
  <c r="W1357" i="1" s="1"/>
  <c r="X1357" i="1" s="1"/>
  <c r="M1357" i="1"/>
  <c r="K1357" i="1"/>
  <c r="L1357" i="1" s="1"/>
  <c r="AB1357" i="1" s="1"/>
  <c r="I1357" i="1"/>
  <c r="H1357" i="1"/>
  <c r="AB1356" i="1"/>
  <c r="AA1356" i="1"/>
  <c r="W1356" i="1"/>
  <c r="X1356" i="1" s="1"/>
  <c r="U1356" i="1"/>
  <c r="T1356" i="1"/>
  <c r="M1356" i="1"/>
  <c r="L1356" i="1"/>
  <c r="K1356" i="1"/>
  <c r="I1356" i="1"/>
  <c r="H1356" i="1"/>
  <c r="M1355" i="1"/>
  <c r="T1355" i="1" s="1"/>
  <c r="K1355" i="1"/>
  <c r="L1355" i="1" s="1"/>
  <c r="AB1355" i="1" s="1"/>
  <c r="H1355" i="1"/>
  <c r="T1354" i="1"/>
  <c r="AA1354" i="1" s="1"/>
  <c r="M1354" i="1"/>
  <c r="L1354" i="1"/>
  <c r="AB1354" i="1" s="1"/>
  <c r="H1354" i="1"/>
  <c r="T1353" i="1"/>
  <c r="AA1353" i="1" s="1"/>
  <c r="M1353" i="1"/>
  <c r="L1353" i="1"/>
  <c r="AB1353" i="1" s="1"/>
  <c r="H1353" i="1"/>
  <c r="T1352" i="1"/>
  <c r="AA1352" i="1" s="1"/>
  <c r="M1352" i="1"/>
  <c r="L1352" i="1"/>
  <c r="AB1352" i="1" s="1"/>
  <c r="K1352" i="1"/>
  <c r="H1352" i="1"/>
  <c r="M1351" i="1"/>
  <c r="T1351" i="1" s="1"/>
  <c r="L1351" i="1"/>
  <c r="AB1351" i="1" s="1"/>
  <c r="K1351" i="1"/>
  <c r="H1351" i="1"/>
  <c r="T1350" i="1"/>
  <c r="AA1350" i="1" s="1"/>
  <c r="M1350" i="1"/>
  <c r="L1350" i="1"/>
  <c r="AB1350" i="1" s="1"/>
  <c r="K1350" i="1"/>
  <c r="H1350" i="1"/>
  <c r="U1349" i="1"/>
  <c r="I1349" i="1" s="1"/>
  <c r="T1349" i="1"/>
  <c r="AA1349" i="1" s="1"/>
  <c r="M1349" i="1"/>
  <c r="K1349" i="1"/>
  <c r="L1349" i="1" s="1"/>
  <c r="AB1349" i="1" s="1"/>
  <c r="H1349" i="1"/>
  <c r="AA1348" i="1"/>
  <c r="W1348" i="1"/>
  <c r="X1348" i="1" s="1"/>
  <c r="U1348" i="1"/>
  <c r="I1348" i="1" s="1"/>
  <c r="T1348" i="1"/>
  <c r="M1348" i="1"/>
  <c r="L1348" i="1"/>
  <c r="AB1348" i="1" s="1"/>
  <c r="K1348" i="1"/>
  <c r="H1348" i="1"/>
  <c r="M1347" i="1"/>
  <c r="T1347" i="1" s="1"/>
  <c r="L1347" i="1"/>
  <c r="K1347" i="1"/>
  <c r="H1347" i="1"/>
  <c r="AB1346" i="1"/>
  <c r="AA1346" i="1"/>
  <c r="T1346" i="1"/>
  <c r="U1346" i="1" s="1"/>
  <c r="I1346" i="1" s="1"/>
  <c r="M1346" i="1"/>
  <c r="L1346" i="1"/>
  <c r="K1346" i="1"/>
  <c r="H1346" i="1"/>
  <c r="AA1345" i="1"/>
  <c r="U1345" i="1"/>
  <c r="T1345" i="1"/>
  <c r="W1345" i="1" s="1"/>
  <c r="X1345" i="1" s="1"/>
  <c r="M1345" i="1"/>
  <c r="K1345" i="1"/>
  <c r="L1345" i="1" s="1"/>
  <c r="AB1345" i="1" s="1"/>
  <c r="I1345" i="1"/>
  <c r="H1345" i="1"/>
  <c r="AB1344" i="1"/>
  <c r="AA1344" i="1"/>
  <c r="W1344" i="1"/>
  <c r="X1344" i="1" s="1"/>
  <c r="U1344" i="1"/>
  <c r="T1344" i="1"/>
  <c r="M1344" i="1"/>
  <c r="L1344" i="1"/>
  <c r="K1344" i="1"/>
  <c r="I1344" i="1"/>
  <c r="H1344" i="1"/>
  <c r="M1343" i="1"/>
  <c r="T1343" i="1" s="1"/>
  <c r="K1343" i="1"/>
  <c r="L1343" i="1" s="1"/>
  <c r="AB1343" i="1" s="1"/>
  <c r="H1343" i="1"/>
  <c r="T1342" i="1"/>
  <c r="AA1342" i="1" s="1"/>
  <c r="M1342" i="1"/>
  <c r="L1342" i="1"/>
  <c r="AB1342" i="1" s="1"/>
  <c r="K1342" i="1"/>
  <c r="H1342" i="1"/>
  <c r="M1341" i="1"/>
  <c r="T1341" i="1" s="1"/>
  <c r="L1341" i="1"/>
  <c r="K1341" i="1"/>
  <c r="H1341" i="1"/>
  <c r="T1340" i="1"/>
  <c r="M1340" i="1"/>
  <c r="L1340" i="1"/>
  <c r="AB1340" i="1" s="1"/>
  <c r="K1340" i="1"/>
  <c r="H1340" i="1"/>
  <c r="U1339" i="1"/>
  <c r="I1339" i="1" s="1"/>
  <c r="T1339" i="1"/>
  <c r="AA1339" i="1" s="1"/>
  <c r="M1339" i="1"/>
  <c r="K1339" i="1"/>
  <c r="L1339" i="1" s="1"/>
  <c r="AB1339" i="1" s="1"/>
  <c r="H1339" i="1"/>
  <c r="AA1338" i="1"/>
  <c r="W1338" i="1"/>
  <c r="X1338" i="1" s="1"/>
  <c r="U1338" i="1"/>
  <c r="I1338" i="1" s="1"/>
  <c r="T1338" i="1"/>
  <c r="M1338" i="1"/>
  <c r="L1338" i="1"/>
  <c r="AB1338" i="1" s="1"/>
  <c r="K1338" i="1"/>
  <c r="H1338" i="1"/>
  <c r="M1337" i="1"/>
  <c r="T1337" i="1" s="1"/>
  <c r="L1337" i="1"/>
  <c r="K1337" i="1"/>
  <c r="H1337" i="1"/>
  <c r="AB1336" i="1"/>
  <c r="AA1336" i="1"/>
  <c r="T1336" i="1"/>
  <c r="U1336" i="1" s="1"/>
  <c r="I1336" i="1" s="1"/>
  <c r="M1336" i="1"/>
  <c r="L1336" i="1"/>
  <c r="K1336" i="1"/>
  <c r="H1336" i="1"/>
  <c r="AA1335" i="1"/>
  <c r="U1335" i="1"/>
  <c r="T1335" i="1"/>
  <c r="W1335" i="1" s="1"/>
  <c r="X1335" i="1" s="1"/>
  <c r="M1335" i="1"/>
  <c r="K1335" i="1"/>
  <c r="L1335" i="1" s="1"/>
  <c r="AB1335" i="1" s="1"/>
  <c r="I1335" i="1"/>
  <c r="H1335" i="1"/>
  <c r="AB1334" i="1"/>
  <c r="W1334" i="1"/>
  <c r="X1334" i="1" s="1"/>
  <c r="U1334" i="1"/>
  <c r="T1334" i="1"/>
  <c r="AA1334" i="1" s="1"/>
  <c r="M1334" i="1"/>
  <c r="L1334" i="1"/>
  <c r="K1334" i="1"/>
  <c r="I1334" i="1"/>
  <c r="H1334" i="1"/>
  <c r="M1333" i="1"/>
  <c r="T1333" i="1" s="1"/>
  <c r="K1333" i="1"/>
  <c r="L1333" i="1" s="1"/>
  <c r="AB1333" i="1" s="1"/>
  <c r="H1333" i="1"/>
  <c r="T1332" i="1"/>
  <c r="AA1332" i="1" s="1"/>
  <c r="M1332" i="1"/>
  <c r="L1332" i="1"/>
  <c r="AB1332" i="1" s="1"/>
  <c r="K1332" i="1"/>
  <c r="H1332" i="1"/>
  <c r="M1331" i="1"/>
  <c r="T1331" i="1" s="1"/>
  <c r="L1331" i="1"/>
  <c r="K1331" i="1"/>
  <c r="H1331" i="1"/>
  <c r="T1330" i="1"/>
  <c r="M1330" i="1"/>
  <c r="L1330" i="1"/>
  <c r="K1330" i="1"/>
  <c r="H1330" i="1"/>
  <c r="T1329" i="1"/>
  <c r="M1329" i="1"/>
  <c r="K1329" i="1"/>
  <c r="L1329" i="1" s="1"/>
  <c r="H1329" i="1"/>
  <c r="AA1328" i="1"/>
  <c r="W1328" i="1"/>
  <c r="X1328" i="1" s="1"/>
  <c r="U1328" i="1"/>
  <c r="I1328" i="1" s="1"/>
  <c r="T1328" i="1"/>
  <c r="M1328" i="1"/>
  <c r="L1328" i="1"/>
  <c r="AB1328" i="1" s="1"/>
  <c r="K1328" i="1"/>
  <c r="H1328" i="1"/>
  <c r="W1327" i="1"/>
  <c r="X1327" i="1" s="1"/>
  <c r="M1327" i="1"/>
  <c r="T1327" i="1" s="1"/>
  <c r="L1327" i="1"/>
  <c r="K1327" i="1"/>
  <c r="H1327" i="1"/>
  <c r="AB1326" i="1"/>
  <c r="AA1326" i="1"/>
  <c r="T1326" i="1"/>
  <c r="U1326" i="1" s="1"/>
  <c r="I1326" i="1" s="1"/>
  <c r="M1326" i="1"/>
  <c r="L1326" i="1"/>
  <c r="K1326" i="1"/>
  <c r="H1326" i="1"/>
  <c r="AA1325" i="1"/>
  <c r="U1325" i="1"/>
  <c r="T1325" i="1"/>
  <c r="W1325" i="1" s="1"/>
  <c r="X1325" i="1" s="1"/>
  <c r="M1325" i="1"/>
  <c r="K1325" i="1"/>
  <c r="L1325" i="1" s="1"/>
  <c r="AB1325" i="1" s="1"/>
  <c r="I1325" i="1"/>
  <c r="H1325" i="1"/>
  <c r="AB1324" i="1"/>
  <c r="W1324" i="1"/>
  <c r="X1324" i="1" s="1"/>
  <c r="U1324" i="1"/>
  <c r="T1324" i="1"/>
  <c r="AA1324" i="1" s="1"/>
  <c r="M1324" i="1"/>
  <c r="L1324" i="1"/>
  <c r="K1324" i="1"/>
  <c r="I1324" i="1"/>
  <c r="H1324" i="1"/>
  <c r="S1323" i="1"/>
  <c r="T1323" i="1" s="1"/>
  <c r="M1323" i="1"/>
  <c r="K1323" i="1"/>
  <c r="L1323" i="1" s="1"/>
  <c r="AB1323" i="1" s="1"/>
  <c r="H1323" i="1"/>
  <c r="M1322" i="1"/>
  <c r="T1322" i="1" s="1"/>
  <c r="L1322" i="1"/>
  <c r="K1322" i="1"/>
  <c r="H1322" i="1"/>
  <c r="M1321" i="1"/>
  <c r="T1321" i="1" s="1"/>
  <c r="L1321" i="1"/>
  <c r="K1321" i="1"/>
  <c r="H1321" i="1"/>
  <c r="T1320" i="1"/>
  <c r="M1320" i="1"/>
  <c r="K1320" i="1"/>
  <c r="L1320" i="1" s="1"/>
  <c r="AB1320" i="1" s="1"/>
  <c r="H1320" i="1"/>
  <c r="AA1319" i="1"/>
  <c r="W1319" i="1"/>
  <c r="X1319" i="1" s="1"/>
  <c r="U1319" i="1"/>
  <c r="I1319" i="1" s="1"/>
  <c r="T1319" i="1"/>
  <c r="M1319" i="1"/>
  <c r="L1319" i="1"/>
  <c r="AB1319" i="1" s="1"/>
  <c r="K1319" i="1"/>
  <c r="H1319" i="1"/>
  <c r="X1318" i="1"/>
  <c r="W1318" i="1"/>
  <c r="M1318" i="1"/>
  <c r="T1318" i="1" s="1"/>
  <c r="K1318" i="1"/>
  <c r="L1318" i="1" s="1"/>
  <c r="AB1318" i="1" s="1"/>
  <c r="H1318" i="1"/>
  <c r="AB1317" i="1"/>
  <c r="AA1317" i="1"/>
  <c r="T1317" i="1"/>
  <c r="U1317" i="1" s="1"/>
  <c r="I1317" i="1" s="1"/>
  <c r="M1317" i="1"/>
  <c r="L1317" i="1"/>
  <c r="K1317" i="1"/>
  <c r="H1317" i="1"/>
  <c r="AA1316" i="1"/>
  <c r="M1316" i="1"/>
  <c r="T1316" i="1" s="1"/>
  <c r="K1316" i="1"/>
  <c r="L1316" i="1" s="1"/>
  <c r="AB1316" i="1" s="1"/>
  <c r="H1316" i="1"/>
  <c r="AB1315" i="1"/>
  <c r="W1315" i="1"/>
  <c r="X1315" i="1" s="1"/>
  <c r="T1315" i="1"/>
  <c r="U1315" i="1" s="1"/>
  <c r="I1315" i="1" s="1"/>
  <c r="M1315" i="1"/>
  <c r="L1315" i="1"/>
  <c r="K1315" i="1"/>
  <c r="H1315" i="1"/>
  <c r="M1314" i="1"/>
  <c r="T1314" i="1" s="1"/>
  <c r="K1314" i="1"/>
  <c r="L1314" i="1" s="1"/>
  <c r="AB1314" i="1" s="1"/>
  <c r="M1313" i="1"/>
  <c r="T1313" i="1" s="1"/>
  <c r="K1313" i="1"/>
  <c r="L1313" i="1" s="1"/>
  <c r="AB1313" i="1" s="1"/>
  <c r="M1312" i="1"/>
  <c r="T1312" i="1" s="1"/>
  <c r="K1312" i="1"/>
  <c r="L1312" i="1" s="1"/>
  <c r="AB1312" i="1" s="1"/>
  <c r="H1312" i="1"/>
  <c r="T1311" i="1"/>
  <c r="AA1311" i="1" s="1"/>
  <c r="M1311" i="1"/>
  <c r="K1311" i="1"/>
  <c r="L1311" i="1" s="1"/>
  <c r="AB1311" i="1" s="1"/>
  <c r="H1311" i="1"/>
  <c r="M1310" i="1"/>
  <c r="T1310" i="1" s="1"/>
  <c r="L1310" i="1"/>
  <c r="K1310" i="1"/>
  <c r="H1310" i="1"/>
  <c r="M1309" i="1"/>
  <c r="T1309" i="1" s="1"/>
  <c r="L1309" i="1"/>
  <c r="K1309" i="1"/>
  <c r="H1309" i="1"/>
  <c r="U1308" i="1"/>
  <c r="I1308" i="1" s="1"/>
  <c r="T1308" i="1"/>
  <c r="M1308" i="1"/>
  <c r="K1308" i="1"/>
  <c r="L1308" i="1" s="1"/>
  <c r="AB1308" i="1" s="1"/>
  <c r="H1308" i="1"/>
  <c r="AA1307" i="1"/>
  <c r="W1307" i="1"/>
  <c r="X1307" i="1" s="1"/>
  <c r="U1307" i="1"/>
  <c r="I1307" i="1" s="1"/>
  <c r="T1307" i="1"/>
  <c r="M1307" i="1"/>
  <c r="L1307" i="1"/>
  <c r="AB1307" i="1" s="1"/>
  <c r="K1307" i="1"/>
  <c r="H1307" i="1"/>
  <c r="X1306" i="1"/>
  <c r="W1306" i="1"/>
  <c r="M1306" i="1"/>
  <c r="T1306" i="1" s="1"/>
  <c r="K1306" i="1"/>
  <c r="L1306" i="1" s="1"/>
  <c r="AB1306" i="1" s="1"/>
  <c r="H1306" i="1"/>
  <c r="AB1305" i="1"/>
  <c r="AA1305" i="1"/>
  <c r="T1305" i="1"/>
  <c r="U1305" i="1" s="1"/>
  <c r="I1305" i="1" s="1"/>
  <c r="M1305" i="1"/>
  <c r="L1305" i="1"/>
  <c r="K1305" i="1"/>
  <c r="H1305" i="1"/>
  <c r="AA1304" i="1"/>
  <c r="M1304" i="1"/>
  <c r="T1304" i="1" s="1"/>
  <c r="K1304" i="1"/>
  <c r="L1304" i="1" s="1"/>
  <c r="AB1304" i="1" s="1"/>
  <c r="H1304" i="1"/>
  <c r="AB1303" i="1"/>
  <c r="W1303" i="1"/>
  <c r="X1303" i="1" s="1"/>
  <c r="T1303" i="1"/>
  <c r="U1303" i="1" s="1"/>
  <c r="I1303" i="1" s="1"/>
  <c r="M1303" i="1"/>
  <c r="L1303" i="1"/>
  <c r="K1303" i="1"/>
  <c r="H1303" i="1"/>
  <c r="M1302" i="1"/>
  <c r="T1302" i="1" s="1"/>
  <c r="K1302" i="1"/>
  <c r="L1302" i="1" s="1"/>
  <c r="AB1302" i="1" s="1"/>
  <c r="H1302" i="1"/>
  <c r="T1301" i="1"/>
  <c r="AA1301" i="1" s="1"/>
  <c r="M1301" i="1"/>
  <c r="K1301" i="1"/>
  <c r="L1301" i="1" s="1"/>
  <c r="AB1301" i="1" s="1"/>
  <c r="H1301" i="1"/>
  <c r="M1300" i="1"/>
  <c r="T1300" i="1" s="1"/>
  <c r="L1300" i="1"/>
  <c r="AB1300" i="1" s="1"/>
  <c r="K1300" i="1"/>
  <c r="H1300" i="1"/>
  <c r="M1299" i="1"/>
  <c r="T1299" i="1" s="1"/>
  <c r="L1299" i="1"/>
  <c r="K1299" i="1"/>
  <c r="H1299" i="1"/>
  <c r="U1298" i="1"/>
  <c r="I1298" i="1" s="1"/>
  <c r="T1298" i="1"/>
  <c r="M1298" i="1"/>
  <c r="K1298" i="1"/>
  <c r="L1298" i="1" s="1"/>
  <c r="AB1298" i="1" s="1"/>
  <c r="H1298" i="1"/>
  <c r="AA1297" i="1"/>
  <c r="W1297" i="1"/>
  <c r="X1297" i="1" s="1"/>
  <c r="U1297" i="1"/>
  <c r="I1297" i="1" s="1"/>
  <c r="T1297" i="1"/>
  <c r="M1297" i="1"/>
  <c r="L1297" i="1"/>
  <c r="AB1297" i="1" s="1"/>
  <c r="K1297" i="1"/>
  <c r="H1297" i="1"/>
  <c r="X1296" i="1"/>
  <c r="W1296" i="1"/>
  <c r="M1296" i="1"/>
  <c r="T1296" i="1" s="1"/>
  <c r="L1296" i="1"/>
  <c r="K1296" i="1"/>
  <c r="H1296" i="1"/>
  <c r="AB1295" i="1"/>
  <c r="AA1295" i="1"/>
  <c r="T1295" i="1"/>
  <c r="U1295" i="1" s="1"/>
  <c r="I1295" i="1" s="1"/>
  <c r="M1295" i="1"/>
  <c r="L1295" i="1"/>
  <c r="K1295" i="1"/>
  <c r="H1295" i="1"/>
  <c r="AA1294" i="1"/>
  <c r="U1294" i="1"/>
  <c r="T1294" i="1"/>
  <c r="W1294" i="1" s="1"/>
  <c r="X1294" i="1" s="1"/>
  <c r="M1294" i="1"/>
  <c r="K1294" i="1"/>
  <c r="L1294" i="1" s="1"/>
  <c r="AB1294" i="1" s="1"/>
  <c r="I1294" i="1"/>
  <c r="H1294" i="1"/>
  <c r="AB1293" i="1"/>
  <c r="W1293" i="1"/>
  <c r="X1293" i="1" s="1"/>
  <c r="U1293" i="1"/>
  <c r="T1293" i="1"/>
  <c r="AA1293" i="1" s="1"/>
  <c r="M1293" i="1"/>
  <c r="L1293" i="1"/>
  <c r="K1293" i="1"/>
  <c r="I1293" i="1"/>
  <c r="H1293" i="1"/>
  <c r="M1292" i="1"/>
  <c r="T1292" i="1" s="1"/>
  <c r="K1292" i="1"/>
  <c r="L1292" i="1" s="1"/>
  <c r="AB1292" i="1" s="1"/>
  <c r="H1292" i="1"/>
  <c r="T1291" i="1"/>
  <c r="AA1291" i="1" s="1"/>
  <c r="M1291" i="1"/>
  <c r="L1291" i="1"/>
  <c r="AB1291" i="1" s="1"/>
  <c r="K1291" i="1"/>
  <c r="H1291" i="1"/>
  <c r="M1290" i="1"/>
  <c r="T1290" i="1" s="1"/>
  <c r="L1290" i="1"/>
  <c r="K1290" i="1"/>
  <c r="H1290" i="1"/>
  <c r="T1289" i="1"/>
  <c r="M1289" i="1"/>
  <c r="L1289" i="1"/>
  <c r="AB1289" i="1" s="1"/>
  <c r="K1289" i="1"/>
  <c r="H1289" i="1"/>
  <c r="T1288" i="1"/>
  <c r="M1288" i="1"/>
  <c r="K1288" i="1"/>
  <c r="L1288" i="1" s="1"/>
  <c r="H1288" i="1"/>
  <c r="AA1287" i="1"/>
  <c r="W1287" i="1"/>
  <c r="X1287" i="1" s="1"/>
  <c r="U1287" i="1"/>
  <c r="I1287" i="1" s="1"/>
  <c r="T1287" i="1"/>
  <c r="M1287" i="1"/>
  <c r="L1287" i="1"/>
  <c r="AB1287" i="1" s="1"/>
  <c r="K1287" i="1"/>
  <c r="H1287" i="1"/>
  <c r="W1286" i="1"/>
  <c r="X1286" i="1" s="1"/>
  <c r="M1286" i="1"/>
  <c r="T1286" i="1" s="1"/>
  <c r="K1286" i="1"/>
  <c r="L1286" i="1" s="1"/>
  <c r="H1286" i="1"/>
  <c r="AB1285" i="1"/>
  <c r="AA1285" i="1"/>
  <c r="T1285" i="1"/>
  <c r="U1285" i="1" s="1"/>
  <c r="I1285" i="1" s="1"/>
  <c r="M1285" i="1"/>
  <c r="L1285" i="1"/>
  <c r="K1285" i="1"/>
  <c r="H1285" i="1"/>
  <c r="AA1284" i="1"/>
  <c r="M1284" i="1"/>
  <c r="T1284" i="1" s="1"/>
  <c r="K1284" i="1"/>
  <c r="L1284" i="1" s="1"/>
  <c r="AB1284" i="1" s="1"/>
  <c r="H1284" i="1"/>
  <c r="AB1283" i="1"/>
  <c r="W1283" i="1"/>
  <c r="X1283" i="1" s="1"/>
  <c r="T1283" i="1"/>
  <c r="U1283" i="1" s="1"/>
  <c r="M1283" i="1"/>
  <c r="L1283" i="1"/>
  <c r="K1283" i="1"/>
  <c r="I1283" i="1"/>
  <c r="H1283" i="1"/>
  <c r="M1282" i="1"/>
  <c r="T1282" i="1" s="1"/>
  <c r="K1282" i="1"/>
  <c r="L1282" i="1" s="1"/>
  <c r="AB1282" i="1" s="1"/>
  <c r="H1282" i="1"/>
  <c r="T1281" i="1"/>
  <c r="AA1281" i="1" s="1"/>
  <c r="M1281" i="1"/>
  <c r="K1281" i="1"/>
  <c r="L1281" i="1" s="1"/>
  <c r="AB1281" i="1" s="1"/>
  <c r="H1281" i="1"/>
  <c r="M1280" i="1"/>
  <c r="T1280" i="1" s="1"/>
  <c r="L1280" i="1"/>
  <c r="K1280" i="1"/>
  <c r="H1280" i="1"/>
  <c r="M1279" i="1"/>
  <c r="T1279" i="1" s="1"/>
  <c r="L1279" i="1"/>
  <c r="K1279" i="1"/>
  <c r="H1279" i="1"/>
  <c r="U1278" i="1"/>
  <c r="I1278" i="1" s="1"/>
  <c r="T1278" i="1"/>
  <c r="M1278" i="1"/>
  <c r="K1278" i="1"/>
  <c r="L1278" i="1" s="1"/>
  <c r="AB1278" i="1" s="1"/>
  <c r="H1278" i="1"/>
  <c r="AA1277" i="1"/>
  <c r="W1277" i="1"/>
  <c r="X1277" i="1" s="1"/>
  <c r="U1277" i="1"/>
  <c r="I1277" i="1" s="1"/>
  <c r="T1277" i="1"/>
  <c r="M1277" i="1"/>
  <c r="L1277" i="1"/>
  <c r="AB1277" i="1" s="1"/>
  <c r="K1277" i="1"/>
  <c r="H1277" i="1"/>
  <c r="W1276" i="1"/>
  <c r="X1276" i="1" s="1"/>
  <c r="M1276" i="1"/>
  <c r="T1276" i="1" s="1"/>
  <c r="L1276" i="1"/>
  <c r="K1276" i="1"/>
  <c r="H1276" i="1"/>
  <c r="AB1275" i="1"/>
  <c r="AA1275" i="1"/>
  <c r="T1275" i="1"/>
  <c r="U1275" i="1" s="1"/>
  <c r="I1275" i="1" s="1"/>
  <c r="M1275" i="1"/>
  <c r="L1275" i="1"/>
  <c r="K1275" i="1"/>
  <c r="H1275" i="1"/>
  <c r="AB1274" i="1"/>
  <c r="AA1274" i="1"/>
  <c r="U1274" i="1"/>
  <c r="T1274" i="1"/>
  <c r="W1274" i="1" s="1"/>
  <c r="X1274" i="1" s="1"/>
  <c r="M1274" i="1"/>
  <c r="K1274" i="1"/>
  <c r="L1274" i="1" s="1"/>
  <c r="I1274" i="1"/>
  <c r="H1274" i="1"/>
  <c r="W1273" i="1"/>
  <c r="X1273" i="1" s="1"/>
  <c r="U1273" i="1"/>
  <c r="T1273" i="1"/>
  <c r="AA1273" i="1" s="1"/>
  <c r="M1273" i="1"/>
  <c r="L1273" i="1"/>
  <c r="AB1273" i="1" s="1"/>
  <c r="K1273" i="1"/>
  <c r="I1273" i="1"/>
  <c r="H1273" i="1"/>
  <c r="M1272" i="1"/>
  <c r="T1272" i="1" s="1"/>
  <c r="K1272" i="1"/>
  <c r="L1272" i="1" s="1"/>
  <c r="H1272" i="1"/>
  <c r="T1271" i="1"/>
  <c r="M1271" i="1"/>
  <c r="K1271" i="1"/>
  <c r="L1271" i="1" s="1"/>
  <c r="AB1271" i="1" s="1"/>
  <c r="H1271" i="1"/>
  <c r="M1270" i="1"/>
  <c r="T1270" i="1" s="1"/>
  <c r="L1270" i="1"/>
  <c r="K1270" i="1"/>
  <c r="H1270" i="1"/>
  <c r="M1269" i="1"/>
  <c r="T1269" i="1" s="1"/>
  <c r="L1269" i="1"/>
  <c r="K1269" i="1"/>
  <c r="H1269" i="1"/>
  <c r="U1268" i="1"/>
  <c r="I1268" i="1" s="1"/>
  <c r="T1268" i="1"/>
  <c r="M1268" i="1"/>
  <c r="K1268" i="1"/>
  <c r="L1268" i="1" s="1"/>
  <c r="H1268" i="1"/>
  <c r="AA1267" i="1"/>
  <c r="W1267" i="1"/>
  <c r="X1267" i="1" s="1"/>
  <c r="U1267" i="1"/>
  <c r="I1267" i="1" s="1"/>
  <c r="T1267" i="1"/>
  <c r="M1267" i="1"/>
  <c r="L1267" i="1"/>
  <c r="AB1267" i="1" s="1"/>
  <c r="K1267" i="1"/>
  <c r="H1267" i="1"/>
  <c r="M1266" i="1"/>
  <c r="T1266" i="1" s="1"/>
  <c r="K1266" i="1"/>
  <c r="L1266" i="1" s="1"/>
  <c r="AB1266" i="1" s="1"/>
  <c r="H1266" i="1"/>
  <c r="AB1265" i="1"/>
  <c r="AA1265" i="1"/>
  <c r="T1265" i="1"/>
  <c r="U1265" i="1" s="1"/>
  <c r="M1265" i="1"/>
  <c r="L1265" i="1"/>
  <c r="K1265" i="1"/>
  <c r="I1265" i="1"/>
  <c r="H1265" i="1"/>
  <c r="AA1264" i="1"/>
  <c r="M1264" i="1"/>
  <c r="T1264" i="1" s="1"/>
  <c r="K1264" i="1"/>
  <c r="L1264" i="1" s="1"/>
  <c r="AB1264" i="1" s="1"/>
  <c r="H1264" i="1"/>
  <c r="W1263" i="1"/>
  <c r="X1263" i="1" s="1"/>
  <c r="T1263" i="1"/>
  <c r="U1263" i="1" s="1"/>
  <c r="M1263" i="1"/>
  <c r="L1263" i="1"/>
  <c r="AB1263" i="1" s="1"/>
  <c r="K1263" i="1"/>
  <c r="I1263" i="1"/>
  <c r="H1263" i="1"/>
  <c r="M1262" i="1"/>
  <c r="T1262" i="1" s="1"/>
  <c r="K1262" i="1"/>
  <c r="L1262" i="1" s="1"/>
  <c r="AB1262" i="1" s="1"/>
  <c r="H1262" i="1"/>
  <c r="T1261" i="1"/>
  <c r="M1261" i="1"/>
  <c r="K1261" i="1"/>
  <c r="L1261" i="1" s="1"/>
  <c r="AB1261" i="1" s="1"/>
  <c r="H1261" i="1"/>
  <c r="M1260" i="1"/>
  <c r="T1260" i="1" s="1"/>
  <c r="L1260" i="1"/>
  <c r="AB1260" i="1" s="1"/>
  <c r="K1260" i="1"/>
  <c r="H1260" i="1"/>
  <c r="T1259" i="1"/>
  <c r="M1259" i="1"/>
  <c r="L1259" i="1"/>
  <c r="AB1259" i="1" s="1"/>
  <c r="K1259" i="1"/>
  <c r="H1259" i="1"/>
  <c r="U1258" i="1"/>
  <c r="I1258" i="1" s="1"/>
  <c r="T1258" i="1"/>
  <c r="M1258" i="1"/>
  <c r="K1258" i="1"/>
  <c r="L1258" i="1" s="1"/>
  <c r="AB1258" i="1" s="1"/>
  <c r="H1258" i="1"/>
  <c r="AA1257" i="1"/>
  <c r="W1257" i="1"/>
  <c r="X1257" i="1" s="1"/>
  <c r="U1257" i="1"/>
  <c r="I1257" i="1" s="1"/>
  <c r="T1257" i="1"/>
  <c r="M1257" i="1"/>
  <c r="L1257" i="1"/>
  <c r="AB1257" i="1" s="1"/>
  <c r="K1257" i="1"/>
  <c r="H1257" i="1"/>
  <c r="M1256" i="1"/>
  <c r="T1256" i="1" s="1"/>
  <c r="K1256" i="1"/>
  <c r="L1256" i="1" s="1"/>
  <c r="AB1256" i="1" s="1"/>
  <c r="H1256" i="1"/>
  <c r="AB1255" i="1"/>
  <c r="AA1255" i="1"/>
  <c r="T1255" i="1"/>
  <c r="U1255" i="1" s="1"/>
  <c r="M1255" i="1"/>
  <c r="L1255" i="1"/>
  <c r="K1255" i="1"/>
  <c r="I1255" i="1"/>
  <c r="H1255" i="1"/>
  <c r="M1254" i="1"/>
  <c r="T1254" i="1" s="1"/>
  <c r="AB1254" i="1" s="1"/>
  <c r="K1254" i="1"/>
  <c r="L1254" i="1" s="1"/>
  <c r="H1254" i="1"/>
  <c r="W1253" i="1"/>
  <c r="X1253" i="1" s="1"/>
  <c r="T1253" i="1"/>
  <c r="U1253" i="1" s="1"/>
  <c r="M1253" i="1"/>
  <c r="L1253" i="1"/>
  <c r="AB1253" i="1" s="1"/>
  <c r="K1253" i="1"/>
  <c r="I1253" i="1"/>
  <c r="H1253" i="1"/>
  <c r="M1252" i="1"/>
  <c r="T1252" i="1" s="1"/>
  <c r="K1252" i="1"/>
  <c r="L1252" i="1" s="1"/>
  <c r="AB1252" i="1" s="1"/>
  <c r="H1252" i="1"/>
  <c r="T1251" i="1"/>
  <c r="M1251" i="1"/>
  <c r="K1251" i="1"/>
  <c r="L1251" i="1" s="1"/>
  <c r="AB1251" i="1" s="1"/>
  <c r="H1251" i="1"/>
  <c r="U1250" i="1"/>
  <c r="I1250" i="1" s="1"/>
  <c r="M1250" i="1"/>
  <c r="T1250" i="1" s="1"/>
  <c r="L1250" i="1"/>
  <c r="AB1250" i="1" s="1"/>
  <c r="K1250" i="1"/>
  <c r="H1250" i="1"/>
  <c r="M1249" i="1"/>
  <c r="T1249" i="1" s="1"/>
  <c r="L1249" i="1"/>
  <c r="K1249" i="1"/>
  <c r="H1249" i="1"/>
  <c r="U1248" i="1"/>
  <c r="I1248" i="1" s="1"/>
  <c r="T1248" i="1"/>
  <c r="M1248" i="1"/>
  <c r="K1248" i="1"/>
  <c r="L1248" i="1" s="1"/>
  <c r="H1248" i="1"/>
  <c r="AA1247" i="1"/>
  <c r="W1247" i="1"/>
  <c r="X1247" i="1" s="1"/>
  <c r="U1247" i="1"/>
  <c r="I1247" i="1" s="1"/>
  <c r="T1247" i="1"/>
  <c r="M1247" i="1"/>
  <c r="L1247" i="1"/>
  <c r="AB1247" i="1" s="1"/>
  <c r="K1247" i="1"/>
  <c r="H1247" i="1"/>
  <c r="M1246" i="1"/>
  <c r="T1246" i="1" s="1"/>
  <c r="K1246" i="1"/>
  <c r="L1246" i="1" s="1"/>
  <c r="AB1246" i="1" s="1"/>
  <c r="H1246" i="1"/>
  <c r="AB1245" i="1"/>
  <c r="AA1245" i="1"/>
  <c r="T1245" i="1"/>
  <c r="U1245" i="1" s="1"/>
  <c r="M1245" i="1"/>
  <c r="L1245" i="1"/>
  <c r="K1245" i="1"/>
  <c r="I1245" i="1"/>
  <c r="H1245" i="1"/>
  <c r="M1244" i="1"/>
  <c r="T1244" i="1" s="1"/>
  <c r="K1244" i="1"/>
  <c r="L1244" i="1" s="1"/>
  <c r="AB1244" i="1" s="1"/>
  <c r="H1244" i="1"/>
  <c r="W1243" i="1"/>
  <c r="X1243" i="1" s="1"/>
  <c r="T1243" i="1"/>
  <c r="U1243" i="1" s="1"/>
  <c r="I1243" i="1" s="1"/>
  <c r="M1243" i="1"/>
  <c r="L1243" i="1"/>
  <c r="AB1243" i="1" s="1"/>
  <c r="K1243" i="1"/>
  <c r="H1243" i="1"/>
  <c r="M1242" i="1"/>
  <c r="T1242" i="1" s="1"/>
  <c r="L1242" i="1"/>
  <c r="K1242" i="1"/>
  <c r="H1242" i="1"/>
  <c r="T1241" i="1"/>
  <c r="M1241" i="1"/>
  <c r="L1241" i="1"/>
  <c r="K1241" i="1"/>
  <c r="H1241" i="1"/>
  <c r="U1240" i="1"/>
  <c r="I1240" i="1" s="1"/>
  <c r="T1240" i="1"/>
  <c r="M1240" i="1"/>
  <c r="L1240" i="1"/>
  <c r="AB1240" i="1" s="1"/>
  <c r="K1240" i="1"/>
  <c r="H1240" i="1"/>
  <c r="W1239" i="1"/>
  <c r="X1239" i="1" s="1"/>
  <c r="U1239" i="1"/>
  <c r="I1239" i="1" s="1"/>
  <c r="T1239" i="1"/>
  <c r="AA1239" i="1" s="1"/>
  <c r="M1239" i="1"/>
  <c r="L1239" i="1"/>
  <c r="AB1239" i="1" s="1"/>
  <c r="K1239" i="1"/>
  <c r="H1239" i="1"/>
  <c r="W1238" i="1"/>
  <c r="X1238" i="1" s="1"/>
  <c r="U1238" i="1"/>
  <c r="I1238" i="1" s="1"/>
  <c r="T1238" i="1"/>
  <c r="AA1238" i="1" s="1"/>
  <c r="M1238" i="1"/>
  <c r="K1238" i="1"/>
  <c r="L1238" i="1" s="1"/>
  <c r="AB1238" i="1" s="1"/>
  <c r="H1238" i="1"/>
  <c r="AA1237" i="1"/>
  <c r="X1237" i="1"/>
  <c r="W1237" i="1"/>
  <c r="U1237" i="1"/>
  <c r="I1237" i="1" s="1"/>
  <c r="T1237" i="1"/>
  <c r="M1237" i="1"/>
  <c r="L1237" i="1"/>
  <c r="AB1237" i="1" s="1"/>
  <c r="K1237" i="1"/>
  <c r="H1237" i="1"/>
  <c r="M1236" i="1"/>
  <c r="T1236" i="1" s="1"/>
  <c r="U1236" i="1" s="1"/>
  <c r="I1236" i="1" s="1"/>
  <c r="K1236" i="1"/>
  <c r="L1236" i="1" s="1"/>
  <c r="AB1236" i="1" s="1"/>
  <c r="H1236" i="1"/>
  <c r="AB1235" i="1"/>
  <c r="AA1235" i="1"/>
  <c r="T1235" i="1"/>
  <c r="U1235" i="1" s="1"/>
  <c r="M1235" i="1"/>
  <c r="L1235" i="1"/>
  <c r="K1235" i="1"/>
  <c r="I1235" i="1"/>
  <c r="H1235" i="1"/>
  <c r="AB1234" i="1"/>
  <c r="M1234" i="1"/>
  <c r="T1234" i="1" s="1"/>
  <c r="AA1234" i="1" s="1"/>
  <c r="K1234" i="1"/>
  <c r="L1234" i="1" s="1"/>
  <c r="H1234" i="1"/>
  <c r="W1233" i="1"/>
  <c r="T1233" i="1"/>
  <c r="U1233" i="1" s="1"/>
  <c r="I1233" i="1" s="1"/>
  <c r="M1233" i="1"/>
  <c r="L1233" i="1"/>
  <c r="AB1233" i="1" s="1"/>
  <c r="K1233" i="1"/>
  <c r="H1233" i="1"/>
  <c r="M1232" i="1"/>
  <c r="T1232" i="1" s="1"/>
  <c r="K1232" i="1"/>
  <c r="L1232" i="1" s="1"/>
  <c r="AB1232" i="1" s="1"/>
  <c r="H1232" i="1"/>
  <c r="M1231" i="1"/>
  <c r="T1231" i="1" s="1"/>
  <c r="K1231" i="1"/>
  <c r="L1231" i="1" s="1"/>
  <c r="AB1231" i="1" s="1"/>
  <c r="H1231" i="1"/>
  <c r="M1230" i="1"/>
  <c r="T1230" i="1" s="1"/>
  <c r="L1230" i="1"/>
  <c r="K1230" i="1"/>
  <c r="H1230" i="1"/>
  <c r="W1229" i="1"/>
  <c r="X1229" i="1" s="1"/>
  <c r="T1229" i="1"/>
  <c r="AA1229" i="1" s="1"/>
  <c r="M1229" i="1"/>
  <c r="L1229" i="1"/>
  <c r="K1229" i="1"/>
  <c r="H1229" i="1"/>
  <c r="T1228" i="1"/>
  <c r="AA1228" i="1" s="1"/>
  <c r="M1228" i="1"/>
  <c r="K1228" i="1"/>
  <c r="L1228" i="1" s="1"/>
  <c r="H1228" i="1"/>
  <c r="AA1227" i="1"/>
  <c r="W1227" i="1"/>
  <c r="X1227" i="1" s="1"/>
  <c r="U1227" i="1"/>
  <c r="I1227" i="1" s="1"/>
  <c r="T1227" i="1"/>
  <c r="M1227" i="1"/>
  <c r="L1227" i="1"/>
  <c r="AB1227" i="1" s="1"/>
  <c r="K1227" i="1"/>
  <c r="H1227" i="1"/>
  <c r="AB1226" i="1"/>
  <c r="W1226" i="1"/>
  <c r="X1226" i="1" s="1"/>
  <c r="M1226" i="1"/>
  <c r="T1226" i="1" s="1"/>
  <c r="U1226" i="1" s="1"/>
  <c r="I1226" i="1" s="1"/>
  <c r="K1226" i="1"/>
  <c r="L1226" i="1" s="1"/>
  <c r="H1226" i="1"/>
  <c r="AB1225" i="1"/>
  <c r="AA1225" i="1"/>
  <c r="T1225" i="1"/>
  <c r="U1225" i="1" s="1"/>
  <c r="I1225" i="1" s="1"/>
  <c r="M1225" i="1"/>
  <c r="L1225" i="1"/>
  <c r="K1225" i="1"/>
  <c r="H1225" i="1"/>
  <c r="AA1224" i="1"/>
  <c r="M1224" i="1"/>
  <c r="T1224" i="1" s="1"/>
  <c r="W1224" i="1" s="1"/>
  <c r="K1224" i="1"/>
  <c r="L1224" i="1" s="1"/>
  <c r="AB1224" i="1" s="1"/>
  <c r="H1224" i="1"/>
  <c r="W1223" i="1"/>
  <c r="T1223" i="1"/>
  <c r="U1223" i="1" s="1"/>
  <c r="M1223" i="1"/>
  <c r="K1223" i="1"/>
  <c r="L1223" i="1" s="1"/>
  <c r="AB1223" i="1" s="1"/>
  <c r="I1223" i="1"/>
  <c r="H1223" i="1"/>
  <c r="M1222" i="1"/>
  <c r="T1222" i="1" s="1"/>
  <c r="L1222" i="1"/>
  <c r="AB1222" i="1" s="1"/>
  <c r="K1222" i="1"/>
  <c r="H1222" i="1"/>
  <c r="T1221" i="1"/>
  <c r="M1221" i="1"/>
  <c r="L1221" i="1"/>
  <c r="K1221" i="1"/>
  <c r="H1221" i="1"/>
  <c r="M1220" i="1"/>
  <c r="T1220" i="1" s="1"/>
  <c r="L1220" i="1"/>
  <c r="K1220" i="1"/>
  <c r="H1220" i="1"/>
  <c r="M1219" i="1"/>
  <c r="T1219" i="1" s="1"/>
  <c r="L1219" i="1"/>
  <c r="K1219" i="1"/>
  <c r="H1219" i="1"/>
  <c r="W1218" i="1"/>
  <c r="U1218" i="1"/>
  <c r="I1218" i="1" s="1"/>
  <c r="T1218" i="1"/>
  <c r="AA1218" i="1" s="1"/>
  <c r="M1218" i="1"/>
  <c r="K1218" i="1"/>
  <c r="L1218" i="1" s="1"/>
  <c r="AB1218" i="1" s="1"/>
  <c r="H1218" i="1"/>
  <c r="AA1217" i="1"/>
  <c r="W1217" i="1"/>
  <c r="X1217" i="1" s="1"/>
  <c r="U1217" i="1"/>
  <c r="I1217" i="1" s="1"/>
  <c r="T1217" i="1"/>
  <c r="M1217" i="1"/>
  <c r="L1217" i="1"/>
  <c r="AB1217" i="1" s="1"/>
  <c r="K1217" i="1"/>
  <c r="H1217" i="1"/>
  <c r="S1216" i="1"/>
  <c r="T1216" i="1" s="1"/>
  <c r="U1216" i="1" s="1"/>
  <c r="I1216" i="1" s="1"/>
  <c r="M1216" i="1"/>
  <c r="K1216" i="1"/>
  <c r="L1216" i="1" s="1"/>
  <c r="AB1216" i="1" s="1"/>
  <c r="H1216" i="1"/>
  <c r="AA1215" i="1"/>
  <c r="U1215" i="1"/>
  <c r="T1215" i="1"/>
  <c r="W1215" i="1" s="1"/>
  <c r="M1215" i="1"/>
  <c r="K1215" i="1"/>
  <c r="L1215" i="1" s="1"/>
  <c r="AB1215" i="1" s="1"/>
  <c r="I1215" i="1"/>
  <c r="H1215" i="1"/>
  <c r="W1214" i="1"/>
  <c r="X1214" i="1" s="1"/>
  <c r="M1214" i="1"/>
  <c r="T1214" i="1" s="1"/>
  <c r="K1214" i="1"/>
  <c r="L1214" i="1" s="1"/>
  <c r="AB1214" i="1" s="1"/>
  <c r="H1214" i="1"/>
  <c r="T1213" i="1"/>
  <c r="M1213" i="1"/>
  <c r="K1213" i="1"/>
  <c r="L1213" i="1" s="1"/>
  <c r="AB1213" i="1" s="1"/>
  <c r="H1213" i="1"/>
  <c r="M1212" i="1"/>
  <c r="T1212" i="1" s="1"/>
  <c r="L1212" i="1"/>
  <c r="K1212" i="1"/>
  <c r="H1212" i="1"/>
  <c r="AB1211" i="1"/>
  <c r="T1211" i="1"/>
  <c r="AA1211" i="1" s="1"/>
  <c r="M1211" i="1"/>
  <c r="L1211" i="1"/>
  <c r="K1211" i="1"/>
  <c r="H1211" i="1"/>
  <c r="U1210" i="1"/>
  <c r="I1210" i="1" s="1"/>
  <c r="T1210" i="1"/>
  <c r="AA1210" i="1" s="1"/>
  <c r="M1210" i="1"/>
  <c r="L1210" i="1"/>
  <c r="AB1210" i="1" s="1"/>
  <c r="K1210" i="1"/>
  <c r="H1210" i="1"/>
  <c r="AA1209" i="1"/>
  <c r="U1209" i="1"/>
  <c r="I1209" i="1" s="1"/>
  <c r="T1209" i="1"/>
  <c r="W1209" i="1" s="1"/>
  <c r="X1209" i="1" s="1"/>
  <c r="M1209" i="1"/>
  <c r="K1209" i="1"/>
  <c r="L1209" i="1" s="1"/>
  <c r="AB1209" i="1" s="1"/>
  <c r="H1209" i="1"/>
  <c r="T1208" i="1"/>
  <c r="AA1208" i="1" s="1"/>
  <c r="M1208" i="1"/>
  <c r="L1208" i="1"/>
  <c r="K1208" i="1"/>
  <c r="H1208" i="1"/>
  <c r="M1207" i="1"/>
  <c r="T1207" i="1" s="1"/>
  <c r="AA1207" i="1" s="1"/>
  <c r="L1207" i="1"/>
  <c r="K1207" i="1"/>
  <c r="H1207" i="1"/>
  <c r="M1206" i="1"/>
  <c r="T1206" i="1" s="1"/>
  <c r="K1206" i="1"/>
  <c r="L1206" i="1" s="1"/>
  <c r="H1206" i="1"/>
  <c r="AA1205" i="1"/>
  <c r="U1205" i="1"/>
  <c r="I1205" i="1" s="1"/>
  <c r="T1205" i="1"/>
  <c r="W1205" i="1" s="1"/>
  <c r="M1205" i="1"/>
  <c r="L1205" i="1"/>
  <c r="AB1205" i="1" s="1"/>
  <c r="K1205" i="1"/>
  <c r="X1205" i="1" s="1"/>
  <c r="H1205" i="1"/>
  <c r="AA1204" i="1"/>
  <c r="W1204" i="1"/>
  <c r="U1204" i="1"/>
  <c r="M1204" i="1"/>
  <c r="T1204" i="1" s="1"/>
  <c r="K1204" i="1"/>
  <c r="L1204" i="1" s="1"/>
  <c r="AB1204" i="1" s="1"/>
  <c r="I1204" i="1"/>
  <c r="H1204" i="1"/>
  <c r="AB1203" i="1"/>
  <c r="T1203" i="1"/>
  <c r="W1203" i="1" s="1"/>
  <c r="X1203" i="1" s="1"/>
  <c r="M1203" i="1"/>
  <c r="L1203" i="1"/>
  <c r="K1203" i="1"/>
  <c r="H1203" i="1"/>
  <c r="M1202" i="1"/>
  <c r="T1202" i="1" s="1"/>
  <c r="K1202" i="1"/>
  <c r="L1202" i="1" s="1"/>
  <c r="H1202" i="1"/>
  <c r="M1201" i="1"/>
  <c r="T1201" i="1" s="1"/>
  <c r="K1201" i="1"/>
  <c r="L1201" i="1" s="1"/>
  <c r="AB1201" i="1" s="1"/>
  <c r="H1201" i="1"/>
  <c r="M1200" i="1"/>
  <c r="T1200" i="1" s="1"/>
  <c r="L1200" i="1"/>
  <c r="K1200" i="1"/>
  <c r="H1200" i="1"/>
  <c r="T1199" i="1"/>
  <c r="AA1199" i="1" s="1"/>
  <c r="M1199" i="1"/>
  <c r="L1199" i="1"/>
  <c r="AB1199" i="1" s="1"/>
  <c r="K1199" i="1"/>
  <c r="H1199" i="1"/>
  <c r="M1198" i="1"/>
  <c r="T1198" i="1" s="1"/>
  <c r="K1198" i="1"/>
  <c r="L1198" i="1" s="1"/>
  <c r="H1198" i="1"/>
  <c r="T1197" i="1"/>
  <c r="W1197" i="1" s="1"/>
  <c r="X1197" i="1" s="1"/>
  <c r="M1197" i="1"/>
  <c r="L1197" i="1"/>
  <c r="AB1197" i="1" s="1"/>
  <c r="K1197" i="1"/>
  <c r="H1197" i="1"/>
  <c r="M1196" i="1"/>
  <c r="T1196" i="1" s="1"/>
  <c r="L1196" i="1"/>
  <c r="AB1196" i="1" s="1"/>
  <c r="K1196" i="1"/>
  <c r="H1196" i="1"/>
  <c r="T1195" i="1"/>
  <c r="AA1195" i="1" s="1"/>
  <c r="M1195" i="1"/>
  <c r="K1195" i="1"/>
  <c r="L1195" i="1" s="1"/>
  <c r="AB1195" i="1" s="1"/>
  <c r="H1195" i="1"/>
  <c r="U1194" i="1"/>
  <c r="I1194" i="1" s="1"/>
  <c r="T1194" i="1"/>
  <c r="AA1194" i="1" s="1"/>
  <c r="M1194" i="1"/>
  <c r="L1194" i="1"/>
  <c r="AB1194" i="1" s="1"/>
  <c r="K1194" i="1"/>
  <c r="H1194" i="1"/>
  <c r="M1193" i="1"/>
  <c r="T1193" i="1" s="1"/>
  <c r="L1193" i="1"/>
  <c r="K1193" i="1"/>
  <c r="H1193" i="1"/>
  <c r="T1192" i="1"/>
  <c r="AA1192" i="1" s="1"/>
  <c r="M1192" i="1"/>
  <c r="K1192" i="1"/>
  <c r="L1192" i="1" s="1"/>
  <c r="AB1192" i="1" s="1"/>
  <c r="H1192" i="1"/>
  <c r="AA1191" i="1"/>
  <c r="U1191" i="1"/>
  <c r="I1191" i="1" s="1"/>
  <c r="T1191" i="1"/>
  <c r="W1191" i="1" s="1"/>
  <c r="X1191" i="1" s="1"/>
  <c r="M1191" i="1"/>
  <c r="L1191" i="1"/>
  <c r="AB1191" i="1" s="1"/>
  <c r="K1191" i="1"/>
  <c r="H1191" i="1"/>
  <c r="M1190" i="1"/>
  <c r="T1190" i="1" s="1"/>
  <c r="K1190" i="1"/>
  <c r="L1190" i="1" s="1"/>
  <c r="AB1190" i="1" s="1"/>
  <c r="H1190" i="1"/>
  <c r="T1189" i="1"/>
  <c r="AA1189" i="1" s="1"/>
  <c r="M1189" i="1"/>
  <c r="L1189" i="1"/>
  <c r="AB1189" i="1" s="1"/>
  <c r="K1189" i="1"/>
  <c r="H1189" i="1"/>
  <c r="M1188" i="1"/>
  <c r="T1188" i="1" s="1"/>
  <c r="K1188" i="1"/>
  <c r="L1188" i="1" s="1"/>
  <c r="AB1188" i="1" s="1"/>
  <c r="H1188" i="1"/>
  <c r="T1187" i="1"/>
  <c r="W1187" i="1" s="1"/>
  <c r="X1187" i="1" s="1"/>
  <c r="M1187" i="1"/>
  <c r="L1187" i="1"/>
  <c r="AB1187" i="1" s="1"/>
  <c r="K1187" i="1"/>
  <c r="H1187" i="1"/>
  <c r="M1186" i="1"/>
  <c r="T1186" i="1" s="1"/>
  <c r="L1186" i="1"/>
  <c r="AB1186" i="1" s="1"/>
  <c r="K1186" i="1"/>
  <c r="H1186" i="1"/>
  <c r="T1185" i="1"/>
  <c r="AA1185" i="1" s="1"/>
  <c r="M1185" i="1"/>
  <c r="K1185" i="1"/>
  <c r="L1185" i="1" s="1"/>
  <c r="AB1185" i="1" s="1"/>
  <c r="H1185" i="1"/>
  <c r="U1184" i="1"/>
  <c r="I1184" i="1" s="1"/>
  <c r="T1184" i="1"/>
  <c r="AA1184" i="1" s="1"/>
  <c r="M1184" i="1"/>
  <c r="L1184" i="1"/>
  <c r="AB1184" i="1" s="1"/>
  <c r="K1184" i="1"/>
  <c r="H1184" i="1"/>
  <c r="M1183" i="1"/>
  <c r="T1183" i="1" s="1"/>
  <c r="L1183" i="1"/>
  <c r="AB1183" i="1" s="1"/>
  <c r="K1183" i="1"/>
  <c r="H1183" i="1"/>
  <c r="T1182" i="1"/>
  <c r="AA1182" i="1" s="1"/>
  <c r="M1182" i="1"/>
  <c r="K1182" i="1"/>
  <c r="L1182" i="1" s="1"/>
  <c r="AB1182" i="1" s="1"/>
  <c r="H1182" i="1"/>
  <c r="AA1181" i="1"/>
  <c r="U1181" i="1"/>
  <c r="I1181" i="1" s="1"/>
  <c r="T1181" i="1"/>
  <c r="W1181" i="1" s="1"/>
  <c r="X1181" i="1" s="1"/>
  <c r="M1181" i="1"/>
  <c r="L1181" i="1"/>
  <c r="AB1181" i="1" s="1"/>
  <c r="K1181" i="1"/>
  <c r="H1181" i="1"/>
  <c r="M1180" i="1"/>
  <c r="T1180" i="1" s="1"/>
  <c r="K1180" i="1"/>
  <c r="L1180" i="1" s="1"/>
  <c r="H1180" i="1"/>
  <c r="T1179" i="1"/>
  <c r="AA1179" i="1" s="1"/>
  <c r="M1179" i="1"/>
  <c r="L1179" i="1"/>
  <c r="AB1179" i="1" s="1"/>
  <c r="K1179" i="1"/>
  <c r="H1179" i="1"/>
  <c r="M1178" i="1"/>
  <c r="T1178" i="1" s="1"/>
  <c r="K1178" i="1"/>
  <c r="L1178" i="1" s="1"/>
  <c r="H1178" i="1"/>
  <c r="T1177" i="1"/>
  <c r="W1177" i="1" s="1"/>
  <c r="X1177" i="1" s="1"/>
  <c r="M1177" i="1"/>
  <c r="L1177" i="1"/>
  <c r="AB1177" i="1" s="1"/>
  <c r="K1177" i="1"/>
  <c r="H1177" i="1"/>
  <c r="M1176" i="1"/>
  <c r="T1176" i="1" s="1"/>
  <c r="L1176" i="1"/>
  <c r="AB1176" i="1" s="1"/>
  <c r="K1176" i="1"/>
  <c r="H1176" i="1"/>
  <c r="T1175" i="1"/>
  <c r="AA1175" i="1" s="1"/>
  <c r="M1175" i="1"/>
  <c r="K1175" i="1"/>
  <c r="L1175" i="1" s="1"/>
  <c r="AB1175" i="1" s="1"/>
  <c r="H1175" i="1"/>
  <c r="U1174" i="1"/>
  <c r="I1174" i="1" s="1"/>
  <c r="T1174" i="1"/>
  <c r="AA1174" i="1" s="1"/>
  <c r="M1174" i="1"/>
  <c r="L1174" i="1"/>
  <c r="AB1174" i="1" s="1"/>
  <c r="K1174" i="1"/>
  <c r="H1174" i="1"/>
  <c r="M1173" i="1"/>
  <c r="T1173" i="1" s="1"/>
  <c r="L1173" i="1"/>
  <c r="K1173" i="1"/>
  <c r="H1173" i="1"/>
  <c r="M1172" i="1"/>
  <c r="T1172" i="1" s="1"/>
  <c r="K1172" i="1"/>
  <c r="L1172" i="1" s="1"/>
  <c r="I1172" i="1"/>
  <c r="H1172" i="1"/>
  <c r="T1171" i="1"/>
  <c r="AA1171" i="1" s="1"/>
  <c r="M1171" i="1"/>
  <c r="L1171" i="1"/>
  <c r="AB1171" i="1" s="1"/>
  <c r="K1171" i="1"/>
  <c r="H1171" i="1"/>
  <c r="M1170" i="1"/>
  <c r="T1170" i="1" s="1"/>
  <c r="L1170" i="1"/>
  <c r="AB1170" i="1" s="1"/>
  <c r="K1170" i="1"/>
  <c r="H1170" i="1"/>
  <c r="W1169" i="1"/>
  <c r="X1169" i="1" s="1"/>
  <c r="T1169" i="1"/>
  <c r="AA1169" i="1" s="1"/>
  <c r="M1169" i="1"/>
  <c r="K1169" i="1"/>
  <c r="L1169" i="1" s="1"/>
  <c r="AB1169" i="1" s="1"/>
  <c r="H1169" i="1"/>
  <c r="U1168" i="1"/>
  <c r="T1168" i="1"/>
  <c r="AA1168" i="1" s="1"/>
  <c r="M1168" i="1"/>
  <c r="L1168" i="1"/>
  <c r="AB1168" i="1" s="1"/>
  <c r="K1168" i="1"/>
  <c r="I1168" i="1"/>
  <c r="H1168" i="1"/>
  <c r="M1167" i="1"/>
  <c r="T1167" i="1" s="1"/>
  <c r="K1167" i="1"/>
  <c r="L1167" i="1" s="1"/>
  <c r="AB1167" i="1" s="1"/>
  <c r="H1167" i="1"/>
  <c r="T1166" i="1"/>
  <c r="W1166" i="1" s="1"/>
  <c r="X1166" i="1" s="1"/>
  <c r="M1166" i="1"/>
  <c r="L1166" i="1"/>
  <c r="AB1166" i="1" s="1"/>
  <c r="K1166" i="1"/>
  <c r="H1166" i="1"/>
  <c r="M1165" i="1"/>
  <c r="T1165" i="1" s="1"/>
  <c r="L1165" i="1"/>
  <c r="AB1165" i="1" s="1"/>
  <c r="K1165" i="1"/>
  <c r="H1165" i="1"/>
  <c r="T1164" i="1"/>
  <c r="AA1164" i="1" s="1"/>
  <c r="M1164" i="1"/>
  <c r="K1164" i="1"/>
  <c r="L1164" i="1" s="1"/>
  <c r="AB1164" i="1" s="1"/>
  <c r="H1164" i="1"/>
  <c r="U1163" i="1"/>
  <c r="I1163" i="1" s="1"/>
  <c r="T1163" i="1"/>
  <c r="AA1163" i="1" s="1"/>
  <c r="M1163" i="1"/>
  <c r="L1163" i="1"/>
  <c r="AB1163" i="1" s="1"/>
  <c r="K1163" i="1"/>
  <c r="H1163" i="1"/>
  <c r="M1162" i="1"/>
  <c r="T1162" i="1" s="1"/>
  <c r="K1162" i="1"/>
  <c r="L1162" i="1" s="1"/>
  <c r="AB1162" i="1" s="1"/>
  <c r="H1162" i="1"/>
  <c r="T1161" i="1"/>
  <c r="AA1161" i="1" s="1"/>
  <c r="M1161" i="1"/>
  <c r="L1161" i="1"/>
  <c r="AB1161" i="1" s="1"/>
  <c r="K1161" i="1"/>
  <c r="H1161" i="1"/>
  <c r="M1160" i="1"/>
  <c r="T1160" i="1" s="1"/>
  <c r="L1160" i="1"/>
  <c r="AB1160" i="1" s="1"/>
  <c r="K1160" i="1"/>
  <c r="H1160" i="1"/>
  <c r="W1159" i="1"/>
  <c r="X1159" i="1" s="1"/>
  <c r="T1159" i="1"/>
  <c r="AA1159" i="1" s="1"/>
  <c r="M1159" i="1"/>
  <c r="K1159" i="1"/>
  <c r="L1159" i="1" s="1"/>
  <c r="AB1159" i="1" s="1"/>
  <c r="H1159" i="1"/>
  <c r="X1158" i="1"/>
  <c r="W1158" i="1"/>
  <c r="U1158" i="1"/>
  <c r="T1158" i="1"/>
  <c r="AA1158" i="1" s="1"/>
  <c r="M1158" i="1"/>
  <c r="L1158" i="1"/>
  <c r="AB1158" i="1" s="1"/>
  <c r="K1158" i="1"/>
  <c r="I1158" i="1"/>
  <c r="H1158" i="1"/>
  <c r="M1157" i="1"/>
  <c r="T1157" i="1" s="1"/>
  <c r="K1157" i="1"/>
  <c r="L1157" i="1" s="1"/>
  <c r="AB1157" i="1" s="1"/>
  <c r="H1157" i="1"/>
  <c r="T1156" i="1"/>
  <c r="W1156" i="1" s="1"/>
  <c r="X1156" i="1" s="1"/>
  <c r="M1156" i="1"/>
  <c r="L1156" i="1"/>
  <c r="AB1156" i="1" s="1"/>
  <c r="K1156" i="1"/>
  <c r="H1156" i="1"/>
  <c r="M1155" i="1"/>
  <c r="T1155" i="1" s="1"/>
  <c r="L1155" i="1"/>
  <c r="AB1155" i="1" s="1"/>
  <c r="K1155" i="1"/>
  <c r="H1155" i="1"/>
  <c r="T1154" i="1"/>
  <c r="AA1154" i="1" s="1"/>
  <c r="M1154" i="1"/>
  <c r="K1154" i="1"/>
  <c r="L1154" i="1" s="1"/>
  <c r="AB1154" i="1" s="1"/>
  <c r="H1154" i="1"/>
  <c r="U1153" i="1"/>
  <c r="I1153" i="1" s="1"/>
  <c r="T1153" i="1"/>
  <c r="AA1153" i="1" s="1"/>
  <c r="M1153" i="1"/>
  <c r="L1153" i="1"/>
  <c r="AB1153" i="1" s="1"/>
  <c r="K1153" i="1"/>
  <c r="H1153" i="1"/>
  <c r="M1152" i="1"/>
  <c r="T1152" i="1" s="1"/>
  <c r="K1152" i="1"/>
  <c r="L1152" i="1" s="1"/>
  <c r="AB1152" i="1" s="1"/>
  <c r="H1152" i="1"/>
  <c r="T1151" i="1"/>
  <c r="AA1151" i="1" s="1"/>
  <c r="M1151" i="1"/>
  <c r="L1151" i="1"/>
  <c r="AB1151" i="1" s="1"/>
  <c r="K1151" i="1"/>
  <c r="H1151" i="1"/>
  <c r="M1150" i="1"/>
  <c r="T1150" i="1" s="1"/>
  <c r="L1150" i="1"/>
  <c r="AB1150" i="1" s="1"/>
  <c r="K1150" i="1"/>
  <c r="H1150" i="1"/>
  <c r="W1149" i="1"/>
  <c r="X1149" i="1" s="1"/>
  <c r="T1149" i="1"/>
  <c r="AA1149" i="1" s="1"/>
  <c r="M1149" i="1"/>
  <c r="K1149" i="1"/>
  <c r="L1149" i="1" s="1"/>
  <c r="AB1149" i="1" s="1"/>
  <c r="H1149" i="1"/>
  <c r="X1148" i="1"/>
  <c r="W1148" i="1"/>
  <c r="U1148" i="1"/>
  <c r="T1148" i="1"/>
  <c r="AA1148" i="1" s="1"/>
  <c r="M1148" i="1"/>
  <c r="L1148" i="1"/>
  <c r="AB1148" i="1" s="1"/>
  <c r="K1148" i="1"/>
  <c r="I1148" i="1"/>
  <c r="H1148" i="1"/>
  <c r="M1147" i="1"/>
  <c r="T1147" i="1" s="1"/>
  <c r="K1147" i="1"/>
  <c r="L1147" i="1" s="1"/>
  <c r="AB1147" i="1" s="1"/>
  <c r="H1147" i="1"/>
  <c r="T1146" i="1"/>
  <c r="W1146" i="1" s="1"/>
  <c r="X1146" i="1" s="1"/>
  <c r="M1146" i="1"/>
  <c r="L1146" i="1"/>
  <c r="AB1146" i="1" s="1"/>
  <c r="K1146" i="1"/>
  <c r="H1146" i="1"/>
  <c r="M1145" i="1"/>
  <c r="T1145" i="1" s="1"/>
  <c r="L1145" i="1"/>
  <c r="AB1145" i="1" s="1"/>
  <c r="K1145" i="1"/>
  <c r="H1145" i="1"/>
  <c r="T1144" i="1"/>
  <c r="AA1144" i="1" s="1"/>
  <c r="M1144" i="1"/>
  <c r="K1144" i="1"/>
  <c r="L1144" i="1" s="1"/>
  <c r="AB1144" i="1" s="1"/>
  <c r="H1144" i="1"/>
  <c r="U1143" i="1"/>
  <c r="I1143" i="1" s="1"/>
  <c r="T1143" i="1"/>
  <c r="AA1143" i="1" s="1"/>
  <c r="M1143" i="1"/>
  <c r="L1143" i="1"/>
  <c r="AB1143" i="1" s="1"/>
  <c r="K1143" i="1"/>
  <c r="H1143" i="1"/>
  <c r="M1142" i="1"/>
  <c r="T1142" i="1" s="1"/>
  <c r="K1142" i="1"/>
  <c r="L1142" i="1" s="1"/>
  <c r="AB1142" i="1" s="1"/>
  <c r="H1142" i="1"/>
  <c r="T1141" i="1"/>
  <c r="AA1141" i="1" s="1"/>
  <c r="M1141" i="1"/>
  <c r="L1141" i="1"/>
  <c r="AB1141" i="1" s="1"/>
  <c r="K1141" i="1"/>
  <c r="H1141" i="1"/>
  <c r="M1140" i="1"/>
  <c r="T1140" i="1" s="1"/>
  <c r="L1140" i="1"/>
  <c r="AB1140" i="1" s="1"/>
  <c r="K1140" i="1"/>
  <c r="H1140" i="1"/>
  <c r="W1139" i="1"/>
  <c r="X1139" i="1" s="1"/>
  <c r="T1139" i="1"/>
  <c r="AA1139" i="1" s="1"/>
  <c r="M1139" i="1"/>
  <c r="K1139" i="1"/>
  <c r="L1139" i="1" s="1"/>
  <c r="AB1139" i="1" s="1"/>
  <c r="H1139" i="1"/>
  <c r="X1138" i="1"/>
  <c r="W1138" i="1"/>
  <c r="U1138" i="1"/>
  <c r="T1138" i="1"/>
  <c r="AA1138" i="1" s="1"/>
  <c r="M1138" i="1"/>
  <c r="L1138" i="1"/>
  <c r="AB1138" i="1" s="1"/>
  <c r="K1138" i="1"/>
  <c r="I1138" i="1"/>
  <c r="H1138" i="1"/>
  <c r="M1137" i="1"/>
  <c r="T1137" i="1" s="1"/>
  <c r="K1137" i="1"/>
  <c r="L1137" i="1" s="1"/>
  <c r="AB1137" i="1" s="1"/>
  <c r="H1137" i="1"/>
  <c r="T1136" i="1"/>
  <c r="W1136" i="1" s="1"/>
  <c r="X1136" i="1" s="1"/>
  <c r="M1136" i="1"/>
  <c r="L1136" i="1"/>
  <c r="AB1136" i="1" s="1"/>
  <c r="K1136" i="1"/>
  <c r="H1136" i="1"/>
  <c r="M1135" i="1"/>
  <c r="T1135" i="1" s="1"/>
  <c r="L1135" i="1"/>
  <c r="AB1135" i="1" s="1"/>
  <c r="K1135" i="1"/>
  <c r="H1135" i="1"/>
  <c r="T1134" i="1"/>
  <c r="AA1134" i="1" s="1"/>
  <c r="M1134" i="1"/>
  <c r="K1134" i="1"/>
  <c r="L1134" i="1" s="1"/>
  <c r="AB1134" i="1" s="1"/>
  <c r="H1134" i="1"/>
  <c r="U1133" i="1"/>
  <c r="I1133" i="1" s="1"/>
  <c r="T1133" i="1"/>
  <c r="AA1133" i="1" s="1"/>
  <c r="M1133" i="1"/>
  <c r="L1133" i="1"/>
  <c r="AB1133" i="1" s="1"/>
  <c r="K1133" i="1"/>
  <c r="H1133" i="1"/>
  <c r="M1132" i="1"/>
  <c r="T1132" i="1" s="1"/>
  <c r="L1132" i="1"/>
  <c r="AB1132" i="1" s="1"/>
  <c r="K1132" i="1"/>
  <c r="H1132" i="1"/>
  <c r="T1131" i="1"/>
  <c r="AA1131" i="1" s="1"/>
  <c r="M1131" i="1"/>
  <c r="L1131" i="1"/>
  <c r="AB1131" i="1" s="1"/>
  <c r="K1131" i="1"/>
  <c r="H1131" i="1"/>
  <c r="AA1130" i="1"/>
  <c r="U1130" i="1"/>
  <c r="I1130" i="1" s="1"/>
  <c r="T1130" i="1"/>
  <c r="W1130" i="1" s="1"/>
  <c r="X1130" i="1" s="1"/>
  <c r="M1130" i="1"/>
  <c r="L1130" i="1"/>
  <c r="AB1130" i="1" s="1"/>
  <c r="K1130" i="1"/>
  <c r="H1130" i="1"/>
  <c r="W1129" i="1"/>
  <c r="X1129" i="1" s="1"/>
  <c r="U1129" i="1"/>
  <c r="I1129" i="1" s="1"/>
  <c r="T1129" i="1"/>
  <c r="AA1129" i="1" s="1"/>
  <c r="M1129" i="1"/>
  <c r="K1129" i="1"/>
  <c r="L1129" i="1" s="1"/>
  <c r="AB1129" i="1" s="1"/>
  <c r="H1129" i="1"/>
  <c r="AB1128" i="1"/>
  <c r="X1128" i="1"/>
  <c r="W1128" i="1"/>
  <c r="U1128" i="1"/>
  <c r="T1128" i="1"/>
  <c r="AA1128" i="1" s="1"/>
  <c r="M1128" i="1"/>
  <c r="L1128" i="1"/>
  <c r="K1128" i="1"/>
  <c r="I1128" i="1"/>
  <c r="H1128" i="1"/>
  <c r="M1127" i="1"/>
  <c r="T1127" i="1" s="1"/>
  <c r="K1127" i="1"/>
  <c r="L1127" i="1" s="1"/>
  <c r="AB1127" i="1" s="1"/>
  <c r="H1127" i="1"/>
  <c r="AB1126" i="1"/>
  <c r="AA1126" i="1"/>
  <c r="T1126" i="1"/>
  <c r="W1126" i="1" s="1"/>
  <c r="X1126" i="1" s="1"/>
  <c r="M1126" i="1"/>
  <c r="L1126" i="1"/>
  <c r="K1126" i="1"/>
  <c r="H1126" i="1"/>
  <c r="M1125" i="1"/>
  <c r="T1125" i="1" s="1"/>
  <c r="L1125" i="1"/>
  <c r="K1125" i="1"/>
  <c r="H1125" i="1"/>
  <c r="T1124" i="1"/>
  <c r="AA1124" i="1" s="1"/>
  <c r="M1124" i="1"/>
  <c r="K1124" i="1"/>
  <c r="L1124" i="1" s="1"/>
  <c r="AB1124" i="1" s="1"/>
  <c r="H1124" i="1"/>
  <c r="U1123" i="1"/>
  <c r="I1123" i="1" s="1"/>
  <c r="T1123" i="1"/>
  <c r="AA1123" i="1" s="1"/>
  <c r="M1123" i="1"/>
  <c r="L1123" i="1"/>
  <c r="AB1123" i="1" s="1"/>
  <c r="K1123" i="1"/>
  <c r="H1123" i="1"/>
  <c r="M1122" i="1"/>
  <c r="T1122" i="1" s="1"/>
  <c r="L1122" i="1"/>
  <c r="AB1122" i="1" s="1"/>
  <c r="K1122" i="1"/>
  <c r="H1122" i="1"/>
  <c r="T1121" i="1"/>
  <c r="AA1121" i="1" s="1"/>
  <c r="M1121" i="1"/>
  <c r="L1121" i="1"/>
  <c r="AB1121" i="1" s="1"/>
  <c r="K1121" i="1"/>
  <c r="H1121" i="1"/>
  <c r="AA1120" i="1"/>
  <c r="U1120" i="1"/>
  <c r="I1120" i="1" s="1"/>
  <c r="T1120" i="1"/>
  <c r="W1120" i="1" s="1"/>
  <c r="X1120" i="1" s="1"/>
  <c r="M1120" i="1"/>
  <c r="L1120" i="1"/>
  <c r="AB1120" i="1" s="1"/>
  <c r="K1120" i="1"/>
  <c r="H1120" i="1"/>
  <c r="W1119" i="1"/>
  <c r="X1119" i="1" s="1"/>
  <c r="U1119" i="1"/>
  <c r="I1119" i="1" s="1"/>
  <c r="T1119" i="1"/>
  <c r="AA1119" i="1" s="1"/>
  <c r="M1119" i="1"/>
  <c r="K1119" i="1"/>
  <c r="L1119" i="1" s="1"/>
  <c r="AB1119" i="1" s="1"/>
  <c r="H1119" i="1"/>
  <c r="AB1118" i="1"/>
  <c r="X1118" i="1"/>
  <c r="W1118" i="1"/>
  <c r="U1118" i="1"/>
  <c r="T1118" i="1"/>
  <c r="AA1118" i="1" s="1"/>
  <c r="M1118" i="1"/>
  <c r="L1118" i="1"/>
  <c r="K1118" i="1"/>
  <c r="I1118" i="1"/>
  <c r="H1118" i="1"/>
  <c r="M1117" i="1"/>
  <c r="T1117" i="1" s="1"/>
  <c r="K1117" i="1"/>
  <c r="L1117" i="1" s="1"/>
  <c r="AB1117" i="1" s="1"/>
  <c r="H1117" i="1"/>
  <c r="AB1116" i="1"/>
  <c r="AA1116" i="1"/>
  <c r="T1116" i="1"/>
  <c r="W1116" i="1" s="1"/>
  <c r="X1116" i="1" s="1"/>
  <c r="M1116" i="1"/>
  <c r="L1116" i="1"/>
  <c r="K1116" i="1"/>
  <c r="H1116" i="1"/>
  <c r="M1115" i="1"/>
  <c r="T1115" i="1" s="1"/>
  <c r="L1115" i="1"/>
  <c r="K1115" i="1"/>
  <c r="H1115" i="1"/>
  <c r="T1114" i="1"/>
  <c r="AA1114" i="1" s="1"/>
  <c r="M1114" i="1"/>
  <c r="K1114" i="1"/>
  <c r="L1114" i="1" s="1"/>
  <c r="AB1114" i="1" s="1"/>
  <c r="H1114" i="1"/>
  <c r="U1113" i="1"/>
  <c r="I1113" i="1" s="1"/>
  <c r="T1113" i="1"/>
  <c r="AA1113" i="1" s="1"/>
  <c r="M1113" i="1"/>
  <c r="L1113" i="1"/>
  <c r="AB1113" i="1" s="1"/>
  <c r="K1113" i="1"/>
  <c r="H1113" i="1"/>
  <c r="M1112" i="1"/>
  <c r="T1112" i="1" s="1"/>
  <c r="L1112" i="1"/>
  <c r="AB1112" i="1" s="1"/>
  <c r="K1112" i="1"/>
  <c r="H1112" i="1"/>
  <c r="T1111" i="1"/>
  <c r="AA1111" i="1" s="1"/>
  <c r="M1111" i="1"/>
  <c r="L1111" i="1"/>
  <c r="AB1111" i="1" s="1"/>
  <c r="K1111" i="1"/>
  <c r="H1111" i="1"/>
  <c r="U1110" i="1"/>
  <c r="I1110" i="1" s="1"/>
  <c r="T1110" i="1"/>
  <c r="AA1110" i="1" s="1"/>
  <c r="M1110" i="1"/>
  <c r="L1110" i="1"/>
  <c r="AB1110" i="1" s="1"/>
  <c r="K1110" i="1"/>
  <c r="H1110" i="1"/>
  <c r="W1109" i="1"/>
  <c r="X1109" i="1" s="1"/>
  <c r="U1109" i="1"/>
  <c r="I1109" i="1" s="1"/>
  <c r="T1109" i="1"/>
  <c r="AA1109" i="1" s="1"/>
  <c r="M1109" i="1"/>
  <c r="K1109" i="1"/>
  <c r="L1109" i="1" s="1"/>
  <c r="AB1109" i="1" s="1"/>
  <c r="H1109" i="1"/>
  <c r="X1108" i="1"/>
  <c r="W1108" i="1"/>
  <c r="U1108" i="1"/>
  <c r="T1108" i="1"/>
  <c r="AA1108" i="1" s="1"/>
  <c r="M1108" i="1"/>
  <c r="L1108" i="1"/>
  <c r="AB1108" i="1" s="1"/>
  <c r="K1108" i="1"/>
  <c r="I1108" i="1"/>
  <c r="H1108" i="1"/>
  <c r="M1107" i="1"/>
  <c r="T1107" i="1" s="1"/>
  <c r="K1107" i="1"/>
  <c r="L1107" i="1" s="1"/>
  <c r="AB1107" i="1" s="1"/>
  <c r="H1107" i="1"/>
  <c r="AB1106" i="1"/>
  <c r="AA1106" i="1"/>
  <c r="T1106" i="1"/>
  <c r="W1106" i="1" s="1"/>
  <c r="X1106" i="1" s="1"/>
  <c r="M1106" i="1"/>
  <c r="L1106" i="1"/>
  <c r="K1106" i="1"/>
  <c r="H1106" i="1"/>
  <c r="M1105" i="1"/>
  <c r="T1105" i="1" s="1"/>
  <c r="L1105" i="1"/>
  <c r="K1105" i="1"/>
  <c r="H1105" i="1"/>
  <c r="T1104" i="1"/>
  <c r="AA1104" i="1" s="1"/>
  <c r="M1104" i="1"/>
  <c r="K1104" i="1"/>
  <c r="L1104" i="1" s="1"/>
  <c r="AB1104" i="1" s="1"/>
  <c r="H1104" i="1"/>
  <c r="U1103" i="1"/>
  <c r="I1103" i="1" s="1"/>
  <c r="T1103" i="1"/>
  <c r="AA1103" i="1" s="1"/>
  <c r="M1103" i="1"/>
  <c r="L1103" i="1"/>
  <c r="AB1103" i="1" s="1"/>
  <c r="K1103" i="1"/>
  <c r="H1103" i="1"/>
  <c r="M1102" i="1"/>
  <c r="T1102" i="1" s="1"/>
  <c r="L1102" i="1"/>
  <c r="AB1102" i="1" s="1"/>
  <c r="K1102" i="1"/>
  <c r="H1102" i="1"/>
  <c r="T1101" i="1"/>
  <c r="AA1101" i="1" s="1"/>
  <c r="M1101" i="1"/>
  <c r="L1101" i="1"/>
  <c r="AB1101" i="1" s="1"/>
  <c r="K1101" i="1"/>
  <c r="H1101" i="1"/>
  <c r="U1100" i="1"/>
  <c r="I1100" i="1" s="1"/>
  <c r="T1100" i="1"/>
  <c r="AA1100" i="1" s="1"/>
  <c r="M1100" i="1"/>
  <c r="L1100" i="1"/>
  <c r="AB1100" i="1" s="1"/>
  <c r="K1100" i="1"/>
  <c r="H1100" i="1"/>
  <c r="W1099" i="1"/>
  <c r="X1099" i="1" s="1"/>
  <c r="U1099" i="1"/>
  <c r="I1099" i="1" s="1"/>
  <c r="T1099" i="1"/>
  <c r="AA1099" i="1" s="1"/>
  <c r="M1099" i="1"/>
  <c r="K1099" i="1"/>
  <c r="L1099" i="1" s="1"/>
  <c r="AB1099" i="1" s="1"/>
  <c r="H1099" i="1"/>
  <c r="X1098" i="1"/>
  <c r="W1098" i="1"/>
  <c r="U1098" i="1"/>
  <c r="T1098" i="1"/>
  <c r="AA1098" i="1" s="1"/>
  <c r="M1098" i="1"/>
  <c r="L1098" i="1"/>
  <c r="AB1098" i="1" s="1"/>
  <c r="K1098" i="1"/>
  <c r="I1098" i="1"/>
  <c r="H1098" i="1"/>
  <c r="M1097" i="1"/>
  <c r="T1097" i="1" s="1"/>
  <c r="K1097" i="1"/>
  <c r="L1097" i="1" s="1"/>
  <c r="AB1097" i="1" s="1"/>
  <c r="H1097" i="1"/>
  <c r="AB1096" i="1"/>
  <c r="AA1096" i="1"/>
  <c r="T1096" i="1"/>
  <c r="W1096" i="1" s="1"/>
  <c r="X1096" i="1" s="1"/>
  <c r="M1096" i="1"/>
  <c r="L1096" i="1"/>
  <c r="K1096" i="1"/>
  <c r="H1096" i="1"/>
  <c r="M1095" i="1"/>
  <c r="T1095" i="1" s="1"/>
  <c r="L1095" i="1"/>
  <c r="K1095" i="1"/>
  <c r="H1095" i="1"/>
  <c r="T1094" i="1"/>
  <c r="AA1094" i="1" s="1"/>
  <c r="M1094" i="1"/>
  <c r="K1094" i="1"/>
  <c r="L1094" i="1" s="1"/>
  <c r="AB1094" i="1" s="1"/>
  <c r="H1094" i="1"/>
  <c r="U1093" i="1"/>
  <c r="I1093" i="1" s="1"/>
  <c r="T1093" i="1"/>
  <c r="AA1093" i="1" s="1"/>
  <c r="M1093" i="1"/>
  <c r="L1093" i="1"/>
  <c r="AB1093" i="1" s="1"/>
  <c r="K1093" i="1"/>
  <c r="H1093" i="1"/>
  <c r="M1092" i="1"/>
  <c r="T1092" i="1" s="1"/>
  <c r="L1092" i="1"/>
  <c r="AB1092" i="1" s="1"/>
  <c r="K1092" i="1"/>
  <c r="H1092" i="1"/>
  <c r="T1091" i="1"/>
  <c r="AA1091" i="1" s="1"/>
  <c r="M1091" i="1"/>
  <c r="L1091" i="1"/>
  <c r="AB1091" i="1" s="1"/>
  <c r="K1091" i="1"/>
  <c r="H1091" i="1"/>
  <c r="U1090" i="1"/>
  <c r="I1090" i="1" s="1"/>
  <c r="T1090" i="1"/>
  <c r="AA1090" i="1" s="1"/>
  <c r="M1090" i="1"/>
  <c r="L1090" i="1"/>
  <c r="AB1090" i="1" s="1"/>
  <c r="K1090" i="1"/>
  <c r="H1090" i="1"/>
  <c r="W1089" i="1"/>
  <c r="X1089" i="1" s="1"/>
  <c r="U1089" i="1"/>
  <c r="I1089" i="1" s="1"/>
  <c r="T1089" i="1"/>
  <c r="AA1089" i="1" s="1"/>
  <c r="M1089" i="1"/>
  <c r="K1089" i="1"/>
  <c r="L1089" i="1" s="1"/>
  <c r="AB1089" i="1" s="1"/>
  <c r="H1089" i="1"/>
  <c r="X1088" i="1"/>
  <c r="W1088" i="1"/>
  <c r="U1088" i="1"/>
  <c r="T1088" i="1"/>
  <c r="AA1088" i="1" s="1"/>
  <c r="M1088" i="1"/>
  <c r="L1088" i="1"/>
  <c r="AB1088" i="1" s="1"/>
  <c r="K1088" i="1"/>
  <c r="I1088" i="1"/>
  <c r="H1088" i="1"/>
  <c r="M1087" i="1"/>
  <c r="T1087" i="1" s="1"/>
  <c r="K1087" i="1"/>
  <c r="L1087" i="1" s="1"/>
  <c r="AB1087" i="1" s="1"/>
  <c r="H1087" i="1"/>
  <c r="AB1086" i="1"/>
  <c r="AA1086" i="1"/>
  <c r="T1086" i="1"/>
  <c r="W1086" i="1" s="1"/>
  <c r="X1086" i="1" s="1"/>
  <c r="M1086" i="1"/>
  <c r="L1086" i="1"/>
  <c r="K1086" i="1"/>
  <c r="H1086" i="1"/>
  <c r="M1085" i="1"/>
  <c r="T1085" i="1" s="1"/>
  <c r="L1085" i="1"/>
  <c r="K1085" i="1"/>
  <c r="H1085" i="1"/>
  <c r="T1084" i="1"/>
  <c r="AA1084" i="1" s="1"/>
  <c r="M1084" i="1"/>
  <c r="K1084" i="1"/>
  <c r="L1084" i="1" s="1"/>
  <c r="AB1084" i="1" s="1"/>
  <c r="H1084" i="1"/>
  <c r="U1083" i="1"/>
  <c r="I1083" i="1" s="1"/>
  <c r="T1083" i="1"/>
  <c r="AA1083" i="1" s="1"/>
  <c r="M1083" i="1"/>
  <c r="L1083" i="1"/>
  <c r="AB1083" i="1" s="1"/>
  <c r="K1083" i="1"/>
  <c r="H1083" i="1"/>
  <c r="M1082" i="1"/>
  <c r="T1082" i="1" s="1"/>
  <c r="L1082" i="1"/>
  <c r="AB1082" i="1" s="1"/>
  <c r="K1082" i="1"/>
  <c r="H1082" i="1"/>
  <c r="T1081" i="1"/>
  <c r="AA1081" i="1" s="1"/>
  <c r="M1081" i="1"/>
  <c r="L1081" i="1"/>
  <c r="AB1081" i="1" s="1"/>
  <c r="K1081" i="1"/>
  <c r="H1081" i="1"/>
  <c r="U1080" i="1"/>
  <c r="I1080" i="1" s="1"/>
  <c r="T1080" i="1"/>
  <c r="AA1080" i="1" s="1"/>
  <c r="M1080" i="1"/>
  <c r="L1080" i="1"/>
  <c r="AB1080" i="1" s="1"/>
  <c r="K1080" i="1"/>
  <c r="H1080" i="1"/>
  <c r="W1079" i="1"/>
  <c r="X1079" i="1" s="1"/>
  <c r="U1079" i="1"/>
  <c r="I1079" i="1" s="1"/>
  <c r="T1079" i="1"/>
  <c r="AA1079" i="1" s="1"/>
  <c r="M1079" i="1"/>
  <c r="K1079" i="1"/>
  <c r="L1079" i="1" s="1"/>
  <c r="AB1079" i="1" s="1"/>
  <c r="H1079" i="1"/>
  <c r="AB1078" i="1"/>
  <c r="X1078" i="1"/>
  <c r="W1078" i="1"/>
  <c r="U1078" i="1"/>
  <c r="T1078" i="1"/>
  <c r="AA1078" i="1" s="1"/>
  <c r="M1078" i="1"/>
  <c r="L1078" i="1"/>
  <c r="K1078" i="1"/>
  <c r="I1078" i="1"/>
  <c r="H1078" i="1"/>
  <c r="M1077" i="1"/>
  <c r="T1077" i="1" s="1"/>
  <c r="K1077" i="1"/>
  <c r="L1077" i="1" s="1"/>
  <c r="H1077" i="1"/>
  <c r="AB1076" i="1"/>
  <c r="AA1076" i="1"/>
  <c r="T1076" i="1"/>
  <c r="W1076" i="1" s="1"/>
  <c r="X1076" i="1" s="1"/>
  <c r="M1076" i="1"/>
  <c r="L1076" i="1"/>
  <c r="K1076" i="1"/>
  <c r="H1076" i="1"/>
  <c r="M1075" i="1"/>
  <c r="T1075" i="1" s="1"/>
  <c r="L1075" i="1"/>
  <c r="K1075" i="1"/>
  <c r="H1075" i="1"/>
  <c r="B1075" i="1"/>
  <c r="U1074" i="1"/>
  <c r="I1074" i="1" s="1"/>
  <c r="T1074" i="1"/>
  <c r="AA1074" i="1" s="1"/>
  <c r="M1074" i="1"/>
  <c r="K1074" i="1"/>
  <c r="L1074" i="1" s="1"/>
  <c r="AB1074" i="1" s="1"/>
  <c r="H1074" i="1"/>
  <c r="B1074" i="1"/>
  <c r="M1073" i="1"/>
  <c r="T1073" i="1" s="1"/>
  <c r="L1073" i="1"/>
  <c r="AB1073" i="1" s="1"/>
  <c r="K1073" i="1"/>
  <c r="H1073" i="1"/>
  <c r="T1072" i="1"/>
  <c r="AA1072" i="1" s="1"/>
  <c r="M1072" i="1"/>
  <c r="L1072" i="1"/>
  <c r="AB1072" i="1" s="1"/>
  <c r="K1072" i="1"/>
  <c r="H1072" i="1"/>
  <c r="AA1071" i="1"/>
  <c r="W1071" i="1"/>
  <c r="X1071" i="1" s="1"/>
  <c r="U1071" i="1"/>
  <c r="I1071" i="1" s="1"/>
  <c r="T1071" i="1"/>
  <c r="M1071" i="1"/>
  <c r="K1071" i="1"/>
  <c r="L1071" i="1" s="1"/>
  <c r="AB1071" i="1" s="1"/>
  <c r="H1071" i="1"/>
  <c r="AB1070" i="1"/>
  <c r="W1070" i="1"/>
  <c r="X1070" i="1" s="1"/>
  <c r="U1070" i="1"/>
  <c r="T1070" i="1"/>
  <c r="AA1070" i="1" s="1"/>
  <c r="M1070" i="1"/>
  <c r="L1070" i="1"/>
  <c r="K1070" i="1"/>
  <c r="I1070" i="1"/>
  <c r="H1070" i="1"/>
  <c r="M1069" i="1"/>
  <c r="T1069" i="1" s="1"/>
  <c r="K1069" i="1"/>
  <c r="L1069" i="1" s="1"/>
  <c r="AB1069" i="1" s="1"/>
  <c r="H1069" i="1"/>
  <c r="AB1068" i="1"/>
  <c r="AA1068" i="1"/>
  <c r="T1068" i="1"/>
  <c r="W1068" i="1" s="1"/>
  <c r="X1068" i="1" s="1"/>
  <c r="M1068" i="1"/>
  <c r="L1068" i="1"/>
  <c r="K1068" i="1"/>
  <c r="H1068" i="1"/>
  <c r="M1067" i="1"/>
  <c r="T1067" i="1" s="1"/>
  <c r="L1067" i="1"/>
  <c r="K1067" i="1"/>
  <c r="H1067" i="1"/>
  <c r="T1066" i="1"/>
  <c r="AA1066" i="1" s="1"/>
  <c r="M1066" i="1"/>
  <c r="K1066" i="1"/>
  <c r="L1066" i="1" s="1"/>
  <c r="AB1066" i="1" s="1"/>
  <c r="H1066" i="1"/>
  <c r="U1065" i="1"/>
  <c r="I1065" i="1" s="1"/>
  <c r="T1065" i="1"/>
  <c r="AA1065" i="1" s="1"/>
  <c r="M1065" i="1"/>
  <c r="K1065" i="1"/>
  <c r="L1065" i="1" s="1"/>
  <c r="AB1065" i="1" s="1"/>
  <c r="H1065" i="1"/>
  <c r="M1064" i="1"/>
  <c r="T1064" i="1" s="1"/>
  <c r="L1064" i="1"/>
  <c r="AB1064" i="1" s="1"/>
  <c r="K1064" i="1"/>
  <c r="H1064" i="1"/>
  <c r="M1063" i="1"/>
  <c r="T1063" i="1" s="1"/>
  <c r="L1063" i="1"/>
  <c r="AB1063" i="1" s="1"/>
  <c r="K1063" i="1"/>
  <c r="H1063" i="1"/>
  <c r="T1062" i="1"/>
  <c r="AA1062" i="1" s="1"/>
  <c r="M1062" i="1"/>
  <c r="L1062" i="1"/>
  <c r="AB1062" i="1" s="1"/>
  <c r="K1062" i="1"/>
  <c r="H1062" i="1"/>
  <c r="AA1061" i="1"/>
  <c r="W1061" i="1"/>
  <c r="X1061" i="1" s="1"/>
  <c r="U1061" i="1"/>
  <c r="I1061" i="1" s="1"/>
  <c r="T1061" i="1"/>
  <c r="M1061" i="1"/>
  <c r="K1061" i="1"/>
  <c r="L1061" i="1" s="1"/>
  <c r="AB1061" i="1" s="1"/>
  <c r="H1061" i="1"/>
  <c r="AB1060" i="1"/>
  <c r="W1060" i="1"/>
  <c r="X1060" i="1" s="1"/>
  <c r="U1060" i="1"/>
  <c r="T1060" i="1"/>
  <c r="AA1060" i="1" s="1"/>
  <c r="M1060" i="1"/>
  <c r="L1060" i="1"/>
  <c r="K1060" i="1"/>
  <c r="I1060" i="1"/>
  <c r="H1060" i="1"/>
  <c r="M1059" i="1"/>
  <c r="T1059" i="1" s="1"/>
  <c r="K1059" i="1"/>
  <c r="L1059" i="1" s="1"/>
  <c r="H1059" i="1"/>
  <c r="AB1058" i="1"/>
  <c r="AA1058" i="1"/>
  <c r="T1058" i="1"/>
  <c r="W1058" i="1" s="1"/>
  <c r="X1058" i="1" s="1"/>
  <c r="M1058" i="1"/>
  <c r="L1058" i="1"/>
  <c r="K1058" i="1"/>
  <c r="H1058" i="1"/>
  <c r="M1057" i="1"/>
  <c r="T1057" i="1" s="1"/>
  <c r="L1057" i="1"/>
  <c r="K1057" i="1"/>
  <c r="H1057" i="1"/>
  <c r="T1056" i="1"/>
  <c r="AA1056" i="1" s="1"/>
  <c r="M1056" i="1"/>
  <c r="K1056" i="1"/>
  <c r="L1056" i="1" s="1"/>
  <c r="AB1056" i="1" s="1"/>
  <c r="H1056" i="1"/>
  <c r="U1055" i="1"/>
  <c r="I1055" i="1" s="1"/>
  <c r="T1055" i="1"/>
  <c r="AA1055" i="1" s="1"/>
  <c r="M1055" i="1"/>
  <c r="K1055" i="1"/>
  <c r="L1055" i="1" s="1"/>
  <c r="AB1055" i="1" s="1"/>
  <c r="H1055" i="1"/>
  <c r="M1054" i="1"/>
  <c r="T1054" i="1" s="1"/>
  <c r="L1054" i="1"/>
  <c r="AB1054" i="1" s="1"/>
  <c r="K1054" i="1"/>
  <c r="H1054" i="1"/>
  <c r="M1053" i="1"/>
  <c r="T1053" i="1" s="1"/>
  <c r="L1053" i="1"/>
  <c r="AB1053" i="1" s="1"/>
  <c r="K1053" i="1"/>
  <c r="H1053" i="1"/>
  <c r="T1052" i="1"/>
  <c r="AA1052" i="1" s="1"/>
  <c r="M1052" i="1"/>
  <c r="L1052" i="1"/>
  <c r="AB1052" i="1" s="1"/>
  <c r="K1052" i="1"/>
  <c r="H1052" i="1"/>
  <c r="AA1051" i="1"/>
  <c r="W1051" i="1"/>
  <c r="X1051" i="1" s="1"/>
  <c r="U1051" i="1"/>
  <c r="I1051" i="1" s="1"/>
  <c r="T1051" i="1"/>
  <c r="M1051" i="1"/>
  <c r="K1051" i="1"/>
  <c r="L1051" i="1" s="1"/>
  <c r="AB1051" i="1" s="1"/>
  <c r="H1051" i="1"/>
  <c r="W1050" i="1"/>
  <c r="X1050" i="1" s="1"/>
  <c r="U1050" i="1"/>
  <c r="T1050" i="1"/>
  <c r="AA1050" i="1" s="1"/>
  <c r="M1050" i="1"/>
  <c r="L1050" i="1"/>
  <c r="AB1050" i="1" s="1"/>
  <c r="K1050" i="1"/>
  <c r="I1050" i="1"/>
  <c r="H1050" i="1"/>
  <c r="M1049" i="1"/>
  <c r="T1049" i="1" s="1"/>
  <c r="K1049" i="1"/>
  <c r="L1049" i="1" s="1"/>
  <c r="AB1049" i="1" s="1"/>
  <c r="H1049" i="1"/>
  <c r="AB1048" i="1"/>
  <c r="AA1048" i="1"/>
  <c r="T1048" i="1"/>
  <c r="W1048" i="1" s="1"/>
  <c r="X1048" i="1" s="1"/>
  <c r="M1048" i="1"/>
  <c r="L1048" i="1"/>
  <c r="K1048" i="1"/>
  <c r="H1048" i="1"/>
  <c r="M1047" i="1"/>
  <c r="T1047" i="1" s="1"/>
  <c r="L1047" i="1"/>
  <c r="K1047" i="1"/>
  <c r="H1047" i="1"/>
  <c r="T1046" i="1"/>
  <c r="AA1046" i="1" s="1"/>
  <c r="M1046" i="1"/>
  <c r="K1046" i="1"/>
  <c r="L1046" i="1" s="1"/>
  <c r="AB1046" i="1" s="1"/>
  <c r="H1046" i="1"/>
  <c r="U1045" i="1"/>
  <c r="I1045" i="1" s="1"/>
  <c r="T1045" i="1"/>
  <c r="AA1045" i="1" s="1"/>
  <c r="M1045" i="1"/>
  <c r="K1045" i="1"/>
  <c r="L1045" i="1" s="1"/>
  <c r="AB1045" i="1" s="1"/>
  <c r="H1045" i="1"/>
  <c r="M1044" i="1"/>
  <c r="T1044" i="1" s="1"/>
  <c r="L1044" i="1"/>
  <c r="AB1044" i="1" s="1"/>
  <c r="K1044" i="1"/>
  <c r="H1044" i="1"/>
  <c r="M1043" i="1"/>
  <c r="T1043" i="1" s="1"/>
  <c r="L1043" i="1"/>
  <c r="AB1043" i="1" s="1"/>
  <c r="K1043" i="1"/>
  <c r="H1043" i="1"/>
  <c r="T1042" i="1"/>
  <c r="AA1042" i="1" s="1"/>
  <c r="M1042" i="1"/>
  <c r="L1042" i="1"/>
  <c r="AB1042" i="1" s="1"/>
  <c r="K1042" i="1"/>
  <c r="H1042" i="1"/>
  <c r="AA1041" i="1"/>
  <c r="W1041" i="1"/>
  <c r="X1041" i="1" s="1"/>
  <c r="U1041" i="1"/>
  <c r="I1041" i="1" s="1"/>
  <c r="T1041" i="1"/>
  <c r="M1041" i="1"/>
  <c r="K1041" i="1"/>
  <c r="L1041" i="1" s="1"/>
  <c r="AB1041" i="1" s="1"/>
  <c r="H1041" i="1"/>
  <c r="AB1040" i="1"/>
  <c r="W1040" i="1"/>
  <c r="X1040" i="1" s="1"/>
  <c r="U1040" i="1"/>
  <c r="T1040" i="1"/>
  <c r="AA1040" i="1" s="1"/>
  <c r="M1040" i="1"/>
  <c r="L1040" i="1"/>
  <c r="K1040" i="1"/>
  <c r="I1040" i="1"/>
  <c r="H1040" i="1"/>
  <c r="M1039" i="1"/>
  <c r="T1039" i="1" s="1"/>
  <c r="K1039" i="1"/>
  <c r="L1039" i="1" s="1"/>
  <c r="AB1039" i="1" s="1"/>
  <c r="H1039" i="1"/>
  <c r="AB1038" i="1"/>
  <c r="AA1038" i="1"/>
  <c r="T1038" i="1"/>
  <c r="W1038" i="1" s="1"/>
  <c r="X1038" i="1" s="1"/>
  <c r="M1038" i="1"/>
  <c r="L1038" i="1"/>
  <c r="K1038" i="1"/>
  <c r="H1038" i="1"/>
  <c r="M1037" i="1"/>
  <c r="T1037" i="1" s="1"/>
  <c r="L1037" i="1"/>
  <c r="K1037" i="1"/>
  <c r="H1037" i="1"/>
  <c r="T1036" i="1"/>
  <c r="AA1036" i="1" s="1"/>
  <c r="M1036" i="1"/>
  <c r="K1036" i="1"/>
  <c r="L1036" i="1" s="1"/>
  <c r="AB1036" i="1" s="1"/>
  <c r="H1036" i="1"/>
  <c r="U1035" i="1"/>
  <c r="I1035" i="1" s="1"/>
  <c r="T1035" i="1"/>
  <c r="AA1035" i="1" s="1"/>
  <c r="M1035" i="1"/>
  <c r="K1035" i="1"/>
  <c r="L1035" i="1" s="1"/>
  <c r="AB1035" i="1" s="1"/>
  <c r="H1035" i="1"/>
  <c r="M1034" i="1"/>
  <c r="T1034" i="1" s="1"/>
  <c r="L1034" i="1"/>
  <c r="K1034" i="1"/>
  <c r="H1034" i="1"/>
  <c r="M1033" i="1"/>
  <c r="T1033" i="1" s="1"/>
  <c r="L1033" i="1"/>
  <c r="K1033" i="1"/>
  <c r="H1033" i="1"/>
  <c r="T1032" i="1"/>
  <c r="AA1032" i="1" s="1"/>
  <c r="M1032" i="1"/>
  <c r="L1032" i="1"/>
  <c r="AB1032" i="1" s="1"/>
  <c r="K1032" i="1"/>
  <c r="H1032" i="1"/>
  <c r="AA1031" i="1"/>
  <c r="W1031" i="1"/>
  <c r="X1031" i="1" s="1"/>
  <c r="U1031" i="1"/>
  <c r="I1031" i="1" s="1"/>
  <c r="T1031" i="1"/>
  <c r="M1031" i="1"/>
  <c r="K1031" i="1"/>
  <c r="L1031" i="1" s="1"/>
  <c r="AB1031" i="1" s="1"/>
  <c r="H1031" i="1"/>
  <c r="AB1030" i="1"/>
  <c r="W1030" i="1"/>
  <c r="X1030" i="1" s="1"/>
  <c r="U1030" i="1"/>
  <c r="T1030" i="1"/>
  <c r="AA1030" i="1" s="1"/>
  <c r="M1030" i="1"/>
  <c r="L1030" i="1"/>
  <c r="K1030" i="1"/>
  <c r="I1030" i="1"/>
  <c r="H1030" i="1"/>
  <c r="M1029" i="1"/>
  <c r="T1029" i="1" s="1"/>
  <c r="K1029" i="1"/>
  <c r="L1029" i="1" s="1"/>
  <c r="AB1029" i="1" s="1"/>
  <c r="H1029" i="1"/>
  <c r="AB1028" i="1"/>
  <c r="AA1028" i="1"/>
  <c r="T1028" i="1"/>
  <c r="W1028" i="1" s="1"/>
  <c r="X1028" i="1" s="1"/>
  <c r="M1028" i="1"/>
  <c r="L1028" i="1"/>
  <c r="K1028" i="1"/>
  <c r="H1028" i="1"/>
  <c r="M1027" i="1"/>
  <c r="T1027" i="1" s="1"/>
  <c r="L1027" i="1"/>
  <c r="K1027" i="1"/>
  <c r="H1027" i="1"/>
  <c r="T1026" i="1"/>
  <c r="AA1026" i="1" s="1"/>
  <c r="M1026" i="1"/>
  <c r="K1026" i="1"/>
  <c r="L1026" i="1" s="1"/>
  <c r="AB1026" i="1" s="1"/>
  <c r="H1026" i="1"/>
  <c r="U1025" i="1"/>
  <c r="I1025" i="1" s="1"/>
  <c r="T1025" i="1"/>
  <c r="AA1025" i="1" s="1"/>
  <c r="M1025" i="1"/>
  <c r="K1025" i="1"/>
  <c r="L1025" i="1" s="1"/>
  <c r="AB1025" i="1" s="1"/>
  <c r="H1025" i="1"/>
  <c r="M1024" i="1"/>
  <c r="T1024" i="1" s="1"/>
  <c r="L1024" i="1"/>
  <c r="AB1024" i="1" s="1"/>
  <c r="K1024" i="1"/>
  <c r="H1024" i="1"/>
  <c r="M1023" i="1"/>
  <c r="T1023" i="1" s="1"/>
  <c r="L1023" i="1"/>
  <c r="K1023" i="1"/>
  <c r="H1023" i="1"/>
  <c r="T1022" i="1"/>
  <c r="AA1022" i="1" s="1"/>
  <c r="M1022" i="1"/>
  <c r="L1022" i="1"/>
  <c r="AB1022" i="1" s="1"/>
  <c r="K1022" i="1"/>
  <c r="H1022" i="1"/>
  <c r="AA1021" i="1"/>
  <c r="W1021" i="1"/>
  <c r="X1021" i="1" s="1"/>
  <c r="U1021" i="1"/>
  <c r="I1021" i="1" s="1"/>
  <c r="T1021" i="1"/>
  <c r="M1021" i="1"/>
  <c r="K1021" i="1"/>
  <c r="L1021" i="1" s="1"/>
  <c r="AB1021" i="1" s="1"/>
  <c r="H1021" i="1"/>
  <c r="AB1020" i="1"/>
  <c r="W1020" i="1"/>
  <c r="X1020" i="1" s="1"/>
  <c r="U1020" i="1"/>
  <c r="T1020" i="1"/>
  <c r="AA1020" i="1" s="1"/>
  <c r="M1020" i="1"/>
  <c r="L1020" i="1"/>
  <c r="K1020" i="1"/>
  <c r="I1020" i="1"/>
  <c r="H1020" i="1"/>
  <c r="M1019" i="1"/>
  <c r="T1019" i="1" s="1"/>
  <c r="K1019" i="1"/>
  <c r="L1019" i="1" s="1"/>
  <c r="AB1019" i="1" s="1"/>
  <c r="H1019" i="1"/>
  <c r="AB1018" i="1"/>
  <c r="AA1018" i="1"/>
  <c r="T1018" i="1"/>
  <c r="W1018" i="1" s="1"/>
  <c r="X1018" i="1" s="1"/>
  <c r="M1018" i="1"/>
  <c r="L1018" i="1"/>
  <c r="K1018" i="1"/>
  <c r="H1018" i="1"/>
  <c r="M1017" i="1"/>
  <c r="T1017" i="1" s="1"/>
  <c r="L1017" i="1"/>
  <c r="K1017" i="1"/>
  <c r="H1017" i="1"/>
  <c r="T1016" i="1"/>
  <c r="AA1016" i="1" s="1"/>
  <c r="M1016" i="1"/>
  <c r="K1016" i="1"/>
  <c r="L1016" i="1" s="1"/>
  <c r="AB1016" i="1" s="1"/>
  <c r="H1016" i="1"/>
  <c r="U1015" i="1"/>
  <c r="I1015" i="1" s="1"/>
  <c r="T1015" i="1"/>
  <c r="AA1015" i="1" s="1"/>
  <c r="M1015" i="1"/>
  <c r="L1015" i="1"/>
  <c r="AB1015" i="1" s="1"/>
  <c r="K1015" i="1"/>
  <c r="H1015" i="1"/>
  <c r="M1014" i="1"/>
  <c r="T1014" i="1" s="1"/>
  <c r="L1014" i="1"/>
  <c r="AB1014" i="1" s="1"/>
  <c r="K1014" i="1"/>
  <c r="H1014" i="1"/>
  <c r="M1013" i="1"/>
  <c r="T1013" i="1" s="1"/>
  <c r="L1013" i="1"/>
  <c r="K1013" i="1"/>
  <c r="H1013" i="1"/>
  <c r="U1012" i="1"/>
  <c r="I1012" i="1" s="1"/>
  <c r="T1012" i="1"/>
  <c r="M1012" i="1"/>
  <c r="L1012" i="1"/>
  <c r="K1012" i="1"/>
  <c r="H1012" i="1"/>
  <c r="AA1011" i="1"/>
  <c r="W1011" i="1"/>
  <c r="X1011" i="1" s="1"/>
  <c r="U1011" i="1"/>
  <c r="I1011" i="1" s="1"/>
  <c r="T1011" i="1"/>
  <c r="M1011" i="1"/>
  <c r="K1011" i="1"/>
  <c r="L1011" i="1" s="1"/>
  <c r="AB1011" i="1" s="1"/>
  <c r="H1011" i="1"/>
  <c r="AB1010" i="1"/>
  <c r="W1010" i="1"/>
  <c r="X1010" i="1" s="1"/>
  <c r="U1010" i="1"/>
  <c r="T1010" i="1"/>
  <c r="AA1010" i="1" s="1"/>
  <c r="M1010" i="1"/>
  <c r="L1010" i="1"/>
  <c r="K1010" i="1"/>
  <c r="I1010" i="1"/>
  <c r="H1010" i="1"/>
  <c r="M1009" i="1"/>
  <c r="T1009" i="1" s="1"/>
  <c r="K1009" i="1"/>
  <c r="L1009" i="1" s="1"/>
  <c r="AB1009" i="1" s="1"/>
  <c r="H1009" i="1"/>
  <c r="AB1008" i="1"/>
  <c r="AA1008" i="1"/>
  <c r="T1008" i="1"/>
  <c r="W1008" i="1" s="1"/>
  <c r="X1008" i="1" s="1"/>
  <c r="M1008" i="1"/>
  <c r="L1008" i="1"/>
  <c r="K1008" i="1"/>
  <c r="H1008" i="1"/>
  <c r="M1007" i="1"/>
  <c r="T1007" i="1" s="1"/>
  <c r="L1007" i="1"/>
  <c r="K1007" i="1"/>
  <c r="H1007" i="1"/>
  <c r="T1006" i="1"/>
  <c r="AA1006" i="1" s="1"/>
  <c r="M1006" i="1"/>
  <c r="K1006" i="1"/>
  <c r="L1006" i="1" s="1"/>
  <c r="AB1006" i="1" s="1"/>
  <c r="H1006" i="1"/>
  <c r="U1005" i="1"/>
  <c r="I1005" i="1" s="1"/>
  <c r="T1005" i="1"/>
  <c r="AA1005" i="1" s="1"/>
  <c r="M1005" i="1"/>
  <c r="K1005" i="1"/>
  <c r="L1005" i="1" s="1"/>
  <c r="AB1005" i="1" s="1"/>
  <c r="H1005" i="1"/>
  <c r="M1004" i="1"/>
  <c r="T1004" i="1" s="1"/>
  <c r="L1004" i="1"/>
  <c r="K1004" i="1"/>
  <c r="H1004" i="1"/>
  <c r="T1003" i="1"/>
  <c r="M1003" i="1"/>
  <c r="L1003" i="1"/>
  <c r="K1003" i="1"/>
  <c r="H1003" i="1"/>
  <c r="AA1002" i="1"/>
  <c r="Z1002" i="1"/>
  <c r="W1002" i="1"/>
  <c r="X1002" i="1" s="1"/>
  <c r="U1002" i="1"/>
  <c r="I1002" i="1" s="1"/>
  <c r="T1002" i="1"/>
  <c r="M1002" i="1"/>
  <c r="K1002" i="1"/>
  <c r="L1002" i="1" s="1"/>
  <c r="AB1002" i="1" s="1"/>
  <c r="H1002" i="1"/>
  <c r="Z1001" i="1"/>
  <c r="M1001" i="1"/>
  <c r="T1001" i="1" s="1"/>
  <c r="K1001" i="1"/>
  <c r="L1001" i="1" s="1"/>
  <c r="AB1001" i="1" s="1"/>
  <c r="H1001" i="1"/>
  <c r="AB1000" i="1"/>
  <c r="AA1000" i="1"/>
  <c r="Z1000" i="1"/>
  <c r="M1000" i="1"/>
  <c r="T1000" i="1" s="1"/>
  <c r="L1000" i="1"/>
  <c r="K1000" i="1"/>
  <c r="H1000" i="1"/>
  <c r="Z999" i="1"/>
  <c r="U999" i="1"/>
  <c r="I999" i="1" s="1"/>
  <c r="T999" i="1"/>
  <c r="AA999" i="1" s="1"/>
  <c r="M999" i="1"/>
  <c r="K999" i="1"/>
  <c r="L999" i="1" s="1"/>
  <c r="AB999" i="1" s="1"/>
  <c r="H999" i="1"/>
  <c r="Z998" i="1"/>
  <c r="T998" i="1"/>
  <c r="M998" i="1"/>
  <c r="K998" i="1"/>
  <c r="L998" i="1" s="1"/>
  <c r="H998" i="1"/>
  <c r="Z997" i="1"/>
  <c r="M997" i="1"/>
  <c r="T997" i="1" s="1"/>
  <c r="AA997" i="1" s="1"/>
  <c r="K997" i="1"/>
  <c r="L997" i="1" s="1"/>
  <c r="H997" i="1"/>
  <c r="Z996" i="1"/>
  <c r="M996" i="1"/>
  <c r="T996" i="1" s="1"/>
  <c r="K996" i="1"/>
  <c r="L996" i="1" s="1"/>
  <c r="H996" i="1"/>
  <c r="AA995" i="1"/>
  <c r="Z995" i="1"/>
  <c r="M995" i="1"/>
  <c r="T995" i="1" s="1"/>
  <c r="L995" i="1"/>
  <c r="K995" i="1"/>
  <c r="H995" i="1"/>
  <c r="T994" i="1"/>
  <c r="AA994" i="1" s="1"/>
  <c r="M994" i="1"/>
  <c r="K994" i="1"/>
  <c r="L994" i="1" s="1"/>
  <c r="AB994" i="1" s="1"/>
  <c r="H994" i="1"/>
  <c r="U993" i="1"/>
  <c r="I993" i="1" s="1"/>
  <c r="T993" i="1"/>
  <c r="AA993" i="1" s="1"/>
  <c r="M993" i="1"/>
  <c r="K993" i="1"/>
  <c r="L993" i="1" s="1"/>
  <c r="AB993" i="1" s="1"/>
  <c r="H993" i="1"/>
  <c r="M992" i="1"/>
  <c r="T992" i="1" s="1"/>
  <c r="L992" i="1"/>
  <c r="AB992" i="1" s="1"/>
  <c r="K992" i="1"/>
  <c r="H992" i="1"/>
  <c r="M991" i="1"/>
  <c r="T991" i="1" s="1"/>
  <c r="L991" i="1"/>
  <c r="K991" i="1"/>
  <c r="H991" i="1"/>
  <c r="U990" i="1"/>
  <c r="I990" i="1" s="1"/>
  <c r="T990" i="1"/>
  <c r="M990" i="1"/>
  <c r="L990" i="1"/>
  <c r="AB990" i="1" s="1"/>
  <c r="K990" i="1"/>
  <c r="H990" i="1"/>
  <c r="AA989" i="1"/>
  <c r="W989" i="1"/>
  <c r="X989" i="1" s="1"/>
  <c r="U989" i="1"/>
  <c r="I989" i="1" s="1"/>
  <c r="T989" i="1"/>
  <c r="M989" i="1"/>
  <c r="K989" i="1"/>
  <c r="L989" i="1" s="1"/>
  <c r="AB989" i="1" s="1"/>
  <c r="H989" i="1"/>
  <c r="AA988" i="1"/>
  <c r="X988" i="1"/>
  <c r="W988" i="1"/>
  <c r="U988" i="1"/>
  <c r="T988" i="1"/>
  <c r="M988" i="1"/>
  <c r="L988" i="1"/>
  <c r="AB988" i="1" s="1"/>
  <c r="K988" i="1"/>
  <c r="I988" i="1"/>
  <c r="H988" i="1"/>
  <c r="AA987" i="1"/>
  <c r="M987" i="1"/>
  <c r="T987" i="1" s="1"/>
  <c r="K987" i="1"/>
  <c r="L987" i="1" s="1"/>
  <c r="AB987" i="1" s="1"/>
  <c r="H987" i="1"/>
  <c r="AA986" i="1"/>
  <c r="T986" i="1"/>
  <c r="W986" i="1" s="1"/>
  <c r="X986" i="1" s="1"/>
  <c r="M986" i="1"/>
  <c r="L986" i="1"/>
  <c r="AB986" i="1" s="1"/>
  <c r="K986" i="1"/>
  <c r="H986" i="1"/>
  <c r="M985" i="1"/>
  <c r="T985" i="1" s="1"/>
  <c r="L985" i="1"/>
  <c r="K985" i="1"/>
  <c r="H985" i="1"/>
  <c r="T984" i="1"/>
  <c r="M984" i="1"/>
  <c r="K984" i="1"/>
  <c r="L984" i="1" s="1"/>
  <c r="AB984" i="1" s="1"/>
  <c r="H984" i="1"/>
  <c r="U983" i="1"/>
  <c r="I983" i="1" s="1"/>
  <c r="T983" i="1"/>
  <c r="AA983" i="1" s="1"/>
  <c r="M983" i="1"/>
  <c r="L983" i="1"/>
  <c r="AB983" i="1" s="1"/>
  <c r="K983" i="1"/>
  <c r="H983" i="1"/>
  <c r="M982" i="1"/>
  <c r="T982" i="1" s="1"/>
  <c r="L982" i="1"/>
  <c r="K982" i="1"/>
  <c r="H982" i="1"/>
  <c r="M981" i="1"/>
  <c r="T981" i="1" s="1"/>
  <c r="L981" i="1"/>
  <c r="K981" i="1"/>
  <c r="H981" i="1"/>
  <c r="AA980" i="1"/>
  <c r="U980" i="1"/>
  <c r="I980" i="1" s="1"/>
  <c r="T980" i="1"/>
  <c r="W980" i="1" s="1"/>
  <c r="X980" i="1" s="1"/>
  <c r="M980" i="1"/>
  <c r="L980" i="1"/>
  <c r="AB980" i="1" s="1"/>
  <c r="K980" i="1"/>
  <c r="H980" i="1"/>
  <c r="AB979" i="1"/>
  <c r="AA979" i="1"/>
  <c r="W979" i="1"/>
  <c r="X979" i="1" s="1"/>
  <c r="U979" i="1"/>
  <c r="I979" i="1" s="1"/>
  <c r="T979" i="1"/>
  <c r="M979" i="1"/>
  <c r="K979" i="1"/>
  <c r="L979" i="1" s="1"/>
  <c r="H979" i="1"/>
  <c r="AA978" i="1"/>
  <c r="X978" i="1"/>
  <c r="W978" i="1"/>
  <c r="U978" i="1"/>
  <c r="T978" i="1"/>
  <c r="M978" i="1"/>
  <c r="L978" i="1"/>
  <c r="AB978" i="1" s="1"/>
  <c r="K978" i="1"/>
  <c r="I978" i="1"/>
  <c r="H978" i="1"/>
  <c r="M977" i="1"/>
  <c r="T977" i="1" s="1"/>
  <c r="AA977" i="1" s="1"/>
  <c r="K977" i="1"/>
  <c r="L977" i="1" s="1"/>
  <c r="H977" i="1"/>
  <c r="AA976" i="1"/>
  <c r="T976" i="1"/>
  <c r="W976" i="1" s="1"/>
  <c r="X976" i="1" s="1"/>
  <c r="M976" i="1"/>
  <c r="L976" i="1"/>
  <c r="AB976" i="1" s="1"/>
  <c r="K976" i="1"/>
  <c r="H976" i="1"/>
  <c r="AB975" i="1"/>
  <c r="M975" i="1"/>
  <c r="T975" i="1" s="1"/>
  <c r="L975" i="1"/>
  <c r="K975" i="1"/>
  <c r="H975" i="1"/>
  <c r="T974" i="1"/>
  <c r="M974" i="1"/>
  <c r="K974" i="1"/>
  <c r="L974" i="1" s="1"/>
  <c r="AB974" i="1" s="1"/>
  <c r="H974" i="1"/>
  <c r="U973" i="1"/>
  <c r="I973" i="1" s="1"/>
  <c r="T973" i="1"/>
  <c r="AA973" i="1" s="1"/>
  <c r="M973" i="1"/>
  <c r="K973" i="1"/>
  <c r="L973" i="1" s="1"/>
  <c r="AB973" i="1" s="1"/>
  <c r="H973" i="1"/>
  <c r="W972" i="1"/>
  <c r="X972" i="1" s="1"/>
  <c r="M972" i="1"/>
  <c r="T972" i="1" s="1"/>
  <c r="L972" i="1"/>
  <c r="AB972" i="1" s="1"/>
  <c r="K972" i="1"/>
  <c r="H972" i="1"/>
  <c r="T971" i="1"/>
  <c r="M971" i="1"/>
  <c r="L971" i="1"/>
  <c r="K971" i="1"/>
  <c r="H971" i="1"/>
  <c r="U970" i="1"/>
  <c r="I970" i="1" s="1"/>
  <c r="T970" i="1"/>
  <c r="W970" i="1" s="1"/>
  <c r="X970" i="1" s="1"/>
  <c r="M970" i="1"/>
  <c r="L970" i="1"/>
  <c r="K970" i="1"/>
  <c r="H970" i="1"/>
  <c r="AB969" i="1"/>
  <c r="AA969" i="1"/>
  <c r="W969" i="1"/>
  <c r="X969" i="1" s="1"/>
  <c r="U969" i="1"/>
  <c r="I969" i="1" s="1"/>
  <c r="T969" i="1"/>
  <c r="M969" i="1"/>
  <c r="K969" i="1"/>
  <c r="L969" i="1" s="1"/>
  <c r="H969" i="1"/>
  <c r="AA968" i="1"/>
  <c r="W968" i="1"/>
  <c r="X968" i="1" s="1"/>
  <c r="U968" i="1"/>
  <c r="T968" i="1"/>
  <c r="M968" i="1"/>
  <c r="L968" i="1"/>
  <c r="AB968" i="1" s="1"/>
  <c r="K968" i="1"/>
  <c r="I968" i="1"/>
  <c r="H968" i="1"/>
  <c r="AA967" i="1"/>
  <c r="M967" i="1"/>
  <c r="T967" i="1" s="1"/>
  <c r="K967" i="1"/>
  <c r="L967" i="1" s="1"/>
  <c r="AB967" i="1" s="1"/>
  <c r="H967" i="1"/>
  <c r="AB966" i="1"/>
  <c r="AA966" i="1"/>
  <c r="T966" i="1"/>
  <c r="W966" i="1" s="1"/>
  <c r="X966" i="1" s="1"/>
  <c r="M966" i="1"/>
  <c r="L966" i="1"/>
  <c r="K966" i="1"/>
  <c r="H966" i="1"/>
  <c r="M965" i="1"/>
  <c r="T965" i="1" s="1"/>
  <c r="L965" i="1"/>
  <c r="K965" i="1"/>
  <c r="H965" i="1"/>
  <c r="T964" i="1"/>
  <c r="M964" i="1"/>
  <c r="K964" i="1"/>
  <c r="L964" i="1" s="1"/>
  <c r="AB964" i="1" s="1"/>
  <c r="H964" i="1"/>
  <c r="U963" i="1"/>
  <c r="I963" i="1" s="1"/>
  <c r="T963" i="1"/>
  <c r="AA963" i="1" s="1"/>
  <c r="M963" i="1"/>
  <c r="K963" i="1"/>
  <c r="L963" i="1" s="1"/>
  <c r="AB963" i="1" s="1"/>
  <c r="H963" i="1"/>
  <c r="M962" i="1"/>
  <c r="T962" i="1" s="1"/>
  <c r="L962" i="1"/>
  <c r="K962" i="1"/>
  <c r="H962" i="1"/>
  <c r="M961" i="1"/>
  <c r="T961" i="1" s="1"/>
  <c r="L961" i="1"/>
  <c r="K961" i="1"/>
  <c r="H961" i="1"/>
  <c r="AA960" i="1"/>
  <c r="T960" i="1"/>
  <c r="W960" i="1" s="1"/>
  <c r="X960" i="1" s="1"/>
  <c r="M960" i="1"/>
  <c r="L960" i="1"/>
  <c r="AB960" i="1" s="1"/>
  <c r="K960" i="1"/>
  <c r="H960" i="1"/>
  <c r="AB959" i="1"/>
  <c r="AA959" i="1"/>
  <c r="W959" i="1"/>
  <c r="X959" i="1" s="1"/>
  <c r="U959" i="1"/>
  <c r="I959" i="1" s="1"/>
  <c r="T959" i="1"/>
  <c r="M959" i="1"/>
  <c r="K959" i="1"/>
  <c r="L959" i="1" s="1"/>
  <c r="H959" i="1"/>
  <c r="AA958" i="1"/>
  <c r="W958" i="1"/>
  <c r="X958" i="1" s="1"/>
  <c r="U958" i="1"/>
  <c r="T958" i="1"/>
  <c r="M958" i="1"/>
  <c r="L958" i="1"/>
  <c r="AB958" i="1" s="1"/>
  <c r="K958" i="1"/>
  <c r="I958" i="1"/>
  <c r="H958" i="1"/>
  <c r="M957" i="1"/>
  <c r="T957" i="1" s="1"/>
  <c r="AA957" i="1" s="1"/>
  <c r="K957" i="1"/>
  <c r="L957" i="1" s="1"/>
  <c r="H957" i="1"/>
  <c r="AB956" i="1"/>
  <c r="AA956" i="1"/>
  <c r="T956" i="1"/>
  <c r="W956" i="1" s="1"/>
  <c r="X956" i="1" s="1"/>
  <c r="M956" i="1"/>
  <c r="L956" i="1"/>
  <c r="K956" i="1"/>
  <c r="H956" i="1"/>
  <c r="AB955" i="1"/>
  <c r="M955" i="1"/>
  <c r="T955" i="1" s="1"/>
  <c r="L955" i="1"/>
  <c r="K955" i="1"/>
  <c r="H955" i="1"/>
  <c r="M954" i="1"/>
  <c r="T954" i="1" s="1"/>
  <c r="K954" i="1"/>
  <c r="L954" i="1" s="1"/>
  <c r="H954" i="1"/>
  <c r="U953" i="1"/>
  <c r="I953" i="1" s="1"/>
  <c r="T953" i="1"/>
  <c r="M953" i="1"/>
  <c r="K953" i="1"/>
  <c r="L953" i="1" s="1"/>
  <c r="AB953" i="1" s="1"/>
  <c r="H953" i="1"/>
  <c r="M952" i="1"/>
  <c r="T952" i="1" s="1"/>
  <c r="AA952" i="1" s="1"/>
  <c r="L952" i="1"/>
  <c r="K952" i="1"/>
  <c r="H952" i="1"/>
  <c r="T951" i="1"/>
  <c r="M951" i="1"/>
  <c r="L951" i="1"/>
  <c r="AB951" i="1" s="1"/>
  <c r="K951" i="1"/>
  <c r="H951" i="1"/>
  <c r="T950" i="1"/>
  <c r="W950" i="1" s="1"/>
  <c r="X950" i="1" s="1"/>
  <c r="M950" i="1"/>
  <c r="L950" i="1"/>
  <c r="K950" i="1"/>
  <c r="H950" i="1"/>
  <c r="AB949" i="1"/>
  <c r="AA949" i="1"/>
  <c r="W949" i="1"/>
  <c r="X949" i="1" s="1"/>
  <c r="U949" i="1"/>
  <c r="I949" i="1" s="1"/>
  <c r="T949" i="1"/>
  <c r="M949" i="1"/>
  <c r="K949" i="1"/>
  <c r="L949" i="1" s="1"/>
  <c r="H949" i="1"/>
  <c r="AA948" i="1"/>
  <c r="W948" i="1"/>
  <c r="X948" i="1" s="1"/>
  <c r="U948" i="1"/>
  <c r="T948" i="1"/>
  <c r="M948" i="1"/>
  <c r="L948" i="1"/>
  <c r="AB948" i="1" s="1"/>
  <c r="K948" i="1"/>
  <c r="I948" i="1"/>
  <c r="H948" i="1"/>
  <c r="M947" i="1"/>
  <c r="T947" i="1" s="1"/>
  <c r="K947" i="1"/>
  <c r="L947" i="1" s="1"/>
  <c r="AB947" i="1" s="1"/>
  <c r="H947" i="1"/>
  <c r="T946" i="1"/>
  <c r="M946" i="1"/>
  <c r="K946" i="1"/>
  <c r="L946" i="1" s="1"/>
  <c r="AB946" i="1" s="1"/>
  <c r="H946" i="1"/>
  <c r="AB945" i="1"/>
  <c r="U945" i="1"/>
  <c r="M945" i="1"/>
  <c r="T945" i="1" s="1"/>
  <c r="L945" i="1"/>
  <c r="K945" i="1"/>
  <c r="I945" i="1"/>
  <c r="H945" i="1"/>
  <c r="M944" i="1"/>
  <c r="T944" i="1" s="1"/>
  <c r="L944" i="1"/>
  <c r="K944" i="1"/>
  <c r="H944" i="1"/>
  <c r="M943" i="1"/>
  <c r="T943" i="1" s="1"/>
  <c r="K943" i="1"/>
  <c r="L943" i="1" s="1"/>
  <c r="H943" i="1"/>
  <c r="M942" i="1"/>
  <c r="T942" i="1" s="1"/>
  <c r="K942" i="1"/>
  <c r="L942" i="1" s="1"/>
  <c r="H942" i="1"/>
  <c r="W941" i="1"/>
  <c r="X941" i="1" s="1"/>
  <c r="T941" i="1"/>
  <c r="AA941" i="1" s="1"/>
  <c r="M941" i="1"/>
  <c r="L941" i="1"/>
  <c r="AB941" i="1" s="1"/>
  <c r="K941" i="1"/>
  <c r="H941" i="1"/>
  <c r="M940" i="1"/>
  <c r="T940" i="1" s="1"/>
  <c r="L940" i="1"/>
  <c r="K940" i="1"/>
  <c r="H940" i="1"/>
  <c r="AB939" i="1"/>
  <c r="W939" i="1"/>
  <c r="X939" i="1" s="1"/>
  <c r="T939" i="1"/>
  <c r="AA939" i="1" s="1"/>
  <c r="M939" i="1"/>
  <c r="K939" i="1"/>
  <c r="L939" i="1" s="1"/>
  <c r="H939" i="1"/>
  <c r="AB938" i="1"/>
  <c r="AA938" i="1"/>
  <c r="X938" i="1"/>
  <c r="W938" i="1"/>
  <c r="U938" i="1"/>
  <c r="T938" i="1"/>
  <c r="M938" i="1"/>
  <c r="L938" i="1"/>
  <c r="K938" i="1"/>
  <c r="I938" i="1"/>
  <c r="H938" i="1"/>
  <c r="AB937" i="1"/>
  <c r="W937" i="1"/>
  <c r="X937" i="1" s="1"/>
  <c r="M937" i="1"/>
  <c r="T937" i="1" s="1"/>
  <c r="AA937" i="1" s="1"/>
  <c r="K937" i="1"/>
  <c r="L937" i="1" s="1"/>
  <c r="H937" i="1"/>
  <c r="AA936" i="1"/>
  <c r="T936" i="1"/>
  <c r="U936" i="1" s="1"/>
  <c r="M936" i="1"/>
  <c r="K936" i="1"/>
  <c r="L936" i="1" s="1"/>
  <c r="AB936" i="1" s="1"/>
  <c r="I936" i="1"/>
  <c r="H936" i="1"/>
  <c r="AA935" i="1"/>
  <c r="M935" i="1"/>
  <c r="T935" i="1" s="1"/>
  <c r="W935" i="1" s="1"/>
  <c r="X935" i="1" s="1"/>
  <c r="K935" i="1"/>
  <c r="L935" i="1" s="1"/>
  <c r="AB935" i="1" s="1"/>
  <c r="H935" i="1"/>
  <c r="AB934" i="1"/>
  <c r="AA934" i="1"/>
  <c r="W934" i="1"/>
  <c r="X934" i="1" s="1"/>
  <c r="T934" i="1"/>
  <c r="U934" i="1" s="1"/>
  <c r="M934" i="1"/>
  <c r="L934" i="1"/>
  <c r="K934" i="1"/>
  <c r="I934" i="1"/>
  <c r="H934" i="1"/>
  <c r="U933" i="1"/>
  <c r="I933" i="1" s="1"/>
  <c r="T933" i="1"/>
  <c r="M933" i="1"/>
  <c r="K933" i="1"/>
  <c r="L933" i="1" s="1"/>
  <c r="AB933" i="1" s="1"/>
  <c r="H933" i="1"/>
  <c r="T932" i="1"/>
  <c r="AA932" i="1" s="1"/>
  <c r="M932" i="1"/>
  <c r="K932" i="1"/>
  <c r="L932" i="1" s="1"/>
  <c r="AB932" i="1" s="1"/>
  <c r="H932" i="1"/>
  <c r="T931" i="1"/>
  <c r="AA931" i="1" s="1"/>
  <c r="M931" i="1"/>
  <c r="K931" i="1"/>
  <c r="L931" i="1" s="1"/>
  <c r="AB931" i="1" s="1"/>
  <c r="H931" i="1"/>
  <c r="M930" i="1"/>
  <c r="T930" i="1" s="1"/>
  <c r="L930" i="1"/>
  <c r="K930" i="1"/>
  <c r="H930" i="1"/>
  <c r="T929" i="1"/>
  <c r="AA929" i="1" s="1"/>
  <c r="M929" i="1"/>
  <c r="K929" i="1"/>
  <c r="L929" i="1" s="1"/>
  <c r="AB929" i="1" s="1"/>
  <c r="H929" i="1"/>
  <c r="W928" i="1"/>
  <c r="X928" i="1" s="1"/>
  <c r="U928" i="1"/>
  <c r="T928" i="1"/>
  <c r="AA928" i="1" s="1"/>
  <c r="M928" i="1"/>
  <c r="L928" i="1"/>
  <c r="AB928" i="1" s="1"/>
  <c r="K928" i="1"/>
  <c r="I928" i="1"/>
  <c r="H928" i="1"/>
  <c r="M927" i="1"/>
  <c r="T927" i="1" s="1"/>
  <c r="AA927" i="1" s="1"/>
  <c r="L927" i="1"/>
  <c r="AB927" i="1" s="1"/>
  <c r="K927" i="1"/>
  <c r="H927" i="1"/>
  <c r="M926" i="1"/>
  <c r="T926" i="1" s="1"/>
  <c r="K926" i="1"/>
  <c r="L926" i="1" s="1"/>
  <c r="H926" i="1"/>
  <c r="M925" i="1"/>
  <c r="T925" i="1" s="1"/>
  <c r="K925" i="1"/>
  <c r="L925" i="1" s="1"/>
  <c r="H925" i="1"/>
  <c r="M924" i="1"/>
  <c r="T924" i="1" s="1"/>
  <c r="K924" i="1"/>
  <c r="L924" i="1" s="1"/>
  <c r="AB924" i="1" s="1"/>
  <c r="H924" i="1"/>
  <c r="M923" i="1"/>
  <c r="T923" i="1" s="1"/>
  <c r="K923" i="1"/>
  <c r="L923" i="1" s="1"/>
  <c r="H923" i="1"/>
  <c r="M922" i="1"/>
  <c r="T922" i="1" s="1"/>
  <c r="K922" i="1"/>
  <c r="L922" i="1" s="1"/>
  <c r="AB922" i="1" s="1"/>
  <c r="H922" i="1"/>
  <c r="T921" i="1"/>
  <c r="AA921" i="1" s="1"/>
  <c r="M921" i="1"/>
  <c r="L921" i="1"/>
  <c r="AB921" i="1" s="1"/>
  <c r="K921" i="1"/>
  <c r="H921" i="1"/>
  <c r="T920" i="1"/>
  <c r="AA920" i="1" s="1"/>
  <c r="M920" i="1"/>
  <c r="L920" i="1"/>
  <c r="AB920" i="1" s="1"/>
  <c r="K920" i="1"/>
  <c r="H920" i="1"/>
  <c r="M919" i="1"/>
  <c r="T919" i="1" s="1"/>
  <c r="K919" i="1"/>
  <c r="L919" i="1" s="1"/>
  <c r="H919" i="1"/>
  <c r="T918" i="1"/>
  <c r="U918" i="1" s="1"/>
  <c r="I918" i="1" s="1"/>
  <c r="M918" i="1"/>
  <c r="L918" i="1"/>
  <c r="AB918" i="1" s="1"/>
  <c r="K918" i="1"/>
  <c r="H918" i="1"/>
  <c r="M917" i="1"/>
  <c r="T917" i="1" s="1"/>
  <c r="K917" i="1"/>
  <c r="L917" i="1" s="1"/>
  <c r="H917" i="1"/>
  <c r="W916" i="1"/>
  <c r="X916" i="1" s="1"/>
  <c r="T916" i="1"/>
  <c r="U916" i="1" s="1"/>
  <c r="I916" i="1" s="1"/>
  <c r="M916" i="1"/>
  <c r="K916" i="1"/>
  <c r="L916" i="1" s="1"/>
  <c r="AB916" i="1" s="1"/>
  <c r="H916" i="1"/>
  <c r="M915" i="1"/>
  <c r="T915" i="1" s="1"/>
  <c r="L915" i="1"/>
  <c r="AB915" i="1" s="1"/>
  <c r="K915" i="1"/>
  <c r="H915" i="1"/>
  <c r="M914" i="1"/>
  <c r="T914" i="1" s="1"/>
  <c r="L914" i="1"/>
  <c r="K914" i="1"/>
  <c r="H914" i="1"/>
  <c r="T913" i="1"/>
  <c r="AA913" i="1" s="1"/>
  <c r="M913" i="1"/>
  <c r="K913" i="1"/>
  <c r="L913" i="1" s="1"/>
  <c r="AB913" i="1" s="1"/>
  <c r="H913" i="1"/>
  <c r="AA912" i="1"/>
  <c r="U912" i="1"/>
  <c r="T912" i="1"/>
  <c r="W912" i="1" s="1"/>
  <c r="X912" i="1" s="1"/>
  <c r="M912" i="1"/>
  <c r="L912" i="1"/>
  <c r="AB912" i="1" s="1"/>
  <c r="K912" i="1"/>
  <c r="I912" i="1"/>
  <c r="H912" i="1"/>
  <c r="Z911" i="1"/>
  <c r="T911" i="1"/>
  <c r="AA911" i="1" s="1"/>
  <c r="M911" i="1"/>
  <c r="L911" i="1"/>
  <c r="AB911" i="1" s="1"/>
  <c r="K911" i="1"/>
  <c r="H911" i="1"/>
  <c r="Z910" i="1"/>
  <c r="T910" i="1"/>
  <c r="U910" i="1" s="1"/>
  <c r="I910" i="1" s="1"/>
  <c r="M910" i="1"/>
  <c r="L910" i="1"/>
  <c r="AB910" i="1" s="1"/>
  <c r="K910" i="1"/>
  <c r="H910" i="1"/>
  <c r="Z909" i="1"/>
  <c r="W909" i="1"/>
  <c r="X909" i="1" s="1"/>
  <c r="U909" i="1"/>
  <c r="I909" i="1" s="1"/>
  <c r="T909" i="1"/>
  <c r="AA909" i="1" s="1"/>
  <c r="M909" i="1"/>
  <c r="K909" i="1"/>
  <c r="L909" i="1" s="1"/>
  <c r="AB909" i="1" s="1"/>
  <c r="H909" i="1"/>
  <c r="Z908" i="1"/>
  <c r="M908" i="1"/>
  <c r="T908" i="1" s="1"/>
  <c r="K908" i="1"/>
  <c r="L908" i="1" s="1"/>
  <c r="AB908" i="1" s="1"/>
  <c r="H908" i="1"/>
  <c r="Z907" i="1"/>
  <c r="M907" i="1"/>
  <c r="T907" i="1" s="1"/>
  <c r="K907" i="1"/>
  <c r="L907" i="1" s="1"/>
  <c r="H907" i="1"/>
  <c r="Z906" i="1"/>
  <c r="M906" i="1"/>
  <c r="T906" i="1" s="1"/>
  <c r="L906" i="1"/>
  <c r="K906" i="1"/>
  <c r="H906" i="1"/>
  <c r="Z905" i="1"/>
  <c r="T905" i="1"/>
  <c r="U905" i="1" s="1"/>
  <c r="I905" i="1" s="1"/>
  <c r="M905" i="1"/>
  <c r="K905" i="1"/>
  <c r="L905" i="1" s="1"/>
  <c r="AB905" i="1" s="1"/>
  <c r="H905" i="1"/>
  <c r="Z904" i="1"/>
  <c r="M904" i="1"/>
  <c r="T904" i="1" s="1"/>
  <c r="K904" i="1"/>
  <c r="L904" i="1" s="1"/>
  <c r="H904" i="1"/>
  <c r="Z903" i="1"/>
  <c r="M903" i="1"/>
  <c r="T903" i="1" s="1"/>
  <c r="K903" i="1"/>
  <c r="L903" i="1" s="1"/>
  <c r="H903" i="1"/>
  <c r="Z902" i="1"/>
  <c r="M902" i="1"/>
  <c r="T902" i="1" s="1"/>
  <c r="K902" i="1"/>
  <c r="L902" i="1" s="1"/>
  <c r="AB902" i="1" s="1"/>
  <c r="H902" i="1"/>
  <c r="Z901" i="1"/>
  <c r="M901" i="1"/>
  <c r="T901" i="1" s="1"/>
  <c r="L901" i="1"/>
  <c r="AB901" i="1" s="1"/>
  <c r="K901" i="1"/>
  <c r="H901" i="1"/>
  <c r="Z900" i="1"/>
  <c r="T900" i="1"/>
  <c r="U900" i="1" s="1"/>
  <c r="I900" i="1" s="1"/>
  <c r="M900" i="1"/>
  <c r="K900" i="1"/>
  <c r="L900" i="1" s="1"/>
  <c r="AB900" i="1" s="1"/>
  <c r="H900" i="1"/>
  <c r="Z899" i="1"/>
  <c r="M899" i="1"/>
  <c r="T899" i="1" s="1"/>
  <c r="K899" i="1"/>
  <c r="L899" i="1" s="1"/>
  <c r="AB899" i="1" s="1"/>
  <c r="H899" i="1"/>
  <c r="Z898" i="1"/>
  <c r="M898" i="1"/>
  <c r="T898" i="1" s="1"/>
  <c r="K898" i="1"/>
  <c r="L898" i="1" s="1"/>
  <c r="H898" i="1"/>
  <c r="Z897" i="1"/>
  <c r="M897" i="1"/>
  <c r="T897" i="1" s="1"/>
  <c r="K897" i="1"/>
  <c r="L897" i="1" s="1"/>
  <c r="H897" i="1"/>
  <c r="Z896" i="1"/>
  <c r="M896" i="1"/>
  <c r="T896" i="1" s="1"/>
  <c r="K896" i="1"/>
  <c r="L896" i="1" s="1"/>
  <c r="H896" i="1"/>
  <c r="Z895" i="1"/>
  <c r="M895" i="1"/>
  <c r="T895" i="1" s="1"/>
  <c r="K895" i="1"/>
  <c r="L895" i="1" s="1"/>
  <c r="AB895" i="1" s="1"/>
  <c r="H895" i="1"/>
  <c r="Z894" i="1"/>
  <c r="M894" i="1"/>
  <c r="T894" i="1" s="1"/>
  <c r="K894" i="1"/>
  <c r="L894" i="1" s="1"/>
  <c r="AB894" i="1" s="1"/>
  <c r="H894" i="1"/>
  <c r="Z893" i="1"/>
  <c r="M893" i="1"/>
  <c r="T893" i="1" s="1"/>
  <c r="K893" i="1"/>
  <c r="L893" i="1" s="1"/>
  <c r="H893" i="1"/>
  <c r="Z892" i="1"/>
  <c r="M892" i="1"/>
  <c r="T892" i="1" s="1"/>
  <c r="K892" i="1"/>
  <c r="L892" i="1" s="1"/>
  <c r="H892" i="1"/>
  <c r="Z891" i="1"/>
  <c r="M891" i="1"/>
  <c r="T891" i="1" s="1"/>
  <c r="K891" i="1"/>
  <c r="L891" i="1" s="1"/>
  <c r="H891" i="1"/>
  <c r="Z890" i="1"/>
  <c r="M890" i="1"/>
  <c r="T890" i="1" s="1"/>
  <c r="K890" i="1"/>
  <c r="L890" i="1" s="1"/>
  <c r="AB890" i="1" s="1"/>
  <c r="H890" i="1"/>
  <c r="Z889" i="1"/>
  <c r="M889" i="1"/>
  <c r="T889" i="1" s="1"/>
  <c r="K889" i="1"/>
  <c r="L889" i="1" s="1"/>
  <c r="AB889" i="1" s="1"/>
  <c r="H889" i="1"/>
  <c r="Z888" i="1"/>
  <c r="M888" i="1"/>
  <c r="T888" i="1" s="1"/>
  <c r="K888" i="1"/>
  <c r="L888" i="1" s="1"/>
  <c r="H888" i="1"/>
  <c r="Z887" i="1"/>
  <c r="M887" i="1"/>
  <c r="T887" i="1" s="1"/>
  <c r="K887" i="1"/>
  <c r="L887" i="1" s="1"/>
  <c r="H887" i="1"/>
  <c r="Z886" i="1"/>
  <c r="M886" i="1"/>
  <c r="T886" i="1" s="1"/>
  <c r="K886" i="1"/>
  <c r="L886" i="1" s="1"/>
  <c r="H886" i="1"/>
  <c r="Z885" i="1"/>
  <c r="M885" i="1"/>
  <c r="T885" i="1" s="1"/>
  <c r="K885" i="1"/>
  <c r="L885" i="1" s="1"/>
  <c r="AB885" i="1" s="1"/>
  <c r="H885" i="1"/>
  <c r="Z884" i="1"/>
  <c r="M884" i="1"/>
  <c r="T884" i="1" s="1"/>
  <c r="K884" i="1"/>
  <c r="L884" i="1" s="1"/>
  <c r="AB884" i="1" s="1"/>
  <c r="H884" i="1"/>
  <c r="Z883" i="1"/>
  <c r="M883" i="1"/>
  <c r="T883" i="1" s="1"/>
  <c r="K883" i="1"/>
  <c r="L883" i="1" s="1"/>
  <c r="H883" i="1"/>
  <c r="T882" i="1"/>
  <c r="AA882" i="1" s="1"/>
  <c r="M882" i="1"/>
  <c r="L882" i="1"/>
  <c r="AB882" i="1" s="1"/>
  <c r="K882" i="1"/>
  <c r="H882" i="1"/>
  <c r="AB881" i="1"/>
  <c r="Z881" i="1"/>
  <c r="W881" i="1"/>
  <c r="X881" i="1" s="1"/>
  <c r="T881" i="1"/>
  <c r="AA881" i="1" s="1"/>
  <c r="M881" i="1"/>
  <c r="L881" i="1"/>
  <c r="K881" i="1"/>
  <c r="H881" i="1"/>
  <c r="Z880" i="1"/>
  <c r="T880" i="1"/>
  <c r="AA880" i="1" s="1"/>
  <c r="M880" i="1"/>
  <c r="L880" i="1"/>
  <c r="AB880" i="1" s="1"/>
  <c r="K880" i="1"/>
  <c r="H880" i="1"/>
  <c r="AB879" i="1"/>
  <c r="Z879" i="1"/>
  <c r="T879" i="1"/>
  <c r="W879" i="1" s="1"/>
  <c r="X879" i="1" s="1"/>
  <c r="M879" i="1"/>
  <c r="L879" i="1"/>
  <c r="K879" i="1"/>
  <c r="H879" i="1"/>
  <c r="Z878" i="1"/>
  <c r="W878" i="1"/>
  <c r="X878" i="1" s="1"/>
  <c r="T878" i="1"/>
  <c r="U878" i="1" s="1"/>
  <c r="I878" i="1" s="1"/>
  <c r="M878" i="1"/>
  <c r="L878" i="1"/>
  <c r="AB878" i="1" s="1"/>
  <c r="K878" i="1"/>
  <c r="H878" i="1"/>
  <c r="Z877" i="1"/>
  <c r="T877" i="1"/>
  <c r="AB877" i="1" s="1"/>
  <c r="M877" i="1"/>
  <c r="L877" i="1"/>
  <c r="K877" i="1"/>
  <c r="H877" i="1"/>
  <c r="AB876" i="1"/>
  <c r="Z876" i="1"/>
  <c r="W876" i="1"/>
  <c r="X876" i="1" s="1"/>
  <c r="T876" i="1"/>
  <c r="AA876" i="1" s="1"/>
  <c r="M876" i="1"/>
  <c r="L876" i="1"/>
  <c r="K876" i="1"/>
  <c r="H876" i="1"/>
  <c r="Z875" i="1"/>
  <c r="T875" i="1"/>
  <c r="AA875" i="1" s="1"/>
  <c r="M875" i="1"/>
  <c r="L875" i="1"/>
  <c r="AB875" i="1" s="1"/>
  <c r="K875" i="1"/>
  <c r="H875" i="1"/>
  <c r="AB874" i="1"/>
  <c r="Z874" i="1"/>
  <c r="T874" i="1"/>
  <c r="W874" i="1" s="1"/>
  <c r="X874" i="1" s="1"/>
  <c r="M874" i="1"/>
  <c r="L874" i="1"/>
  <c r="K874" i="1"/>
  <c r="H874" i="1"/>
  <c r="Z873" i="1"/>
  <c r="W873" i="1"/>
  <c r="X873" i="1" s="1"/>
  <c r="T873" i="1"/>
  <c r="U873" i="1" s="1"/>
  <c r="I873" i="1" s="1"/>
  <c r="M873" i="1"/>
  <c r="L873" i="1"/>
  <c r="AB873" i="1" s="1"/>
  <c r="K873" i="1"/>
  <c r="H873" i="1"/>
  <c r="M872" i="1"/>
  <c r="T872" i="1" s="1"/>
  <c r="K872" i="1"/>
  <c r="L872" i="1" s="1"/>
  <c r="H872" i="1"/>
  <c r="T871" i="1"/>
  <c r="AA871" i="1" s="1"/>
  <c r="M871" i="1"/>
  <c r="L871" i="1"/>
  <c r="AB871" i="1" s="1"/>
  <c r="K871" i="1"/>
  <c r="H871" i="1"/>
  <c r="M870" i="1"/>
  <c r="T870" i="1" s="1"/>
  <c r="K870" i="1"/>
  <c r="L870" i="1" s="1"/>
  <c r="H870" i="1"/>
  <c r="T869" i="1"/>
  <c r="AA869" i="1" s="1"/>
  <c r="M869" i="1"/>
  <c r="L869" i="1"/>
  <c r="AB869" i="1" s="1"/>
  <c r="K869" i="1"/>
  <c r="H869" i="1"/>
  <c r="M868" i="1"/>
  <c r="T868" i="1" s="1"/>
  <c r="K868" i="1"/>
  <c r="L868" i="1" s="1"/>
  <c r="AB868" i="1" s="1"/>
  <c r="H868" i="1"/>
  <c r="T867" i="1"/>
  <c r="AA867" i="1" s="1"/>
  <c r="M867" i="1"/>
  <c r="L867" i="1"/>
  <c r="AB867" i="1" s="1"/>
  <c r="K867" i="1"/>
  <c r="H867" i="1"/>
  <c r="M866" i="1"/>
  <c r="T866" i="1" s="1"/>
  <c r="K866" i="1"/>
  <c r="L866" i="1" s="1"/>
  <c r="H866" i="1"/>
  <c r="T865" i="1"/>
  <c r="W865" i="1" s="1"/>
  <c r="X865" i="1" s="1"/>
  <c r="M865" i="1"/>
  <c r="L865" i="1"/>
  <c r="AB865" i="1" s="1"/>
  <c r="K865" i="1"/>
  <c r="H865" i="1"/>
  <c r="M864" i="1"/>
  <c r="T864" i="1" s="1"/>
  <c r="K864" i="1"/>
  <c r="L864" i="1" s="1"/>
  <c r="AB864" i="1" s="1"/>
  <c r="H864" i="1"/>
  <c r="AA863" i="1"/>
  <c r="W863" i="1"/>
  <c r="X863" i="1" s="1"/>
  <c r="T863" i="1"/>
  <c r="U863" i="1" s="1"/>
  <c r="I863" i="1" s="1"/>
  <c r="M863" i="1"/>
  <c r="L863" i="1"/>
  <c r="AB863" i="1" s="1"/>
  <c r="K863" i="1"/>
  <c r="H863" i="1"/>
  <c r="M862" i="1"/>
  <c r="T862" i="1" s="1"/>
  <c r="K862" i="1"/>
  <c r="L862" i="1" s="1"/>
  <c r="AB862" i="1" s="1"/>
  <c r="H862" i="1"/>
  <c r="T861" i="1"/>
  <c r="AA861" i="1" s="1"/>
  <c r="M861" i="1"/>
  <c r="K861" i="1"/>
  <c r="L861" i="1" s="1"/>
  <c r="AB861" i="1" s="1"/>
  <c r="H861" i="1"/>
  <c r="M860" i="1"/>
  <c r="T860" i="1" s="1"/>
  <c r="L860" i="1"/>
  <c r="AB860" i="1" s="1"/>
  <c r="K860" i="1"/>
  <c r="H860" i="1"/>
  <c r="M859" i="1"/>
  <c r="T859" i="1" s="1"/>
  <c r="L859" i="1"/>
  <c r="K859" i="1"/>
  <c r="H859" i="1"/>
  <c r="T858" i="1"/>
  <c r="M858" i="1"/>
  <c r="K858" i="1"/>
  <c r="L858" i="1" s="1"/>
  <c r="AB858" i="1" s="1"/>
  <c r="H858" i="1"/>
  <c r="AA857" i="1"/>
  <c r="U857" i="1"/>
  <c r="I857" i="1" s="1"/>
  <c r="T857" i="1"/>
  <c r="W857" i="1" s="1"/>
  <c r="X857" i="1" s="1"/>
  <c r="M857" i="1"/>
  <c r="L857" i="1"/>
  <c r="AB857" i="1" s="1"/>
  <c r="K857" i="1"/>
  <c r="H857" i="1"/>
  <c r="W856" i="1"/>
  <c r="X856" i="1" s="1"/>
  <c r="M856" i="1"/>
  <c r="T856" i="1" s="1"/>
  <c r="K856" i="1"/>
  <c r="L856" i="1" s="1"/>
  <c r="AB856" i="1" s="1"/>
  <c r="H856" i="1"/>
  <c r="T855" i="1"/>
  <c r="W855" i="1" s="1"/>
  <c r="X855" i="1" s="1"/>
  <c r="M855" i="1"/>
  <c r="L855" i="1"/>
  <c r="AB855" i="1" s="1"/>
  <c r="K855" i="1"/>
  <c r="H855" i="1"/>
  <c r="AA854" i="1"/>
  <c r="M854" i="1"/>
  <c r="T854" i="1" s="1"/>
  <c r="K854" i="1"/>
  <c r="L854" i="1" s="1"/>
  <c r="AB854" i="1" s="1"/>
  <c r="H854" i="1"/>
  <c r="AB853" i="1"/>
  <c r="AA853" i="1"/>
  <c r="W853" i="1"/>
  <c r="X853" i="1" s="1"/>
  <c r="T853" i="1"/>
  <c r="U853" i="1" s="1"/>
  <c r="I853" i="1" s="1"/>
  <c r="M853" i="1"/>
  <c r="L853" i="1"/>
  <c r="K853" i="1"/>
  <c r="H853" i="1"/>
  <c r="M852" i="1"/>
  <c r="T852" i="1" s="1"/>
  <c r="K852" i="1"/>
  <c r="L852" i="1" s="1"/>
  <c r="H852" i="1"/>
  <c r="T851" i="1"/>
  <c r="AA851" i="1" s="1"/>
  <c r="M851" i="1"/>
  <c r="K851" i="1"/>
  <c r="L851" i="1" s="1"/>
  <c r="AB851" i="1" s="1"/>
  <c r="H851" i="1"/>
  <c r="M850" i="1"/>
  <c r="T850" i="1" s="1"/>
  <c r="L850" i="1"/>
  <c r="K850" i="1"/>
  <c r="H850" i="1"/>
  <c r="M849" i="1"/>
  <c r="T849" i="1" s="1"/>
  <c r="L849" i="1"/>
  <c r="AB849" i="1" s="1"/>
  <c r="K849" i="1"/>
  <c r="H849" i="1"/>
  <c r="T848" i="1"/>
  <c r="M848" i="1"/>
  <c r="K848" i="1"/>
  <c r="L848" i="1" s="1"/>
  <c r="AB848" i="1" s="1"/>
  <c r="H848" i="1"/>
  <c r="AA847" i="1"/>
  <c r="U847" i="1"/>
  <c r="I847" i="1" s="1"/>
  <c r="T847" i="1"/>
  <c r="W847" i="1" s="1"/>
  <c r="X847" i="1" s="1"/>
  <c r="M847" i="1"/>
  <c r="L847" i="1"/>
  <c r="AB847" i="1" s="1"/>
  <c r="K847" i="1"/>
  <c r="H847" i="1"/>
  <c r="M846" i="1"/>
  <c r="T846" i="1" s="1"/>
  <c r="K846" i="1"/>
  <c r="L846" i="1" s="1"/>
  <c r="H846" i="1"/>
  <c r="X845" i="1"/>
  <c r="T845" i="1"/>
  <c r="W845" i="1" s="1"/>
  <c r="M845" i="1"/>
  <c r="L845" i="1"/>
  <c r="AB845" i="1" s="1"/>
  <c r="K845" i="1"/>
  <c r="H845" i="1"/>
  <c r="M844" i="1"/>
  <c r="T844" i="1" s="1"/>
  <c r="K844" i="1"/>
  <c r="L844" i="1" s="1"/>
  <c r="H844" i="1"/>
  <c r="AA843" i="1"/>
  <c r="W843" i="1"/>
  <c r="X843" i="1" s="1"/>
  <c r="T843" i="1"/>
  <c r="U843" i="1" s="1"/>
  <c r="I843" i="1" s="1"/>
  <c r="M843" i="1"/>
  <c r="K843" i="1"/>
  <c r="L843" i="1" s="1"/>
  <c r="AB843" i="1" s="1"/>
  <c r="H843" i="1"/>
  <c r="M842" i="1"/>
  <c r="T842" i="1" s="1"/>
  <c r="L842" i="1"/>
  <c r="K842" i="1"/>
  <c r="H842" i="1"/>
  <c r="M841" i="1"/>
  <c r="T841" i="1" s="1"/>
  <c r="K841" i="1"/>
  <c r="L841" i="1" s="1"/>
  <c r="AB841" i="1" s="1"/>
  <c r="H841" i="1"/>
  <c r="T840" i="1"/>
  <c r="AA840" i="1" s="1"/>
  <c r="M840" i="1"/>
  <c r="L840" i="1"/>
  <c r="AB840" i="1" s="1"/>
  <c r="K840" i="1"/>
  <c r="H840" i="1"/>
  <c r="M839" i="1"/>
  <c r="T839" i="1" s="1"/>
  <c r="L839" i="1"/>
  <c r="K839" i="1"/>
  <c r="H839" i="1"/>
  <c r="T838" i="1"/>
  <c r="M838" i="1"/>
  <c r="K838" i="1"/>
  <c r="L838" i="1" s="1"/>
  <c r="AB838" i="1" s="1"/>
  <c r="H838" i="1"/>
  <c r="AA837" i="1"/>
  <c r="U837" i="1"/>
  <c r="I837" i="1" s="1"/>
  <c r="T837" i="1"/>
  <c r="W837" i="1" s="1"/>
  <c r="X837" i="1" s="1"/>
  <c r="M837" i="1"/>
  <c r="L837" i="1"/>
  <c r="AB837" i="1" s="1"/>
  <c r="K837" i="1"/>
  <c r="H837" i="1"/>
  <c r="W836" i="1"/>
  <c r="X836" i="1" s="1"/>
  <c r="M836" i="1"/>
  <c r="T836" i="1" s="1"/>
  <c r="K836" i="1"/>
  <c r="L836" i="1" s="1"/>
  <c r="AB836" i="1" s="1"/>
  <c r="H836" i="1"/>
  <c r="AB835" i="1"/>
  <c r="X835" i="1"/>
  <c r="T835" i="1"/>
  <c r="W835" i="1" s="1"/>
  <c r="M835" i="1"/>
  <c r="L835" i="1"/>
  <c r="K835" i="1"/>
  <c r="H835" i="1"/>
  <c r="M834" i="1"/>
  <c r="T834" i="1" s="1"/>
  <c r="K834" i="1"/>
  <c r="L834" i="1" s="1"/>
  <c r="H834" i="1"/>
  <c r="AA833" i="1"/>
  <c r="W833" i="1"/>
  <c r="X833" i="1" s="1"/>
  <c r="T833" i="1"/>
  <c r="U833" i="1" s="1"/>
  <c r="I833" i="1" s="1"/>
  <c r="M833" i="1"/>
  <c r="K833" i="1"/>
  <c r="L833" i="1" s="1"/>
  <c r="AB833" i="1" s="1"/>
  <c r="H833" i="1"/>
  <c r="M832" i="1"/>
  <c r="T832" i="1" s="1"/>
  <c r="L832" i="1"/>
  <c r="K832" i="1"/>
  <c r="H832" i="1"/>
  <c r="M831" i="1"/>
  <c r="T831" i="1" s="1"/>
  <c r="K831" i="1"/>
  <c r="L831" i="1" s="1"/>
  <c r="AB831" i="1" s="1"/>
  <c r="H831" i="1"/>
  <c r="T830" i="1"/>
  <c r="AA830" i="1" s="1"/>
  <c r="M830" i="1"/>
  <c r="L830" i="1"/>
  <c r="AB830" i="1" s="1"/>
  <c r="K830" i="1"/>
  <c r="H830" i="1"/>
  <c r="M829" i="1"/>
  <c r="T829" i="1" s="1"/>
  <c r="L829" i="1"/>
  <c r="K829" i="1"/>
  <c r="H829" i="1"/>
  <c r="T828" i="1"/>
  <c r="M828" i="1"/>
  <c r="K828" i="1"/>
  <c r="L828" i="1" s="1"/>
  <c r="AB828" i="1" s="1"/>
  <c r="H828" i="1"/>
  <c r="AA827" i="1"/>
  <c r="U827" i="1"/>
  <c r="I827" i="1" s="1"/>
  <c r="T827" i="1"/>
  <c r="W827" i="1" s="1"/>
  <c r="X827" i="1" s="1"/>
  <c r="M827" i="1"/>
  <c r="L827" i="1"/>
  <c r="AB827" i="1" s="1"/>
  <c r="K827" i="1"/>
  <c r="H827" i="1"/>
  <c r="W826" i="1"/>
  <c r="X826" i="1" s="1"/>
  <c r="M826" i="1"/>
  <c r="T826" i="1" s="1"/>
  <c r="K826" i="1"/>
  <c r="L826" i="1" s="1"/>
  <c r="AB826" i="1" s="1"/>
  <c r="H826" i="1"/>
  <c r="AB825" i="1"/>
  <c r="X825" i="1"/>
  <c r="T825" i="1"/>
  <c r="W825" i="1" s="1"/>
  <c r="M825" i="1"/>
  <c r="L825" i="1"/>
  <c r="K825" i="1"/>
  <c r="H825" i="1"/>
  <c r="M824" i="1"/>
  <c r="T824" i="1" s="1"/>
  <c r="K824" i="1"/>
  <c r="L824" i="1" s="1"/>
  <c r="H824" i="1"/>
  <c r="AA823" i="1"/>
  <c r="W823" i="1"/>
  <c r="X823" i="1" s="1"/>
  <c r="T823" i="1"/>
  <c r="U823" i="1" s="1"/>
  <c r="I823" i="1" s="1"/>
  <c r="M823" i="1"/>
  <c r="K823" i="1"/>
  <c r="L823" i="1" s="1"/>
  <c r="AB823" i="1" s="1"/>
  <c r="H823" i="1"/>
  <c r="M822" i="1"/>
  <c r="T822" i="1" s="1"/>
  <c r="L822" i="1"/>
  <c r="K822" i="1"/>
  <c r="H822" i="1"/>
  <c r="M821" i="1"/>
  <c r="T821" i="1" s="1"/>
  <c r="K821" i="1"/>
  <c r="L821" i="1" s="1"/>
  <c r="AB821" i="1" s="1"/>
  <c r="H821" i="1"/>
  <c r="T820" i="1"/>
  <c r="AA820" i="1" s="1"/>
  <c r="M820" i="1"/>
  <c r="L820" i="1"/>
  <c r="AB820" i="1" s="1"/>
  <c r="K820" i="1"/>
  <c r="H820" i="1"/>
  <c r="M819" i="1"/>
  <c r="T819" i="1" s="1"/>
  <c r="K819" i="1"/>
  <c r="L819" i="1" s="1"/>
  <c r="H819" i="1"/>
  <c r="T818" i="1"/>
  <c r="M818" i="1"/>
  <c r="K818" i="1"/>
  <c r="L818" i="1" s="1"/>
  <c r="H818" i="1"/>
  <c r="U817" i="1"/>
  <c r="I817" i="1" s="1"/>
  <c r="M817" i="1"/>
  <c r="T817" i="1" s="1"/>
  <c r="L817" i="1"/>
  <c r="AB817" i="1" s="1"/>
  <c r="K817" i="1"/>
  <c r="H817" i="1"/>
  <c r="M816" i="1"/>
  <c r="T816" i="1" s="1"/>
  <c r="K816" i="1"/>
  <c r="L816" i="1" s="1"/>
  <c r="H816" i="1"/>
  <c r="AB815" i="1"/>
  <c r="X815" i="1"/>
  <c r="T815" i="1"/>
  <c r="W815" i="1" s="1"/>
  <c r="M815" i="1"/>
  <c r="L815" i="1"/>
  <c r="K815" i="1"/>
  <c r="H815" i="1"/>
  <c r="AA814" i="1"/>
  <c r="M814" i="1"/>
  <c r="T814" i="1" s="1"/>
  <c r="K814" i="1"/>
  <c r="L814" i="1" s="1"/>
  <c r="AB814" i="1" s="1"/>
  <c r="H814" i="1"/>
  <c r="AB813" i="1"/>
  <c r="AA813" i="1"/>
  <c r="W813" i="1"/>
  <c r="X813" i="1" s="1"/>
  <c r="T813" i="1"/>
  <c r="U813" i="1" s="1"/>
  <c r="I813" i="1" s="1"/>
  <c r="M813" i="1"/>
  <c r="K813" i="1"/>
  <c r="L813" i="1" s="1"/>
  <c r="H813" i="1"/>
  <c r="M812" i="1"/>
  <c r="T812" i="1" s="1"/>
  <c r="L812" i="1"/>
  <c r="AB812" i="1" s="1"/>
  <c r="K812" i="1"/>
  <c r="H812" i="1"/>
  <c r="M811" i="1"/>
  <c r="T811" i="1" s="1"/>
  <c r="K811" i="1"/>
  <c r="L811" i="1" s="1"/>
  <c r="AB811" i="1" s="1"/>
  <c r="H811" i="1"/>
  <c r="T810" i="1"/>
  <c r="M810" i="1"/>
  <c r="L810" i="1"/>
  <c r="K810" i="1"/>
  <c r="H810" i="1"/>
  <c r="U809" i="1"/>
  <c r="I809" i="1" s="1"/>
  <c r="M809" i="1"/>
  <c r="T809" i="1" s="1"/>
  <c r="K809" i="1"/>
  <c r="L809" i="1" s="1"/>
  <c r="AB809" i="1" s="1"/>
  <c r="H809" i="1"/>
  <c r="T808" i="1"/>
  <c r="M808" i="1"/>
  <c r="K808" i="1"/>
  <c r="L808" i="1" s="1"/>
  <c r="H808" i="1"/>
  <c r="U807" i="1"/>
  <c r="I807" i="1" s="1"/>
  <c r="M807" i="1"/>
  <c r="T807" i="1" s="1"/>
  <c r="L807" i="1"/>
  <c r="AB807" i="1" s="1"/>
  <c r="K807" i="1"/>
  <c r="H807" i="1"/>
  <c r="AA806" i="1"/>
  <c r="W806" i="1"/>
  <c r="X806" i="1" s="1"/>
  <c r="M806" i="1"/>
  <c r="T806" i="1" s="1"/>
  <c r="U806" i="1" s="1"/>
  <c r="I806" i="1" s="1"/>
  <c r="K806" i="1"/>
  <c r="L806" i="1" s="1"/>
  <c r="AB806" i="1" s="1"/>
  <c r="H806" i="1"/>
  <c r="AB805" i="1"/>
  <c r="T805" i="1"/>
  <c r="W805" i="1" s="1"/>
  <c r="X805" i="1" s="1"/>
  <c r="M805" i="1"/>
  <c r="L805" i="1"/>
  <c r="K805" i="1"/>
  <c r="H805" i="1"/>
  <c r="M804" i="1"/>
  <c r="T804" i="1" s="1"/>
  <c r="K804" i="1"/>
  <c r="L804" i="1" s="1"/>
  <c r="H804" i="1"/>
  <c r="AA803" i="1"/>
  <c r="W803" i="1"/>
  <c r="T803" i="1"/>
  <c r="U803" i="1" s="1"/>
  <c r="I803" i="1" s="1"/>
  <c r="M803" i="1"/>
  <c r="K803" i="1"/>
  <c r="L803" i="1" s="1"/>
  <c r="AB803" i="1" s="1"/>
  <c r="H803" i="1"/>
  <c r="M802" i="1"/>
  <c r="T802" i="1" s="1"/>
  <c r="L802" i="1"/>
  <c r="AB802" i="1" s="1"/>
  <c r="K802" i="1"/>
  <c r="H802" i="1"/>
  <c r="M801" i="1"/>
  <c r="T801" i="1" s="1"/>
  <c r="K801" i="1"/>
  <c r="L801" i="1" s="1"/>
  <c r="AB801" i="1" s="1"/>
  <c r="H801" i="1"/>
  <c r="T800" i="1"/>
  <c r="M800" i="1"/>
  <c r="L800" i="1"/>
  <c r="K800" i="1"/>
  <c r="H800" i="1"/>
  <c r="L799" i="1"/>
  <c r="I799" i="1"/>
  <c r="H799" i="1"/>
  <c r="W798" i="1"/>
  <c r="X798" i="1" s="1"/>
  <c r="M798" i="1"/>
  <c r="T798" i="1" s="1"/>
  <c r="U798" i="1" s="1"/>
  <c r="I798" i="1" s="1"/>
  <c r="K798" i="1"/>
  <c r="L798" i="1" s="1"/>
  <c r="H798" i="1"/>
  <c r="AB797" i="1"/>
  <c r="AA797" i="1"/>
  <c r="X797" i="1"/>
  <c r="W797" i="1"/>
  <c r="T797" i="1"/>
  <c r="U797" i="1" s="1"/>
  <c r="I797" i="1" s="1"/>
  <c r="M797" i="1"/>
  <c r="L797" i="1"/>
  <c r="K797" i="1"/>
  <c r="H797" i="1"/>
  <c r="M796" i="1"/>
  <c r="T796" i="1" s="1"/>
  <c r="K796" i="1"/>
  <c r="L796" i="1" s="1"/>
  <c r="H796" i="1"/>
  <c r="AA795" i="1"/>
  <c r="T795" i="1"/>
  <c r="W795" i="1" s="1"/>
  <c r="X795" i="1" s="1"/>
  <c r="M795" i="1"/>
  <c r="K795" i="1"/>
  <c r="L795" i="1" s="1"/>
  <c r="AB795" i="1" s="1"/>
  <c r="H795" i="1"/>
  <c r="M794" i="1"/>
  <c r="T794" i="1" s="1"/>
  <c r="L794" i="1"/>
  <c r="K794" i="1"/>
  <c r="H794" i="1"/>
  <c r="M793" i="1"/>
  <c r="T793" i="1" s="1"/>
  <c r="K793" i="1"/>
  <c r="L793" i="1" s="1"/>
  <c r="AB793" i="1" s="1"/>
  <c r="H793" i="1"/>
  <c r="T792" i="1"/>
  <c r="M792" i="1"/>
  <c r="L792" i="1"/>
  <c r="AB792" i="1" s="1"/>
  <c r="K792" i="1"/>
  <c r="H792" i="1"/>
  <c r="U791" i="1"/>
  <c r="I791" i="1" s="1"/>
  <c r="M791" i="1"/>
  <c r="T791" i="1" s="1"/>
  <c r="L791" i="1"/>
  <c r="AB791" i="1" s="1"/>
  <c r="K791" i="1"/>
  <c r="H791" i="1"/>
  <c r="W790" i="1"/>
  <c r="X790" i="1" s="1"/>
  <c r="T790" i="1"/>
  <c r="M790" i="1"/>
  <c r="K790" i="1"/>
  <c r="L790" i="1" s="1"/>
  <c r="AB790" i="1" s="1"/>
  <c r="H790" i="1"/>
  <c r="AA789" i="1"/>
  <c r="X789" i="1"/>
  <c r="W789" i="1"/>
  <c r="U789" i="1"/>
  <c r="I789" i="1" s="1"/>
  <c r="T789" i="1"/>
  <c r="M789" i="1"/>
  <c r="L789" i="1"/>
  <c r="AB789" i="1" s="1"/>
  <c r="K789" i="1"/>
  <c r="H789" i="1"/>
  <c r="AA788" i="1"/>
  <c r="W788" i="1"/>
  <c r="X788" i="1" s="1"/>
  <c r="M788" i="1"/>
  <c r="T788" i="1" s="1"/>
  <c r="U788" i="1" s="1"/>
  <c r="I788" i="1" s="1"/>
  <c r="K788" i="1"/>
  <c r="L788" i="1" s="1"/>
  <c r="AB788" i="1" s="1"/>
  <c r="H788" i="1"/>
  <c r="AB787" i="1"/>
  <c r="AA787" i="1"/>
  <c r="X787" i="1"/>
  <c r="W787" i="1"/>
  <c r="T787" i="1"/>
  <c r="U787" i="1" s="1"/>
  <c r="I787" i="1" s="1"/>
  <c r="M787" i="1"/>
  <c r="L787" i="1"/>
  <c r="K787" i="1"/>
  <c r="H787" i="1"/>
  <c r="AA786" i="1"/>
  <c r="M786" i="1"/>
  <c r="T786" i="1" s="1"/>
  <c r="K786" i="1"/>
  <c r="L786" i="1" s="1"/>
  <c r="AB786" i="1" s="1"/>
  <c r="H786" i="1"/>
  <c r="T785" i="1"/>
  <c r="AA785" i="1" s="1"/>
  <c r="M785" i="1"/>
  <c r="K785" i="1"/>
  <c r="L785" i="1" s="1"/>
  <c r="AB785" i="1" s="1"/>
  <c r="H785" i="1"/>
  <c r="M784" i="1"/>
  <c r="T784" i="1" s="1"/>
  <c r="L784" i="1"/>
  <c r="K784" i="1"/>
  <c r="H784" i="1"/>
  <c r="M783" i="1"/>
  <c r="T783" i="1" s="1"/>
  <c r="K783" i="1"/>
  <c r="L783" i="1" s="1"/>
  <c r="AB783" i="1" s="1"/>
  <c r="H783" i="1"/>
  <c r="T782" i="1"/>
  <c r="M782" i="1"/>
  <c r="L782" i="1"/>
  <c r="AB782" i="1" s="1"/>
  <c r="K782" i="1"/>
  <c r="H782" i="1"/>
  <c r="M781" i="1"/>
  <c r="T781" i="1" s="1"/>
  <c r="L781" i="1"/>
  <c r="K781" i="1"/>
  <c r="H781" i="1"/>
  <c r="T780" i="1"/>
  <c r="M780" i="1"/>
  <c r="L780" i="1"/>
  <c r="AB780" i="1" s="1"/>
  <c r="K780" i="1"/>
  <c r="H780" i="1"/>
  <c r="AA779" i="1"/>
  <c r="X779" i="1"/>
  <c r="W779" i="1"/>
  <c r="U779" i="1"/>
  <c r="I779" i="1" s="1"/>
  <c r="T779" i="1"/>
  <c r="M779" i="1"/>
  <c r="L779" i="1"/>
  <c r="AB779" i="1" s="1"/>
  <c r="K779" i="1"/>
  <c r="H779" i="1"/>
  <c r="AA778" i="1"/>
  <c r="W778" i="1"/>
  <c r="X778" i="1" s="1"/>
  <c r="U778" i="1"/>
  <c r="I778" i="1" s="1"/>
  <c r="T778" i="1"/>
  <c r="M778" i="1"/>
  <c r="K778" i="1"/>
  <c r="L778" i="1" s="1"/>
  <c r="AB778" i="1" s="1"/>
  <c r="H778" i="1"/>
  <c r="AB777" i="1"/>
  <c r="AA777" i="1"/>
  <c r="X777" i="1"/>
  <c r="W777" i="1"/>
  <c r="U777" i="1"/>
  <c r="T777" i="1"/>
  <c r="M777" i="1"/>
  <c r="L777" i="1"/>
  <c r="K777" i="1"/>
  <c r="I777" i="1"/>
  <c r="H777" i="1"/>
  <c r="M776" i="1"/>
  <c r="T776" i="1" s="1"/>
  <c r="K776" i="1"/>
  <c r="L776" i="1" s="1"/>
  <c r="H776" i="1"/>
  <c r="AB775" i="1"/>
  <c r="T775" i="1"/>
  <c r="AA775" i="1" s="1"/>
  <c r="M775" i="1"/>
  <c r="K775" i="1"/>
  <c r="L775" i="1" s="1"/>
  <c r="H775" i="1"/>
  <c r="M774" i="1"/>
  <c r="T774" i="1" s="1"/>
  <c r="L774" i="1"/>
  <c r="AB774" i="1" s="1"/>
  <c r="K774" i="1"/>
  <c r="H774" i="1"/>
  <c r="M773" i="1"/>
  <c r="T773" i="1" s="1"/>
  <c r="K773" i="1"/>
  <c r="L773" i="1" s="1"/>
  <c r="H773" i="1"/>
  <c r="T772" i="1"/>
  <c r="M772" i="1"/>
  <c r="L772" i="1"/>
  <c r="K772" i="1"/>
  <c r="H772" i="1"/>
  <c r="U771" i="1"/>
  <c r="I771" i="1" s="1"/>
  <c r="M771" i="1"/>
  <c r="T771" i="1" s="1"/>
  <c r="L771" i="1"/>
  <c r="AB771" i="1" s="1"/>
  <c r="K771" i="1"/>
  <c r="H771" i="1"/>
  <c r="T770" i="1"/>
  <c r="M770" i="1"/>
  <c r="L770" i="1"/>
  <c r="K770" i="1"/>
  <c r="H770" i="1"/>
  <c r="AA769" i="1"/>
  <c r="X769" i="1"/>
  <c r="W769" i="1"/>
  <c r="U769" i="1"/>
  <c r="I769" i="1" s="1"/>
  <c r="T769" i="1"/>
  <c r="M769" i="1"/>
  <c r="L769" i="1"/>
  <c r="AB769" i="1" s="1"/>
  <c r="K769" i="1"/>
  <c r="H769" i="1"/>
  <c r="AA768" i="1"/>
  <c r="W768" i="1"/>
  <c r="X768" i="1" s="1"/>
  <c r="U768" i="1"/>
  <c r="I768" i="1" s="1"/>
  <c r="T768" i="1"/>
  <c r="M768" i="1"/>
  <c r="K768" i="1"/>
  <c r="L768" i="1" s="1"/>
  <c r="AB768" i="1" s="1"/>
  <c r="H768" i="1"/>
  <c r="AB767" i="1"/>
  <c r="AA767" i="1"/>
  <c r="X767" i="1"/>
  <c r="W767" i="1"/>
  <c r="U767" i="1"/>
  <c r="T767" i="1"/>
  <c r="M767" i="1"/>
  <c r="L767" i="1"/>
  <c r="K767" i="1"/>
  <c r="I767" i="1"/>
  <c r="H767" i="1"/>
  <c r="AA766" i="1"/>
  <c r="M766" i="1"/>
  <c r="T766" i="1" s="1"/>
  <c r="K766" i="1"/>
  <c r="L766" i="1" s="1"/>
  <c r="AB766" i="1" s="1"/>
  <c r="H766" i="1"/>
  <c r="T765" i="1"/>
  <c r="AA765" i="1" s="1"/>
  <c r="M765" i="1"/>
  <c r="K765" i="1"/>
  <c r="L765" i="1" s="1"/>
  <c r="AB765" i="1" s="1"/>
  <c r="H765" i="1"/>
  <c r="M764" i="1"/>
  <c r="T764" i="1" s="1"/>
  <c r="L764" i="1"/>
  <c r="K764" i="1"/>
  <c r="H764" i="1"/>
  <c r="M763" i="1"/>
  <c r="T763" i="1" s="1"/>
  <c r="K763" i="1"/>
  <c r="L763" i="1" s="1"/>
  <c r="H763" i="1"/>
  <c r="T762" i="1"/>
  <c r="M762" i="1"/>
  <c r="L762" i="1"/>
  <c r="K762" i="1"/>
  <c r="H762" i="1"/>
  <c r="M761" i="1"/>
  <c r="T761" i="1" s="1"/>
  <c r="L761" i="1"/>
  <c r="K761" i="1"/>
  <c r="H761" i="1"/>
  <c r="W760" i="1"/>
  <c r="X760" i="1" s="1"/>
  <c r="T760" i="1"/>
  <c r="M760" i="1"/>
  <c r="L760" i="1"/>
  <c r="K760" i="1"/>
  <c r="H760" i="1"/>
  <c r="AA759" i="1"/>
  <c r="X759" i="1"/>
  <c r="W759" i="1"/>
  <c r="U759" i="1"/>
  <c r="I759" i="1" s="1"/>
  <c r="T759" i="1"/>
  <c r="M759" i="1"/>
  <c r="L759" i="1"/>
  <c r="AB759" i="1" s="1"/>
  <c r="K759" i="1"/>
  <c r="H759" i="1"/>
  <c r="AA758" i="1"/>
  <c r="W758" i="1"/>
  <c r="X758" i="1" s="1"/>
  <c r="U758" i="1"/>
  <c r="I758" i="1" s="1"/>
  <c r="T758" i="1"/>
  <c r="M758" i="1"/>
  <c r="K758" i="1"/>
  <c r="L758" i="1" s="1"/>
  <c r="AB758" i="1" s="1"/>
  <c r="H758" i="1"/>
  <c r="AB757" i="1"/>
  <c r="AA757" i="1"/>
  <c r="X757" i="1"/>
  <c r="W757" i="1"/>
  <c r="U757" i="1"/>
  <c r="T757" i="1"/>
  <c r="M757" i="1"/>
  <c r="L757" i="1"/>
  <c r="K757" i="1"/>
  <c r="I757" i="1"/>
  <c r="H757" i="1"/>
  <c r="M756" i="1"/>
  <c r="T756" i="1" s="1"/>
  <c r="K756" i="1"/>
  <c r="L756" i="1" s="1"/>
  <c r="H756" i="1"/>
  <c r="T755" i="1"/>
  <c r="AA755" i="1" s="1"/>
  <c r="M755" i="1"/>
  <c r="K755" i="1"/>
  <c r="L755" i="1" s="1"/>
  <c r="AB755" i="1" s="1"/>
  <c r="H755" i="1"/>
  <c r="M754" i="1"/>
  <c r="T754" i="1" s="1"/>
  <c r="L754" i="1"/>
  <c r="AB754" i="1" s="1"/>
  <c r="K754" i="1"/>
  <c r="H754" i="1"/>
  <c r="M753" i="1"/>
  <c r="T753" i="1" s="1"/>
  <c r="K753" i="1"/>
  <c r="L753" i="1" s="1"/>
  <c r="AB753" i="1" s="1"/>
  <c r="H753" i="1"/>
  <c r="T752" i="1"/>
  <c r="M752" i="1"/>
  <c r="L752" i="1"/>
  <c r="K752" i="1"/>
  <c r="H752" i="1"/>
  <c r="U751" i="1"/>
  <c r="I751" i="1" s="1"/>
  <c r="M751" i="1"/>
  <c r="T751" i="1" s="1"/>
  <c r="L751" i="1"/>
  <c r="K751" i="1"/>
  <c r="H751" i="1"/>
  <c r="W750" i="1"/>
  <c r="X750" i="1" s="1"/>
  <c r="T750" i="1"/>
  <c r="M750" i="1"/>
  <c r="K750" i="1"/>
  <c r="L750" i="1" s="1"/>
  <c r="AB750" i="1" s="1"/>
  <c r="H750" i="1"/>
  <c r="AA749" i="1"/>
  <c r="X749" i="1"/>
  <c r="W749" i="1"/>
  <c r="U749" i="1"/>
  <c r="I749" i="1" s="1"/>
  <c r="T749" i="1"/>
  <c r="M749" i="1"/>
  <c r="L749" i="1"/>
  <c r="AB749" i="1" s="1"/>
  <c r="K749" i="1"/>
  <c r="H749" i="1"/>
  <c r="W748" i="1"/>
  <c r="X748" i="1" s="1"/>
  <c r="M748" i="1"/>
  <c r="T748" i="1" s="1"/>
  <c r="U748" i="1" s="1"/>
  <c r="I748" i="1" s="1"/>
  <c r="K748" i="1"/>
  <c r="L748" i="1" s="1"/>
  <c r="H748" i="1"/>
  <c r="AB747" i="1"/>
  <c r="AA747" i="1"/>
  <c r="X747" i="1"/>
  <c r="W747" i="1"/>
  <c r="T747" i="1"/>
  <c r="U747" i="1" s="1"/>
  <c r="I747" i="1" s="1"/>
  <c r="M747" i="1"/>
  <c r="L747" i="1"/>
  <c r="K747" i="1"/>
  <c r="H747" i="1"/>
  <c r="M746" i="1"/>
  <c r="T746" i="1" s="1"/>
  <c r="K746" i="1"/>
  <c r="L746" i="1" s="1"/>
  <c r="H746" i="1"/>
  <c r="AB745" i="1"/>
  <c r="T745" i="1"/>
  <c r="M745" i="1"/>
  <c r="K745" i="1"/>
  <c r="L745" i="1" s="1"/>
  <c r="H745" i="1"/>
  <c r="M744" i="1"/>
  <c r="T744" i="1" s="1"/>
  <c r="L744" i="1"/>
  <c r="K744" i="1"/>
  <c r="H744" i="1"/>
  <c r="M743" i="1"/>
  <c r="T743" i="1" s="1"/>
  <c r="K743" i="1"/>
  <c r="L743" i="1" s="1"/>
  <c r="AB743" i="1" s="1"/>
  <c r="H743" i="1"/>
  <c r="T742" i="1"/>
  <c r="M742" i="1"/>
  <c r="L742" i="1"/>
  <c r="K742" i="1"/>
  <c r="H742" i="1"/>
  <c r="M741" i="1"/>
  <c r="T741" i="1" s="1"/>
  <c r="W741" i="1" s="1"/>
  <c r="X741" i="1" s="1"/>
  <c r="L741" i="1"/>
  <c r="K741" i="1"/>
  <c r="H741" i="1"/>
  <c r="AB740" i="1"/>
  <c r="W740" i="1"/>
  <c r="X740" i="1" s="1"/>
  <c r="T740" i="1"/>
  <c r="M740" i="1"/>
  <c r="K740" i="1"/>
  <c r="L740" i="1" s="1"/>
  <c r="H740" i="1"/>
  <c r="AA739" i="1"/>
  <c r="X739" i="1"/>
  <c r="W739" i="1"/>
  <c r="U739" i="1"/>
  <c r="I739" i="1" s="1"/>
  <c r="T739" i="1"/>
  <c r="M739" i="1"/>
  <c r="L739" i="1"/>
  <c r="AB739" i="1" s="1"/>
  <c r="K739" i="1"/>
  <c r="H739" i="1"/>
  <c r="AA738" i="1"/>
  <c r="M738" i="1"/>
  <c r="T738" i="1" s="1"/>
  <c r="U738" i="1" s="1"/>
  <c r="I738" i="1" s="1"/>
  <c r="K738" i="1"/>
  <c r="L738" i="1" s="1"/>
  <c r="AB738" i="1" s="1"/>
  <c r="H738" i="1"/>
  <c r="AA737" i="1"/>
  <c r="X737" i="1"/>
  <c r="T737" i="1"/>
  <c r="W737" i="1" s="1"/>
  <c r="M737" i="1"/>
  <c r="L737" i="1"/>
  <c r="AB737" i="1" s="1"/>
  <c r="K737" i="1"/>
  <c r="H737" i="1"/>
  <c r="AA736" i="1"/>
  <c r="M736" i="1"/>
  <c r="T736" i="1" s="1"/>
  <c r="K736" i="1"/>
  <c r="L736" i="1" s="1"/>
  <c r="H736" i="1"/>
  <c r="T735" i="1"/>
  <c r="M735" i="1"/>
  <c r="K735" i="1"/>
  <c r="L735" i="1" s="1"/>
  <c r="AB735" i="1" s="1"/>
  <c r="H735" i="1"/>
  <c r="U734" i="1"/>
  <c r="I734" i="1" s="1"/>
  <c r="M734" i="1"/>
  <c r="T734" i="1" s="1"/>
  <c r="L734" i="1"/>
  <c r="K734" i="1"/>
  <c r="H734" i="1"/>
  <c r="M733" i="1"/>
  <c r="T733" i="1" s="1"/>
  <c r="W733" i="1" s="1"/>
  <c r="X733" i="1" s="1"/>
  <c r="K733" i="1"/>
  <c r="L733" i="1" s="1"/>
  <c r="H733" i="1"/>
  <c r="T732" i="1"/>
  <c r="M732" i="1"/>
  <c r="L732" i="1"/>
  <c r="K732" i="1"/>
  <c r="H732" i="1"/>
  <c r="U731" i="1"/>
  <c r="I731" i="1" s="1"/>
  <c r="M731" i="1"/>
  <c r="T731" i="1" s="1"/>
  <c r="W731" i="1" s="1"/>
  <c r="X731" i="1" s="1"/>
  <c r="L731" i="1"/>
  <c r="K731" i="1"/>
  <c r="H731" i="1"/>
  <c r="T730" i="1"/>
  <c r="M730" i="1"/>
  <c r="K730" i="1"/>
  <c r="L730" i="1" s="1"/>
  <c r="AB730" i="1" s="1"/>
  <c r="H730" i="1"/>
  <c r="AA729" i="1"/>
  <c r="X729" i="1"/>
  <c r="W729" i="1"/>
  <c r="U729" i="1"/>
  <c r="T729" i="1"/>
  <c r="M729" i="1"/>
  <c r="L729" i="1"/>
  <c r="AB729" i="1" s="1"/>
  <c r="K729" i="1"/>
  <c r="I729" i="1"/>
  <c r="H729" i="1"/>
  <c r="M728" i="1"/>
  <c r="T728" i="1" s="1"/>
  <c r="U728" i="1" s="1"/>
  <c r="I728" i="1" s="1"/>
  <c r="K728" i="1"/>
  <c r="L728" i="1" s="1"/>
  <c r="H728" i="1"/>
  <c r="AA727" i="1"/>
  <c r="T727" i="1"/>
  <c r="W727" i="1" s="1"/>
  <c r="X727" i="1" s="1"/>
  <c r="M727" i="1"/>
  <c r="L727" i="1"/>
  <c r="AB727" i="1" s="1"/>
  <c r="K727" i="1"/>
  <c r="H727" i="1"/>
  <c r="AA726" i="1"/>
  <c r="M726" i="1"/>
  <c r="T726" i="1" s="1"/>
  <c r="K726" i="1"/>
  <c r="L726" i="1" s="1"/>
  <c r="H726" i="1"/>
  <c r="T725" i="1"/>
  <c r="M725" i="1"/>
  <c r="K725" i="1"/>
  <c r="L725" i="1" s="1"/>
  <c r="AB725" i="1" s="1"/>
  <c r="H725" i="1"/>
  <c r="U724" i="1"/>
  <c r="I724" i="1" s="1"/>
  <c r="M724" i="1"/>
  <c r="T724" i="1" s="1"/>
  <c r="L724" i="1"/>
  <c r="K724" i="1"/>
  <c r="H724" i="1"/>
  <c r="W723" i="1"/>
  <c r="M723" i="1"/>
  <c r="T723" i="1" s="1"/>
  <c r="K723" i="1"/>
  <c r="L723" i="1" s="1"/>
  <c r="AB723" i="1" s="1"/>
  <c r="H723" i="1"/>
  <c r="T722" i="1"/>
  <c r="M722" i="1"/>
  <c r="L722" i="1"/>
  <c r="AB722" i="1" s="1"/>
  <c r="K722" i="1"/>
  <c r="H722" i="1"/>
  <c r="M721" i="1"/>
  <c r="T721" i="1" s="1"/>
  <c r="W721" i="1" s="1"/>
  <c r="X721" i="1" s="1"/>
  <c r="L721" i="1"/>
  <c r="AB721" i="1" s="1"/>
  <c r="K721" i="1"/>
  <c r="H721" i="1"/>
  <c r="W720" i="1"/>
  <c r="X720" i="1" s="1"/>
  <c r="T720" i="1"/>
  <c r="AA720" i="1" s="1"/>
  <c r="M720" i="1"/>
  <c r="K720" i="1"/>
  <c r="L720" i="1" s="1"/>
  <c r="AB720" i="1" s="1"/>
  <c r="H720" i="1"/>
  <c r="AA719" i="1"/>
  <c r="X719" i="1"/>
  <c r="W719" i="1"/>
  <c r="U719" i="1"/>
  <c r="T719" i="1"/>
  <c r="M719" i="1"/>
  <c r="L719" i="1"/>
  <c r="AB719" i="1" s="1"/>
  <c r="K719" i="1"/>
  <c r="I719" i="1"/>
  <c r="H719" i="1"/>
  <c r="AA718" i="1"/>
  <c r="W718" i="1"/>
  <c r="M718" i="1"/>
  <c r="T718" i="1" s="1"/>
  <c r="U718" i="1" s="1"/>
  <c r="I718" i="1" s="1"/>
  <c r="K718" i="1"/>
  <c r="L718" i="1" s="1"/>
  <c r="AB718" i="1" s="1"/>
  <c r="H718" i="1"/>
  <c r="AA717" i="1"/>
  <c r="T717" i="1"/>
  <c r="W717" i="1" s="1"/>
  <c r="X717" i="1" s="1"/>
  <c r="M717" i="1"/>
  <c r="L717" i="1"/>
  <c r="AB717" i="1" s="1"/>
  <c r="K717" i="1"/>
  <c r="H717" i="1"/>
  <c r="AB716" i="1"/>
  <c r="M716" i="1"/>
  <c r="T716" i="1" s="1"/>
  <c r="K716" i="1"/>
  <c r="L716" i="1" s="1"/>
  <c r="H716" i="1"/>
  <c r="T715" i="1"/>
  <c r="M715" i="1"/>
  <c r="K715" i="1"/>
  <c r="L715" i="1" s="1"/>
  <c r="AB715" i="1" s="1"/>
  <c r="H715" i="1"/>
  <c r="U714" i="1"/>
  <c r="I714" i="1" s="1"/>
  <c r="M714" i="1"/>
  <c r="T714" i="1" s="1"/>
  <c r="K714" i="1"/>
  <c r="L714" i="1" s="1"/>
  <c r="AB714" i="1" s="1"/>
  <c r="H714" i="1"/>
  <c r="T713" i="1"/>
  <c r="M713" i="1"/>
  <c r="K713" i="1"/>
  <c r="L713" i="1" s="1"/>
  <c r="AB713" i="1" s="1"/>
  <c r="H713" i="1"/>
  <c r="U712" i="1"/>
  <c r="I712" i="1" s="1"/>
  <c r="T712" i="1"/>
  <c r="M712" i="1"/>
  <c r="L712" i="1"/>
  <c r="K712" i="1"/>
  <c r="H712" i="1"/>
  <c r="M711" i="1"/>
  <c r="T711" i="1" s="1"/>
  <c r="L711" i="1"/>
  <c r="K711" i="1"/>
  <c r="H711" i="1"/>
  <c r="U710" i="1"/>
  <c r="I710" i="1" s="1"/>
  <c r="T710" i="1"/>
  <c r="AA710" i="1" s="1"/>
  <c r="M710" i="1"/>
  <c r="K710" i="1"/>
  <c r="L710" i="1" s="1"/>
  <c r="AB710" i="1" s="1"/>
  <c r="H710" i="1"/>
  <c r="AA709" i="1"/>
  <c r="W709" i="1"/>
  <c r="X709" i="1" s="1"/>
  <c r="U709" i="1"/>
  <c r="T709" i="1"/>
  <c r="M709" i="1"/>
  <c r="L709" i="1"/>
  <c r="AB709" i="1" s="1"/>
  <c r="K709" i="1"/>
  <c r="I709" i="1"/>
  <c r="H709" i="1"/>
  <c r="M708" i="1"/>
  <c r="T708" i="1" s="1"/>
  <c r="U708" i="1" s="1"/>
  <c r="I708" i="1" s="1"/>
  <c r="K708" i="1"/>
  <c r="L708" i="1" s="1"/>
  <c r="AB708" i="1" s="1"/>
  <c r="H708" i="1"/>
  <c r="AA707" i="1"/>
  <c r="X707" i="1"/>
  <c r="T707" i="1"/>
  <c r="W707" i="1" s="1"/>
  <c r="M707" i="1"/>
  <c r="L707" i="1"/>
  <c r="AB707" i="1" s="1"/>
  <c r="K707" i="1"/>
  <c r="H707" i="1"/>
  <c r="M706" i="1"/>
  <c r="T706" i="1" s="1"/>
  <c r="K706" i="1"/>
  <c r="L706" i="1" s="1"/>
  <c r="AB706" i="1" s="1"/>
  <c r="H706" i="1"/>
  <c r="AB705" i="1"/>
  <c r="T705" i="1"/>
  <c r="M705" i="1"/>
  <c r="L705" i="1"/>
  <c r="K705" i="1"/>
  <c r="H705" i="1"/>
  <c r="U704" i="1"/>
  <c r="I704" i="1" s="1"/>
  <c r="M704" i="1"/>
  <c r="T704" i="1" s="1"/>
  <c r="K704" i="1"/>
  <c r="L704" i="1" s="1"/>
  <c r="AB704" i="1" s="1"/>
  <c r="H704" i="1"/>
  <c r="M703" i="1"/>
  <c r="T703" i="1" s="1"/>
  <c r="L703" i="1"/>
  <c r="K703" i="1"/>
  <c r="H703" i="1"/>
  <c r="M702" i="1"/>
  <c r="T702" i="1" s="1"/>
  <c r="L702" i="1"/>
  <c r="K702" i="1"/>
  <c r="H702" i="1"/>
  <c r="M701" i="1"/>
  <c r="T701" i="1" s="1"/>
  <c r="L701" i="1"/>
  <c r="K701" i="1"/>
  <c r="H701" i="1"/>
  <c r="W700" i="1"/>
  <c r="X700" i="1" s="1"/>
  <c r="U700" i="1"/>
  <c r="I700" i="1" s="1"/>
  <c r="T700" i="1"/>
  <c r="AA700" i="1" s="1"/>
  <c r="M700" i="1"/>
  <c r="L700" i="1"/>
  <c r="AB700" i="1" s="1"/>
  <c r="K700" i="1"/>
  <c r="H700" i="1"/>
  <c r="AA699" i="1"/>
  <c r="U699" i="1"/>
  <c r="I699" i="1" s="1"/>
  <c r="T699" i="1"/>
  <c r="W699" i="1" s="1"/>
  <c r="X699" i="1" s="1"/>
  <c r="M699" i="1"/>
  <c r="L699" i="1"/>
  <c r="K699" i="1"/>
  <c r="H699" i="1"/>
  <c r="AA698" i="1"/>
  <c r="W698" i="1"/>
  <c r="X698" i="1" s="1"/>
  <c r="U698" i="1"/>
  <c r="I698" i="1" s="1"/>
  <c r="T698" i="1"/>
  <c r="M698" i="1"/>
  <c r="K698" i="1"/>
  <c r="L698" i="1" s="1"/>
  <c r="AB698" i="1" s="1"/>
  <c r="H698" i="1"/>
  <c r="AA697" i="1"/>
  <c r="U697" i="1"/>
  <c r="I697" i="1" s="1"/>
  <c r="T697" i="1"/>
  <c r="W697" i="1" s="1"/>
  <c r="X697" i="1" s="1"/>
  <c r="M697" i="1"/>
  <c r="L697" i="1"/>
  <c r="K697" i="1"/>
  <c r="H697" i="1"/>
  <c r="AB696" i="1"/>
  <c r="AA696" i="1"/>
  <c r="W696" i="1"/>
  <c r="X696" i="1" s="1"/>
  <c r="U696" i="1"/>
  <c r="M696" i="1"/>
  <c r="T696" i="1" s="1"/>
  <c r="K696" i="1"/>
  <c r="L696" i="1" s="1"/>
  <c r="I696" i="1"/>
  <c r="H696" i="1"/>
  <c r="T695" i="1"/>
  <c r="U695" i="1" s="1"/>
  <c r="M695" i="1"/>
  <c r="K695" i="1"/>
  <c r="L695" i="1" s="1"/>
  <c r="AB695" i="1" s="1"/>
  <c r="I695" i="1"/>
  <c r="H695" i="1"/>
  <c r="M694" i="1"/>
  <c r="T694" i="1" s="1"/>
  <c r="W694" i="1" s="1"/>
  <c r="X694" i="1" s="1"/>
  <c r="L694" i="1"/>
  <c r="AB694" i="1" s="1"/>
  <c r="K694" i="1"/>
  <c r="H694" i="1"/>
  <c r="M693" i="1"/>
  <c r="T693" i="1" s="1"/>
  <c r="L693" i="1"/>
  <c r="K693" i="1"/>
  <c r="H693" i="1"/>
  <c r="T692" i="1"/>
  <c r="U692" i="1" s="1"/>
  <c r="I692" i="1" s="1"/>
  <c r="M692" i="1"/>
  <c r="K692" i="1"/>
  <c r="L692" i="1" s="1"/>
  <c r="AB692" i="1" s="1"/>
  <c r="H692" i="1"/>
  <c r="M691" i="1"/>
  <c r="T691" i="1" s="1"/>
  <c r="K691" i="1"/>
  <c r="L691" i="1" s="1"/>
  <c r="AB691" i="1" s="1"/>
  <c r="H691" i="1"/>
  <c r="M690" i="1"/>
  <c r="T690" i="1" s="1"/>
  <c r="K690" i="1"/>
  <c r="L690" i="1" s="1"/>
  <c r="AB690" i="1" s="1"/>
  <c r="H690" i="1"/>
  <c r="M689" i="1"/>
  <c r="T689" i="1" s="1"/>
  <c r="L689" i="1"/>
  <c r="K689" i="1"/>
  <c r="H689" i="1"/>
  <c r="M688" i="1"/>
  <c r="T688" i="1" s="1"/>
  <c r="K688" i="1"/>
  <c r="L688" i="1" s="1"/>
  <c r="H688" i="1"/>
  <c r="AB687" i="1"/>
  <c r="AA687" i="1"/>
  <c r="X687" i="1"/>
  <c r="W687" i="1"/>
  <c r="U687" i="1"/>
  <c r="I687" i="1" s="1"/>
  <c r="T687" i="1"/>
  <c r="M687" i="1"/>
  <c r="L687" i="1"/>
  <c r="K687" i="1"/>
  <c r="H687" i="1"/>
  <c r="W686" i="1"/>
  <c r="X686" i="1" s="1"/>
  <c r="M686" i="1"/>
  <c r="T686" i="1" s="1"/>
  <c r="AA686" i="1" s="1"/>
  <c r="K686" i="1"/>
  <c r="L686" i="1" s="1"/>
  <c r="AB686" i="1" s="1"/>
  <c r="H686" i="1"/>
  <c r="T685" i="1"/>
  <c r="U685" i="1" s="1"/>
  <c r="I685" i="1" s="1"/>
  <c r="M685" i="1"/>
  <c r="K685" i="1"/>
  <c r="L685" i="1" s="1"/>
  <c r="AB685" i="1" s="1"/>
  <c r="H685" i="1"/>
  <c r="M684" i="1"/>
  <c r="T684" i="1" s="1"/>
  <c r="W684" i="1" s="1"/>
  <c r="X684" i="1" s="1"/>
  <c r="K684" i="1"/>
  <c r="L684" i="1" s="1"/>
  <c r="AB684" i="1" s="1"/>
  <c r="H684" i="1"/>
  <c r="AA683" i="1"/>
  <c r="W683" i="1"/>
  <c r="X683" i="1" s="1"/>
  <c r="T683" i="1"/>
  <c r="U683" i="1" s="1"/>
  <c r="M683" i="1"/>
  <c r="L683" i="1"/>
  <c r="AB683" i="1" s="1"/>
  <c r="K683" i="1"/>
  <c r="I683" i="1"/>
  <c r="H683" i="1"/>
  <c r="U682" i="1"/>
  <c r="I682" i="1" s="1"/>
  <c r="T682" i="1"/>
  <c r="M682" i="1"/>
  <c r="K682" i="1"/>
  <c r="L682" i="1" s="1"/>
  <c r="AB682" i="1" s="1"/>
  <c r="H682" i="1"/>
  <c r="AA681" i="1"/>
  <c r="T681" i="1"/>
  <c r="W681" i="1" s="1"/>
  <c r="X681" i="1" s="1"/>
  <c r="M681" i="1"/>
  <c r="K681" i="1"/>
  <c r="L681" i="1" s="1"/>
  <c r="AB681" i="1" s="1"/>
  <c r="H681" i="1"/>
  <c r="T680" i="1"/>
  <c r="AA680" i="1" s="1"/>
  <c r="M680" i="1"/>
  <c r="K680" i="1"/>
  <c r="L680" i="1" s="1"/>
  <c r="AB680" i="1" s="1"/>
  <c r="H680" i="1"/>
  <c r="M679" i="1"/>
  <c r="T679" i="1" s="1"/>
  <c r="L679" i="1"/>
  <c r="K679" i="1"/>
  <c r="H679" i="1"/>
  <c r="T678" i="1"/>
  <c r="W678" i="1" s="1"/>
  <c r="X678" i="1" s="1"/>
  <c r="M678" i="1"/>
  <c r="K678" i="1"/>
  <c r="L678" i="1" s="1"/>
  <c r="AB678" i="1" s="1"/>
  <c r="H678" i="1"/>
  <c r="AB677" i="1"/>
  <c r="W677" i="1"/>
  <c r="X677" i="1" s="1"/>
  <c r="T677" i="1"/>
  <c r="U677" i="1" s="1"/>
  <c r="I677" i="1" s="1"/>
  <c r="M677" i="1"/>
  <c r="L677" i="1"/>
  <c r="K677" i="1"/>
  <c r="H677" i="1"/>
  <c r="X676" i="1"/>
  <c r="M676" i="1"/>
  <c r="T676" i="1" s="1"/>
  <c r="W676" i="1" s="1"/>
  <c r="K676" i="1"/>
  <c r="L676" i="1" s="1"/>
  <c r="AB676" i="1" s="1"/>
  <c r="H676" i="1"/>
  <c r="AB675" i="1"/>
  <c r="W675" i="1"/>
  <c r="X675" i="1" s="1"/>
  <c r="T675" i="1"/>
  <c r="U675" i="1" s="1"/>
  <c r="I675" i="1" s="1"/>
  <c r="M675" i="1"/>
  <c r="L675" i="1"/>
  <c r="K675" i="1"/>
  <c r="H675" i="1"/>
  <c r="U674" i="1"/>
  <c r="I674" i="1" s="1"/>
  <c r="M674" i="1"/>
  <c r="T674" i="1" s="1"/>
  <c r="W674" i="1" s="1"/>
  <c r="X674" i="1" s="1"/>
  <c r="K674" i="1"/>
  <c r="L674" i="1" s="1"/>
  <c r="AB674" i="1" s="1"/>
  <c r="H674" i="1"/>
  <c r="M673" i="1"/>
  <c r="T673" i="1" s="1"/>
  <c r="K673" i="1"/>
  <c r="L673" i="1" s="1"/>
  <c r="H673" i="1"/>
  <c r="M672" i="1"/>
  <c r="T672" i="1" s="1"/>
  <c r="L672" i="1"/>
  <c r="AB672" i="1" s="1"/>
  <c r="K672" i="1"/>
  <c r="H672" i="1"/>
  <c r="T671" i="1"/>
  <c r="AA671" i="1" s="1"/>
  <c r="M671" i="1"/>
  <c r="K671" i="1"/>
  <c r="L671" i="1" s="1"/>
  <c r="AB671" i="1" s="1"/>
  <c r="H671" i="1"/>
  <c r="T670" i="1"/>
  <c r="AA670" i="1" s="1"/>
  <c r="M670" i="1"/>
  <c r="K670" i="1"/>
  <c r="L670" i="1" s="1"/>
  <c r="AB670" i="1" s="1"/>
  <c r="H670" i="1"/>
  <c r="M669" i="1"/>
  <c r="T669" i="1" s="1"/>
  <c r="L669" i="1"/>
  <c r="K669" i="1"/>
  <c r="H669" i="1"/>
  <c r="T668" i="1"/>
  <c r="AA668" i="1" s="1"/>
  <c r="M668" i="1"/>
  <c r="K668" i="1"/>
  <c r="L668" i="1" s="1"/>
  <c r="AB668" i="1" s="1"/>
  <c r="H668" i="1"/>
  <c r="T667" i="1"/>
  <c r="AB667" i="1" s="1"/>
  <c r="M667" i="1"/>
  <c r="L667" i="1"/>
  <c r="K667" i="1"/>
  <c r="H667" i="1"/>
  <c r="M666" i="1"/>
  <c r="T666" i="1" s="1"/>
  <c r="L666" i="1"/>
  <c r="K666" i="1"/>
  <c r="H666" i="1"/>
  <c r="M665" i="1"/>
  <c r="T665" i="1" s="1"/>
  <c r="K665" i="1"/>
  <c r="L665" i="1" s="1"/>
  <c r="H665" i="1"/>
  <c r="T664" i="1"/>
  <c r="M664" i="1"/>
  <c r="K664" i="1"/>
  <c r="L664" i="1" s="1"/>
  <c r="H664" i="1"/>
  <c r="U663" i="1"/>
  <c r="I663" i="1" s="1"/>
  <c r="M663" i="1"/>
  <c r="T663" i="1" s="1"/>
  <c r="L663" i="1"/>
  <c r="AB663" i="1" s="1"/>
  <c r="K663" i="1"/>
  <c r="H663" i="1"/>
  <c r="W662" i="1"/>
  <c r="X662" i="1" s="1"/>
  <c r="M662" i="1"/>
  <c r="T662" i="1" s="1"/>
  <c r="L662" i="1"/>
  <c r="K662" i="1"/>
  <c r="H662" i="1"/>
  <c r="X661" i="1"/>
  <c r="T661" i="1"/>
  <c r="W661" i="1" s="1"/>
  <c r="M661" i="1"/>
  <c r="K661" i="1"/>
  <c r="L661" i="1" s="1"/>
  <c r="AB661" i="1" s="1"/>
  <c r="H661" i="1"/>
  <c r="AA660" i="1"/>
  <c r="U660" i="1"/>
  <c r="I660" i="1" s="1"/>
  <c r="T660" i="1"/>
  <c r="W660" i="1" s="1"/>
  <c r="X660" i="1" s="1"/>
  <c r="M660" i="1"/>
  <c r="K660" i="1"/>
  <c r="L660" i="1" s="1"/>
  <c r="AB660" i="1" s="1"/>
  <c r="H660" i="1"/>
  <c r="M659" i="1"/>
  <c r="T659" i="1" s="1"/>
  <c r="L659" i="1"/>
  <c r="K659" i="1"/>
  <c r="H659" i="1"/>
  <c r="M658" i="1"/>
  <c r="T658" i="1" s="1"/>
  <c r="K658" i="1"/>
  <c r="L658" i="1" s="1"/>
  <c r="H658" i="1"/>
  <c r="T657" i="1"/>
  <c r="AA657" i="1" s="1"/>
  <c r="M657" i="1"/>
  <c r="K657" i="1"/>
  <c r="L657" i="1" s="1"/>
  <c r="AB657" i="1" s="1"/>
  <c r="H657" i="1"/>
  <c r="M656" i="1"/>
  <c r="T656" i="1" s="1"/>
  <c r="L656" i="1"/>
  <c r="AB656" i="1" s="1"/>
  <c r="K656" i="1"/>
  <c r="H656" i="1"/>
  <c r="M655" i="1"/>
  <c r="T655" i="1" s="1"/>
  <c r="K655" i="1"/>
  <c r="L655" i="1" s="1"/>
  <c r="AB655" i="1" s="1"/>
  <c r="H655" i="1"/>
  <c r="T654" i="1"/>
  <c r="M654" i="1"/>
  <c r="K654" i="1"/>
  <c r="L654" i="1" s="1"/>
  <c r="H654" i="1"/>
  <c r="U653" i="1"/>
  <c r="I653" i="1" s="1"/>
  <c r="M653" i="1"/>
  <c r="T653" i="1" s="1"/>
  <c r="L653" i="1"/>
  <c r="K653" i="1"/>
  <c r="H653" i="1"/>
  <c r="M652" i="1"/>
  <c r="T652" i="1" s="1"/>
  <c r="L652" i="1"/>
  <c r="K652" i="1"/>
  <c r="H652" i="1"/>
  <c r="X651" i="1"/>
  <c r="T651" i="1"/>
  <c r="W651" i="1" s="1"/>
  <c r="M651" i="1"/>
  <c r="L651" i="1"/>
  <c r="AB651" i="1" s="1"/>
  <c r="K651" i="1"/>
  <c r="H651" i="1"/>
  <c r="AA650" i="1"/>
  <c r="U650" i="1"/>
  <c r="I650" i="1" s="1"/>
  <c r="T650" i="1"/>
  <c r="W650" i="1" s="1"/>
  <c r="X650" i="1" s="1"/>
  <c r="M650" i="1"/>
  <c r="K650" i="1"/>
  <c r="L650" i="1" s="1"/>
  <c r="AB650" i="1" s="1"/>
  <c r="H650" i="1"/>
  <c r="AB649" i="1"/>
  <c r="W649" i="1"/>
  <c r="X649" i="1" s="1"/>
  <c r="U649" i="1"/>
  <c r="I649" i="1" s="1"/>
  <c r="T649" i="1"/>
  <c r="AA649" i="1" s="1"/>
  <c r="M649" i="1"/>
  <c r="L649" i="1"/>
  <c r="K649" i="1"/>
  <c r="H649" i="1"/>
  <c r="M648" i="1"/>
  <c r="T648" i="1" s="1"/>
  <c r="K648" i="1"/>
  <c r="L648" i="1" s="1"/>
  <c r="H648" i="1"/>
  <c r="T647" i="1"/>
  <c r="AA647" i="1" s="1"/>
  <c r="M647" i="1"/>
  <c r="K647" i="1"/>
  <c r="L647" i="1" s="1"/>
  <c r="AB647" i="1" s="1"/>
  <c r="H647" i="1"/>
  <c r="M646" i="1"/>
  <c r="T646" i="1" s="1"/>
  <c r="L646" i="1"/>
  <c r="K646" i="1"/>
  <c r="H646" i="1"/>
  <c r="M645" i="1"/>
  <c r="T645" i="1" s="1"/>
  <c r="K645" i="1"/>
  <c r="L645" i="1" s="1"/>
  <c r="AB645" i="1" s="1"/>
  <c r="H645" i="1"/>
  <c r="T644" i="1"/>
  <c r="M644" i="1"/>
  <c r="K644" i="1"/>
  <c r="L644" i="1" s="1"/>
  <c r="AB644" i="1" s="1"/>
  <c r="H644" i="1"/>
  <c r="M643" i="1"/>
  <c r="T643" i="1" s="1"/>
  <c r="K643" i="1"/>
  <c r="L643" i="1" s="1"/>
  <c r="H643" i="1"/>
  <c r="M642" i="1"/>
  <c r="T642" i="1" s="1"/>
  <c r="L642" i="1"/>
  <c r="K642" i="1"/>
  <c r="H642" i="1"/>
  <c r="M641" i="1"/>
  <c r="T641" i="1" s="1"/>
  <c r="L641" i="1"/>
  <c r="AB641" i="1" s="1"/>
  <c r="K641" i="1"/>
  <c r="H641" i="1"/>
  <c r="AA640" i="1"/>
  <c r="T640" i="1"/>
  <c r="W640" i="1" s="1"/>
  <c r="X640" i="1" s="1"/>
  <c r="M640" i="1"/>
  <c r="K640" i="1"/>
  <c r="L640" i="1" s="1"/>
  <c r="AB640" i="1" s="1"/>
  <c r="H640" i="1"/>
  <c r="AB639" i="1"/>
  <c r="W639" i="1"/>
  <c r="X639" i="1" s="1"/>
  <c r="U639" i="1"/>
  <c r="I639" i="1" s="1"/>
  <c r="T639" i="1"/>
  <c r="AA639" i="1" s="1"/>
  <c r="M639" i="1"/>
  <c r="L639" i="1"/>
  <c r="K639" i="1"/>
  <c r="H639" i="1"/>
  <c r="M638" i="1"/>
  <c r="T638" i="1" s="1"/>
  <c r="K638" i="1"/>
  <c r="L638" i="1" s="1"/>
  <c r="H638" i="1"/>
  <c r="T637" i="1"/>
  <c r="AA637" i="1" s="1"/>
  <c r="M637" i="1"/>
  <c r="K637" i="1"/>
  <c r="L637" i="1" s="1"/>
  <c r="AB637" i="1" s="1"/>
  <c r="H637" i="1"/>
  <c r="M636" i="1"/>
  <c r="T636" i="1" s="1"/>
  <c r="L636" i="1"/>
  <c r="K636" i="1"/>
  <c r="H636" i="1"/>
  <c r="M635" i="1"/>
  <c r="T635" i="1" s="1"/>
  <c r="K635" i="1"/>
  <c r="L635" i="1" s="1"/>
  <c r="H635" i="1"/>
  <c r="T634" i="1"/>
  <c r="M634" i="1"/>
  <c r="K634" i="1"/>
  <c r="L634" i="1" s="1"/>
  <c r="H634" i="1"/>
  <c r="M633" i="1"/>
  <c r="T633" i="1" s="1"/>
  <c r="K633" i="1"/>
  <c r="L633" i="1" s="1"/>
  <c r="H633" i="1"/>
  <c r="M632" i="1"/>
  <c r="T632" i="1" s="1"/>
  <c r="L632" i="1"/>
  <c r="K632" i="1"/>
  <c r="H632" i="1"/>
  <c r="M631" i="1"/>
  <c r="T631" i="1" s="1"/>
  <c r="L631" i="1"/>
  <c r="AB631" i="1" s="1"/>
  <c r="K631" i="1"/>
  <c r="H631" i="1"/>
  <c r="AA630" i="1"/>
  <c r="T630" i="1"/>
  <c r="W630" i="1" s="1"/>
  <c r="X630" i="1" s="1"/>
  <c r="M630" i="1"/>
  <c r="K630" i="1"/>
  <c r="L630" i="1" s="1"/>
  <c r="AB630" i="1" s="1"/>
  <c r="H630" i="1"/>
  <c r="AB629" i="1"/>
  <c r="W629" i="1"/>
  <c r="X629" i="1" s="1"/>
  <c r="U629" i="1"/>
  <c r="I629" i="1" s="1"/>
  <c r="T629" i="1"/>
  <c r="AA629" i="1" s="1"/>
  <c r="M629" i="1"/>
  <c r="L629" i="1"/>
  <c r="K629" i="1"/>
  <c r="H629" i="1"/>
  <c r="M628" i="1"/>
  <c r="T628" i="1" s="1"/>
  <c r="K628" i="1"/>
  <c r="L628" i="1" s="1"/>
  <c r="H628" i="1"/>
  <c r="T627" i="1"/>
  <c r="AA627" i="1" s="1"/>
  <c r="M627" i="1"/>
  <c r="K627" i="1"/>
  <c r="L627" i="1" s="1"/>
  <c r="AB627" i="1" s="1"/>
  <c r="H627" i="1"/>
  <c r="M626" i="1"/>
  <c r="T626" i="1" s="1"/>
  <c r="L626" i="1"/>
  <c r="K626" i="1"/>
  <c r="H626" i="1"/>
  <c r="M625" i="1"/>
  <c r="T625" i="1" s="1"/>
  <c r="K625" i="1"/>
  <c r="L625" i="1" s="1"/>
  <c r="H625" i="1"/>
  <c r="T624" i="1"/>
  <c r="M624" i="1"/>
  <c r="K624" i="1"/>
  <c r="L624" i="1" s="1"/>
  <c r="H624" i="1"/>
  <c r="M623" i="1"/>
  <c r="T623" i="1" s="1"/>
  <c r="K623" i="1"/>
  <c r="L623" i="1" s="1"/>
  <c r="H623" i="1"/>
  <c r="M622" i="1"/>
  <c r="T622" i="1" s="1"/>
  <c r="L622" i="1"/>
  <c r="K622" i="1"/>
  <c r="H622" i="1"/>
  <c r="M621" i="1"/>
  <c r="T621" i="1" s="1"/>
  <c r="L621" i="1"/>
  <c r="AB621" i="1" s="1"/>
  <c r="K621" i="1"/>
  <c r="H621" i="1"/>
  <c r="AA620" i="1"/>
  <c r="T620" i="1"/>
  <c r="W620" i="1" s="1"/>
  <c r="X620" i="1" s="1"/>
  <c r="M620" i="1"/>
  <c r="K620" i="1"/>
  <c r="L620" i="1" s="1"/>
  <c r="AB620" i="1" s="1"/>
  <c r="H620" i="1"/>
  <c r="AB619" i="1"/>
  <c r="W619" i="1"/>
  <c r="X619" i="1" s="1"/>
  <c r="U619" i="1"/>
  <c r="I619" i="1" s="1"/>
  <c r="T619" i="1"/>
  <c r="AA619" i="1" s="1"/>
  <c r="M619" i="1"/>
  <c r="L619" i="1"/>
  <c r="K619" i="1"/>
  <c r="H619" i="1"/>
  <c r="M618" i="1"/>
  <c r="T618" i="1" s="1"/>
  <c r="K618" i="1"/>
  <c r="L618" i="1" s="1"/>
  <c r="H618" i="1"/>
  <c r="T617" i="1"/>
  <c r="AA617" i="1" s="1"/>
  <c r="M617" i="1"/>
  <c r="K617" i="1"/>
  <c r="L617" i="1" s="1"/>
  <c r="AB617" i="1" s="1"/>
  <c r="H617" i="1"/>
  <c r="M616" i="1"/>
  <c r="T616" i="1" s="1"/>
  <c r="L616" i="1"/>
  <c r="K616" i="1"/>
  <c r="H616" i="1"/>
  <c r="M615" i="1"/>
  <c r="T615" i="1" s="1"/>
  <c r="K615" i="1"/>
  <c r="L615" i="1" s="1"/>
  <c r="H615" i="1"/>
  <c r="T614" i="1"/>
  <c r="M614" i="1"/>
  <c r="K614" i="1"/>
  <c r="L614" i="1" s="1"/>
  <c r="AB614" i="1" s="1"/>
  <c r="H614" i="1"/>
  <c r="U613" i="1"/>
  <c r="I613" i="1" s="1"/>
  <c r="M613" i="1"/>
  <c r="T613" i="1" s="1"/>
  <c r="K613" i="1"/>
  <c r="L613" i="1" s="1"/>
  <c r="H613" i="1"/>
  <c r="M612" i="1"/>
  <c r="T612" i="1" s="1"/>
  <c r="L612" i="1"/>
  <c r="K612" i="1"/>
  <c r="H612" i="1"/>
  <c r="M611" i="1"/>
  <c r="T611" i="1" s="1"/>
  <c r="L611" i="1"/>
  <c r="K611" i="1"/>
  <c r="H611" i="1"/>
  <c r="AA610" i="1"/>
  <c r="T610" i="1"/>
  <c r="W610" i="1" s="1"/>
  <c r="X610" i="1" s="1"/>
  <c r="M610" i="1"/>
  <c r="K610" i="1"/>
  <c r="L610" i="1" s="1"/>
  <c r="AB610" i="1" s="1"/>
  <c r="H610" i="1"/>
  <c r="AB609" i="1"/>
  <c r="W609" i="1"/>
  <c r="X609" i="1" s="1"/>
  <c r="U609" i="1"/>
  <c r="I609" i="1" s="1"/>
  <c r="T609" i="1"/>
  <c r="AA609" i="1" s="1"/>
  <c r="M609" i="1"/>
  <c r="L609" i="1"/>
  <c r="K609" i="1"/>
  <c r="H609" i="1"/>
  <c r="M608" i="1"/>
  <c r="T608" i="1" s="1"/>
  <c r="K608" i="1"/>
  <c r="L608" i="1" s="1"/>
  <c r="H608" i="1"/>
  <c r="T607" i="1"/>
  <c r="M607" i="1"/>
  <c r="K607" i="1"/>
  <c r="L607" i="1" s="1"/>
  <c r="H607" i="1"/>
  <c r="U606" i="1"/>
  <c r="I606" i="1" s="1"/>
  <c r="M606" i="1"/>
  <c r="T606" i="1" s="1"/>
  <c r="L606" i="1"/>
  <c r="AB606" i="1" s="1"/>
  <c r="K606" i="1"/>
  <c r="H606" i="1"/>
  <c r="W605" i="1"/>
  <c r="X605" i="1" s="1"/>
  <c r="M605" i="1"/>
  <c r="T605" i="1" s="1"/>
  <c r="K605" i="1"/>
  <c r="L605" i="1" s="1"/>
  <c r="H605" i="1"/>
  <c r="T604" i="1"/>
  <c r="M604" i="1"/>
  <c r="K604" i="1"/>
  <c r="L604" i="1" s="1"/>
  <c r="AB604" i="1" s="1"/>
  <c r="H604" i="1"/>
  <c r="AA603" i="1"/>
  <c r="U603" i="1"/>
  <c r="I603" i="1" s="1"/>
  <c r="M603" i="1"/>
  <c r="T603" i="1" s="1"/>
  <c r="W603" i="1" s="1"/>
  <c r="X603" i="1" s="1"/>
  <c r="K603" i="1"/>
  <c r="L603" i="1" s="1"/>
  <c r="H603" i="1"/>
  <c r="AB602" i="1"/>
  <c r="W602" i="1"/>
  <c r="X602" i="1" s="1"/>
  <c r="M602" i="1"/>
  <c r="T602" i="1" s="1"/>
  <c r="L602" i="1"/>
  <c r="K602" i="1"/>
  <c r="H602" i="1"/>
  <c r="M601" i="1"/>
  <c r="T601" i="1" s="1"/>
  <c r="L601" i="1"/>
  <c r="K601" i="1"/>
  <c r="H601" i="1"/>
  <c r="AA600" i="1"/>
  <c r="T600" i="1"/>
  <c r="W600" i="1" s="1"/>
  <c r="M600" i="1"/>
  <c r="K600" i="1"/>
  <c r="L600" i="1" s="1"/>
  <c r="AB600" i="1" s="1"/>
  <c r="H600" i="1"/>
  <c r="AB599" i="1"/>
  <c r="W599" i="1"/>
  <c r="X599" i="1" s="1"/>
  <c r="U599" i="1"/>
  <c r="I599" i="1" s="1"/>
  <c r="T599" i="1"/>
  <c r="AA599" i="1" s="1"/>
  <c r="M599" i="1"/>
  <c r="L599" i="1"/>
  <c r="K599" i="1"/>
  <c r="H599" i="1"/>
  <c r="M598" i="1"/>
  <c r="T598" i="1" s="1"/>
  <c r="K598" i="1"/>
  <c r="L598" i="1" s="1"/>
  <c r="H598" i="1"/>
  <c r="T597" i="1"/>
  <c r="M597" i="1"/>
  <c r="K597" i="1"/>
  <c r="L597" i="1" s="1"/>
  <c r="AB597" i="1" s="1"/>
  <c r="H597" i="1"/>
  <c r="U596" i="1"/>
  <c r="I596" i="1" s="1"/>
  <c r="M596" i="1"/>
  <c r="T596" i="1" s="1"/>
  <c r="L596" i="1"/>
  <c r="AB596" i="1" s="1"/>
  <c r="K596" i="1"/>
  <c r="H596" i="1"/>
  <c r="M595" i="1"/>
  <c r="T595" i="1" s="1"/>
  <c r="K595" i="1"/>
  <c r="L595" i="1" s="1"/>
  <c r="H595" i="1"/>
  <c r="T594" i="1"/>
  <c r="M594" i="1"/>
  <c r="K594" i="1"/>
  <c r="L594" i="1" s="1"/>
  <c r="AB594" i="1" s="1"/>
  <c r="H594" i="1"/>
  <c r="AA593" i="1"/>
  <c r="M593" i="1"/>
  <c r="T593" i="1" s="1"/>
  <c r="W593" i="1" s="1"/>
  <c r="X593" i="1" s="1"/>
  <c r="K593" i="1"/>
  <c r="L593" i="1" s="1"/>
  <c r="H593" i="1"/>
  <c r="W592" i="1"/>
  <c r="X592" i="1" s="1"/>
  <c r="M592" i="1"/>
  <c r="T592" i="1" s="1"/>
  <c r="L592" i="1"/>
  <c r="K592" i="1"/>
  <c r="H592" i="1"/>
  <c r="M591" i="1"/>
  <c r="T591" i="1" s="1"/>
  <c r="L591" i="1"/>
  <c r="K591" i="1"/>
  <c r="H591" i="1"/>
  <c r="AA590" i="1"/>
  <c r="T590" i="1"/>
  <c r="W590" i="1" s="1"/>
  <c r="X590" i="1" s="1"/>
  <c r="M590" i="1"/>
  <c r="K590" i="1"/>
  <c r="L590" i="1" s="1"/>
  <c r="AB590" i="1" s="1"/>
  <c r="H590" i="1"/>
  <c r="AB589" i="1"/>
  <c r="W589" i="1"/>
  <c r="X589" i="1" s="1"/>
  <c r="U589" i="1"/>
  <c r="I589" i="1" s="1"/>
  <c r="T589" i="1"/>
  <c r="AA589" i="1" s="1"/>
  <c r="M589" i="1"/>
  <c r="L589" i="1"/>
  <c r="K589" i="1"/>
  <c r="H589" i="1"/>
  <c r="M588" i="1"/>
  <c r="T588" i="1" s="1"/>
  <c r="K588" i="1"/>
  <c r="L588" i="1" s="1"/>
  <c r="H588" i="1"/>
  <c r="T587" i="1"/>
  <c r="M587" i="1"/>
  <c r="K587" i="1"/>
  <c r="L587" i="1" s="1"/>
  <c r="AB587" i="1" s="1"/>
  <c r="H587" i="1"/>
  <c r="U586" i="1"/>
  <c r="I586" i="1" s="1"/>
  <c r="M586" i="1"/>
  <c r="T586" i="1" s="1"/>
  <c r="L586" i="1"/>
  <c r="AB586" i="1" s="1"/>
  <c r="K586" i="1"/>
  <c r="H586" i="1"/>
  <c r="M585" i="1"/>
  <c r="T585" i="1" s="1"/>
  <c r="K585" i="1"/>
  <c r="L585" i="1" s="1"/>
  <c r="H585" i="1"/>
  <c r="T584" i="1"/>
  <c r="M584" i="1"/>
  <c r="K584" i="1"/>
  <c r="L584" i="1" s="1"/>
  <c r="H584" i="1"/>
  <c r="M583" i="1"/>
  <c r="T583" i="1" s="1"/>
  <c r="W583" i="1" s="1"/>
  <c r="X583" i="1" s="1"/>
  <c r="K583" i="1"/>
  <c r="L583" i="1" s="1"/>
  <c r="H583" i="1"/>
  <c r="W582" i="1"/>
  <c r="X582" i="1" s="1"/>
  <c r="M582" i="1"/>
  <c r="T582" i="1" s="1"/>
  <c r="L582" i="1"/>
  <c r="AB582" i="1" s="1"/>
  <c r="K582" i="1"/>
  <c r="H582" i="1"/>
  <c r="M581" i="1"/>
  <c r="T581" i="1" s="1"/>
  <c r="L581" i="1"/>
  <c r="K581" i="1"/>
  <c r="H581" i="1"/>
  <c r="T580" i="1"/>
  <c r="AA580" i="1" s="1"/>
  <c r="M580" i="1"/>
  <c r="K580" i="1"/>
  <c r="L580" i="1" s="1"/>
  <c r="H580" i="1"/>
  <c r="W579" i="1"/>
  <c r="X579" i="1" s="1"/>
  <c r="U579" i="1"/>
  <c r="I579" i="1" s="1"/>
  <c r="T579" i="1"/>
  <c r="AA579" i="1" s="1"/>
  <c r="M579" i="1"/>
  <c r="L579" i="1"/>
  <c r="AB579" i="1" s="1"/>
  <c r="K579" i="1"/>
  <c r="H579" i="1"/>
  <c r="W578" i="1"/>
  <c r="X578" i="1" s="1"/>
  <c r="M578" i="1"/>
  <c r="T578" i="1" s="1"/>
  <c r="K578" i="1"/>
  <c r="L578" i="1" s="1"/>
  <c r="AB578" i="1" s="1"/>
  <c r="H578" i="1"/>
  <c r="T577" i="1"/>
  <c r="M577" i="1"/>
  <c r="K577" i="1"/>
  <c r="L577" i="1" s="1"/>
  <c r="H577" i="1"/>
  <c r="AA576" i="1"/>
  <c r="M576" i="1"/>
  <c r="T576" i="1" s="1"/>
  <c r="W576" i="1" s="1"/>
  <c r="X576" i="1" s="1"/>
  <c r="L576" i="1"/>
  <c r="K576" i="1"/>
  <c r="H576" i="1"/>
  <c r="M575" i="1"/>
  <c r="T575" i="1" s="1"/>
  <c r="K575" i="1"/>
  <c r="L575" i="1" s="1"/>
  <c r="H575" i="1"/>
  <c r="T574" i="1"/>
  <c r="M574" i="1"/>
  <c r="K574" i="1"/>
  <c r="L574" i="1" s="1"/>
  <c r="AB574" i="1" s="1"/>
  <c r="H574" i="1"/>
  <c r="AA573" i="1"/>
  <c r="U573" i="1"/>
  <c r="I573" i="1" s="1"/>
  <c r="M573" i="1"/>
  <c r="T573" i="1" s="1"/>
  <c r="W573" i="1" s="1"/>
  <c r="L573" i="1"/>
  <c r="AB573" i="1" s="1"/>
  <c r="K573" i="1"/>
  <c r="H573" i="1"/>
  <c r="W572" i="1"/>
  <c r="X572" i="1" s="1"/>
  <c r="M572" i="1"/>
  <c r="T572" i="1" s="1"/>
  <c r="L572" i="1"/>
  <c r="AB572" i="1" s="1"/>
  <c r="K572" i="1"/>
  <c r="H572" i="1"/>
  <c r="T571" i="1"/>
  <c r="M571" i="1"/>
  <c r="L571" i="1"/>
  <c r="K571" i="1"/>
  <c r="H571" i="1"/>
  <c r="T570" i="1"/>
  <c r="M570" i="1"/>
  <c r="K570" i="1"/>
  <c r="L570" i="1" s="1"/>
  <c r="H570" i="1"/>
  <c r="W569" i="1"/>
  <c r="X569" i="1" s="1"/>
  <c r="U569" i="1"/>
  <c r="I569" i="1" s="1"/>
  <c r="T569" i="1"/>
  <c r="AA569" i="1" s="1"/>
  <c r="M569" i="1"/>
  <c r="L569" i="1"/>
  <c r="AB569" i="1" s="1"/>
  <c r="K569" i="1"/>
  <c r="H569" i="1"/>
  <c r="M568" i="1"/>
  <c r="T568" i="1" s="1"/>
  <c r="K568" i="1"/>
  <c r="L568" i="1" s="1"/>
  <c r="H568" i="1"/>
  <c r="AA567" i="1"/>
  <c r="T567" i="1"/>
  <c r="S567" i="1"/>
  <c r="K250" i="2" s="1"/>
  <c r="M567" i="1"/>
  <c r="L567" i="1"/>
  <c r="K567" i="1"/>
  <c r="H567" i="1"/>
  <c r="AB566" i="1"/>
  <c r="T566" i="1"/>
  <c r="S566" i="1"/>
  <c r="K930" i="2" s="1"/>
  <c r="M566" i="1"/>
  <c r="K566" i="1"/>
  <c r="L566" i="1" s="1"/>
  <c r="H566" i="1"/>
  <c r="S565" i="1"/>
  <c r="M565" i="1"/>
  <c r="L565" i="1"/>
  <c r="K565" i="1"/>
  <c r="H565" i="1"/>
  <c r="AA564" i="1"/>
  <c r="T564" i="1"/>
  <c r="S564" i="1"/>
  <c r="M564" i="1"/>
  <c r="K564" i="1"/>
  <c r="L564" i="1" s="1"/>
  <c r="AB564" i="1" s="1"/>
  <c r="H564" i="1"/>
  <c r="W563" i="1"/>
  <c r="X563" i="1" s="1"/>
  <c r="S563" i="1"/>
  <c r="K520" i="2" s="1"/>
  <c r="M563" i="1"/>
  <c r="T563" i="1" s="1"/>
  <c r="AA563" i="1" s="1"/>
  <c r="K563" i="1"/>
  <c r="L563" i="1" s="1"/>
  <c r="AB563" i="1" s="1"/>
  <c r="H563" i="1"/>
  <c r="AA562" i="1"/>
  <c r="T562" i="1"/>
  <c r="S562" i="1"/>
  <c r="M562" i="1"/>
  <c r="L562" i="1"/>
  <c r="AB562" i="1" s="1"/>
  <c r="K562" i="1"/>
  <c r="H562" i="1"/>
  <c r="S561" i="1"/>
  <c r="M561" i="1"/>
  <c r="K561" i="1"/>
  <c r="L561" i="1" s="1"/>
  <c r="H561" i="1"/>
  <c r="AA560" i="1"/>
  <c r="W560" i="1"/>
  <c r="U560" i="1"/>
  <c r="I560" i="1" s="1"/>
  <c r="T560" i="1"/>
  <c r="M560" i="1"/>
  <c r="L560" i="1"/>
  <c r="AB560" i="1" s="1"/>
  <c r="K560" i="1"/>
  <c r="H560" i="1"/>
  <c r="S559" i="1"/>
  <c r="M559" i="1"/>
  <c r="L559" i="1"/>
  <c r="K559" i="1"/>
  <c r="H559" i="1"/>
  <c r="AB558" i="1"/>
  <c r="U558" i="1"/>
  <c r="T558" i="1"/>
  <c r="W558" i="1" s="1"/>
  <c r="X558" i="1" s="1"/>
  <c r="S558" i="1"/>
  <c r="M558" i="1"/>
  <c r="L558" i="1"/>
  <c r="K558" i="1"/>
  <c r="I558" i="1"/>
  <c r="H558" i="1"/>
  <c r="S557" i="1"/>
  <c r="M557" i="1"/>
  <c r="L557" i="1"/>
  <c r="K557" i="1"/>
  <c r="H557" i="1"/>
  <c r="S556" i="1"/>
  <c r="M556" i="1"/>
  <c r="K556" i="1"/>
  <c r="L556" i="1" s="1"/>
  <c r="H556" i="1"/>
  <c r="U555" i="1"/>
  <c r="I555" i="1" s="1"/>
  <c r="S555" i="1"/>
  <c r="K298" i="2" s="1"/>
  <c r="M555" i="1"/>
  <c r="T555" i="1" s="1"/>
  <c r="L555" i="1"/>
  <c r="AB555" i="1" s="1"/>
  <c r="K555" i="1"/>
  <c r="H555" i="1"/>
  <c r="S554" i="1"/>
  <c r="K1231" i="2" s="1"/>
  <c r="L1231" i="2" s="1"/>
  <c r="M554" i="1"/>
  <c r="T554" i="1" s="1"/>
  <c r="L554" i="1"/>
  <c r="K554" i="1"/>
  <c r="H554" i="1"/>
  <c r="U553" i="1"/>
  <c r="I553" i="1" s="1"/>
  <c r="T553" i="1"/>
  <c r="AA553" i="1" s="1"/>
  <c r="S553" i="1"/>
  <c r="M553" i="1"/>
  <c r="L553" i="1"/>
  <c r="AB553" i="1" s="1"/>
  <c r="K553" i="1"/>
  <c r="H553" i="1"/>
  <c r="S552" i="1"/>
  <c r="M552" i="1"/>
  <c r="K552" i="1"/>
  <c r="L552" i="1" s="1"/>
  <c r="H552" i="1"/>
  <c r="S551" i="1"/>
  <c r="M551" i="1"/>
  <c r="K551" i="1"/>
  <c r="L551" i="1" s="1"/>
  <c r="H551" i="1"/>
  <c r="T550" i="1"/>
  <c r="S550" i="1"/>
  <c r="M550" i="1"/>
  <c r="K550" i="1"/>
  <c r="L550" i="1" s="1"/>
  <c r="AB550" i="1" s="1"/>
  <c r="H550" i="1"/>
  <c r="W549" i="1"/>
  <c r="X549" i="1" s="1"/>
  <c r="S549" i="1"/>
  <c r="T549" i="1" s="1"/>
  <c r="M549" i="1"/>
  <c r="K549" i="1"/>
  <c r="L549" i="1" s="1"/>
  <c r="H549" i="1"/>
  <c r="AB548" i="1"/>
  <c r="AA548" i="1"/>
  <c r="W548" i="1"/>
  <c r="X548" i="1" s="1"/>
  <c r="U548" i="1"/>
  <c r="I548" i="1" s="1"/>
  <c r="T548" i="1"/>
  <c r="S548" i="1"/>
  <c r="K1234" i="2" s="1"/>
  <c r="L1234" i="2" s="1"/>
  <c r="M548" i="1"/>
  <c r="L548" i="1"/>
  <c r="K548" i="1"/>
  <c r="H548" i="1"/>
  <c r="S547" i="1"/>
  <c r="M547" i="1"/>
  <c r="K547" i="1"/>
  <c r="L547" i="1" s="1"/>
  <c r="H547" i="1"/>
  <c r="S546" i="1"/>
  <c r="M546" i="1"/>
  <c r="K546" i="1"/>
  <c r="L546" i="1" s="1"/>
  <c r="H546" i="1"/>
  <c r="S545" i="1"/>
  <c r="K535" i="2" s="1"/>
  <c r="L535" i="2" s="1"/>
  <c r="M545" i="1"/>
  <c r="T545" i="1" s="1"/>
  <c r="K545" i="1"/>
  <c r="L545" i="1" s="1"/>
  <c r="H545" i="1"/>
  <c r="S544" i="1"/>
  <c r="M544" i="1"/>
  <c r="K544" i="1"/>
  <c r="L544" i="1" s="1"/>
  <c r="H544" i="1"/>
  <c r="S543" i="1"/>
  <c r="M543" i="1"/>
  <c r="T543" i="1" s="1"/>
  <c r="L543" i="1"/>
  <c r="AB543" i="1" s="1"/>
  <c r="K543" i="1"/>
  <c r="H543" i="1"/>
  <c r="S542" i="1"/>
  <c r="M542" i="1"/>
  <c r="L542" i="1"/>
  <c r="K542" i="1"/>
  <c r="H542" i="1"/>
  <c r="S541" i="1"/>
  <c r="M541" i="1"/>
  <c r="K541" i="1"/>
  <c r="L541" i="1" s="1"/>
  <c r="H541" i="1"/>
  <c r="AA540" i="1"/>
  <c r="U540" i="1"/>
  <c r="I540" i="1" s="1"/>
  <c r="T540" i="1"/>
  <c r="W540" i="1" s="1"/>
  <c r="S540" i="1"/>
  <c r="M540" i="1"/>
  <c r="K540" i="1"/>
  <c r="X540" i="1" s="1"/>
  <c r="H540" i="1"/>
  <c r="AB539" i="1"/>
  <c r="S539" i="1"/>
  <c r="M539" i="1"/>
  <c r="T539" i="1" s="1"/>
  <c r="K539" i="1"/>
  <c r="L539" i="1" s="1"/>
  <c r="H539" i="1"/>
  <c r="W538" i="1"/>
  <c r="X538" i="1" s="1"/>
  <c r="S538" i="1"/>
  <c r="M538" i="1"/>
  <c r="T538" i="1" s="1"/>
  <c r="U538" i="1" s="1"/>
  <c r="I538" i="1" s="1"/>
  <c r="L538" i="1"/>
  <c r="K538" i="1"/>
  <c r="H538" i="1"/>
  <c r="AA537" i="1"/>
  <c r="T537" i="1"/>
  <c r="U537" i="1" s="1"/>
  <c r="I537" i="1" s="1"/>
  <c r="S537" i="1"/>
  <c r="K314" i="2" s="1"/>
  <c r="M537" i="1"/>
  <c r="K537" i="1"/>
  <c r="L537" i="1" s="1"/>
  <c r="AB537" i="1" s="1"/>
  <c r="H537" i="1"/>
  <c r="S536" i="1"/>
  <c r="M536" i="1"/>
  <c r="K536" i="1"/>
  <c r="L536" i="1" s="1"/>
  <c r="H536" i="1"/>
  <c r="AA535" i="1"/>
  <c r="T535" i="1"/>
  <c r="W535" i="1" s="1"/>
  <c r="S535" i="1"/>
  <c r="M535" i="1"/>
  <c r="K535" i="1"/>
  <c r="L535" i="1" s="1"/>
  <c r="AB535" i="1" s="1"/>
  <c r="H535" i="1"/>
  <c r="T534" i="1"/>
  <c r="S534" i="1"/>
  <c r="M534" i="1"/>
  <c r="K534" i="1"/>
  <c r="L534" i="1" s="1"/>
  <c r="H534" i="1"/>
  <c r="AA533" i="1"/>
  <c r="T533" i="1"/>
  <c r="U533" i="1" s="1"/>
  <c r="I533" i="1" s="1"/>
  <c r="S533" i="1"/>
  <c r="K267" i="2" s="1"/>
  <c r="M533" i="1"/>
  <c r="L533" i="1"/>
  <c r="K533" i="1"/>
  <c r="H533" i="1"/>
  <c r="AA532" i="1"/>
  <c r="T532" i="1"/>
  <c r="U532" i="1" s="1"/>
  <c r="I532" i="1" s="1"/>
  <c r="S532" i="1"/>
  <c r="K802" i="2" s="1"/>
  <c r="M532" i="1"/>
  <c r="L532" i="1"/>
  <c r="K532" i="1"/>
  <c r="H532" i="1"/>
  <c r="S531" i="1"/>
  <c r="M531" i="1"/>
  <c r="K531" i="1"/>
  <c r="L531" i="1" s="1"/>
  <c r="H531" i="1"/>
  <c r="T530" i="1"/>
  <c r="W530" i="1" s="1"/>
  <c r="S530" i="1"/>
  <c r="K221" i="2" s="1"/>
  <c r="M530" i="1"/>
  <c r="K530" i="1"/>
  <c r="L530" i="1" s="1"/>
  <c r="AB530" i="1" s="1"/>
  <c r="H530" i="1"/>
  <c r="S529" i="1"/>
  <c r="K307" i="2" s="1"/>
  <c r="M529" i="1"/>
  <c r="K529" i="1"/>
  <c r="L529" i="1" s="1"/>
  <c r="H529" i="1"/>
  <c r="AB528" i="1"/>
  <c r="W528" i="1"/>
  <c r="X528" i="1" s="1"/>
  <c r="T528" i="1"/>
  <c r="S528" i="1"/>
  <c r="K203" i="2" s="1"/>
  <c r="M528" i="1"/>
  <c r="L528" i="1"/>
  <c r="K528" i="1"/>
  <c r="H528" i="1"/>
  <c r="S527" i="1"/>
  <c r="K205" i="2" s="1"/>
  <c r="L205" i="2" s="1"/>
  <c r="M527" i="1"/>
  <c r="L527" i="1"/>
  <c r="K527" i="1"/>
  <c r="H527" i="1"/>
  <c r="S526" i="1"/>
  <c r="M526" i="1"/>
  <c r="K526" i="1"/>
  <c r="L526" i="1" s="1"/>
  <c r="H526" i="1"/>
  <c r="S525" i="1"/>
  <c r="K202" i="2" s="1"/>
  <c r="M525" i="1"/>
  <c r="T525" i="1" s="1"/>
  <c r="L525" i="1"/>
  <c r="K525" i="1"/>
  <c r="H525" i="1"/>
  <c r="S524" i="1"/>
  <c r="M524" i="1"/>
  <c r="K524" i="1"/>
  <c r="L524" i="1" s="1"/>
  <c r="H524" i="1"/>
  <c r="AA523" i="1"/>
  <c r="W523" i="1"/>
  <c r="X523" i="1" s="1"/>
  <c r="U523" i="1"/>
  <c r="T523" i="1"/>
  <c r="S523" i="1"/>
  <c r="K200" i="2" s="1"/>
  <c r="M523" i="1"/>
  <c r="L523" i="1"/>
  <c r="AB523" i="1" s="1"/>
  <c r="K523" i="1"/>
  <c r="I523" i="1"/>
  <c r="H523" i="1"/>
  <c r="S522" i="1"/>
  <c r="M522" i="1"/>
  <c r="K522" i="1"/>
  <c r="L522" i="1" s="1"/>
  <c r="H522" i="1"/>
  <c r="S521" i="1"/>
  <c r="M521" i="1"/>
  <c r="K521" i="1"/>
  <c r="L521" i="1" s="1"/>
  <c r="H521" i="1"/>
  <c r="AA520" i="1"/>
  <c r="X520" i="1"/>
  <c r="W520" i="1"/>
  <c r="U520" i="1"/>
  <c r="I520" i="1" s="1"/>
  <c r="T520" i="1"/>
  <c r="S520" i="1"/>
  <c r="M520" i="1"/>
  <c r="L520" i="1"/>
  <c r="AB520" i="1" s="1"/>
  <c r="K520" i="1"/>
  <c r="H520" i="1"/>
  <c r="S519" i="1"/>
  <c r="M519" i="1"/>
  <c r="K519" i="1"/>
  <c r="L519" i="1" s="1"/>
  <c r="H519" i="1"/>
  <c r="AB518" i="1"/>
  <c r="AA518" i="1"/>
  <c r="W518" i="1"/>
  <c r="X518" i="1" s="1"/>
  <c r="U518" i="1"/>
  <c r="T518" i="1"/>
  <c r="S518" i="1"/>
  <c r="M518" i="1"/>
  <c r="K518" i="1"/>
  <c r="L518" i="1" s="1"/>
  <c r="I518" i="1"/>
  <c r="H518" i="1"/>
  <c r="S517" i="1"/>
  <c r="M517" i="1"/>
  <c r="K517" i="1"/>
  <c r="L517" i="1" s="1"/>
  <c r="H517" i="1"/>
  <c r="S516" i="1"/>
  <c r="M516" i="1"/>
  <c r="K516" i="1"/>
  <c r="L516" i="1" s="1"/>
  <c r="H516" i="1"/>
  <c r="AA515" i="1"/>
  <c r="W515" i="1"/>
  <c r="X515" i="1" s="1"/>
  <c r="U515" i="1"/>
  <c r="I515" i="1" s="1"/>
  <c r="T515" i="1"/>
  <c r="S515" i="1"/>
  <c r="M515" i="1"/>
  <c r="L515" i="1"/>
  <c r="AB515" i="1" s="1"/>
  <c r="K515" i="1"/>
  <c r="H515" i="1"/>
  <c r="S514" i="1"/>
  <c r="M514" i="1"/>
  <c r="K514" i="1"/>
  <c r="L514" i="1" s="1"/>
  <c r="H514" i="1"/>
  <c r="AA513" i="1"/>
  <c r="W513" i="1"/>
  <c r="U513" i="1"/>
  <c r="I513" i="1" s="1"/>
  <c r="T513" i="1"/>
  <c r="S513" i="1"/>
  <c r="K1347" i="2" s="1"/>
  <c r="L1347" i="2" s="1"/>
  <c r="M513" i="1"/>
  <c r="K513" i="1"/>
  <c r="L513" i="1" s="1"/>
  <c r="AB513" i="1" s="1"/>
  <c r="H513" i="1"/>
  <c r="S512" i="1"/>
  <c r="M512" i="1"/>
  <c r="K512" i="1"/>
  <c r="L512" i="1" s="1"/>
  <c r="H512" i="1"/>
  <c r="S511" i="1"/>
  <c r="M511" i="1"/>
  <c r="K511" i="1"/>
  <c r="L511" i="1" s="1"/>
  <c r="H511" i="1"/>
  <c r="AA510" i="1"/>
  <c r="W510" i="1"/>
  <c r="X510" i="1" s="1"/>
  <c r="U510" i="1"/>
  <c r="I510" i="1" s="1"/>
  <c r="T510" i="1"/>
  <c r="S510" i="1"/>
  <c r="K158" i="2" s="1"/>
  <c r="M510" i="1"/>
  <c r="L510" i="1"/>
  <c r="AB510" i="1" s="1"/>
  <c r="K510" i="1"/>
  <c r="H510" i="1"/>
  <c r="S509" i="1"/>
  <c r="M509" i="1"/>
  <c r="K509" i="1"/>
  <c r="L509" i="1" s="1"/>
  <c r="H509" i="1"/>
  <c r="AA508" i="1"/>
  <c r="W508" i="1"/>
  <c r="U508" i="1"/>
  <c r="I508" i="1" s="1"/>
  <c r="T508" i="1"/>
  <c r="S508" i="1"/>
  <c r="M508" i="1"/>
  <c r="K508" i="1"/>
  <c r="L508" i="1" s="1"/>
  <c r="AB508" i="1" s="1"/>
  <c r="H508" i="1"/>
  <c r="S507" i="1"/>
  <c r="M507" i="1"/>
  <c r="L507" i="1"/>
  <c r="K507" i="1"/>
  <c r="H507" i="1"/>
  <c r="S506" i="1"/>
  <c r="M506" i="1"/>
  <c r="K506" i="1"/>
  <c r="L506" i="1" s="1"/>
  <c r="H506" i="1"/>
  <c r="AA505" i="1"/>
  <c r="W505" i="1"/>
  <c r="U505" i="1"/>
  <c r="I505" i="1" s="1"/>
  <c r="T505" i="1"/>
  <c r="S505" i="1"/>
  <c r="M505" i="1"/>
  <c r="K505" i="1"/>
  <c r="L505" i="1" s="1"/>
  <c r="AB505" i="1" s="1"/>
  <c r="H505" i="1"/>
  <c r="S504" i="1"/>
  <c r="M504" i="1"/>
  <c r="K504" i="1"/>
  <c r="L504" i="1" s="1"/>
  <c r="H504" i="1"/>
  <c r="AA503" i="1"/>
  <c r="W503" i="1"/>
  <c r="U503" i="1"/>
  <c r="T503" i="1"/>
  <c r="S503" i="1"/>
  <c r="K265" i="2" s="1"/>
  <c r="L265" i="2" s="1"/>
  <c r="M503" i="1"/>
  <c r="L503" i="1"/>
  <c r="AB503" i="1" s="1"/>
  <c r="K503" i="1"/>
  <c r="I503" i="1"/>
  <c r="H503" i="1"/>
  <c r="S502" i="1"/>
  <c r="M502" i="1"/>
  <c r="K502" i="1"/>
  <c r="L502" i="1" s="1"/>
  <c r="H502" i="1"/>
  <c r="S501" i="1"/>
  <c r="M501" i="1"/>
  <c r="K501" i="1"/>
  <c r="L501" i="1" s="1"/>
  <c r="H501" i="1"/>
  <c r="AA500" i="1"/>
  <c r="X500" i="1"/>
  <c r="W500" i="1"/>
  <c r="U500" i="1"/>
  <c r="I500" i="1" s="1"/>
  <c r="T500" i="1"/>
  <c r="S500" i="1"/>
  <c r="K595" i="2" s="1"/>
  <c r="L595" i="2" s="1"/>
  <c r="M500" i="1"/>
  <c r="K500" i="1"/>
  <c r="L500" i="1" s="1"/>
  <c r="AB500" i="1" s="1"/>
  <c r="H500" i="1"/>
  <c r="S499" i="1"/>
  <c r="M499" i="1"/>
  <c r="K499" i="1"/>
  <c r="L499" i="1" s="1"/>
  <c r="H499" i="1"/>
  <c r="AA498" i="1"/>
  <c r="W498" i="1"/>
  <c r="X498" i="1" s="1"/>
  <c r="U498" i="1"/>
  <c r="T498" i="1"/>
  <c r="S498" i="1"/>
  <c r="K184" i="2" s="1"/>
  <c r="M498" i="1"/>
  <c r="K498" i="1"/>
  <c r="L498" i="1" s="1"/>
  <c r="AB498" i="1" s="1"/>
  <c r="I498" i="1"/>
  <c r="H498" i="1"/>
  <c r="S497" i="1"/>
  <c r="M497" i="1"/>
  <c r="K497" i="1"/>
  <c r="L497" i="1" s="1"/>
  <c r="H497" i="1"/>
  <c r="S496" i="1"/>
  <c r="M496" i="1"/>
  <c r="K496" i="1"/>
  <c r="L496" i="1" s="1"/>
  <c r="H496" i="1"/>
  <c r="AA495" i="1"/>
  <c r="W495" i="1"/>
  <c r="X495" i="1" s="1"/>
  <c r="U495" i="1"/>
  <c r="I495" i="1" s="1"/>
  <c r="T495" i="1"/>
  <c r="S495" i="1"/>
  <c r="K485" i="2" s="1"/>
  <c r="L485" i="2" s="1"/>
  <c r="M495" i="1"/>
  <c r="K495" i="1"/>
  <c r="L495" i="1" s="1"/>
  <c r="AB495" i="1" s="1"/>
  <c r="H495" i="1"/>
  <c r="S494" i="1"/>
  <c r="M494" i="1"/>
  <c r="K494" i="1"/>
  <c r="L494" i="1" s="1"/>
  <c r="H494" i="1"/>
  <c r="AA493" i="1"/>
  <c r="W493" i="1"/>
  <c r="X493" i="1" s="1"/>
  <c r="U493" i="1"/>
  <c r="I493" i="1" s="1"/>
  <c r="T493" i="1"/>
  <c r="S493" i="1"/>
  <c r="K486" i="2" s="1"/>
  <c r="M493" i="1"/>
  <c r="L493" i="1"/>
  <c r="AB493" i="1" s="1"/>
  <c r="K493" i="1"/>
  <c r="H493" i="1"/>
  <c r="S492" i="1"/>
  <c r="M492" i="1"/>
  <c r="K492" i="1"/>
  <c r="L492" i="1" s="1"/>
  <c r="H492" i="1"/>
  <c r="S491" i="1"/>
  <c r="M491" i="1"/>
  <c r="K491" i="1"/>
  <c r="L491" i="1" s="1"/>
  <c r="H491" i="1"/>
  <c r="AA490" i="1"/>
  <c r="W490" i="1"/>
  <c r="X490" i="1" s="1"/>
  <c r="U490" i="1"/>
  <c r="I490" i="1" s="1"/>
  <c r="T490" i="1"/>
  <c r="S490" i="1"/>
  <c r="K156" i="2" s="1"/>
  <c r="M490" i="1"/>
  <c r="L490" i="1"/>
  <c r="AB490" i="1" s="1"/>
  <c r="K490" i="1"/>
  <c r="H490" i="1"/>
  <c r="S489" i="1"/>
  <c r="M489" i="1"/>
  <c r="K489" i="1"/>
  <c r="L489" i="1" s="1"/>
  <c r="H489" i="1"/>
  <c r="AA488" i="1"/>
  <c r="W488" i="1"/>
  <c r="U488" i="1"/>
  <c r="T488" i="1"/>
  <c r="S488" i="1"/>
  <c r="M488" i="1"/>
  <c r="K488" i="1"/>
  <c r="L488" i="1" s="1"/>
  <c r="AB488" i="1" s="1"/>
  <c r="I488" i="1"/>
  <c r="H488" i="1"/>
  <c r="S487" i="1"/>
  <c r="M487" i="1"/>
  <c r="L487" i="1"/>
  <c r="K487" i="1"/>
  <c r="H487" i="1"/>
  <c r="S486" i="1"/>
  <c r="M486" i="1"/>
  <c r="K486" i="1"/>
  <c r="L486" i="1" s="1"/>
  <c r="H486" i="1"/>
  <c r="AA485" i="1"/>
  <c r="X485" i="1"/>
  <c r="W485" i="1"/>
  <c r="U485" i="1"/>
  <c r="I485" i="1" s="1"/>
  <c r="T485" i="1"/>
  <c r="S485" i="1"/>
  <c r="M485" i="1"/>
  <c r="K485" i="1"/>
  <c r="L485" i="1" s="1"/>
  <c r="AB485" i="1" s="1"/>
  <c r="H485" i="1"/>
  <c r="S484" i="1"/>
  <c r="M484" i="1"/>
  <c r="K484" i="1"/>
  <c r="L484" i="1" s="1"/>
  <c r="H484" i="1"/>
  <c r="AA483" i="1"/>
  <c r="W483" i="1"/>
  <c r="X483" i="1" s="1"/>
  <c r="U483" i="1"/>
  <c r="I483" i="1" s="1"/>
  <c r="T483" i="1"/>
  <c r="S483" i="1"/>
  <c r="M483" i="1"/>
  <c r="L483" i="1"/>
  <c r="AB483" i="1" s="1"/>
  <c r="K483" i="1"/>
  <c r="H483" i="1"/>
  <c r="S482" i="1"/>
  <c r="M482" i="1"/>
  <c r="K482" i="1"/>
  <c r="L482" i="1" s="1"/>
  <c r="H482" i="1"/>
  <c r="S481" i="1"/>
  <c r="M481" i="1"/>
  <c r="K481" i="1"/>
  <c r="L481" i="1" s="1"/>
  <c r="H481" i="1"/>
  <c r="AA480" i="1"/>
  <c r="W480" i="1"/>
  <c r="U480" i="1"/>
  <c r="I480" i="1" s="1"/>
  <c r="T480" i="1"/>
  <c r="S480" i="1"/>
  <c r="M480" i="1"/>
  <c r="K480" i="1"/>
  <c r="L480" i="1" s="1"/>
  <c r="AB480" i="1" s="1"/>
  <c r="H480" i="1"/>
  <c r="S479" i="1"/>
  <c r="M479" i="1"/>
  <c r="K479" i="1"/>
  <c r="L479" i="1" s="1"/>
  <c r="H479" i="1"/>
  <c r="AB478" i="1"/>
  <c r="AA478" i="1"/>
  <c r="W478" i="1"/>
  <c r="X478" i="1" s="1"/>
  <c r="U478" i="1"/>
  <c r="T478" i="1"/>
  <c r="S478" i="1"/>
  <c r="M478" i="1"/>
  <c r="K478" i="1"/>
  <c r="L478" i="1" s="1"/>
  <c r="I478" i="1"/>
  <c r="H478" i="1"/>
  <c r="S477" i="1"/>
  <c r="M477" i="1"/>
  <c r="L477" i="1"/>
  <c r="K477" i="1"/>
  <c r="H477" i="1"/>
  <c r="S476" i="1"/>
  <c r="M476" i="1"/>
  <c r="K476" i="1"/>
  <c r="L476" i="1" s="1"/>
  <c r="H476" i="1"/>
  <c r="AA475" i="1"/>
  <c r="W475" i="1"/>
  <c r="X475" i="1" s="1"/>
  <c r="U475" i="1"/>
  <c r="I475" i="1" s="1"/>
  <c r="T475" i="1"/>
  <c r="S475" i="1"/>
  <c r="K1011" i="2" s="1"/>
  <c r="M475" i="1"/>
  <c r="L475" i="1"/>
  <c r="AB475" i="1" s="1"/>
  <c r="K475" i="1"/>
  <c r="H475" i="1"/>
  <c r="S474" i="1"/>
  <c r="M474" i="1"/>
  <c r="K474" i="1"/>
  <c r="L474" i="1" s="1"/>
  <c r="H474" i="1"/>
  <c r="AA473" i="1"/>
  <c r="W473" i="1"/>
  <c r="U473" i="1"/>
  <c r="I473" i="1" s="1"/>
  <c r="T473" i="1"/>
  <c r="S473" i="1"/>
  <c r="K308" i="2" s="1"/>
  <c r="M473" i="1"/>
  <c r="L473" i="1"/>
  <c r="AB473" i="1" s="1"/>
  <c r="K473" i="1"/>
  <c r="H473" i="1"/>
  <c r="S472" i="1"/>
  <c r="M472" i="1"/>
  <c r="K472" i="1"/>
  <c r="L472" i="1" s="1"/>
  <c r="H472" i="1"/>
  <c r="S471" i="1"/>
  <c r="M471" i="1"/>
  <c r="K471" i="1"/>
  <c r="L471" i="1" s="1"/>
  <c r="H471" i="1"/>
  <c r="AA470" i="1"/>
  <c r="W470" i="1"/>
  <c r="U470" i="1"/>
  <c r="I470" i="1" s="1"/>
  <c r="T470" i="1"/>
  <c r="S470" i="1"/>
  <c r="K157" i="2" s="1"/>
  <c r="M470" i="1"/>
  <c r="K470" i="1"/>
  <c r="L470" i="1" s="1"/>
  <c r="AB470" i="1" s="1"/>
  <c r="H470" i="1"/>
  <c r="AB469" i="1"/>
  <c r="AA469" i="1"/>
  <c r="T469" i="1"/>
  <c r="U469" i="1" s="1"/>
  <c r="S469" i="1"/>
  <c r="K247" i="2" s="1"/>
  <c r="L247" i="2" s="1"/>
  <c r="M469" i="1"/>
  <c r="K469" i="1"/>
  <c r="L469" i="1" s="1"/>
  <c r="I469" i="1"/>
  <c r="H469" i="1"/>
  <c r="S468" i="1"/>
  <c r="M468" i="1"/>
  <c r="T468" i="1" s="1"/>
  <c r="K468" i="1"/>
  <c r="L468" i="1" s="1"/>
  <c r="H468" i="1"/>
  <c r="S467" i="1"/>
  <c r="K340" i="2" s="1"/>
  <c r="M467" i="1"/>
  <c r="L467" i="1"/>
  <c r="K467" i="1"/>
  <c r="H467" i="1"/>
  <c r="AA466" i="1"/>
  <c r="U466" i="1"/>
  <c r="I466" i="1" s="1"/>
  <c r="T466" i="1"/>
  <c r="W466" i="1" s="1"/>
  <c r="S466" i="1"/>
  <c r="K1002" i="2" s="1"/>
  <c r="M466" i="1"/>
  <c r="K466" i="1"/>
  <c r="L466" i="1" s="1"/>
  <c r="AB466" i="1" s="1"/>
  <c r="H466" i="1"/>
  <c r="AA465" i="1"/>
  <c r="W465" i="1"/>
  <c r="X465" i="1" s="1"/>
  <c r="U465" i="1"/>
  <c r="I465" i="1" s="1"/>
  <c r="T465" i="1"/>
  <c r="S465" i="1"/>
  <c r="M465" i="1"/>
  <c r="K465" i="1"/>
  <c r="L465" i="1" s="1"/>
  <c r="AB465" i="1" s="1"/>
  <c r="H465" i="1"/>
  <c r="AB464" i="1"/>
  <c r="X464" i="1"/>
  <c r="W464" i="1"/>
  <c r="U464" i="1"/>
  <c r="I464" i="1" s="1"/>
  <c r="T464" i="1"/>
  <c r="AA464" i="1" s="1"/>
  <c r="S464" i="1"/>
  <c r="M464" i="1"/>
  <c r="K464" i="1"/>
  <c r="L464" i="1" s="1"/>
  <c r="H464" i="1"/>
  <c r="W463" i="1"/>
  <c r="X463" i="1" s="1"/>
  <c r="U463" i="1"/>
  <c r="I463" i="1" s="1"/>
  <c r="T463" i="1"/>
  <c r="AA463" i="1" s="1"/>
  <c r="S463" i="1"/>
  <c r="M463" i="1"/>
  <c r="K463" i="1"/>
  <c r="L463" i="1" s="1"/>
  <c r="H463" i="1"/>
  <c r="T462" i="1"/>
  <c r="S462" i="1"/>
  <c r="M462" i="1"/>
  <c r="L462" i="1"/>
  <c r="K462" i="1"/>
  <c r="H462" i="1"/>
  <c r="W461" i="1"/>
  <c r="X461" i="1" s="1"/>
  <c r="U461" i="1"/>
  <c r="T461" i="1"/>
  <c r="AA461" i="1" s="1"/>
  <c r="S461" i="1"/>
  <c r="M461" i="1"/>
  <c r="K461" i="1"/>
  <c r="L461" i="1" s="1"/>
  <c r="AB461" i="1" s="1"/>
  <c r="I461" i="1"/>
  <c r="H461" i="1"/>
  <c r="AA460" i="1"/>
  <c r="X460" i="1"/>
  <c r="W460" i="1"/>
  <c r="U460" i="1"/>
  <c r="I460" i="1" s="1"/>
  <c r="S460" i="1"/>
  <c r="T460" i="1" s="1"/>
  <c r="M460" i="1"/>
  <c r="K460" i="1"/>
  <c r="L460" i="1" s="1"/>
  <c r="AB460" i="1" s="1"/>
  <c r="H460" i="1"/>
  <c r="X459" i="1"/>
  <c r="W459" i="1"/>
  <c r="T459" i="1"/>
  <c r="U459" i="1" s="1"/>
  <c r="I459" i="1" s="1"/>
  <c r="S459" i="1"/>
  <c r="K163" i="2" s="1"/>
  <c r="M459" i="1"/>
  <c r="K459" i="1"/>
  <c r="L459" i="1" s="1"/>
  <c r="AB459" i="1" s="1"/>
  <c r="H459" i="1"/>
  <c r="X458" i="1"/>
  <c r="U458" i="1"/>
  <c r="T458" i="1"/>
  <c r="W458" i="1" s="1"/>
  <c r="S458" i="1"/>
  <c r="K246" i="2" s="1"/>
  <c r="M458" i="1"/>
  <c r="K458" i="1"/>
  <c r="L458" i="1" s="1"/>
  <c r="AB458" i="1" s="1"/>
  <c r="I458" i="1"/>
  <c r="H458" i="1"/>
  <c r="W457" i="1"/>
  <c r="X457" i="1" s="1"/>
  <c r="T457" i="1"/>
  <c r="S457" i="1"/>
  <c r="M457" i="1"/>
  <c r="K457" i="1"/>
  <c r="L457" i="1" s="1"/>
  <c r="AB457" i="1" s="1"/>
  <c r="H457" i="1"/>
  <c r="W456" i="1"/>
  <c r="X456" i="1" s="1"/>
  <c r="U456" i="1"/>
  <c r="T456" i="1"/>
  <c r="AA456" i="1" s="1"/>
  <c r="S456" i="1"/>
  <c r="M456" i="1"/>
  <c r="K456" i="1"/>
  <c r="L456" i="1" s="1"/>
  <c r="AB456" i="1" s="1"/>
  <c r="I456" i="1"/>
  <c r="H456" i="1"/>
  <c r="AA455" i="1"/>
  <c r="W455" i="1"/>
  <c r="X455" i="1" s="1"/>
  <c r="U455" i="1"/>
  <c r="I455" i="1" s="1"/>
  <c r="T455" i="1"/>
  <c r="S455" i="1"/>
  <c r="M455" i="1"/>
  <c r="K455" i="1"/>
  <c r="L455" i="1" s="1"/>
  <c r="AB455" i="1" s="1"/>
  <c r="H455" i="1"/>
  <c r="S454" i="1"/>
  <c r="K775" i="2" s="1"/>
  <c r="M454" i="1"/>
  <c r="K454" i="1"/>
  <c r="L454" i="1" s="1"/>
  <c r="H454" i="1"/>
  <c r="S453" i="1"/>
  <c r="K564" i="2" s="1"/>
  <c r="M453" i="1"/>
  <c r="T453" i="1" s="1"/>
  <c r="K453" i="1"/>
  <c r="L453" i="1" s="1"/>
  <c r="AB453" i="1" s="1"/>
  <c r="H453" i="1"/>
  <c r="AA452" i="1"/>
  <c r="S452" i="1"/>
  <c r="T452" i="1" s="1"/>
  <c r="M452" i="1"/>
  <c r="L452" i="1"/>
  <c r="AB452" i="1" s="1"/>
  <c r="K452" i="1"/>
  <c r="H452" i="1"/>
  <c r="AB451" i="1"/>
  <c r="S451" i="1"/>
  <c r="K166" i="2" s="1"/>
  <c r="M451" i="1"/>
  <c r="T451" i="1" s="1"/>
  <c r="K451" i="1"/>
  <c r="L451" i="1" s="1"/>
  <c r="H451" i="1"/>
  <c r="S450" i="1"/>
  <c r="M450" i="1"/>
  <c r="K450" i="1"/>
  <c r="L450" i="1" s="1"/>
  <c r="H450" i="1"/>
  <c r="S449" i="1"/>
  <c r="K766" i="2" s="1"/>
  <c r="M449" i="1"/>
  <c r="K449" i="1"/>
  <c r="L449" i="1" s="1"/>
  <c r="H449" i="1"/>
  <c r="S448" i="1"/>
  <c r="M448" i="1"/>
  <c r="T448" i="1" s="1"/>
  <c r="K448" i="1"/>
  <c r="L448" i="1" s="1"/>
  <c r="AB448" i="1" s="1"/>
  <c r="H448" i="1"/>
  <c r="S447" i="1"/>
  <c r="M447" i="1"/>
  <c r="K447" i="1"/>
  <c r="L447" i="1" s="1"/>
  <c r="H447" i="1"/>
  <c r="S446" i="1"/>
  <c r="K1525" i="2" s="1"/>
  <c r="L1525" i="2" s="1"/>
  <c r="M446" i="1"/>
  <c r="K446" i="1"/>
  <c r="L446" i="1" s="1"/>
  <c r="H446" i="1"/>
  <c r="S445" i="1"/>
  <c r="M445" i="1"/>
  <c r="K445" i="1"/>
  <c r="L445" i="1" s="1"/>
  <c r="H445" i="1"/>
  <c r="T444" i="1"/>
  <c r="S444" i="1"/>
  <c r="K435" i="2" s="1"/>
  <c r="L435" i="2" s="1"/>
  <c r="M444" i="1"/>
  <c r="K444" i="1"/>
  <c r="L444" i="1" s="1"/>
  <c r="AB444" i="1" s="1"/>
  <c r="H444" i="1"/>
  <c r="T443" i="1"/>
  <c r="S443" i="1"/>
  <c r="K1880" i="2" s="1"/>
  <c r="M443" i="1"/>
  <c r="K443" i="1"/>
  <c r="L443" i="1" s="1"/>
  <c r="H443" i="1"/>
  <c r="T442" i="1"/>
  <c r="S442" i="1"/>
  <c r="K214" i="2" s="1"/>
  <c r="M442" i="1"/>
  <c r="K442" i="1"/>
  <c r="L442" i="1" s="1"/>
  <c r="AB442" i="1" s="1"/>
  <c r="H442" i="1"/>
  <c r="S441" i="1"/>
  <c r="K399" i="2" s="1"/>
  <c r="M441" i="1"/>
  <c r="T441" i="1" s="1"/>
  <c r="L441" i="1"/>
  <c r="K441" i="1"/>
  <c r="H441" i="1"/>
  <c r="S440" i="1"/>
  <c r="M440" i="1"/>
  <c r="L440" i="1"/>
  <c r="K440" i="1"/>
  <c r="H440" i="1"/>
  <c r="S439" i="1"/>
  <c r="M439" i="1"/>
  <c r="K439" i="1"/>
  <c r="L439" i="1" s="1"/>
  <c r="H439" i="1"/>
  <c r="U438" i="1"/>
  <c r="I438" i="1" s="1"/>
  <c r="S438" i="1"/>
  <c r="M438" i="1"/>
  <c r="T438" i="1" s="1"/>
  <c r="K438" i="1"/>
  <c r="L438" i="1" s="1"/>
  <c r="AB438" i="1" s="1"/>
  <c r="H438" i="1"/>
  <c r="S437" i="1"/>
  <c r="K563" i="2" s="1"/>
  <c r="M437" i="1"/>
  <c r="K437" i="1"/>
  <c r="L437" i="1" s="1"/>
  <c r="H437" i="1"/>
  <c r="S436" i="1"/>
  <c r="M436" i="1"/>
  <c r="K436" i="1"/>
  <c r="L436" i="1" s="1"/>
  <c r="H436" i="1"/>
  <c r="S435" i="1"/>
  <c r="M435" i="1"/>
  <c r="L435" i="1"/>
  <c r="K435" i="1"/>
  <c r="H435" i="1"/>
  <c r="S434" i="1"/>
  <c r="M434" i="1"/>
  <c r="K434" i="1"/>
  <c r="L434" i="1" s="1"/>
  <c r="H434" i="1"/>
  <c r="T433" i="1"/>
  <c r="S433" i="1"/>
  <c r="M433" i="1"/>
  <c r="K433" i="1"/>
  <c r="L433" i="1" s="1"/>
  <c r="AB433" i="1" s="1"/>
  <c r="H433" i="1"/>
  <c r="S432" i="1"/>
  <c r="M432" i="1"/>
  <c r="L432" i="1"/>
  <c r="K432" i="1"/>
  <c r="H432" i="1"/>
  <c r="U431" i="1"/>
  <c r="I431" i="1" s="1"/>
  <c r="T431" i="1"/>
  <c r="S431" i="1"/>
  <c r="K311" i="2" s="1"/>
  <c r="M431" i="1"/>
  <c r="K431" i="1"/>
  <c r="L431" i="1" s="1"/>
  <c r="AB431" i="1" s="1"/>
  <c r="H431" i="1"/>
  <c r="S430" i="1"/>
  <c r="M430" i="1"/>
  <c r="K430" i="1"/>
  <c r="L430" i="1" s="1"/>
  <c r="H430" i="1"/>
  <c r="S429" i="1"/>
  <c r="K615" i="2" s="1"/>
  <c r="M429" i="1"/>
  <c r="K429" i="1"/>
  <c r="L429" i="1" s="1"/>
  <c r="H429" i="1"/>
  <c r="U428" i="1"/>
  <c r="I428" i="1" s="1"/>
  <c r="T428" i="1"/>
  <c r="S428" i="1"/>
  <c r="K2118" i="2" s="1"/>
  <c r="M428" i="1"/>
  <c r="K428" i="1"/>
  <c r="L428" i="1" s="1"/>
  <c r="AB428" i="1" s="1"/>
  <c r="H428" i="1"/>
  <c r="T427" i="1"/>
  <c r="S427" i="1"/>
  <c r="M427" i="1"/>
  <c r="K427" i="1"/>
  <c r="L427" i="1" s="1"/>
  <c r="AB427" i="1" s="1"/>
  <c r="H427" i="1"/>
  <c r="S426" i="1"/>
  <c r="M426" i="1"/>
  <c r="K426" i="1"/>
  <c r="L426" i="1" s="1"/>
  <c r="H426" i="1"/>
  <c r="T425" i="1"/>
  <c r="S425" i="1"/>
  <c r="K170" i="2" s="1"/>
  <c r="M425" i="1"/>
  <c r="L425" i="1"/>
  <c r="K425" i="1"/>
  <c r="H425" i="1"/>
  <c r="AA424" i="1"/>
  <c r="X424" i="1"/>
  <c r="W424" i="1"/>
  <c r="U424" i="1"/>
  <c r="I424" i="1" s="1"/>
  <c r="T424" i="1"/>
  <c r="S424" i="1"/>
  <c r="M424" i="1"/>
  <c r="K424" i="1"/>
  <c r="L424" i="1" s="1"/>
  <c r="AB424" i="1" s="1"/>
  <c r="H424" i="1"/>
  <c r="AA423" i="1"/>
  <c r="W423" i="1"/>
  <c r="X423" i="1" s="1"/>
  <c r="U423" i="1"/>
  <c r="T423" i="1"/>
  <c r="S423" i="1"/>
  <c r="M423" i="1"/>
  <c r="K423" i="1"/>
  <c r="L423" i="1" s="1"/>
  <c r="AB423" i="1" s="1"/>
  <c r="I423" i="1"/>
  <c r="H423" i="1"/>
  <c r="AA422" i="1"/>
  <c r="W422" i="1"/>
  <c r="X422" i="1" s="1"/>
  <c r="T422" i="1"/>
  <c r="U422" i="1" s="1"/>
  <c r="I422" i="1" s="1"/>
  <c r="S422" i="1"/>
  <c r="M422" i="1"/>
  <c r="K422" i="1"/>
  <c r="L422" i="1" s="1"/>
  <c r="AB422" i="1" s="1"/>
  <c r="H422" i="1"/>
  <c r="S421" i="1"/>
  <c r="K273" i="2" s="1"/>
  <c r="M421" i="1"/>
  <c r="T421" i="1" s="1"/>
  <c r="U421" i="1" s="1"/>
  <c r="I421" i="1" s="1"/>
  <c r="L421" i="1"/>
  <c r="K421" i="1"/>
  <c r="H421" i="1"/>
  <c r="S420" i="1"/>
  <c r="M420" i="1"/>
  <c r="L420" i="1"/>
  <c r="K420" i="1"/>
  <c r="H420" i="1"/>
  <c r="AA419" i="1"/>
  <c r="S419" i="1"/>
  <c r="T419" i="1" s="1"/>
  <c r="M419" i="1"/>
  <c r="K419" i="1"/>
  <c r="L419" i="1" s="1"/>
  <c r="AB419" i="1" s="1"/>
  <c r="H419" i="1"/>
  <c r="AA418" i="1"/>
  <c r="S418" i="1"/>
  <c r="K384" i="2" s="1"/>
  <c r="M418" i="1"/>
  <c r="T418" i="1" s="1"/>
  <c r="L418" i="1"/>
  <c r="AB418" i="1" s="1"/>
  <c r="K418" i="1"/>
  <c r="H418" i="1"/>
  <c r="S417" i="1"/>
  <c r="T417" i="1" s="1"/>
  <c r="M417" i="1"/>
  <c r="L417" i="1"/>
  <c r="AB417" i="1" s="1"/>
  <c r="K417" i="1"/>
  <c r="H417" i="1"/>
  <c r="S416" i="1"/>
  <c r="T416" i="1" s="1"/>
  <c r="M416" i="1"/>
  <c r="L416" i="1"/>
  <c r="K416" i="1"/>
  <c r="H416" i="1"/>
  <c r="S415" i="1"/>
  <c r="M415" i="1"/>
  <c r="K415" i="1"/>
  <c r="L415" i="1" s="1"/>
  <c r="H415" i="1"/>
  <c r="S414" i="1"/>
  <c r="M414" i="1"/>
  <c r="K414" i="1"/>
  <c r="L414" i="1" s="1"/>
  <c r="H414" i="1"/>
  <c r="S413" i="1"/>
  <c r="M413" i="1"/>
  <c r="T413" i="1" s="1"/>
  <c r="K413" i="1"/>
  <c r="L413" i="1" s="1"/>
  <c r="H413" i="1"/>
  <c r="S412" i="1"/>
  <c r="M412" i="1"/>
  <c r="K412" i="1"/>
  <c r="L412" i="1" s="1"/>
  <c r="H412" i="1"/>
  <c r="T411" i="1"/>
  <c r="S411" i="1"/>
  <c r="M411" i="1"/>
  <c r="K411" i="1"/>
  <c r="L411" i="1" s="1"/>
  <c r="AB411" i="1" s="1"/>
  <c r="H411" i="1"/>
  <c r="S410" i="1"/>
  <c r="M410" i="1"/>
  <c r="L410" i="1"/>
  <c r="K410" i="1"/>
  <c r="H410" i="1"/>
  <c r="T409" i="1"/>
  <c r="S409" i="1"/>
  <c r="M409" i="1"/>
  <c r="K409" i="1"/>
  <c r="L409" i="1" s="1"/>
  <c r="H409" i="1"/>
  <c r="T408" i="1"/>
  <c r="S408" i="1"/>
  <c r="M408" i="1"/>
  <c r="K408" i="1"/>
  <c r="L408" i="1" s="1"/>
  <c r="AB408" i="1" s="1"/>
  <c r="H408" i="1"/>
  <c r="T407" i="1"/>
  <c r="S407" i="1"/>
  <c r="K288" i="2" s="1"/>
  <c r="M407" i="1"/>
  <c r="K407" i="1"/>
  <c r="L407" i="1" s="1"/>
  <c r="AB407" i="1" s="1"/>
  <c r="H407" i="1"/>
  <c r="T406" i="1"/>
  <c r="S406" i="1"/>
  <c r="M406" i="1"/>
  <c r="K406" i="1"/>
  <c r="L406" i="1" s="1"/>
  <c r="AB406" i="1" s="1"/>
  <c r="H406" i="1"/>
  <c r="U405" i="1"/>
  <c r="I405" i="1" s="1"/>
  <c r="S405" i="1"/>
  <c r="T405" i="1" s="1"/>
  <c r="M405" i="1"/>
  <c r="K405" i="1"/>
  <c r="L405" i="1" s="1"/>
  <c r="AB405" i="1" s="1"/>
  <c r="H405" i="1"/>
  <c r="S404" i="1"/>
  <c r="M404" i="1"/>
  <c r="K404" i="1"/>
  <c r="L404" i="1" s="1"/>
  <c r="H404" i="1"/>
  <c r="S403" i="1"/>
  <c r="K503" i="2" s="1"/>
  <c r="M403" i="1"/>
  <c r="T403" i="1" s="1"/>
  <c r="K403" i="1"/>
  <c r="L403" i="1" s="1"/>
  <c r="AB403" i="1" s="1"/>
  <c r="H403" i="1"/>
  <c r="S402" i="1"/>
  <c r="T402" i="1" s="1"/>
  <c r="M402" i="1"/>
  <c r="L402" i="1"/>
  <c r="K402" i="1"/>
  <c r="H402" i="1"/>
  <c r="S401" i="1"/>
  <c r="M401" i="1"/>
  <c r="T401" i="1" s="1"/>
  <c r="L401" i="1"/>
  <c r="K401" i="1"/>
  <c r="H401" i="1"/>
  <c r="U400" i="1"/>
  <c r="I400" i="1" s="1"/>
  <c r="S400" i="1"/>
  <c r="T400" i="1" s="1"/>
  <c r="W400" i="1" s="1"/>
  <c r="X400" i="1" s="1"/>
  <c r="M400" i="1"/>
  <c r="L400" i="1"/>
  <c r="K400" i="1"/>
  <c r="H400" i="1"/>
  <c r="S399" i="1"/>
  <c r="M399" i="1"/>
  <c r="K399" i="1"/>
  <c r="L399" i="1" s="1"/>
  <c r="H399" i="1"/>
  <c r="S398" i="1"/>
  <c r="K302" i="2" s="1"/>
  <c r="M398" i="1"/>
  <c r="T398" i="1" s="1"/>
  <c r="L398" i="1"/>
  <c r="K398" i="1"/>
  <c r="H398" i="1"/>
  <c r="T397" i="1"/>
  <c r="S397" i="1"/>
  <c r="M397" i="1"/>
  <c r="L397" i="1"/>
  <c r="K397" i="1"/>
  <c r="H397" i="1"/>
  <c r="S396" i="1"/>
  <c r="M396" i="1"/>
  <c r="L396" i="1"/>
  <c r="K396" i="1"/>
  <c r="H396" i="1"/>
  <c r="T395" i="1"/>
  <c r="W395" i="1" s="1"/>
  <c r="X395" i="1" s="1"/>
  <c r="S395" i="1"/>
  <c r="K589" i="2" s="1"/>
  <c r="L589" i="2" s="1"/>
  <c r="M395" i="1"/>
  <c r="K395" i="1"/>
  <c r="L395" i="1" s="1"/>
  <c r="AB395" i="1" s="1"/>
  <c r="H395" i="1"/>
  <c r="AB394" i="1"/>
  <c r="T394" i="1"/>
  <c r="AA394" i="1" s="1"/>
  <c r="S394" i="1"/>
  <c r="K1293" i="2" s="1"/>
  <c r="L1293" i="2" s="1"/>
  <c r="M394" i="1"/>
  <c r="K394" i="1"/>
  <c r="L394" i="1" s="1"/>
  <c r="H394" i="1"/>
  <c r="AB393" i="1"/>
  <c r="U393" i="1"/>
  <c r="I393" i="1" s="1"/>
  <c r="T393" i="1"/>
  <c r="AA393" i="1" s="1"/>
  <c r="S393" i="1"/>
  <c r="K803" i="2" s="1"/>
  <c r="M393" i="1"/>
  <c r="K393" i="1"/>
  <c r="L393" i="1" s="1"/>
  <c r="H393" i="1"/>
  <c r="T392" i="1"/>
  <c r="S392" i="1"/>
  <c r="K825" i="2" s="1"/>
  <c r="M392" i="1"/>
  <c r="L392" i="1"/>
  <c r="K392" i="1"/>
  <c r="H392" i="1"/>
  <c r="AA391" i="1"/>
  <c r="W391" i="1"/>
  <c r="U391" i="1"/>
  <c r="I391" i="1" s="1"/>
  <c r="T391" i="1"/>
  <c r="S391" i="1"/>
  <c r="K1471" i="2" s="1"/>
  <c r="L1471" i="2" s="1"/>
  <c r="M391" i="1"/>
  <c r="K391" i="1"/>
  <c r="L391" i="1" s="1"/>
  <c r="AB391" i="1" s="1"/>
  <c r="H391" i="1"/>
  <c r="S390" i="1"/>
  <c r="M390" i="1"/>
  <c r="K390" i="1"/>
  <c r="L390" i="1" s="1"/>
  <c r="H390" i="1"/>
  <c r="AB389" i="1"/>
  <c r="AA389" i="1"/>
  <c r="W389" i="1"/>
  <c r="X389" i="1" s="1"/>
  <c r="T389" i="1"/>
  <c r="U389" i="1" s="1"/>
  <c r="S389" i="1"/>
  <c r="K804" i="2" s="1"/>
  <c r="M389" i="1"/>
  <c r="K389" i="1"/>
  <c r="L389" i="1" s="1"/>
  <c r="I389" i="1"/>
  <c r="H389" i="1"/>
  <c r="AA388" i="1"/>
  <c r="X388" i="1"/>
  <c r="U388" i="1"/>
  <c r="I388" i="1" s="1"/>
  <c r="T388" i="1"/>
  <c r="W388" i="1" s="1"/>
  <c r="S388" i="1"/>
  <c r="M388" i="1"/>
  <c r="K388" i="1"/>
  <c r="L388" i="1" s="1"/>
  <c r="AB388" i="1" s="1"/>
  <c r="H388" i="1"/>
  <c r="AB387" i="1"/>
  <c r="W387" i="1"/>
  <c r="X387" i="1" s="1"/>
  <c r="T387" i="1"/>
  <c r="S387" i="1"/>
  <c r="K1087" i="2" s="1"/>
  <c r="L1087" i="2" s="1"/>
  <c r="M387" i="1"/>
  <c r="K387" i="1"/>
  <c r="L387" i="1" s="1"/>
  <c r="H387" i="1"/>
  <c r="AA386" i="1"/>
  <c r="W386" i="1"/>
  <c r="X386" i="1" s="1"/>
  <c r="U386" i="1"/>
  <c r="I386" i="1" s="1"/>
  <c r="T386" i="1"/>
  <c r="S386" i="1"/>
  <c r="K1155" i="2" s="1"/>
  <c r="L1155" i="2" s="1"/>
  <c r="M386" i="1"/>
  <c r="K386" i="1"/>
  <c r="L386" i="1" s="1"/>
  <c r="AB386" i="1" s="1"/>
  <c r="H386" i="1"/>
  <c r="AA385" i="1"/>
  <c r="S385" i="1"/>
  <c r="T385" i="1" s="1"/>
  <c r="U385" i="1" s="1"/>
  <c r="I385" i="1" s="1"/>
  <c r="M385" i="1"/>
  <c r="L385" i="1"/>
  <c r="K385" i="1"/>
  <c r="H385" i="1"/>
  <c r="S384" i="1"/>
  <c r="M384" i="1"/>
  <c r="K384" i="1"/>
  <c r="L384" i="1" s="1"/>
  <c r="H384" i="1"/>
  <c r="AA383" i="1"/>
  <c r="S383" i="1"/>
  <c r="M383" i="1"/>
  <c r="T383" i="1" s="1"/>
  <c r="K383" i="1"/>
  <c r="L383" i="1" s="1"/>
  <c r="H383" i="1"/>
  <c r="S382" i="1"/>
  <c r="K437" i="2" s="1"/>
  <c r="L437" i="2" s="1"/>
  <c r="M382" i="1"/>
  <c r="K382" i="1"/>
  <c r="L382" i="1" s="1"/>
  <c r="H382" i="1"/>
  <c r="AB381" i="1"/>
  <c r="T381" i="1"/>
  <c r="U381" i="1" s="1"/>
  <c r="S381" i="1"/>
  <c r="K1182" i="2" s="1"/>
  <c r="L1182" i="2" s="1"/>
  <c r="M381" i="1"/>
  <c r="K381" i="1"/>
  <c r="L381" i="1" s="1"/>
  <c r="I381" i="1"/>
  <c r="H381" i="1"/>
  <c r="S380" i="1"/>
  <c r="M380" i="1"/>
  <c r="K380" i="1"/>
  <c r="L380" i="1" s="1"/>
  <c r="H380" i="1"/>
  <c r="S379" i="1"/>
  <c r="M379" i="1"/>
  <c r="K379" i="1"/>
  <c r="L379" i="1" s="1"/>
  <c r="H379" i="1"/>
  <c r="AB378" i="1"/>
  <c r="T378" i="1"/>
  <c r="W378" i="1" s="1"/>
  <c r="S378" i="1"/>
  <c r="K385" i="2" s="1"/>
  <c r="M378" i="1"/>
  <c r="K378" i="1"/>
  <c r="L378" i="1" s="1"/>
  <c r="H378" i="1"/>
  <c r="S377" i="1"/>
  <c r="T377" i="1" s="1"/>
  <c r="M377" i="1"/>
  <c r="K377" i="1"/>
  <c r="L377" i="1" s="1"/>
  <c r="H377" i="1"/>
  <c r="S376" i="1"/>
  <c r="M376" i="1"/>
  <c r="K376" i="1"/>
  <c r="L376" i="1" s="1"/>
  <c r="H376" i="1"/>
  <c r="T375" i="1"/>
  <c r="S375" i="1"/>
  <c r="M375" i="1"/>
  <c r="L375" i="1"/>
  <c r="AB375" i="1" s="1"/>
  <c r="K375" i="1"/>
  <c r="H375" i="1"/>
  <c r="S374" i="1"/>
  <c r="T374" i="1" s="1"/>
  <c r="M374" i="1"/>
  <c r="K374" i="1"/>
  <c r="L374" i="1" s="1"/>
  <c r="H374" i="1"/>
  <c r="S373" i="1"/>
  <c r="K542" i="2" s="1"/>
  <c r="M373" i="1"/>
  <c r="T373" i="1" s="1"/>
  <c r="K373" i="1"/>
  <c r="L373" i="1" s="1"/>
  <c r="H373" i="1"/>
  <c r="S372" i="1"/>
  <c r="K1033" i="2" s="1"/>
  <c r="M372" i="1"/>
  <c r="K372" i="1"/>
  <c r="L372" i="1" s="1"/>
  <c r="H372" i="1"/>
  <c r="W371" i="1"/>
  <c r="X371" i="1" s="1"/>
  <c r="S371" i="1"/>
  <c r="K1137" i="2" s="1"/>
  <c r="L1137" i="2" s="1"/>
  <c r="M371" i="1"/>
  <c r="T371" i="1" s="1"/>
  <c r="L371" i="1"/>
  <c r="AB371" i="1" s="1"/>
  <c r="K371" i="1"/>
  <c r="H371" i="1"/>
  <c r="S370" i="1"/>
  <c r="M370" i="1"/>
  <c r="L370" i="1"/>
  <c r="K370" i="1"/>
  <c r="H370" i="1"/>
  <c r="S369" i="1"/>
  <c r="M369" i="1"/>
  <c r="K369" i="1"/>
  <c r="L369" i="1" s="1"/>
  <c r="H369" i="1"/>
  <c r="S368" i="1"/>
  <c r="M368" i="1"/>
  <c r="T368" i="1" s="1"/>
  <c r="L368" i="1"/>
  <c r="AB368" i="1" s="1"/>
  <c r="K368" i="1"/>
  <c r="H368" i="1"/>
  <c r="S367" i="1"/>
  <c r="M367" i="1"/>
  <c r="K367" i="1"/>
  <c r="L367" i="1" s="1"/>
  <c r="H367" i="1"/>
  <c r="S366" i="1"/>
  <c r="M366" i="1"/>
  <c r="K366" i="1"/>
  <c r="L366" i="1" s="1"/>
  <c r="H366" i="1"/>
  <c r="S365" i="1"/>
  <c r="K761" i="2" s="1"/>
  <c r="M365" i="1"/>
  <c r="L365" i="1"/>
  <c r="K365" i="1"/>
  <c r="H365" i="1"/>
  <c r="S364" i="1"/>
  <c r="K901" i="2" s="1"/>
  <c r="M364" i="1"/>
  <c r="K364" i="1"/>
  <c r="L364" i="1" s="1"/>
  <c r="H364" i="1"/>
  <c r="U363" i="1"/>
  <c r="I363" i="1" s="1"/>
  <c r="T363" i="1"/>
  <c r="S363" i="1"/>
  <c r="K2351" i="2" s="1"/>
  <c r="M363" i="1"/>
  <c r="K363" i="1"/>
  <c r="L363" i="1" s="1"/>
  <c r="H363" i="1"/>
  <c r="T362" i="1"/>
  <c r="S362" i="1"/>
  <c r="K1084" i="2" s="1"/>
  <c r="L1084" i="2" s="1"/>
  <c r="M362" i="1"/>
  <c r="K362" i="1"/>
  <c r="L362" i="1" s="1"/>
  <c r="AB362" i="1" s="1"/>
  <c r="H362" i="1"/>
  <c r="T361" i="1"/>
  <c r="AA361" i="1" s="1"/>
  <c r="S361" i="1"/>
  <c r="M361" i="1"/>
  <c r="K361" i="1"/>
  <c r="L361" i="1" s="1"/>
  <c r="AB361" i="1" s="1"/>
  <c r="H361" i="1"/>
  <c r="S360" i="1"/>
  <c r="M360" i="1"/>
  <c r="K360" i="1"/>
  <c r="L360" i="1" s="1"/>
  <c r="H360" i="1"/>
  <c r="T359" i="1"/>
  <c r="S359" i="1"/>
  <c r="K483" i="2" s="1"/>
  <c r="M359" i="1"/>
  <c r="K359" i="1"/>
  <c r="L359" i="1" s="1"/>
  <c r="H359" i="1"/>
  <c r="T358" i="1"/>
  <c r="U358" i="1" s="1"/>
  <c r="I358" i="1" s="1"/>
  <c r="S358" i="1"/>
  <c r="M358" i="1"/>
  <c r="K358" i="1"/>
  <c r="L358" i="1" s="1"/>
  <c r="AB358" i="1" s="1"/>
  <c r="H358" i="1"/>
  <c r="T357" i="1"/>
  <c r="S357" i="1"/>
  <c r="M357" i="1"/>
  <c r="K357" i="1"/>
  <c r="L357" i="1" s="1"/>
  <c r="AB357" i="1" s="1"/>
  <c r="H357" i="1"/>
  <c r="S356" i="1"/>
  <c r="T356" i="1" s="1"/>
  <c r="M356" i="1"/>
  <c r="K356" i="1"/>
  <c r="L356" i="1" s="1"/>
  <c r="H356" i="1"/>
  <c r="W355" i="1"/>
  <c r="X355" i="1" s="1"/>
  <c r="U355" i="1"/>
  <c r="I355" i="1" s="1"/>
  <c r="T355" i="1"/>
  <c r="AA355" i="1" s="1"/>
  <c r="S355" i="1"/>
  <c r="K1373" i="2" s="1"/>
  <c r="L1373" i="2" s="1"/>
  <c r="M355" i="1"/>
  <c r="K355" i="1"/>
  <c r="L355" i="1" s="1"/>
  <c r="AB355" i="1" s="1"/>
  <c r="H355" i="1"/>
  <c r="U354" i="1"/>
  <c r="I354" i="1" s="1"/>
  <c r="S354" i="1"/>
  <c r="T354" i="1" s="1"/>
  <c r="AA354" i="1" s="1"/>
  <c r="M354" i="1"/>
  <c r="K354" i="1"/>
  <c r="L354" i="1" s="1"/>
  <c r="H354" i="1"/>
  <c r="U353" i="1"/>
  <c r="I353" i="1" s="1"/>
  <c r="S353" i="1"/>
  <c r="K436" i="2" s="1"/>
  <c r="M353" i="1"/>
  <c r="T353" i="1" s="1"/>
  <c r="K353" i="1"/>
  <c r="L353" i="1" s="1"/>
  <c r="H353" i="1"/>
  <c r="S352" i="1"/>
  <c r="K588" i="2" s="1"/>
  <c r="L588" i="2" s="1"/>
  <c r="M352" i="1"/>
  <c r="L352" i="1"/>
  <c r="K352" i="1"/>
  <c r="H352" i="1"/>
  <c r="AA351" i="1"/>
  <c r="W351" i="1"/>
  <c r="X351" i="1" s="1"/>
  <c r="S351" i="1"/>
  <c r="K377" i="2" s="1"/>
  <c r="M351" i="1"/>
  <c r="T351" i="1" s="1"/>
  <c r="U351" i="1" s="1"/>
  <c r="K351" i="1"/>
  <c r="L351" i="1" s="1"/>
  <c r="AB351" i="1" s="1"/>
  <c r="I351" i="1"/>
  <c r="H351" i="1"/>
  <c r="S350" i="1"/>
  <c r="M350" i="1"/>
  <c r="K350" i="1"/>
  <c r="L350" i="1" s="1"/>
  <c r="H350" i="1"/>
  <c r="S349" i="1"/>
  <c r="M349" i="1"/>
  <c r="K349" i="1"/>
  <c r="L349" i="1" s="1"/>
  <c r="H349" i="1"/>
  <c r="AA348" i="1"/>
  <c r="S348" i="1"/>
  <c r="K177" i="2" s="1"/>
  <c r="L177" i="2" s="1"/>
  <c r="M348" i="1"/>
  <c r="T348" i="1" s="1"/>
  <c r="K348" i="1"/>
  <c r="L348" i="1" s="1"/>
  <c r="AB348" i="1" s="1"/>
  <c r="H348" i="1"/>
  <c r="S347" i="1"/>
  <c r="M347" i="1"/>
  <c r="K347" i="1"/>
  <c r="L347" i="1" s="1"/>
  <c r="H347" i="1"/>
  <c r="AA346" i="1"/>
  <c r="S346" i="1"/>
  <c r="T346" i="1" s="1"/>
  <c r="M346" i="1"/>
  <c r="K346" i="1"/>
  <c r="L346" i="1" s="1"/>
  <c r="H346" i="1"/>
  <c r="S345" i="1"/>
  <c r="M345" i="1"/>
  <c r="K345" i="1"/>
  <c r="L345" i="1" s="1"/>
  <c r="H345" i="1"/>
  <c r="T344" i="1"/>
  <c r="S344" i="1"/>
  <c r="K132" i="2" s="1"/>
  <c r="M344" i="1"/>
  <c r="K344" i="1"/>
  <c r="L344" i="1" s="1"/>
  <c r="AB344" i="1" s="1"/>
  <c r="H344" i="1"/>
  <c r="AA343" i="1"/>
  <c r="T343" i="1"/>
  <c r="S343" i="1"/>
  <c r="M343" i="1"/>
  <c r="K343" i="1"/>
  <c r="L343" i="1" s="1"/>
  <c r="AB343" i="1" s="1"/>
  <c r="H343" i="1"/>
  <c r="T342" i="1"/>
  <c r="S342" i="1"/>
  <c r="M342" i="1"/>
  <c r="L342" i="1"/>
  <c r="K342" i="1"/>
  <c r="H342" i="1"/>
  <c r="S341" i="1"/>
  <c r="K1028" i="2" s="1"/>
  <c r="M341" i="1"/>
  <c r="T341" i="1" s="1"/>
  <c r="L341" i="1"/>
  <c r="AB341" i="1" s="1"/>
  <c r="K341" i="1"/>
  <c r="H341" i="1"/>
  <c r="S340" i="1"/>
  <c r="M340" i="1"/>
  <c r="L340" i="1"/>
  <c r="K340" i="1"/>
  <c r="H340" i="1"/>
  <c r="S339" i="1"/>
  <c r="M339" i="1"/>
  <c r="K339" i="1"/>
  <c r="L339" i="1" s="1"/>
  <c r="H339" i="1"/>
  <c r="U338" i="1"/>
  <c r="I338" i="1" s="1"/>
  <c r="S338" i="1"/>
  <c r="K306" i="2" s="1"/>
  <c r="M338" i="1"/>
  <c r="T338" i="1" s="1"/>
  <c r="K338" i="1"/>
  <c r="L338" i="1" s="1"/>
  <c r="AB338" i="1" s="1"/>
  <c r="H338" i="1"/>
  <c r="S337" i="1"/>
  <c r="M337" i="1"/>
  <c r="K337" i="1"/>
  <c r="L337" i="1" s="1"/>
  <c r="H337" i="1"/>
  <c r="S336" i="1"/>
  <c r="M336" i="1"/>
  <c r="L336" i="1"/>
  <c r="K336" i="1"/>
  <c r="H336" i="1"/>
  <c r="S335" i="1"/>
  <c r="T335" i="1" s="1"/>
  <c r="M335" i="1"/>
  <c r="K335" i="1"/>
  <c r="L335" i="1" s="1"/>
  <c r="AB335" i="1" s="1"/>
  <c r="H335" i="1"/>
  <c r="S334" i="1"/>
  <c r="M334" i="1"/>
  <c r="K334" i="1"/>
  <c r="L334" i="1" s="1"/>
  <c r="H334" i="1"/>
  <c r="U333" i="1"/>
  <c r="I333" i="1" s="1"/>
  <c r="T333" i="1"/>
  <c r="S333" i="1"/>
  <c r="M333" i="1"/>
  <c r="K333" i="1"/>
  <c r="L333" i="1" s="1"/>
  <c r="AB333" i="1" s="1"/>
  <c r="H333" i="1"/>
  <c r="T332" i="1"/>
  <c r="S332" i="1"/>
  <c r="M332" i="1"/>
  <c r="L332" i="1"/>
  <c r="K332" i="1"/>
  <c r="H332" i="1"/>
  <c r="T331" i="1"/>
  <c r="AA331" i="1" s="1"/>
  <c r="S331" i="1"/>
  <c r="M331" i="1"/>
  <c r="K331" i="1"/>
  <c r="L331" i="1" s="1"/>
  <c r="AB331" i="1" s="1"/>
  <c r="H331" i="1"/>
  <c r="S330" i="1"/>
  <c r="M330" i="1"/>
  <c r="K330" i="1"/>
  <c r="L330" i="1" s="1"/>
  <c r="H330" i="1"/>
  <c r="B330" i="1"/>
  <c r="AA329" i="1"/>
  <c r="S329" i="1"/>
  <c r="T329" i="1" s="1"/>
  <c r="M329" i="1"/>
  <c r="K329" i="1"/>
  <c r="L329" i="1" s="1"/>
  <c r="H329" i="1"/>
  <c r="B329" i="1"/>
  <c r="AA328" i="1"/>
  <c r="S328" i="1"/>
  <c r="T328" i="1" s="1"/>
  <c r="W328" i="1" s="1"/>
  <c r="X328" i="1" s="1"/>
  <c r="M328" i="1"/>
  <c r="L328" i="1"/>
  <c r="K328" i="1"/>
  <c r="H328" i="1"/>
  <c r="S327" i="1"/>
  <c r="K107" i="2" s="1"/>
  <c r="M327" i="1"/>
  <c r="K327" i="1"/>
  <c r="L327" i="1" s="1"/>
  <c r="H327" i="1"/>
  <c r="S326" i="1"/>
  <c r="K82" i="2" s="1"/>
  <c r="M326" i="1"/>
  <c r="T326" i="1" s="1"/>
  <c r="K326" i="1"/>
  <c r="L326" i="1" s="1"/>
  <c r="AB326" i="1" s="1"/>
  <c r="H326" i="1"/>
  <c r="T325" i="1"/>
  <c r="S325" i="1"/>
  <c r="K81" i="2" s="1"/>
  <c r="M325" i="1"/>
  <c r="L325" i="1"/>
  <c r="K325" i="1"/>
  <c r="H325" i="1"/>
  <c r="S324" i="1"/>
  <c r="M324" i="1"/>
  <c r="K324" i="1"/>
  <c r="L324" i="1" s="1"/>
  <c r="H324" i="1"/>
  <c r="S323" i="1"/>
  <c r="M323" i="1"/>
  <c r="T323" i="1" s="1"/>
  <c r="L323" i="1"/>
  <c r="AB323" i="1" s="1"/>
  <c r="K323" i="1"/>
  <c r="H323" i="1"/>
  <c r="T322" i="1"/>
  <c r="AA322" i="1" s="1"/>
  <c r="S322" i="1"/>
  <c r="M322" i="1"/>
  <c r="K322" i="1"/>
  <c r="L322" i="1" s="1"/>
  <c r="AB322" i="1" s="1"/>
  <c r="H322" i="1"/>
  <c r="S321" i="1"/>
  <c r="M321" i="1"/>
  <c r="T321" i="1" s="1"/>
  <c r="K321" i="1"/>
  <c r="L321" i="1" s="1"/>
  <c r="H321" i="1"/>
  <c r="S320" i="1"/>
  <c r="K936" i="2" s="1"/>
  <c r="M320" i="1"/>
  <c r="K320" i="1"/>
  <c r="L320" i="1" s="1"/>
  <c r="H320" i="1"/>
  <c r="W319" i="1"/>
  <c r="X319" i="1" s="1"/>
  <c r="U319" i="1"/>
  <c r="I319" i="1" s="1"/>
  <c r="T319" i="1"/>
  <c r="AA319" i="1" s="1"/>
  <c r="S319" i="1"/>
  <c r="K116" i="2" s="1"/>
  <c r="M319" i="1"/>
  <c r="K319" i="1"/>
  <c r="L319" i="1" s="1"/>
  <c r="AB319" i="1" s="1"/>
  <c r="H319" i="1"/>
  <c r="S318" i="1"/>
  <c r="K115" i="2" s="1"/>
  <c r="M318" i="1"/>
  <c r="K318" i="1"/>
  <c r="L318" i="1" s="1"/>
  <c r="H318" i="1"/>
  <c r="S317" i="1"/>
  <c r="K114" i="2" s="1"/>
  <c r="M317" i="1"/>
  <c r="K317" i="1"/>
  <c r="L317" i="1" s="1"/>
  <c r="H317" i="1"/>
  <c r="S316" i="1"/>
  <c r="M316" i="1"/>
  <c r="T316" i="1" s="1"/>
  <c r="L316" i="1"/>
  <c r="K316" i="1"/>
  <c r="H316" i="1"/>
  <c r="S315" i="1"/>
  <c r="M315" i="1"/>
  <c r="K315" i="1"/>
  <c r="L315" i="1" s="1"/>
  <c r="H315" i="1"/>
  <c r="S314" i="1"/>
  <c r="M314" i="1"/>
  <c r="K314" i="1"/>
  <c r="L314" i="1" s="1"/>
  <c r="H314" i="1"/>
  <c r="S313" i="1"/>
  <c r="K54" i="2" s="1"/>
  <c r="M313" i="1"/>
  <c r="T313" i="1" s="1"/>
  <c r="K313" i="1"/>
  <c r="L313" i="1" s="1"/>
  <c r="H313" i="1"/>
  <c r="S312" i="1"/>
  <c r="M312" i="1"/>
  <c r="K312" i="1"/>
  <c r="L312" i="1" s="1"/>
  <c r="H312" i="1"/>
  <c r="U311" i="1"/>
  <c r="I311" i="1" s="1"/>
  <c r="S311" i="1"/>
  <c r="K55" i="2" s="1"/>
  <c r="M311" i="1"/>
  <c r="T311" i="1" s="1"/>
  <c r="K311" i="1"/>
  <c r="L311" i="1" s="1"/>
  <c r="H311" i="1"/>
  <c r="T310" i="1"/>
  <c r="S310" i="1"/>
  <c r="K56" i="2" s="1"/>
  <c r="M310" i="1"/>
  <c r="K310" i="1"/>
  <c r="L310" i="1" s="1"/>
  <c r="AB310" i="1" s="1"/>
  <c r="H310" i="1"/>
  <c r="W309" i="1"/>
  <c r="X309" i="1" s="1"/>
  <c r="T309" i="1"/>
  <c r="S309" i="1"/>
  <c r="K57" i="2" s="1"/>
  <c r="M309" i="1"/>
  <c r="K309" i="1"/>
  <c r="L309" i="1" s="1"/>
  <c r="H309" i="1"/>
  <c r="S308" i="1"/>
  <c r="K58" i="2" s="1"/>
  <c r="M308" i="1"/>
  <c r="K308" i="1"/>
  <c r="L308" i="1" s="1"/>
  <c r="H308" i="1"/>
  <c r="S307" i="1"/>
  <c r="M307" i="1"/>
  <c r="K307" i="1"/>
  <c r="L307" i="1" s="1"/>
  <c r="H307" i="1"/>
  <c r="S306" i="1"/>
  <c r="M306" i="1"/>
  <c r="T306" i="1" s="1"/>
  <c r="K306" i="1"/>
  <c r="L306" i="1" s="1"/>
  <c r="AB306" i="1" s="1"/>
  <c r="H306" i="1"/>
  <c r="S305" i="1"/>
  <c r="M305" i="1"/>
  <c r="K305" i="1"/>
  <c r="L305" i="1" s="1"/>
  <c r="H305" i="1"/>
  <c r="S304" i="1"/>
  <c r="M304" i="1"/>
  <c r="L304" i="1"/>
  <c r="K304" i="1"/>
  <c r="H304" i="1"/>
  <c r="U303" i="1"/>
  <c r="I303" i="1" s="1"/>
  <c r="S303" i="1"/>
  <c r="M303" i="1"/>
  <c r="T303" i="1" s="1"/>
  <c r="K303" i="1"/>
  <c r="L303" i="1" s="1"/>
  <c r="AB303" i="1" s="1"/>
  <c r="H303" i="1"/>
  <c r="T302" i="1"/>
  <c r="S302" i="1"/>
  <c r="M302" i="1"/>
  <c r="K302" i="1"/>
  <c r="L302" i="1" s="1"/>
  <c r="AB302" i="1" s="1"/>
  <c r="H302" i="1"/>
  <c r="AA301" i="1"/>
  <c r="S301" i="1"/>
  <c r="K63" i="2" s="1"/>
  <c r="M301" i="1"/>
  <c r="T301" i="1" s="1"/>
  <c r="W301" i="1" s="1"/>
  <c r="X301" i="1" s="1"/>
  <c r="K301" i="1"/>
  <c r="L301" i="1" s="1"/>
  <c r="H301" i="1"/>
  <c r="T300" i="1"/>
  <c r="S300" i="1"/>
  <c r="M300" i="1"/>
  <c r="K300" i="1"/>
  <c r="L300" i="1" s="1"/>
  <c r="H300" i="1"/>
  <c r="AA299" i="1"/>
  <c r="T299" i="1"/>
  <c r="S299" i="1"/>
  <c r="M299" i="1"/>
  <c r="K299" i="1"/>
  <c r="L299" i="1" s="1"/>
  <c r="H299" i="1"/>
  <c r="S298" i="1"/>
  <c r="K440" i="2" s="1"/>
  <c r="M298" i="1"/>
  <c r="L298" i="1"/>
  <c r="K298" i="1"/>
  <c r="H298" i="1"/>
  <c r="S297" i="1"/>
  <c r="M297" i="1"/>
  <c r="K297" i="1"/>
  <c r="L297" i="1" s="1"/>
  <c r="H297" i="1"/>
  <c r="AA296" i="1"/>
  <c r="S296" i="1"/>
  <c r="M296" i="1"/>
  <c r="T296" i="1" s="1"/>
  <c r="K296" i="1"/>
  <c r="L296" i="1" s="1"/>
  <c r="AB296" i="1" s="1"/>
  <c r="H296" i="1"/>
  <c r="S295" i="1"/>
  <c r="T295" i="1" s="1"/>
  <c r="M295" i="1"/>
  <c r="L295" i="1"/>
  <c r="K295" i="1"/>
  <c r="H295" i="1"/>
  <c r="T294" i="1"/>
  <c r="S294" i="1"/>
  <c r="M294" i="1"/>
  <c r="L294" i="1"/>
  <c r="AB294" i="1" s="1"/>
  <c r="K294" i="1"/>
  <c r="H294" i="1"/>
  <c r="S293" i="1"/>
  <c r="M293" i="1"/>
  <c r="K293" i="1"/>
  <c r="L293" i="1" s="1"/>
  <c r="H293" i="1"/>
  <c r="S292" i="1"/>
  <c r="K76" i="2" s="1"/>
  <c r="M292" i="1"/>
  <c r="T292" i="1" s="1"/>
  <c r="K292" i="1"/>
  <c r="L292" i="1" s="1"/>
  <c r="H292" i="1"/>
  <c r="AA291" i="1"/>
  <c r="W291" i="1"/>
  <c r="X291" i="1" s="1"/>
  <c r="T291" i="1"/>
  <c r="U291" i="1" s="1"/>
  <c r="I291" i="1" s="1"/>
  <c r="S291" i="1"/>
  <c r="K75" i="2" s="1"/>
  <c r="M291" i="1"/>
  <c r="K291" i="1"/>
  <c r="L291" i="1" s="1"/>
  <c r="AB291" i="1" s="1"/>
  <c r="H291" i="1"/>
  <c r="S290" i="1"/>
  <c r="M290" i="1"/>
  <c r="K290" i="1"/>
  <c r="L290" i="1" s="1"/>
  <c r="H290" i="1"/>
  <c r="AB289" i="1"/>
  <c r="AA289" i="1"/>
  <c r="W289" i="1"/>
  <c r="X289" i="1" s="1"/>
  <c r="U289" i="1"/>
  <c r="I289" i="1" s="1"/>
  <c r="T289" i="1"/>
  <c r="S289" i="1"/>
  <c r="M289" i="1"/>
  <c r="K289" i="1"/>
  <c r="L289" i="1" s="1"/>
  <c r="H289" i="1"/>
  <c r="AA288" i="1"/>
  <c r="X288" i="1"/>
  <c r="W288" i="1"/>
  <c r="U288" i="1"/>
  <c r="I288" i="1" s="1"/>
  <c r="S288" i="1"/>
  <c r="T288" i="1" s="1"/>
  <c r="M288" i="1"/>
  <c r="L288" i="1"/>
  <c r="AB288" i="1" s="1"/>
  <c r="K288" i="1"/>
  <c r="H288" i="1"/>
  <c r="S287" i="1"/>
  <c r="M287" i="1"/>
  <c r="K287" i="1"/>
  <c r="L287" i="1" s="1"/>
  <c r="H287" i="1"/>
  <c r="AB286" i="1"/>
  <c r="S286" i="1"/>
  <c r="K78" i="2" s="1"/>
  <c r="M286" i="1"/>
  <c r="T286" i="1" s="1"/>
  <c r="L286" i="1"/>
  <c r="K286" i="1"/>
  <c r="H286" i="1"/>
  <c r="T285" i="1"/>
  <c r="S285" i="1"/>
  <c r="K79" i="2" s="1"/>
  <c r="M285" i="1"/>
  <c r="L285" i="1"/>
  <c r="AB285" i="1" s="1"/>
  <c r="K285" i="1"/>
  <c r="H285" i="1"/>
  <c r="T284" i="1"/>
  <c r="S284" i="1"/>
  <c r="M284" i="1"/>
  <c r="L284" i="1"/>
  <c r="K284" i="1"/>
  <c r="H284" i="1"/>
  <c r="S283" i="1"/>
  <c r="M283" i="1"/>
  <c r="L283" i="1"/>
  <c r="K283" i="1"/>
  <c r="H283" i="1"/>
  <c r="S282" i="1"/>
  <c r="M282" i="1"/>
  <c r="K282" i="1"/>
  <c r="L282" i="1" s="1"/>
  <c r="H282" i="1"/>
  <c r="W281" i="1"/>
  <c r="X281" i="1" s="1"/>
  <c r="T281" i="1"/>
  <c r="S281" i="1"/>
  <c r="M281" i="1"/>
  <c r="K281" i="1"/>
  <c r="L281" i="1" s="1"/>
  <c r="AB281" i="1" s="1"/>
  <c r="H281" i="1"/>
  <c r="S280" i="1"/>
  <c r="M280" i="1"/>
  <c r="K280" i="1"/>
  <c r="L280" i="1" s="1"/>
  <c r="H280" i="1"/>
  <c r="AB279" i="1"/>
  <c r="U279" i="1"/>
  <c r="I279" i="1" s="1"/>
  <c r="T279" i="1"/>
  <c r="AA279" i="1" s="1"/>
  <c r="S279" i="1"/>
  <c r="M279" i="1"/>
  <c r="K279" i="1"/>
  <c r="L279" i="1" s="1"/>
  <c r="H279" i="1"/>
  <c r="S278" i="1"/>
  <c r="K533" i="2" s="1"/>
  <c r="M278" i="1"/>
  <c r="K278" i="1"/>
  <c r="L278" i="1" s="1"/>
  <c r="H278" i="1"/>
  <c r="S277" i="1"/>
  <c r="M277" i="1"/>
  <c r="K277" i="1"/>
  <c r="L277" i="1" s="1"/>
  <c r="H277" i="1"/>
  <c r="AA276" i="1"/>
  <c r="S276" i="1"/>
  <c r="M276" i="1"/>
  <c r="T276" i="1" s="1"/>
  <c r="L276" i="1"/>
  <c r="AB276" i="1" s="1"/>
  <c r="K276" i="1"/>
  <c r="H276" i="1"/>
  <c r="T275" i="1"/>
  <c r="S275" i="1"/>
  <c r="M275" i="1"/>
  <c r="L275" i="1"/>
  <c r="K275" i="1"/>
  <c r="H275" i="1"/>
  <c r="S274" i="1"/>
  <c r="M274" i="1"/>
  <c r="K274" i="1"/>
  <c r="L274" i="1" s="1"/>
  <c r="H274" i="1"/>
  <c r="T273" i="1"/>
  <c r="S273" i="1"/>
  <c r="K113" i="2" s="1"/>
  <c r="M273" i="1"/>
  <c r="L273" i="1"/>
  <c r="AB273" i="1" s="1"/>
  <c r="K273" i="1"/>
  <c r="H273" i="1"/>
  <c r="S272" i="1"/>
  <c r="M272" i="1"/>
  <c r="K272" i="1"/>
  <c r="L272" i="1" s="1"/>
  <c r="H272" i="1"/>
  <c r="T271" i="1"/>
  <c r="S271" i="1"/>
  <c r="K125" i="2" s="1"/>
  <c r="M271" i="1"/>
  <c r="K271" i="1"/>
  <c r="L271" i="1" s="1"/>
  <c r="H271" i="1"/>
  <c r="S270" i="1"/>
  <c r="M270" i="1"/>
  <c r="K270" i="1"/>
  <c r="L270" i="1" s="1"/>
  <c r="H270" i="1"/>
  <c r="AA269" i="1"/>
  <c r="W269" i="1"/>
  <c r="U269" i="1"/>
  <c r="I269" i="1" s="1"/>
  <c r="T269" i="1"/>
  <c r="S269" i="1"/>
  <c r="M269" i="1"/>
  <c r="K269" i="1"/>
  <c r="L269" i="1" s="1"/>
  <c r="AB269" i="1" s="1"/>
  <c r="H269" i="1"/>
  <c r="S268" i="1"/>
  <c r="K109" i="2" s="1"/>
  <c r="M268" i="1"/>
  <c r="K268" i="1"/>
  <c r="L268" i="1" s="1"/>
  <c r="H268" i="1"/>
  <c r="S267" i="1"/>
  <c r="M267" i="1"/>
  <c r="K267" i="1"/>
  <c r="L267" i="1" s="1"/>
  <c r="H267" i="1"/>
  <c r="AA266" i="1"/>
  <c r="S266" i="1"/>
  <c r="K108" i="2" s="1"/>
  <c r="M266" i="1"/>
  <c r="T266" i="1" s="1"/>
  <c r="K266" i="1"/>
  <c r="L266" i="1" s="1"/>
  <c r="H266" i="1"/>
  <c r="S265" i="1"/>
  <c r="M265" i="1"/>
  <c r="K265" i="1"/>
  <c r="L265" i="1" s="1"/>
  <c r="H265" i="1"/>
  <c r="S264" i="1"/>
  <c r="M264" i="1"/>
  <c r="K264" i="1"/>
  <c r="L264" i="1" s="1"/>
  <c r="H264" i="1"/>
  <c r="T263" i="1"/>
  <c r="S263" i="1"/>
  <c r="K84" i="2" s="1"/>
  <c r="M263" i="1"/>
  <c r="K263" i="1"/>
  <c r="L263" i="1" s="1"/>
  <c r="AB263" i="1" s="1"/>
  <c r="H263" i="1"/>
  <c r="S262" i="1"/>
  <c r="M262" i="1"/>
  <c r="K262" i="1"/>
  <c r="L262" i="1" s="1"/>
  <c r="H262" i="1"/>
  <c r="AA261" i="1"/>
  <c r="W261" i="1"/>
  <c r="X261" i="1" s="1"/>
  <c r="U261" i="1"/>
  <c r="I261" i="1" s="1"/>
  <c r="S261" i="1"/>
  <c r="K86" i="2" s="1"/>
  <c r="M261" i="1"/>
  <c r="T261" i="1" s="1"/>
  <c r="K261" i="1"/>
  <c r="L261" i="1" s="1"/>
  <c r="H261" i="1"/>
  <c r="AA260" i="1"/>
  <c r="W260" i="1"/>
  <c r="X260" i="1" s="1"/>
  <c r="T260" i="1"/>
  <c r="U260" i="1" s="1"/>
  <c r="I260" i="1" s="1"/>
  <c r="S260" i="1"/>
  <c r="K52" i="2" s="1"/>
  <c r="M260" i="1"/>
  <c r="K260" i="1"/>
  <c r="L260" i="1" s="1"/>
  <c r="AB260" i="1" s="1"/>
  <c r="H260" i="1"/>
  <c r="AA259" i="1"/>
  <c r="W259" i="1"/>
  <c r="X259" i="1" s="1"/>
  <c r="T259" i="1"/>
  <c r="U259" i="1" s="1"/>
  <c r="I259" i="1" s="1"/>
  <c r="S259" i="1"/>
  <c r="K51" i="2" s="1"/>
  <c r="M259" i="1"/>
  <c r="K259" i="1"/>
  <c r="L259" i="1" s="1"/>
  <c r="AB259" i="1" s="1"/>
  <c r="H259" i="1"/>
  <c r="S258" i="1"/>
  <c r="K502" i="2" s="1"/>
  <c r="M258" i="1"/>
  <c r="K258" i="1"/>
  <c r="L258" i="1" s="1"/>
  <c r="H258" i="1"/>
  <c r="S257" i="1"/>
  <c r="K251" i="2" s="1"/>
  <c r="M257" i="1"/>
  <c r="K257" i="1"/>
  <c r="L257" i="1" s="1"/>
  <c r="H257" i="1"/>
  <c r="S256" i="1"/>
  <c r="M256" i="1"/>
  <c r="T256" i="1" s="1"/>
  <c r="K256" i="1"/>
  <c r="L256" i="1" s="1"/>
  <c r="H256" i="1"/>
  <c r="S255" i="1"/>
  <c r="M255" i="1"/>
  <c r="L255" i="1"/>
  <c r="K255" i="1"/>
  <c r="H255" i="1"/>
  <c r="S254" i="1"/>
  <c r="M254" i="1"/>
  <c r="L254" i="1"/>
  <c r="K254" i="1"/>
  <c r="H254" i="1"/>
  <c r="S253" i="1"/>
  <c r="K49" i="2" s="1"/>
  <c r="M253" i="1"/>
  <c r="K253" i="1"/>
  <c r="L253" i="1" s="1"/>
  <c r="H253" i="1"/>
  <c r="T252" i="1"/>
  <c r="S252" i="1"/>
  <c r="K668" i="2" s="1"/>
  <c r="M252" i="1"/>
  <c r="K252" i="1"/>
  <c r="L252" i="1" s="1"/>
  <c r="H252" i="1"/>
  <c r="W251" i="1"/>
  <c r="X251" i="1" s="1"/>
  <c r="U251" i="1"/>
  <c r="I251" i="1" s="1"/>
  <c r="T251" i="1"/>
  <c r="AA251" i="1" s="1"/>
  <c r="S251" i="1"/>
  <c r="K147" i="2" s="1"/>
  <c r="M251" i="1"/>
  <c r="K251" i="1"/>
  <c r="L251" i="1" s="1"/>
  <c r="H251" i="1"/>
  <c r="S250" i="1"/>
  <c r="K434" i="2" s="1"/>
  <c r="M250" i="1"/>
  <c r="K250" i="1"/>
  <c r="L250" i="1" s="1"/>
  <c r="H250" i="1"/>
  <c r="AA249" i="1"/>
  <c r="U249" i="1"/>
  <c r="I249" i="1" s="1"/>
  <c r="T249" i="1"/>
  <c r="W249" i="1" s="1"/>
  <c r="X249" i="1" s="1"/>
  <c r="S249" i="1"/>
  <c r="K48" i="2" s="1"/>
  <c r="M249" i="1"/>
  <c r="K249" i="1"/>
  <c r="L249" i="1" s="1"/>
  <c r="H249" i="1"/>
  <c r="S248" i="1"/>
  <c r="K47" i="2" s="1"/>
  <c r="M248" i="1"/>
  <c r="K248" i="1"/>
  <c r="L248" i="1" s="1"/>
  <c r="H248" i="1"/>
  <c r="S247" i="1"/>
  <c r="M247" i="1"/>
  <c r="K247" i="1"/>
  <c r="L247" i="1" s="1"/>
  <c r="H247" i="1"/>
  <c r="AB246" i="1"/>
  <c r="S246" i="1"/>
  <c r="K934" i="2" s="1"/>
  <c r="M246" i="1"/>
  <c r="T246" i="1" s="1"/>
  <c r="K246" i="1"/>
  <c r="L246" i="1" s="1"/>
  <c r="H246" i="1"/>
  <c r="S245" i="1"/>
  <c r="K700" i="2" s="1"/>
  <c r="M245" i="1"/>
  <c r="T245" i="1" s="1"/>
  <c r="K245" i="1"/>
  <c r="L245" i="1" s="1"/>
  <c r="H245" i="1"/>
  <c r="S244" i="1"/>
  <c r="M244" i="1"/>
  <c r="K244" i="1"/>
  <c r="L244" i="1" s="1"/>
  <c r="H244" i="1"/>
  <c r="S243" i="1"/>
  <c r="M243" i="1"/>
  <c r="L243" i="1"/>
  <c r="K243" i="1"/>
  <c r="H243" i="1"/>
  <c r="S242" i="1"/>
  <c r="M242" i="1"/>
  <c r="K242" i="1"/>
  <c r="L242" i="1" s="1"/>
  <c r="H242" i="1"/>
  <c r="AA241" i="1"/>
  <c r="W241" i="1"/>
  <c r="X241" i="1" s="1"/>
  <c r="U241" i="1"/>
  <c r="T241" i="1"/>
  <c r="S241" i="1"/>
  <c r="K701" i="2" s="1"/>
  <c r="M241" i="1"/>
  <c r="K241" i="1"/>
  <c r="L241" i="1" s="1"/>
  <c r="AB241" i="1" s="1"/>
  <c r="I241" i="1"/>
  <c r="H241" i="1"/>
  <c r="S240" i="1"/>
  <c r="M240" i="1"/>
  <c r="K240" i="1"/>
  <c r="L240" i="1" s="1"/>
  <c r="H240" i="1"/>
  <c r="W239" i="1"/>
  <c r="U239" i="1"/>
  <c r="I239" i="1" s="1"/>
  <c r="T239" i="1"/>
  <c r="AA239" i="1" s="1"/>
  <c r="S239" i="1"/>
  <c r="K556" i="2" s="1"/>
  <c r="M239" i="1"/>
  <c r="K239" i="1"/>
  <c r="L239" i="1" s="1"/>
  <c r="AB239" i="1" s="1"/>
  <c r="H239" i="1"/>
  <c r="S238" i="1"/>
  <c r="T238" i="1" s="1"/>
  <c r="M238" i="1"/>
  <c r="K238" i="1"/>
  <c r="L238" i="1" s="1"/>
  <c r="AB238" i="1" s="1"/>
  <c r="H238" i="1"/>
  <c r="S237" i="1"/>
  <c r="M237" i="1"/>
  <c r="K237" i="1"/>
  <c r="L237" i="1" s="1"/>
  <c r="H237" i="1"/>
  <c r="AA236" i="1"/>
  <c r="T236" i="1"/>
  <c r="S236" i="1"/>
  <c r="K45" i="2" s="1"/>
  <c r="M236" i="1"/>
  <c r="L236" i="1"/>
  <c r="AB236" i="1" s="1"/>
  <c r="K236" i="1"/>
  <c r="H236" i="1"/>
  <c r="AB235" i="1"/>
  <c r="S235" i="1"/>
  <c r="T235" i="1" s="1"/>
  <c r="M235" i="1"/>
  <c r="K235" i="1"/>
  <c r="L235" i="1" s="1"/>
  <c r="H235" i="1"/>
  <c r="W234" i="1"/>
  <c r="X234" i="1" s="1"/>
  <c r="U234" i="1"/>
  <c r="I234" i="1" s="1"/>
  <c r="T234" i="1"/>
  <c r="AA234" i="1" s="1"/>
  <c r="S234" i="1"/>
  <c r="M234" i="1"/>
  <c r="L234" i="1"/>
  <c r="K234" i="1"/>
  <c r="H234" i="1"/>
  <c r="W233" i="1"/>
  <c r="X233" i="1" s="1"/>
  <c r="U233" i="1"/>
  <c r="I233" i="1" s="1"/>
  <c r="T233" i="1"/>
  <c r="AA233" i="1" s="1"/>
  <c r="S233" i="1"/>
  <c r="K43" i="2" s="1"/>
  <c r="M233" i="1"/>
  <c r="L233" i="1"/>
  <c r="K233" i="1"/>
  <c r="H233" i="1"/>
  <c r="T232" i="1"/>
  <c r="S232" i="1"/>
  <c r="K979" i="2" s="1"/>
  <c r="M232" i="1"/>
  <c r="K232" i="1"/>
  <c r="L232" i="1" s="1"/>
  <c r="AB232" i="1" s="1"/>
  <c r="H232" i="1"/>
  <c r="T231" i="1"/>
  <c r="S231" i="1"/>
  <c r="M231" i="1"/>
  <c r="K231" i="1"/>
  <c r="L231" i="1" s="1"/>
  <c r="H231" i="1"/>
  <c r="W230" i="1"/>
  <c r="T230" i="1"/>
  <c r="U230" i="1" s="1"/>
  <c r="I230" i="1" s="1"/>
  <c r="S230" i="1"/>
  <c r="M230" i="1"/>
  <c r="K230" i="1"/>
  <c r="H230" i="1"/>
  <c r="AA229" i="1"/>
  <c r="W229" i="1"/>
  <c r="X229" i="1" s="1"/>
  <c r="T229" i="1"/>
  <c r="U229" i="1" s="1"/>
  <c r="S229" i="1"/>
  <c r="K42" i="2" s="1"/>
  <c r="M229" i="1"/>
  <c r="L229" i="1"/>
  <c r="K229" i="1"/>
  <c r="I229" i="1"/>
  <c r="H229" i="1"/>
  <c r="S228" i="1"/>
  <c r="M228" i="1"/>
  <c r="L228" i="1"/>
  <c r="K228" i="1"/>
  <c r="H228" i="1"/>
  <c r="S227" i="1"/>
  <c r="M227" i="1"/>
  <c r="K227" i="1"/>
  <c r="L227" i="1" s="1"/>
  <c r="H227" i="1"/>
  <c r="AB226" i="1"/>
  <c r="S226" i="1"/>
  <c r="M226" i="1"/>
  <c r="T226" i="1" s="1"/>
  <c r="K226" i="1"/>
  <c r="L226" i="1" s="1"/>
  <c r="H226" i="1"/>
  <c r="S225" i="1"/>
  <c r="M225" i="1"/>
  <c r="L225" i="1"/>
  <c r="K225" i="1"/>
  <c r="H225" i="1"/>
  <c r="S224" i="1"/>
  <c r="M224" i="1"/>
  <c r="K224" i="1"/>
  <c r="L224" i="1" s="1"/>
  <c r="H224" i="1"/>
  <c r="S223" i="1"/>
  <c r="M223" i="1"/>
  <c r="K223" i="1"/>
  <c r="L223" i="1" s="1"/>
  <c r="H223" i="1"/>
  <c r="S222" i="1"/>
  <c r="M222" i="1"/>
  <c r="K222" i="1"/>
  <c r="L222" i="1" s="1"/>
  <c r="H222" i="1"/>
  <c r="S221" i="1"/>
  <c r="K1392" i="2" s="1"/>
  <c r="L1392" i="2" s="1"/>
  <c r="M221" i="1"/>
  <c r="T221" i="1" s="1"/>
  <c r="K221" i="1"/>
  <c r="L221" i="1" s="1"/>
  <c r="H221" i="1"/>
  <c r="S220" i="1"/>
  <c r="M220" i="1"/>
  <c r="K220" i="1"/>
  <c r="L220" i="1" s="1"/>
  <c r="H220" i="1"/>
  <c r="AA219" i="1"/>
  <c r="W219" i="1"/>
  <c r="U219" i="1"/>
  <c r="I219" i="1" s="1"/>
  <c r="T219" i="1"/>
  <c r="S219" i="1"/>
  <c r="K37" i="2" s="1"/>
  <c r="M219" i="1"/>
  <c r="L219" i="1"/>
  <c r="AB219" i="1" s="1"/>
  <c r="K219" i="1"/>
  <c r="H219" i="1"/>
  <c r="S218" i="1"/>
  <c r="M218" i="1"/>
  <c r="L218" i="1"/>
  <c r="K218" i="1"/>
  <c r="H218" i="1"/>
  <c r="S217" i="1"/>
  <c r="M217" i="1"/>
  <c r="K217" i="1"/>
  <c r="L217" i="1" s="1"/>
  <c r="H217" i="1"/>
  <c r="T216" i="1"/>
  <c r="S216" i="1"/>
  <c r="M216" i="1"/>
  <c r="K216" i="1"/>
  <c r="L216" i="1" s="1"/>
  <c r="AB216" i="1" s="1"/>
  <c r="H216" i="1"/>
  <c r="S215" i="1"/>
  <c r="M215" i="1"/>
  <c r="T215" i="1" s="1"/>
  <c r="K215" i="1"/>
  <c r="L215" i="1" s="1"/>
  <c r="H215" i="1"/>
  <c r="S214" i="1"/>
  <c r="M214" i="1"/>
  <c r="L214" i="1"/>
  <c r="K214" i="1"/>
  <c r="H214" i="1"/>
  <c r="T213" i="1"/>
  <c r="S213" i="1"/>
  <c r="K36" i="2" s="1"/>
  <c r="M213" i="1"/>
  <c r="K213" i="1"/>
  <c r="L213" i="1" s="1"/>
  <c r="H213" i="1"/>
  <c r="S212" i="1"/>
  <c r="M212" i="1"/>
  <c r="K212" i="1"/>
  <c r="L212" i="1" s="1"/>
  <c r="H212" i="1"/>
  <c r="AB211" i="1"/>
  <c r="AA211" i="1"/>
  <c r="U211" i="1"/>
  <c r="T211" i="1"/>
  <c r="W211" i="1" s="1"/>
  <c r="S211" i="1"/>
  <c r="M211" i="1"/>
  <c r="K211" i="1"/>
  <c r="L211" i="1" s="1"/>
  <c r="I211" i="1"/>
  <c r="H211" i="1"/>
  <c r="S210" i="1"/>
  <c r="M210" i="1"/>
  <c r="K210" i="1"/>
  <c r="L210" i="1" s="1"/>
  <c r="H210" i="1"/>
  <c r="T209" i="1"/>
  <c r="S209" i="1"/>
  <c r="M209" i="1"/>
  <c r="L209" i="1"/>
  <c r="K209" i="1"/>
  <c r="H209" i="1"/>
  <c r="S208" i="1"/>
  <c r="M208" i="1"/>
  <c r="K208" i="1"/>
  <c r="L208" i="1" s="1"/>
  <c r="H208" i="1"/>
  <c r="S207" i="1"/>
  <c r="K32" i="2" s="1"/>
  <c r="M207" i="1"/>
  <c r="T207" i="1" s="1"/>
  <c r="K207" i="1"/>
  <c r="L207" i="1" s="1"/>
  <c r="H207" i="1"/>
  <c r="T206" i="1"/>
  <c r="S206" i="1"/>
  <c r="M206" i="1"/>
  <c r="K206" i="1"/>
  <c r="L206" i="1" s="1"/>
  <c r="AB206" i="1" s="1"/>
  <c r="H206" i="1"/>
  <c r="T205" i="1"/>
  <c r="S205" i="1"/>
  <c r="K30" i="2" s="1"/>
  <c r="M205" i="1"/>
  <c r="L205" i="1"/>
  <c r="K205" i="1"/>
  <c r="H205" i="1"/>
  <c r="W204" i="1"/>
  <c r="X204" i="1" s="1"/>
  <c r="S204" i="1"/>
  <c r="K235" i="2" s="1"/>
  <c r="M204" i="1"/>
  <c r="T204" i="1" s="1"/>
  <c r="K204" i="1"/>
  <c r="L204" i="1" s="1"/>
  <c r="AB204" i="1" s="1"/>
  <c r="H204" i="1"/>
  <c r="S203" i="1"/>
  <c r="M203" i="1"/>
  <c r="K203" i="1"/>
  <c r="L203" i="1" s="1"/>
  <c r="H203" i="1"/>
  <c r="S202" i="1"/>
  <c r="K583" i="2" s="1"/>
  <c r="L583" i="2" s="1"/>
  <c r="M202" i="1"/>
  <c r="T202" i="1" s="1"/>
  <c r="K202" i="1"/>
  <c r="L202" i="1" s="1"/>
  <c r="H202" i="1"/>
  <c r="S201" i="1"/>
  <c r="K1911" i="2" s="1"/>
  <c r="M201" i="1"/>
  <c r="T201" i="1" s="1"/>
  <c r="K201" i="1"/>
  <c r="L201" i="1" s="1"/>
  <c r="H201" i="1"/>
  <c r="AB200" i="1"/>
  <c r="S200" i="1"/>
  <c r="T200" i="1" s="1"/>
  <c r="M200" i="1"/>
  <c r="L200" i="1"/>
  <c r="K200" i="1"/>
  <c r="H200" i="1"/>
  <c r="T199" i="1"/>
  <c r="S199" i="1"/>
  <c r="M199" i="1"/>
  <c r="K199" i="1"/>
  <c r="L199" i="1" s="1"/>
  <c r="H199" i="1"/>
  <c r="S198" i="1"/>
  <c r="M198" i="1"/>
  <c r="K198" i="1"/>
  <c r="L198" i="1" s="1"/>
  <c r="H198" i="1"/>
  <c r="S197" i="1"/>
  <c r="K149" i="2" s="1"/>
  <c r="M197" i="1"/>
  <c r="K197" i="1"/>
  <c r="L197" i="1" s="1"/>
  <c r="H197" i="1"/>
  <c r="AA196" i="1"/>
  <c r="U196" i="1"/>
  <c r="I196" i="1" s="1"/>
  <c r="S196" i="1"/>
  <c r="K415" i="2" s="1"/>
  <c r="L415" i="2" s="1"/>
  <c r="M196" i="1"/>
  <c r="T196" i="1" s="1"/>
  <c r="W196" i="1" s="1"/>
  <c r="X196" i="1" s="1"/>
  <c r="K196" i="1"/>
  <c r="L196" i="1" s="1"/>
  <c r="H196" i="1"/>
  <c r="S195" i="1"/>
  <c r="K197" i="2" s="1"/>
  <c r="L197" i="2" s="1"/>
  <c r="M195" i="1"/>
  <c r="K195" i="1"/>
  <c r="L195" i="1" s="1"/>
  <c r="H195" i="1"/>
  <c r="S194" i="1"/>
  <c r="M194" i="1"/>
  <c r="T194" i="1" s="1"/>
  <c r="K194" i="1"/>
  <c r="L194" i="1" s="1"/>
  <c r="AB194" i="1" s="1"/>
  <c r="H194" i="1"/>
  <c r="AA193" i="1"/>
  <c r="U193" i="1"/>
  <c r="I193" i="1" s="1"/>
  <c r="T193" i="1"/>
  <c r="W193" i="1" s="1"/>
  <c r="X193" i="1" s="1"/>
  <c r="S193" i="1"/>
  <c r="K519" i="2" s="1"/>
  <c r="M193" i="1"/>
  <c r="K193" i="1"/>
  <c r="L193" i="1" s="1"/>
  <c r="AB193" i="1" s="1"/>
  <c r="H193" i="1"/>
  <c r="W192" i="1"/>
  <c r="X192" i="1" s="1"/>
  <c r="T192" i="1"/>
  <c r="AA192" i="1" s="1"/>
  <c r="S192" i="1"/>
  <c r="K29" i="2" s="1"/>
  <c r="M192" i="1"/>
  <c r="K192" i="1"/>
  <c r="L192" i="1" s="1"/>
  <c r="H192" i="1"/>
  <c r="AB191" i="1"/>
  <c r="W191" i="1"/>
  <c r="X191" i="1" s="1"/>
  <c r="U191" i="1"/>
  <c r="I191" i="1" s="1"/>
  <c r="T191" i="1"/>
  <c r="AA191" i="1" s="1"/>
  <c r="S191" i="1"/>
  <c r="K28" i="2" s="1"/>
  <c r="M191" i="1"/>
  <c r="K191" i="1"/>
  <c r="L191" i="1" s="1"/>
  <c r="H191" i="1"/>
  <c r="AA190" i="1"/>
  <c r="T190" i="1"/>
  <c r="U190" i="1" s="1"/>
  <c r="I190" i="1" s="1"/>
  <c r="S190" i="1"/>
  <c r="K27" i="2" s="1"/>
  <c r="M190" i="1"/>
  <c r="L190" i="1"/>
  <c r="AB190" i="1" s="1"/>
  <c r="K190" i="1"/>
  <c r="H190" i="1"/>
  <c r="AB189" i="1"/>
  <c r="AA189" i="1"/>
  <c r="W189" i="1"/>
  <c r="U189" i="1"/>
  <c r="I189" i="1" s="1"/>
  <c r="S189" i="1"/>
  <c r="M189" i="1"/>
  <c r="T189" i="1" s="1"/>
  <c r="K189" i="1"/>
  <c r="L189" i="1" s="1"/>
  <c r="H189" i="1"/>
  <c r="S188" i="1"/>
  <c r="M188" i="1"/>
  <c r="K188" i="1"/>
  <c r="L188" i="1" s="1"/>
  <c r="H188" i="1"/>
  <c r="S187" i="1"/>
  <c r="K25" i="2" s="1"/>
  <c r="M187" i="1"/>
  <c r="K187" i="1"/>
  <c r="L187" i="1" s="1"/>
  <c r="H187" i="1"/>
  <c r="U186" i="1"/>
  <c r="I186" i="1" s="1"/>
  <c r="S186" i="1"/>
  <c r="M186" i="1"/>
  <c r="T186" i="1" s="1"/>
  <c r="W186" i="1" s="1"/>
  <c r="K186" i="1"/>
  <c r="X186" i="1" s="1"/>
  <c r="H186" i="1"/>
  <c r="S185" i="1"/>
  <c r="M185" i="1"/>
  <c r="L185" i="1"/>
  <c r="K185" i="1"/>
  <c r="H185" i="1"/>
  <c r="S184" i="1"/>
  <c r="K1165" i="2" s="1"/>
  <c r="L1165" i="2" s="1"/>
  <c r="M184" i="1"/>
  <c r="K184" i="1"/>
  <c r="L184" i="1" s="1"/>
  <c r="H184" i="1"/>
  <c r="S183" i="1"/>
  <c r="M183" i="1"/>
  <c r="L183" i="1"/>
  <c r="K183" i="1"/>
  <c r="H183" i="1"/>
  <c r="S182" i="1"/>
  <c r="T182" i="1" s="1"/>
  <c r="M182" i="1"/>
  <c r="K182" i="1"/>
  <c r="L182" i="1" s="1"/>
  <c r="H182" i="1"/>
  <c r="S181" i="1"/>
  <c r="M181" i="1"/>
  <c r="T181" i="1" s="1"/>
  <c r="K181" i="1"/>
  <c r="L181" i="1" s="1"/>
  <c r="H181" i="1"/>
  <c r="S180" i="1"/>
  <c r="M180" i="1"/>
  <c r="K180" i="1"/>
  <c r="L180" i="1" s="1"/>
  <c r="H180" i="1"/>
  <c r="T179" i="1"/>
  <c r="S179" i="1"/>
  <c r="K2183" i="2" s="1"/>
  <c r="L2183" i="2" s="1"/>
  <c r="M179" i="1"/>
  <c r="L179" i="1"/>
  <c r="AB179" i="1" s="1"/>
  <c r="K179" i="1"/>
  <c r="H179" i="1"/>
  <c r="S178" i="1"/>
  <c r="M178" i="1"/>
  <c r="K178" i="1"/>
  <c r="L178" i="1" s="1"/>
  <c r="H178" i="1"/>
  <c r="S177" i="1"/>
  <c r="K91" i="2" s="1"/>
  <c r="M177" i="1"/>
  <c r="K177" i="1"/>
  <c r="L177" i="1" s="1"/>
  <c r="H177" i="1"/>
  <c r="U176" i="1"/>
  <c r="T176" i="1"/>
  <c r="S176" i="1"/>
  <c r="K748" i="2" s="1"/>
  <c r="M176" i="1"/>
  <c r="L176" i="1"/>
  <c r="AB176" i="1" s="1"/>
  <c r="K176" i="1"/>
  <c r="I176" i="1"/>
  <c r="H176" i="1"/>
  <c r="T175" i="1"/>
  <c r="S175" i="1"/>
  <c r="K93" i="2" s="1"/>
  <c r="M175" i="1"/>
  <c r="K175" i="1"/>
  <c r="L175" i="1" s="1"/>
  <c r="AB175" i="1" s="1"/>
  <c r="H175" i="1"/>
  <c r="T174" i="1"/>
  <c r="S174" i="1"/>
  <c r="M174" i="1"/>
  <c r="L174" i="1"/>
  <c r="K174" i="1"/>
  <c r="H174" i="1"/>
  <c r="W173" i="1"/>
  <c r="X173" i="1" s="1"/>
  <c r="T173" i="1"/>
  <c r="S173" i="1"/>
  <c r="K95" i="2" s="1"/>
  <c r="M173" i="1"/>
  <c r="K173" i="1"/>
  <c r="L173" i="1" s="1"/>
  <c r="AB173" i="1" s="1"/>
  <c r="H173" i="1"/>
  <c r="S172" i="1"/>
  <c r="M172" i="1"/>
  <c r="K172" i="1"/>
  <c r="L172" i="1" s="1"/>
  <c r="H172" i="1"/>
  <c r="S171" i="1"/>
  <c r="K96" i="2" s="1"/>
  <c r="M171" i="1"/>
  <c r="T171" i="1" s="1"/>
  <c r="K171" i="1"/>
  <c r="L171" i="1" s="1"/>
  <c r="H171" i="1"/>
  <c r="AA170" i="1"/>
  <c r="S170" i="1"/>
  <c r="T170" i="1" s="1"/>
  <c r="M170" i="1"/>
  <c r="K170" i="1"/>
  <c r="L170" i="1" s="1"/>
  <c r="AB170" i="1" s="1"/>
  <c r="H170" i="1"/>
  <c r="S169" i="1"/>
  <c r="K175" i="2" s="1"/>
  <c r="M169" i="1"/>
  <c r="T169" i="1" s="1"/>
  <c r="U169" i="1" s="1"/>
  <c r="I169" i="1" s="1"/>
  <c r="L169" i="1"/>
  <c r="K169" i="1"/>
  <c r="H169" i="1"/>
  <c r="S168" i="1"/>
  <c r="M168" i="1"/>
  <c r="L168" i="1"/>
  <c r="K168" i="1"/>
  <c r="H168" i="1"/>
  <c r="S167" i="1"/>
  <c r="M167" i="1"/>
  <c r="K167" i="1"/>
  <c r="L167" i="1" s="1"/>
  <c r="H167" i="1"/>
  <c r="T166" i="1"/>
  <c r="S166" i="1"/>
  <c r="K99" i="2" s="1"/>
  <c r="M166" i="1"/>
  <c r="L166" i="1"/>
  <c r="AB166" i="1" s="1"/>
  <c r="K166" i="1"/>
  <c r="H166" i="1"/>
  <c r="S165" i="1"/>
  <c r="K100" i="2" s="1"/>
  <c r="M165" i="1"/>
  <c r="T165" i="1" s="1"/>
  <c r="L165" i="1"/>
  <c r="AB165" i="1" s="1"/>
  <c r="K165" i="1"/>
  <c r="H165" i="1"/>
  <c r="S164" i="1"/>
  <c r="M164" i="1"/>
  <c r="L164" i="1"/>
  <c r="K164" i="1"/>
  <c r="H164" i="1"/>
  <c r="S163" i="1"/>
  <c r="M163" i="1"/>
  <c r="L163" i="1"/>
  <c r="K163" i="1"/>
  <c r="H163" i="1"/>
  <c r="S162" i="1"/>
  <c r="T162" i="1" s="1"/>
  <c r="M162" i="1"/>
  <c r="K162" i="1"/>
  <c r="L162" i="1" s="1"/>
  <c r="AB162" i="1" s="1"/>
  <c r="H162" i="1"/>
  <c r="S161" i="1"/>
  <c r="M161" i="1"/>
  <c r="L161" i="1"/>
  <c r="K161" i="1"/>
  <c r="H161" i="1"/>
  <c r="S160" i="1"/>
  <c r="K752" i="2" s="1"/>
  <c r="M160" i="1"/>
  <c r="K160" i="1"/>
  <c r="L160" i="1" s="1"/>
  <c r="H160" i="1"/>
  <c r="T159" i="1"/>
  <c r="S159" i="1"/>
  <c r="M159" i="1"/>
  <c r="L159" i="1"/>
  <c r="AB159" i="1" s="1"/>
  <c r="K159" i="1"/>
  <c r="H159" i="1"/>
  <c r="S158" i="1"/>
  <c r="M158" i="1"/>
  <c r="L158" i="1"/>
  <c r="K158" i="1"/>
  <c r="H158" i="1"/>
  <c r="S157" i="1"/>
  <c r="K736" i="2" s="1"/>
  <c r="M157" i="1"/>
  <c r="K157" i="1"/>
  <c r="L157" i="1" s="1"/>
  <c r="H157" i="1"/>
  <c r="S156" i="1"/>
  <c r="M156" i="1"/>
  <c r="K156" i="1"/>
  <c r="L156" i="1" s="1"/>
  <c r="H156" i="1"/>
  <c r="X155" i="1"/>
  <c r="U155" i="1"/>
  <c r="I155" i="1" s="1"/>
  <c r="T155" i="1"/>
  <c r="W155" i="1" s="1"/>
  <c r="S155" i="1"/>
  <c r="K551" i="2" s="1"/>
  <c r="M155" i="1"/>
  <c r="L155" i="1"/>
  <c r="AB155" i="1" s="1"/>
  <c r="K155" i="1"/>
  <c r="H155" i="1"/>
  <c r="S154" i="1"/>
  <c r="K102" i="2" s="1"/>
  <c r="M154" i="1"/>
  <c r="L154" i="1"/>
  <c r="K154" i="1"/>
  <c r="H154" i="1"/>
  <c r="AB153" i="1"/>
  <c r="T153" i="1"/>
  <c r="S153" i="1"/>
  <c r="M153" i="1"/>
  <c r="L153" i="1"/>
  <c r="K153" i="1"/>
  <c r="H153" i="1"/>
  <c r="T152" i="1"/>
  <c r="S152" i="1"/>
  <c r="K1029" i="2" s="1"/>
  <c r="M152" i="1"/>
  <c r="K152" i="1"/>
  <c r="L152" i="1" s="1"/>
  <c r="AB152" i="1" s="1"/>
  <c r="H152" i="1"/>
  <c r="AA151" i="1"/>
  <c r="S151" i="1"/>
  <c r="T151" i="1" s="1"/>
  <c r="M151" i="1"/>
  <c r="K151" i="1"/>
  <c r="L151" i="1" s="1"/>
  <c r="H151" i="1"/>
  <c r="S150" i="1"/>
  <c r="M150" i="1"/>
  <c r="L150" i="1"/>
  <c r="K150" i="1"/>
  <c r="H150" i="1"/>
  <c r="AB149" i="1"/>
  <c r="U149" i="1"/>
  <c r="I149" i="1" s="1"/>
  <c r="T149" i="1"/>
  <c r="S149" i="1"/>
  <c r="M149" i="1"/>
  <c r="K149" i="1"/>
  <c r="L149" i="1" s="1"/>
  <c r="H149" i="1"/>
  <c r="AB148" i="1"/>
  <c r="U148" i="1"/>
  <c r="I148" i="1" s="1"/>
  <c r="T148" i="1"/>
  <c r="S148" i="1"/>
  <c r="K103" i="2" s="1"/>
  <c r="M148" i="1"/>
  <c r="L148" i="1"/>
  <c r="K148" i="1"/>
  <c r="H148" i="1"/>
  <c r="S147" i="1"/>
  <c r="M147" i="1"/>
  <c r="L147" i="1"/>
  <c r="K147" i="1"/>
  <c r="H147" i="1"/>
  <c r="S146" i="1"/>
  <c r="M146" i="1"/>
  <c r="K146" i="1"/>
  <c r="L146" i="1" s="1"/>
  <c r="H146" i="1"/>
  <c r="U145" i="1"/>
  <c r="I145" i="1" s="1"/>
  <c r="T145" i="1"/>
  <c r="S145" i="1"/>
  <c r="K1141" i="2" s="1"/>
  <c r="L1141" i="2" s="1"/>
  <c r="M145" i="1"/>
  <c r="L145" i="1"/>
  <c r="K145" i="1"/>
  <c r="H145" i="1"/>
  <c r="T144" i="1"/>
  <c r="S144" i="1"/>
  <c r="K90" i="2" s="1"/>
  <c r="M144" i="1"/>
  <c r="L144" i="1"/>
  <c r="K144" i="1"/>
  <c r="H144" i="1"/>
  <c r="S143" i="1"/>
  <c r="T143" i="1" s="1"/>
  <c r="M143" i="1"/>
  <c r="L143" i="1"/>
  <c r="K143" i="1"/>
  <c r="H143" i="1"/>
  <c r="S142" i="1"/>
  <c r="K89" i="2" s="1"/>
  <c r="M142" i="1"/>
  <c r="K142" i="1"/>
  <c r="L142" i="1" s="1"/>
  <c r="H142" i="1"/>
  <c r="S141" i="1"/>
  <c r="M141" i="1"/>
  <c r="K141" i="1"/>
  <c r="L141" i="1" s="1"/>
  <c r="H141" i="1"/>
  <c r="S140" i="1"/>
  <c r="K144" i="2" s="1"/>
  <c r="M140" i="1"/>
  <c r="K140" i="1"/>
  <c r="L140" i="1" s="1"/>
  <c r="H140" i="1"/>
  <c r="S139" i="1"/>
  <c r="M139" i="1"/>
  <c r="L139" i="1"/>
  <c r="K139" i="1"/>
  <c r="H139" i="1"/>
  <c r="AB138" i="1"/>
  <c r="U138" i="1"/>
  <c r="I138" i="1" s="1"/>
  <c r="T138" i="1"/>
  <c r="S138" i="1"/>
  <c r="M138" i="1"/>
  <c r="L138" i="1"/>
  <c r="K138" i="1"/>
  <c r="H138" i="1"/>
  <c r="U137" i="1"/>
  <c r="I137" i="1" s="1"/>
  <c r="S137" i="1"/>
  <c r="T137" i="1" s="1"/>
  <c r="M137" i="1"/>
  <c r="K137" i="1"/>
  <c r="L137" i="1" s="1"/>
  <c r="H137" i="1"/>
  <c r="S136" i="1"/>
  <c r="M136" i="1"/>
  <c r="L136" i="1"/>
  <c r="K136" i="1"/>
  <c r="H136" i="1"/>
  <c r="S135" i="1"/>
  <c r="K1030" i="2" s="1"/>
  <c r="M135" i="1"/>
  <c r="T135" i="1" s="1"/>
  <c r="K135" i="1"/>
  <c r="L135" i="1" s="1"/>
  <c r="H135" i="1"/>
  <c r="W134" i="1"/>
  <c r="X134" i="1" s="1"/>
  <c r="T134" i="1"/>
  <c r="S134" i="1"/>
  <c r="K549" i="2" s="1"/>
  <c r="M134" i="1"/>
  <c r="K134" i="1"/>
  <c r="L134" i="1" s="1"/>
  <c r="AB134" i="1" s="1"/>
  <c r="H134" i="1"/>
  <c r="S133" i="1"/>
  <c r="M133" i="1"/>
  <c r="L133" i="1"/>
  <c r="K133" i="1"/>
  <c r="H133" i="1"/>
  <c r="T132" i="1"/>
  <c r="S132" i="1"/>
  <c r="K237" i="2" s="1"/>
  <c r="L237" i="2" s="1"/>
  <c r="M132" i="1"/>
  <c r="K132" i="1"/>
  <c r="L132" i="1" s="1"/>
  <c r="AB132" i="1" s="1"/>
  <c r="H132" i="1"/>
  <c r="S131" i="1"/>
  <c r="M131" i="1"/>
  <c r="K131" i="1"/>
  <c r="L131" i="1" s="1"/>
  <c r="H131" i="1"/>
  <c r="S130" i="1"/>
  <c r="K361" i="2" s="1"/>
  <c r="M130" i="1"/>
  <c r="T130" i="1" s="1"/>
  <c r="L130" i="1"/>
  <c r="AB130" i="1" s="1"/>
  <c r="K130" i="1"/>
  <c r="H130" i="1"/>
  <c r="S129" i="1"/>
  <c r="M129" i="1"/>
  <c r="K129" i="1"/>
  <c r="L129" i="1" s="1"/>
  <c r="H129" i="1"/>
  <c r="AB128" i="1"/>
  <c r="U128" i="1"/>
  <c r="I128" i="1" s="1"/>
  <c r="T128" i="1"/>
  <c r="W128" i="1" s="1"/>
  <c r="X128" i="1" s="1"/>
  <c r="S128" i="1"/>
  <c r="M128" i="1"/>
  <c r="L128" i="1"/>
  <c r="K128" i="1"/>
  <c r="H128" i="1"/>
  <c r="AB127" i="1"/>
  <c r="W127" i="1"/>
  <c r="X127" i="1" s="1"/>
  <c r="U127" i="1"/>
  <c r="T127" i="1"/>
  <c r="AA127" i="1" s="1"/>
  <c r="S127" i="1"/>
  <c r="K582" i="2" s="1"/>
  <c r="L582" i="2" s="1"/>
  <c r="M127" i="1"/>
  <c r="L127" i="1"/>
  <c r="K127" i="1"/>
  <c r="I127" i="1"/>
  <c r="H127" i="1"/>
  <c r="S126" i="1"/>
  <c r="M126" i="1"/>
  <c r="L126" i="1"/>
  <c r="K126" i="1"/>
  <c r="H126" i="1"/>
  <c r="S125" i="1"/>
  <c r="M125" i="1"/>
  <c r="L125" i="1"/>
  <c r="K125" i="1"/>
  <c r="H125" i="1"/>
  <c r="S124" i="1"/>
  <c r="M124" i="1"/>
  <c r="K124" i="1"/>
  <c r="L124" i="1" s="1"/>
  <c r="H124" i="1"/>
  <c r="AB123" i="1"/>
  <c r="T123" i="1"/>
  <c r="U123" i="1" s="1"/>
  <c r="I123" i="1" s="1"/>
  <c r="S123" i="1"/>
  <c r="K206" i="2" s="1"/>
  <c r="M123" i="1"/>
  <c r="L123" i="1"/>
  <c r="K123" i="1"/>
  <c r="H123" i="1"/>
  <c r="W122" i="1"/>
  <c r="X122" i="1" s="1"/>
  <c r="T122" i="1"/>
  <c r="U122" i="1" s="1"/>
  <c r="I122" i="1" s="1"/>
  <c r="S122" i="1"/>
  <c r="K548" i="2" s="1"/>
  <c r="M122" i="1"/>
  <c r="L122" i="1"/>
  <c r="K122" i="1"/>
  <c r="H122" i="1"/>
  <c r="S121" i="1"/>
  <c r="M121" i="1"/>
  <c r="K121" i="1"/>
  <c r="L121" i="1" s="1"/>
  <c r="H121" i="1"/>
  <c r="S120" i="1"/>
  <c r="M120" i="1"/>
  <c r="K120" i="1"/>
  <c r="L120" i="1" s="1"/>
  <c r="H120" i="1"/>
  <c r="T119" i="1"/>
  <c r="U119" i="1" s="1"/>
  <c r="I119" i="1" s="1"/>
  <c r="S119" i="1"/>
  <c r="M119" i="1"/>
  <c r="L119" i="1"/>
  <c r="K119" i="1"/>
  <c r="H119" i="1"/>
  <c r="S118" i="1"/>
  <c r="M118" i="1"/>
  <c r="L118" i="1"/>
  <c r="K118" i="1"/>
  <c r="H118" i="1"/>
  <c r="T117" i="1"/>
  <c r="S117" i="1"/>
  <c r="K893" i="2" s="1"/>
  <c r="M117" i="1"/>
  <c r="L117" i="1"/>
  <c r="K117" i="1"/>
  <c r="H117" i="1"/>
  <c r="S116" i="1"/>
  <c r="M116" i="1"/>
  <c r="K116" i="1"/>
  <c r="L116" i="1" s="1"/>
  <c r="H116" i="1"/>
  <c r="S115" i="1"/>
  <c r="M115" i="1"/>
  <c r="K115" i="1"/>
  <c r="L115" i="1" s="1"/>
  <c r="H115" i="1"/>
  <c r="S114" i="1"/>
  <c r="K547" i="2" s="1"/>
  <c r="L547" i="2" s="1"/>
  <c r="M114" i="1"/>
  <c r="T114" i="1" s="1"/>
  <c r="L114" i="1"/>
  <c r="K114" i="1"/>
  <c r="H114" i="1"/>
  <c r="W113" i="1"/>
  <c r="X113" i="1" s="1"/>
  <c r="U113" i="1"/>
  <c r="T113" i="1"/>
  <c r="AA113" i="1" s="1"/>
  <c r="S113" i="1"/>
  <c r="K282" i="2" s="1"/>
  <c r="M113" i="1"/>
  <c r="L113" i="1"/>
  <c r="AB113" i="1" s="1"/>
  <c r="K113" i="1"/>
  <c r="I113" i="1"/>
  <c r="H113" i="1"/>
  <c r="S112" i="1"/>
  <c r="M112" i="1"/>
  <c r="L112" i="1"/>
  <c r="K112" i="1"/>
  <c r="H112" i="1"/>
  <c r="S111" i="1"/>
  <c r="M111" i="1"/>
  <c r="L111" i="1"/>
  <c r="K111" i="1"/>
  <c r="H111" i="1"/>
  <c r="U110" i="1"/>
  <c r="I110" i="1" s="1"/>
  <c r="T110" i="1"/>
  <c r="S110" i="1"/>
  <c r="K238" i="2" s="1"/>
  <c r="M110" i="1"/>
  <c r="K110" i="1"/>
  <c r="L110" i="1" s="1"/>
  <c r="AB110" i="1" s="1"/>
  <c r="H110" i="1"/>
  <c r="S109" i="1"/>
  <c r="K323" i="2" s="1"/>
  <c r="M109" i="1"/>
  <c r="K109" i="1"/>
  <c r="L109" i="1" s="1"/>
  <c r="H109" i="1"/>
  <c r="S108" i="1"/>
  <c r="M108" i="1"/>
  <c r="L108" i="1"/>
  <c r="K108" i="1"/>
  <c r="H108" i="1"/>
  <c r="S107" i="1"/>
  <c r="K493" i="2" s="1"/>
  <c r="M107" i="1"/>
  <c r="K107" i="1"/>
  <c r="L107" i="1" s="1"/>
  <c r="H107" i="1"/>
  <c r="S106" i="1"/>
  <c r="M106" i="1"/>
  <c r="L106" i="1"/>
  <c r="K106" i="1"/>
  <c r="H106" i="1"/>
  <c r="U105" i="1"/>
  <c r="I105" i="1" s="1"/>
  <c r="S105" i="1"/>
  <c r="K286" i="2" s="1"/>
  <c r="M105" i="1"/>
  <c r="T105" i="1" s="1"/>
  <c r="K105" i="1"/>
  <c r="L105" i="1" s="1"/>
  <c r="AB105" i="1" s="1"/>
  <c r="H105" i="1"/>
  <c r="S104" i="1"/>
  <c r="M104" i="1"/>
  <c r="K104" i="1"/>
  <c r="L104" i="1" s="1"/>
  <c r="H104" i="1"/>
  <c r="S103" i="1"/>
  <c r="M103" i="1"/>
  <c r="L103" i="1"/>
  <c r="K103" i="1"/>
  <c r="H103" i="1"/>
  <c r="T102" i="1"/>
  <c r="W102" i="1" s="1"/>
  <c r="X102" i="1" s="1"/>
  <c r="S102" i="1"/>
  <c r="M102" i="1"/>
  <c r="K102" i="1"/>
  <c r="L102" i="1" s="1"/>
  <c r="H102" i="1"/>
  <c r="S101" i="1"/>
  <c r="M101" i="1"/>
  <c r="K101" i="1"/>
  <c r="L101" i="1" s="1"/>
  <c r="H101" i="1"/>
  <c r="S100" i="1"/>
  <c r="M100" i="1"/>
  <c r="L100" i="1"/>
  <c r="K100" i="1"/>
  <c r="H100" i="1"/>
  <c r="S99" i="1"/>
  <c r="M99" i="1"/>
  <c r="K99" i="1"/>
  <c r="L99" i="1" s="1"/>
  <c r="H99" i="1"/>
  <c r="AB98" i="1"/>
  <c r="W98" i="1"/>
  <c r="X98" i="1" s="1"/>
  <c r="S98" i="1"/>
  <c r="K451" i="2" s="1"/>
  <c r="M98" i="1"/>
  <c r="T98" i="1" s="1"/>
  <c r="AA98" i="1" s="1"/>
  <c r="L98" i="1"/>
  <c r="K98" i="1"/>
  <c r="H98" i="1"/>
  <c r="T97" i="1"/>
  <c r="S97" i="1"/>
  <c r="K546" i="2" s="1"/>
  <c r="M97" i="1"/>
  <c r="L97" i="1"/>
  <c r="K97" i="1"/>
  <c r="H97" i="1"/>
  <c r="S96" i="1"/>
  <c r="M96" i="1"/>
  <c r="K96" i="1"/>
  <c r="L96" i="1" s="1"/>
  <c r="H96" i="1"/>
  <c r="S95" i="1"/>
  <c r="M95" i="1"/>
  <c r="K95" i="1"/>
  <c r="L95" i="1" s="1"/>
  <c r="H95" i="1"/>
  <c r="W94" i="1"/>
  <c r="U94" i="1"/>
  <c r="I94" i="1" s="1"/>
  <c r="S94" i="1"/>
  <c r="K185" i="2" s="1"/>
  <c r="L185" i="2" s="1"/>
  <c r="M94" i="1"/>
  <c r="T94" i="1" s="1"/>
  <c r="AA94" i="1" s="1"/>
  <c r="K94" i="1"/>
  <c r="L94" i="1" s="1"/>
  <c r="AB94" i="1" s="1"/>
  <c r="H94" i="1"/>
  <c r="S93" i="1"/>
  <c r="K211" i="2" s="1"/>
  <c r="M93" i="1"/>
  <c r="L93" i="1"/>
  <c r="K93" i="1"/>
  <c r="H93" i="1"/>
  <c r="AA92" i="1"/>
  <c r="U92" i="1"/>
  <c r="I92" i="1" s="1"/>
  <c r="T92" i="1"/>
  <c r="W92" i="1" s="1"/>
  <c r="S92" i="1"/>
  <c r="K416" i="2" s="1"/>
  <c r="M92" i="1"/>
  <c r="K92" i="1"/>
  <c r="L92" i="1" s="1"/>
  <c r="AB92" i="1" s="1"/>
  <c r="H92" i="1"/>
  <c r="S91" i="1"/>
  <c r="M91" i="1"/>
  <c r="K91" i="1"/>
  <c r="L91" i="1" s="1"/>
  <c r="H91" i="1"/>
  <c r="S90" i="1"/>
  <c r="M90" i="1"/>
  <c r="L90" i="1"/>
  <c r="K90" i="1"/>
  <c r="H90" i="1"/>
  <c r="S89" i="1"/>
  <c r="K284" i="2" s="1"/>
  <c r="M89" i="1"/>
  <c r="L89" i="1"/>
  <c r="K89" i="1"/>
  <c r="H89" i="1"/>
  <c r="AA88" i="1"/>
  <c r="T88" i="1"/>
  <c r="W88" i="1" s="1"/>
  <c r="X88" i="1" s="1"/>
  <c r="S88" i="1"/>
  <c r="K581" i="2" s="1"/>
  <c r="M88" i="1"/>
  <c r="L88" i="1"/>
  <c r="K88" i="1"/>
  <c r="H88" i="1"/>
  <c r="S87" i="1"/>
  <c r="M87" i="1"/>
  <c r="L87" i="1"/>
  <c r="K87" i="1"/>
  <c r="H87" i="1"/>
  <c r="AB86" i="1"/>
  <c r="AA86" i="1"/>
  <c r="U86" i="1"/>
  <c r="S86" i="1"/>
  <c r="T86" i="1" s="1"/>
  <c r="W86" i="1" s="1"/>
  <c r="X86" i="1" s="1"/>
  <c r="M86" i="1"/>
  <c r="L86" i="1"/>
  <c r="K86" i="1"/>
  <c r="I86" i="1"/>
  <c r="H86" i="1"/>
  <c r="AA85" i="1"/>
  <c r="T85" i="1"/>
  <c r="S85" i="1"/>
  <c r="M85" i="1"/>
  <c r="K85" i="1"/>
  <c r="L85" i="1" s="1"/>
  <c r="AB85" i="1" s="1"/>
  <c r="H85" i="1"/>
  <c r="S84" i="1"/>
  <c r="M84" i="1"/>
  <c r="K84" i="1"/>
  <c r="L84" i="1" s="1"/>
  <c r="H84" i="1"/>
  <c r="S83" i="1"/>
  <c r="M83" i="1"/>
  <c r="L83" i="1"/>
  <c r="K83" i="1"/>
  <c r="H83" i="1"/>
  <c r="S82" i="1"/>
  <c r="M82" i="1"/>
  <c r="K82" i="1"/>
  <c r="L82" i="1" s="1"/>
  <c r="H82" i="1"/>
  <c r="S81" i="1"/>
  <c r="M81" i="1"/>
  <c r="L81" i="1"/>
  <c r="K81" i="1"/>
  <c r="H81" i="1"/>
  <c r="T80" i="1"/>
  <c r="W80" i="1" s="1"/>
  <c r="X80" i="1" s="1"/>
  <c r="S80" i="1"/>
  <c r="K1046" i="2" s="1"/>
  <c r="M80" i="1"/>
  <c r="L80" i="1"/>
  <c r="K80" i="1"/>
  <c r="H80" i="1"/>
  <c r="S79" i="1"/>
  <c r="M79" i="1"/>
  <c r="L79" i="1"/>
  <c r="K79" i="1"/>
  <c r="H79" i="1"/>
  <c r="S78" i="1"/>
  <c r="M78" i="1"/>
  <c r="T78" i="1" s="1"/>
  <c r="L78" i="1"/>
  <c r="K78" i="1"/>
  <c r="H78" i="1"/>
  <c r="W77" i="1"/>
  <c r="U77" i="1"/>
  <c r="I77" i="1" s="1"/>
  <c r="T77" i="1"/>
  <c r="AA77" i="1" s="1"/>
  <c r="S77" i="1"/>
  <c r="M77" i="1"/>
  <c r="K77" i="1"/>
  <c r="L77" i="1" s="1"/>
  <c r="AB77" i="1" s="1"/>
  <c r="H77" i="1"/>
  <c r="S76" i="1"/>
  <c r="M76" i="1"/>
  <c r="K76" i="1"/>
  <c r="L76" i="1" s="1"/>
  <c r="H76" i="1"/>
  <c r="S75" i="1"/>
  <c r="K319" i="2" s="1"/>
  <c r="M75" i="1"/>
  <c r="T75" i="1" s="1"/>
  <c r="L75" i="1"/>
  <c r="K75" i="1"/>
  <c r="H75" i="1"/>
  <c r="T74" i="1"/>
  <c r="S74" i="1"/>
  <c r="K183" i="2" s="1"/>
  <c r="M74" i="1"/>
  <c r="K74" i="1"/>
  <c r="L74" i="1" s="1"/>
  <c r="AB74" i="1" s="1"/>
  <c r="H74" i="1"/>
  <c r="S73" i="1"/>
  <c r="K492" i="2" s="1"/>
  <c r="M73" i="1"/>
  <c r="T73" i="1" s="1"/>
  <c r="L73" i="1"/>
  <c r="K73" i="1"/>
  <c r="H73" i="1"/>
  <c r="S72" i="1"/>
  <c r="M72" i="1"/>
  <c r="L72" i="1"/>
  <c r="K72" i="1"/>
  <c r="H72" i="1"/>
  <c r="S71" i="1"/>
  <c r="M71" i="1"/>
  <c r="K71" i="1"/>
  <c r="L71" i="1" s="1"/>
  <c r="H71" i="1"/>
  <c r="T70" i="1"/>
  <c r="S70" i="1"/>
  <c r="K518" i="2" s="1"/>
  <c r="M70" i="1"/>
  <c r="L70" i="1"/>
  <c r="AB70" i="1" s="1"/>
  <c r="K70" i="1"/>
  <c r="H70" i="1"/>
  <c r="U69" i="1"/>
  <c r="T69" i="1"/>
  <c r="S69" i="1"/>
  <c r="K295" i="2" s="1"/>
  <c r="L295" i="2" s="1"/>
  <c r="M69" i="1"/>
  <c r="K69" i="1"/>
  <c r="L69" i="1" s="1"/>
  <c r="AB69" i="1" s="1"/>
  <c r="I69" i="1"/>
  <c r="H69" i="1"/>
  <c r="S68" i="1"/>
  <c r="M68" i="1"/>
  <c r="L68" i="1"/>
  <c r="K68" i="1"/>
  <c r="H68" i="1"/>
  <c r="T67" i="1"/>
  <c r="U67" i="1" s="1"/>
  <c r="I67" i="1" s="1"/>
  <c r="S67" i="1"/>
  <c r="K545" i="2" s="1"/>
  <c r="L545" i="2" s="1"/>
  <c r="M67" i="1"/>
  <c r="L67" i="1"/>
  <c r="K67" i="1"/>
  <c r="H67" i="1"/>
  <c r="S66" i="1"/>
  <c r="M66" i="1"/>
  <c r="K66" i="1"/>
  <c r="L66" i="1" s="1"/>
  <c r="H66" i="1"/>
  <c r="S65" i="1"/>
  <c r="M65" i="1"/>
  <c r="K65" i="1"/>
  <c r="L65" i="1" s="1"/>
  <c r="H65" i="1"/>
  <c r="S64" i="1"/>
  <c r="M64" i="1"/>
  <c r="L64" i="1"/>
  <c r="K64" i="1"/>
  <c r="H64" i="1"/>
  <c r="S63" i="1"/>
  <c r="K188" i="2" s="1"/>
  <c r="M63" i="1"/>
  <c r="L63" i="1"/>
  <c r="K63" i="1"/>
  <c r="H63" i="1"/>
  <c r="S62" i="1"/>
  <c r="M62" i="1"/>
  <c r="K62" i="1"/>
  <c r="L62" i="1" s="1"/>
  <c r="H62" i="1"/>
  <c r="S61" i="1"/>
  <c r="M61" i="1"/>
  <c r="L61" i="1"/>
  <c r="K61" i="1"/>
  <c r="H61" i="1"/>
  <c r="S60" i="1"/>
  <c r="M60" i="1"/>
  <c r="K60" i="1"/>
  <c r="L60" i="1" s="1"/>
  <c r="H60" i="1"/>
  <c r="T59" i="1"/>
  <c r="S59" i="1"/>
  <c r="K343" i="2" s="1"/>
  <c r="M59" i="1"/>
  <c r="K59" i="1"/>
  <c r="L59" i="1" s="1"/>
  <c r="AB59" i="1" s="1"/>
  <c r="H59" i="1"/>
  <c r="S58" i="1"/>
  <c r="M58" i="1"/>
  <c r="L58" i="1"/>
  <c r="K58" i="1"/>
  <c r="H58" i="1"/>
  <c r="AA57" i="1"/>
  <c r="U57" i="1"/>
  <c r="I57" i="1" s="1"/>
  <c r="T57" i="1"/>
  <c r="W57" i="1" s="1"/>
  <c r="S57" i="1"/>
  <c r="M57" i="1"/>
  <c r="K57" i="1"/>
  <c r="L57" i="1" s="1"/>
  <c r="AB57" i="1" s="1"/>
  <c r="H57" i="1"/>
  <c r="S56" i="1"/>
  <c r="M56" i="1"/>
  <c r="K56" i="1"/>
  <c r="L56" i="1" s="1"/>
  <c r="H56" i="1"/>
  <c r="AA55" i="1"/>
  <c r="T55" i="1"/>
  <c r="S55" i="1"/>
  <c r="M55" i="1"/>
  <c r="K55" i="1"/>
  <c r="L55" i="1" s="1"/>
  <c r="AB55" i="1" s="1"/>
  <c r="H55" i="1"/>
  <c r="S54" i="1"/>
  <c r="M54" i="1"/>
  <c r="L54" i="1"/>
  <c r="K54" i="1"/>
  <c r="H54" i="1"/>
  <c r="S53" i="1"/>
  <c r="K889" i="2" s="1"/>
  <c r="M53" i="1"/>
  <c r="L53" i="1"/>
  <c r="K53" i="1"/>
  <c r="H53" i="1"/>
  <c r="T52" i="1"/>
  <c r="S52" i="1"/>
  <c r="M52" i="1"/>
  <c r="K52" i="1"/>
  <c r="L52" i="1" s="1"/>
  <c r="AB52" i="1" s="1"/>
  <c r="H52" i="1"/>
  <c r="S50" i="1"/>
  <c r="M50" i="1"/>
  <c r="K50" i="1"/>
  <c r="L50" i="1" s="1"/>
  <c r="H50" i="1"/>
  <c r="S49" i="1"/>
  <c r="T49" i="1" s="1"/>
  <c r="M49" i="1"/>
  <c r="L49" i="1"/>
  <c r="K49" i="1"/>
  <c r="H49" i="1"/>
  <c r="S48" i="1"/>
  <c r="K782" i="2" s="1"/>
  <c r="M48" i="1"/>
  <c r="K48" i="1"/>
  <c r="L48" i="1" s="1"/>
  <c r="H48" i="1"/>
  <c r="W47" i="1"/>
  <c r="X47" i="1" s="1"/>
  <c r="T47" i="1"/>
  <c r="S47" i="1"/>
  <c r="K134" i="2" s="1"/>
  <c r="M47" i="1"/>
  <c r="L47" i="1"/>
  <c r="AB47" i="1" s="1"/>
  <c r="K47" i="1"/>
  <c r="H47" i="1"/>
  <c r="AA46" i="1"/>
  <c r="W46" i="1"/>
  <c r="X46" i="1" s="1"/>
  <c r="T46" i="1"/>
  <c r="U46" i="1" s="1"/>
  <c r="S46" i="1"/>
  <c r="K140" i="2" s="1"/>
  <c r="M46" i="1"/>
  <c r="L46" i="1"/>
  <c r="AB46" i="1" s="1"/>
  <c r="K46" i="1"/>
  <c r="I46" i="1"/>
  <c r="H46" i="1"/>
  <c r="S45" i="1"/>
  <c r="M45" i="1"/>
  <c r="K45" i="1"/>
  <c r="L45" i="1" s="1"/>
  <c r="H45" i="1"/>
  <c r="S44" i="1"/>
  <c r="T44" i="1" s="1"/>
  <c r="M44" i="1"/>
  <c r="K44" i="1"/>
  <c r="L44" i="1" s="1"/>
  <c r="AB44" i="1" s="1"/>
  <c r="H44" i="1"/>
  <c r="T43" i="1"/>
  <c r="W43" i="1" s="1"/>
  <c r="X43" i="1" s="1"/>
  <c r="S43" i="1"/>
  <c r="K20" i="2" s="1"/>
  <c r="M43" i="1"/>
  <c r="L43" i="1"/>
  <c r="K43" i="1"/>
  <c r="H43" i="1"/>
  <c r="T42" i="1"/>
  <c r="U42" i="1" s="1"/>
  <c r="I42" i="1" s="1"/>
  <c r="S42" i="1"/>
  <c r="K19" i="2" s="1"/>
  <c r="M42" i="1"/>
  <c r="L42" i="1"/>
  <c r="AB42" i="1" s="1"/>
  <c r="K42" i="1"/>
  <c r="H42" i="1"/>
  <c r="S41" i="1"/>
  <c r="M41" i="1"/>
  <c r="K41" i="1"/>
  <c r="L41" i="1" s="1"/>
  <c r="H41" i="1"/>
  <c r="S40" i="1"/>
  <c r="M40" i="1"/>
  <c r="L40" i="1"/>
  <c r="K40" i="1"/>
  <c r="H40" i="1"/>
  <c r="S39" i="1"/>
  <c r="M39" i="1"/>
  <c r="K39" i="1"/>
  <c r="L39" i="1" s="1"/>
  <c r="H39" i="1"/>
  <c r="T38" i="1"/>
  <c r="S38" i="1"/>
  <c r="M38" i="1"/>
  <c r="L38" i="1"/>
  <c r="AB38" i="1" s="1"/>
  <c r="K38" i="1"/>
  <c r="H38" i="1"/>
  <c r="S37" i="1"/>
  <c r="M37" i="1"/>
  <c r="L37" i="1"/>
  <c r="K37" i="1"/>
  <c r="H37" i="1"/>
  <c r="S36" i="1"/>
  <c r="M36" i="1"/>
  <c r="L36" i="1"/>
  <c r="K36" i="1"/>
  <c r="H36" i="1"/>
  <c r="S35" i="1"/>
  <c r="M35" i="1"/>
  <c r="L35" i="1"/>
  <c r="K35" i="1"/>
  <c r="H35" i="1"/>
  <c r="S34" i="1"/>
  <c r="K141" i="2" s="1"/>
  <c r="M34" i="1"/>
  <c r="T34" i="1" s="1"/>
  <c r="K34" i="1"/>
  <c r="L34" i="1" s="1"/>
  <c r="AB34" i="1" s="1"/>
  <c r="H34" i="1"/>
  <c r="S33" i="1"/>
  <c r="T33" i="1" s="1"/>
  <c r="M33" i="1"/>
  <c r="K33" i="1"/>
  <c r="L33" i="1" s="1"/>
  <c r="AB33" i="1" s="1"/>
  <c r="H33" i="1"/>
  <c r="S32" i="1"/>
  <c r="M32" i="1"/>
  <c r="L32" i="1"/>
  <c r="K32" i="1"/>
  <c r="H32" i="1"/>
  <c r="AB31" i="1"/>
  <c r="T31" i="1"/>
  <c r="AA31" i="1" s="1"/>
  <c r="S31" i="1"/>
  <c r="M31" i="1"/>
  <c r="K31" i="1"/>
  <c r="L31" i="1" s="1"/>
  <c r="H31" i="1"/>
  <c r="S30" i="1"/>
  <c r="M30" i="1"/>
  <c r="K30" i="1"/>
  <c r="L30" i="1" s="1"/>
  <c r="H30" i="1"/>
  <c r="AA29" i="1"/>
  <c r="U29" i="1"/>
  <c r="I29" i="1" s="1"/>
  <c r="S29" i="1"/>
  <c r="K135" i="2" s="1"/>
  <c r="M29" i="1"/>
  <c r="T29" i="1" s="1"/>
  <c r="W29" i="1" s="1"/>
  <c r="X29" i="1" s="1"/>
  <c r="K29" i="1"/>
  <c r="L29" i="1" s="1"/>
  <c r="AB29" i="1" s="1"/>
  <c r="H29" i="1"/>
  <c r="S28" i="1"/>
  <c r="M28" i="1"/>
  <c r="K28" i="1"/>
  <c r="L28" i="1" s="1"/>
  <c r="H28" i="1"/>
  <c r="S27" i="1"/>
  <c r="M27" i="1"/>
  <c r="L27" i="1"/>
  <c r="K27" i="1"/>
  <c r="H27" i="1"/>
  <c r="T26" i="1"/>
  <c r="S26" i="1"/>
  <c r="K396" i="2" s="1"/>
  <c r="M26" i="1"/>
  <c r="K26" i="1"/>
  <c r="L26" i="1" s="1"/>
  <c r="AB26" i="1" s="1"/>
  <c r="H26" i="1"/>
  <c r="S25" i="1"/>
  <c r="M25" i="1"/>
  <c r="L25" i="1"/>
  <c r="K25" i="1"/>
  <c r="H25" i="1"/>
  <c r="S24" i="1"/>
  <c r="M24" i="1"/>
  <c r="L24" i="1"/>
  <c r="K24" i="1"/>
  <c r="H24" i="1"/>
  <c r="S23" i="1"/>
  <c r="M23" i="1"/>
  <c r="K23" i="1"/>
  <c r="L23" i="1" s="1"/>
  <c r="H23" i="1"/>
  <c r="AB22" i="1"/>
  <c r="W22" i="1"/>
  <c r="X22" i="1" s="1"/>
  <c r="U22" i="1"/>
  <c r="I22" i="1" s="1"/>
  <c r="S22" i="1"/>
  <c r="K392" i="2" s="1"/>
  <c r="M22" i="1"/>
  <c r="T22" i="1" s="1"/>
  <c r="AA22" i="1" s="1"/>
  <c r="L22" i="1"/>
  <c r="K22" i="1"/>
  <c r="H22" i="1"/>
  <c r="T21" i="1"/>
  <c r="S21" i="1"/>
  <c r="M21" i="1"/>
  <c r="L21" i="1"/>
  <c r="AB21" i="1" s="1"/>
  <c r="K21" i="1"/>
  <c r="H21" i="1"/>
  <c r="S20" i="1"/>
  <c r="M20" i="1"/>
  <c r="K20" i="1"/>
  <c r="L20" i="1" s="1"/>
  <c r="H20" i="1"/>
  <c r="S19" i="1"/>
  <c r="M19" i="1"/>
  <c r="K19" i="1"/>
  <c r="L19" i="1" s="1"/>
  <c r="H19" i="1"/>
  <c r="S18" i="1"/>
  <c r="K3" i="2" s="1"/>
  <c r="M18" i="1"/>
  <c r="T18" i="1" s="1"/>
  <c r="AA18" i="1" s="1"/>
  <c r="K18" i="1"/>
  <c r="L18" i="1" s="1"/>
  <c r="H18" i="1"/>
  <c r="S17" i="1"/>
  <c r="K207" i="2" s="1"/>
  <c r="M17" i="1"/>
  <c r="L17" i="1"/>
  <c r="K17" i="1"/>
  <c r="H17" i="1"/>
  <c r="AA16" i="1"/>
  <c r="U16" i="1"/>
  <c r="T16" i="1"/>
  <c r="W16" i="1" s="1"/>
  <c r="S16" i="1"/>
  <c r="K234" i="2" s="1"/>
  <c r="M16" i="1"/>
  <c r="L16" i="1"/>
  <c r="AB16" i="1" s="1"/>
  <c r="K16" i="1"/>
  <c r="I16" i="1"/>
  <c r="H16" i="1"/>
  <c r="S15" i="1"/>
  <c r="M15" i="1"/>
  <c r="K15" i="1"/>
  <c r="L15" i="1" s="1"/>
  <c r="H15" i="1"/>
  <c r="S14" i="1"/>
  <c r="M14" i="1"/>
  <c r="K14" i="1"/>
  <c r="L14" i="1" s="1"/>
  <c r="H14" i="1"/>
  <c r="T13" i="1"/>
  <c r="S13" i="1"/>
  <c r="M13" i="1"/>
  <c r="L13" i="1"/>
  <c r="AB13" i="1" s="1"/>
  <c r="K13" i="1"/>
  <c r="H13" i="1"/>
  <c r="T12" i="1"/>
  <c r="W12" i="1" s="1"/>
  <c r="X12" i="1" s="1"/>
  <c r="S12" i="1"/>
  <c r="M12" i="1"/>
  <c r="L12" i="1"/>
  <c r="AB12" i="1" s="1"/>
  <c r="K12" i="1"/>
  <c r="H12" i="1"/>
  <c r="S11" i="1"/>
  <c r="M11" i="1"/>
  <c r="K11" i="1"/>
  <c r="L11" i="1" s="1"/>
  <c r="H11" i="1"/>
  <c r="S10" i="1"/>
  <c r="M10" i="1"/>
  <c r="L10" i="1"/>
  <c r="K10" i="1"/>
  <c r="H10" i="1"/>
  <c r="S9" i="1"/>
  <c r="T9" i="1" s="1"/>
  <c r="M9" i="1"/>
  <c r="K9" i="1"/>
  <c r="L9" i="1" s="1"/>
  <c r="H9" i="1"/>
  <c r="S8" i="1"/>
  <c r="M8" i="1"/>
  <c r="K8" i="1"/>
  <c r="L8" i="1" s="1"/>
  <c r="H8" i="1"/>
  <c r="S7" i="1"/>
  <c r="M7" i="1"/>
  <c r="L7" i="1"/>
  <c r="K7" i="1"/>
  <c r="H7" i="1"/>
  <c r="S6" i="1"/>
  <c r="M6" i="1"/>
  <c r="K6" i="1"/>
  <c r="L6" i="1" s="1"/>
  <c r="H6" i="1"/>
  <c r="S5" i="1"/>
  <c r="M5" i="1"/>
  <c r="L5" i="1"/>
  <c r="K5" i="1"/>
  <c r="H5" i="1"/>
  <c r="T4" i="1"/>
  <c r="W4" i="1" s="1"/>
  <c r="X4" i="1" s="1"/>
  <c r="S4" i="1"/>
  <c r="M4" i="1"/>
  <c r="L4" i="1"/>
  <c r="K4" i="1"/>
  <c r="H4" i="1"/>
  <c r="S3" i="1"/>
  <c r="M3" i="1"/>
  <c r="L3" i="1"/>
  <c r="K3" i="1"/>
  <c r="H3" i="1"/>
  <c r="T2" i="1"/>
  <c r="W2" i="1" s="1"/>
  <c r="X2" i="1" s="1"/>
  <c r="S2" i="1"/>
  <c r="M2" i="1"/>
  <c r="K2" i="1"/>
  <c r="H2" i="1"/>
  <c r="W78" i="1" l="1"/>
  <c r="X78" i="1" s="1"/>
  <c r="AB78" i="1"/>
  <c r="AA78" i="1"/>
  <c r="U78" i="1"/>
  <c r="I78" i="1" s="1"/>
  <c r="W9" i="1"/>
  <c r="X9" i="1" s="1"/>
  <c r="U9" i="1"/>
  <c r="I9" i="1" s="1"/>
  <c r="AA9" i="1"/>
  <c r="AB10" i="1"/>
  <c r="AB49" i="1"/>
  <c r="W135" i="1"/>
  <c r="X135" i="1" s="1"/>
  <c r="AA135" i="1"/>
  <c r="U135" i="1"/>
  <c r="I135" i="1" s="1"/>
  <c r="AB135" i="1"/>
  <c r="AB28" i="1"/>
  <c r="W44" i="1"/>
  <c r="X44" i="1" s="1"/>
  <c r="AA44" i="1"/>
  <c r="U44" i="1"/>
  <c r="I44" i="1" s="1"/>
  <c r="U143" i="1"/>
  <c r="I143" i="1" s="1"/>
  <c r="W143" i="1"/>
  <c r="X143" i="1" s="1"/>
  <c r="AA143" i="1"/>
  <c r="AB9" i="1"/>
  <c r="AB73" i="1"/>
  <c r="W34" i="1"/>
  <c r="X34" i="1" s="1"/>
  <c r="AA34" i="1"/>
  <c r="U34" i="1"/>
  <c r="I34" i="1" s="1"/>
  <c r="AA73" i="1"/>
  <c r="W73" i="1"/>
  <c r="X73" i="1" s="1"/>
  <c r="U73" i="1"/>
  <c r="I73" i="1" s="1"/>
  <c r="W75" i="1"/>
  <c r="X75" i="1" s="1"/>
  <c r="U75" i="1"/>
  <c r="I75" i="1" s="1"/>
  <c r="AA75" i="1"/>
  <c r="AB75" i="1"/>
  <c r="W182" i="1"/>
  <c r="X182" i="1" s="1"/>
  <c r="U182" i="1"/>
  <c r="I182" i="1" s="1"/>
  <c r="AA182" i="1"/>
  <c r="AB182" i="1"/>
  <c r="W49" i="1"/>
  <c r="X49" i="1" s="1"/>
  <c r="U49" i="1"/>
  <c r="I49" i="1" s="1"/>
  <c r="AA49" i="1"/>
  <c r="AA33" i="1"/>
  <c r="U33" i="1"/>
  <c r="I33" i="1" s="1"/>
  <c r="W33" i="1"/>
  <c r="X33" i="1" s="1"/>
  <c r="AB54" i="1"/>
  <c r="W70" i="1"/>
  <c r="X70" i="1" s="1"/>
  <c r="AA70" i="1"/>
  <c r="K524" i="2"/>
  <c r="T6" i="1"/>
  <c r="K897" i="2"/>
  <c r="K187" i="2"/>
  <c r="T23" i="1"/>
  <c r="K341" i="2"/>
  <c r="K331" i="2"/>
  <c r="K807" i="2"/>
  <c r="K395" i="2"/>
  <c r="K1032" i="2"/>
  <c r="T36" i="1"/>
  <c r="K890" i="2"/>
  <c r="T54" i="1"/>
  <c r="W55" i="1"/>
  <c r="X55" i="1" s="1"/>
  <c r="U55" i="1"/>
  <c r="I55" i="1" s="1"/>
  <c r="K242" i="2"/>
  <c r="T61" i="1"/>
  <c r="X92" i="1"/>
  <c r="T93" i="1"/>
  <c r="U98" i="1"/>
  <c r="I98" i="1" s="1"/>
  <c r="K330" i="2"/>
  <c r="T101" i="1"/>
  <c r="W105" i="1"/>
  <c r="X105" i="1" s="1"/>
  <c r="AA105" i="1"/>
  <c r="AB117" i="1"/>
  <c r="AA128" i="1"/>
  <c r="AA148" i="1"/>
  <c r="W148" i="1"/>
  <c r="X148" i="1" s="1"/>
  <c r="K174" i="2"/>
  <c r="T164" i="1"/>
  <c r="AB169" i="1"/>
  <c r="AB177" i="1"/>
  <c r="AB195" i="1"/>
  <c r="K739" i="2"/>
  <c r="L739" i="2" s="1"/>
  <c r="K507" i="2"/>
  <c r="L507" i="2" s="1"/>
  <c r="T242" i="1"/>
  <c r="W85" i="1"/>
  <c r="X85" i="1" s="1"/>
  <c r="U85" i="1"/>
  <c r="I85" i="1" s="1"/>
  <c r="K217" i="2"/>
  <c r="L217" i="2" s="1"/>
  <c r="T96" i="1"/>
  <c r="U97" i="1"/>
  <c r="I97" i="1" s="1"/>
  <c r="AB97" i="1"/>
  <c r="W97" i="1"/>
  <c r="X97" i="1" s="1"/>
  <c r="W110" i="1"/>
  <c r="X110" i="1" s="1"/>
  <c r="AA110" i="1"/>
  <c r="AB114" i="1"/>
  <c r="K403" i="2"/>
  <c r="T131" i="1"/>
  <c r="AA134" i="1"/>
  <c r="U134" i="1"/>
  <c r="I134" i="1" s="1"/>
  <c r="AA137" i="1"/>
  <c r="W137" i="1"/>
  <c r="X137" i="1" s="1"/>
  <c r="U151" i="1"/>
  <c r="I151" i="1" s="1"/>
  <c r="W151" i="1"/>
  <c r="X151" i="1" s="1"/>
  <c r="AB171" i="1"/>
  <c r="U215" i="1"/>
  <c r="I215" i="1" s="1"/>
  <c r="AA215" i="1"/>
  <c r="W215" i="1"/>
  <c r="X215" i="1" s="1"/>
  <c r="K702" i="2"/>
  <c r="L702" i="2" s="1"/>
  <c r="K584" i="2"/>
  <c r="T222" i="1"/>
  <c r="AB256" i="1"/>
  <c r="K126" i="2"/>
  <c r="T265" i="1"/>
  <c r="AA74" i="1"/>
  <c r="W74" i="1"/>
  <c r="X74" i="1" s="1"/>
  <c r="K712" i="2"/>
  <c r="L712" i="2" s="1"/>
  <c r="K468" i="2"/>
  <c r="T20" i="1"/>
  <c r="U21" i="1"/>
  <c r="I21" i="1" s="1"/>
  <c r="W21" i="1"/>
  <c r="X21" i="1" s="1"/>
  <c r="W42" i="1"/>
  <c r="X42" i="1" s="1"/>
  <c r="AA52" i="1"/>
  <c r="W52" i="1"/>
  <c r="X52" i="1" s="1"/>
  <c r="T53" i="1"/>
  <c r="K888" i="2"/>
  <c r="T60" i="1"/>
  <c r="AB60" i="1" s="1"/>
  <c r="K208" i="2"/>
  <c r="T65" i="1"/>
  <c r="W67" i="1"/>
  <c r="X67" i="1" s="1"/>
  <c r="U74" i="1"/>
  <c r="I74" i="1" s="1"/>
  <c r="AA114" i="1"/>
  <c r="U114" i="1"/>
  <c r="I114" i="1" s="1"/>
  <c r="AB143" i="1"/>
  <c r="AA144" i="1"/>
  <c r="W144" i="1"/>
  <c r="X144" i="1" s="1"/>
  <c r="U144" i="1"/>
  <c r="I144" i="1" s="1"/>
  <c r="AA171" i="1"/>
  <c r="U171" i="1"/>
  <c r="I171" i="1" s="1"/>
  <c r="AA174" i="1"/>
  <c r="W174" i="1"/>
  <c r="X174" i="1" s="1"/>
  <c r="W213" i="1"/>
  <c r="X213" i="1" s="1"/>
  <c r="U213" i="1"/>
  <c r="I213" i="1" s="1"/>
  <c r="AA213" i="1"/>
  <c r="AA231" i="1"/>
  <c r="W231" i="1"/>
  <c r="X231" i="1" s="1"/>
  <c r="U231" i="1"/>
  <c r="I231" i="1" s="1"/>
  <c r="U256" i="1"/>
  <c r="I256" i="1" s="1"/>
  <c r="W256" i="1"/>
  <c r="X256" i="1" s="1"/>
  <c r="AA256" i="1"/>
  <c r="K148" i="2"/>
  <c r="K15" i="2"/>
  <c r="T10" i="1"/>
  <c r="AA12" i="1"/>
  <c r="AB18" i="1"/>
  <c r="K146" i="2"/>
  <c r="T19" i="1"/>
  <c r="AA21" i="1"/>
  <c r="K8" i="2"/>
  <c r="T28" i="1"/>
  <c r="AA42" i="1"/>
  <c r="U52" i="1"/>
  <c r="I52" i="1" s="1"/>
  <c r="AA67" i="1"/>
  <c r="AB71" i="1"/>
  <c r="K1232" i="2"/>
  <c r="L1232" i="2" s="1"/>
  <c r="T72" i="1"/>
  <c r="U80" i="1"/>
  <c r="I80" i="1" s="1"/>
  <c r="K1144" i="2"/>
  <c r="L1144" i="2" s="1"/>
  <c r="T84" i="1"/>
  <c r="AB84" i="1" s="1"/>
  <c r="AA97" i="1"/>
  <c r="T109" i="1"/>
  <c r="W117" i="1"/>
  <c r="X117" i="1" s="1"/>
  <c r="AA117" i="1"/>
  <c r="AA122" i="1"/>
  <c r="K770" i="2"/>
  <c r="T125" i="1"/>
  <c r="W130" i="1"/>
  <c r="X130" i="1" s="1"/>
  <c r="AA130" i="1"/>
  <c r="T133" i="1"/>
  <c r="T157" i="1"/>
  <c r="AB157" i="1" s="1"/>
  <c r="T160" i="1"/>
  <c r="K554" i="2"/>
  <c r="T163" i="1"/>
  <c r="W166" i="1"/>
  <c r="X166" i="1" s="1"/>
  <c r="U166" i="1"/>
  <c r="I166" i="1" s="1"/>
  <c r="AA166" i="1"/>
  <c r="W169" i="1"/>
  <c r="X169" i="1" s="1"/>
  <c r="U174" i="1"/>
  <c r="I174" i="1" s="1"/>
  <c r="T177" i="1"/>
  <c r="L186" i="1"/>
  <c r="AB186" i="1" s="1"/>
  <c r="T195" i="1"/>
  <c r="AB223" i="1"/>
  <c r="AB225" i="1"/>
  <c r="L230" i="1"/>
  <c r="AB230" i="1" s="1"/>
  <c r="X230" i="1"/>
  <c r="K566" i="2"/>
  <c r="T305" i="1"/>
  <c r="U316" i="1"/>
  <c r="I316" i="1" s="1"/>
  <c r="W316" i="1"/>
  <c r="X316" i="1" s="1"/>
  <c r="AA316" i="1"/>
  <c r="AB95" i="1"/>
  <c r="AB32" i="1"/>
  <c r="AB76" i="1"/>
  <c r="AA80" i="1"/>
  <c r="K318" i="2"/>
  <c r="T95" i="1"/>
  <c r="K189" i="2"/>
  <c r="T100" i="1"/>
  <c r="K855" i="2"/>
  <c r="T104" i="1"/>
  <c r="K347" i="2"/>
  <c r="T108" i="1"/>
  <c r="W114" i="1"/>
  <c r="X114" i="1" s="1"/>
  <c r="U117" i="1"/>
  <c r="I117" i="1" s="1"/>
  <c r="K550" i="2"/>
  <c r="T146" i="1"/>
  <c r="AA169" i="1"/>
  <c r="W171" i="1"/>
  <c r="X171" i="1" s="1"/>
  <c r="AA179" i="1"/>
  <c r="W179" i="1"/>
  <c r="X179" i="1" s="1"/>
  <c r="W181" i="1"/>
  <c r="X181" i="1" s="1"/>
  <c r="U181" i="1"/>
  <c r="I181" i="1" s="1"/>
  <c r="AB181" i="1"/>
  <c r="AA181" i="1"/>
  <c r="W199" i="1"/>
  <c r="X199" i="1" s="1"/>
  <c r="AA199" i="1"/>
  <c r="U199" i="1"/>
  <c r="I199" i="1" s="1"/>
  <c r="U201" i="1"/>
  <c r="I201" i="1" s="1"/>
  <c r="AA201" i="1"/>
  <c r="K555" i="2"/>
  <c r="L555" i="2" s="1"/>
  <c r="T203" i="1"/>
  <c r="AB245" i="1"/>
  <c r="AA252" i="1"/>
  <c r="W252" i="1"/>
  <c r="X252" i="1" s="1"/>
  <c r="U252" i="1"/>
  <c r="I252" i="1" s="1"/>
  <c r="K22" i="2"/>
  <c r="T41" i="1"/>
  <c r="AB41" i="1" s="1"/>
  <c r="AA43" i="1"/>
  <c r="U43" i="1"/>
  <c r="I43" i="1" s="1"/>
  <c r="K958" i="2"/>
  <c r="T121" i="1"/>
  <c r="K245" i="2"/>
  <c r="L245" i="2" s="1"/>
  <c r="T27" i="1"/>
  <c r="K317" i="2"/>
  <c r="T120" i="1"/>
  <c r="K143" i="2"/>
  <c r="T124" i="1"/>
  <c r="U130" i="1"/>
  <c r="I130" i="1" s="1"/>
  <c r="K2308" i="2"/>
  <c r="T136" i="1"/>
  <c r="AB145" i="1"/>
  <c r="T150" i="1"/>
  <c r="W153" i="1"/>
  <c r="X153" i="1" s="1"/>
  <c r="U153" i="1"/>
  <c r="I153" i="1" s="1"/>
  <c r="AA153" i="1"/>
  <c r="W162" i="1"/>
  <c r="X162" i="1" s="1"/>
  <c r="U162" i="1"/>
  <c r="I162" i="1" s="1"/>
  <c r="U165" i="1"/>
  <c r="I165" i="1" s="1"/>
  <c r="AA165" i="1"/>
  <c r="W165" i="1"/>
  <c r="X165" i="1" s="1"/>
  <c r="K97" i="2"/>
  <c r="T168" i="1"/>
  <c r="AA173" i="1"/>
  <c r="U173" i="1"/>
  <c r="I173" i="1" s="1"/>
  <c r="U179" i="1"/>
  <c r="I179" i="1" s="1"/>
  <c r="U207" i="1"/>
  <c r="I207" i="1" s="1"/>
  <c r="AA207" i="1"/>
  <c r="W207" i="1"/>
  <c r="X207" i="1" s="1"/>
  <c r="K252" i="2"/>
  <c r="K264" i="2"/>
  <c r="T225" i="1"/>
  <c r="U245" i="1"/>
  <c r="I245" i="1" s="1"/>
  <c r="AA245" i="1"/>
  <c r="W245" i="1"/>
  <c r="X245" i="1" s="1"/>
  <c r="AB264" i="1"/>
  <c r="AA59" i="1"/>
  <c r="W59" i="1"/>
  <c r="X59" i="1" s="1"/>
  <c r="K285" i="2"/>
  <c r="L285" i="2" s="1"/>
  <c r="T64" i="1"/>
  <c r="AB64" i="1" s="1"/>
  <c r="K215" i="2"/>
  <c r="T71" i="1"/>
  <c r="U18" i="1"/>
  <c r="I18" i="1" s="1"/>
  <c r="AA26" i="1"/>
  <c r="U26" i="1"/>
  <c r="I26" i="1" s="1"/>
  <c r="K17" i="2"/>
  <c r="T32" i="1"/>
  <c r="T48" i="1"/>
  <c r="U59" i="1"/>
  <c r="I59" i="1" s="1"/>
  <c r="K296" i="2"/>
  <c r="T76" i="1"/>
  <c r="X77" i="1"/>
  <c r="K981" i="2"/>
  <c r="T83" i="1"/>
  <c r="T89" i="1"/>
  <c r="K283" i="2"/>
  <c r="L283" i="2" s="1"/>
  <c r="T99" i="1"/>
  <c r="AB102" i="1"/>
  <c r="AB119" i="1"/>
  <c r="K1116" i="2"/>
  <c r="L1116" i="2" s="1"/>
  <c r="T156" i="1"/>
  <c r="AA159" i="1"/>
  <c r="W159" i="1"/>
  <c r="X159" i="1" s="1"/>
  <c r="AB172" i="1"/>
  <c r="W194" i="1"/>
  <c r="X194" i="1" s="1"/>
  <c r="AA194" i="1"/>
  <c r="U194" i="1"/>
  <c r="I194" i="1" s="1"/>
  <c r="W201" i="1"/>
  <c r="X201" i="1" s="1"/>
  <c r="U205" i="1"/>
  <c r="I205" i="1" s="1"/>
  <c r="AA205" i="1"/>
  <c r="W205" i="1"/>
  <c r="X205" i="1" s="1"/>
  <c r="K970" i="2"/>
  <c r="T243" i="1"/>
  <c r="U2" i="1"/>
  <c r="I2" i="1" s="1"/>
  <c r="U4" i="1"/>
  <c r="I4" i="1" s="1"/>
  <c r="U12" i="1"/>
  <c r="I12" i="1" s="1"/>
  <c r="AA2" i="1"/>
  <c r="AA4" i="1"/>
  <c r="K145" i="2"/>
  <c r="K127" i="2"/>
  <c r="AB2" i="1"/>
  <c r="K1268" i="2"/>
  <c r="L1268" i="2" s="1"/>
  <c r="K818" i="2"/>
  <c r="K931" i="2"/>
  <c r="K470" i="2"/>
  <c r="K342" i="2"/>
  <c r="T39" i="1"/>
  <c r="AB39" i="1" s="1"/>
  <c r="K161" i="2"/>
  <c r="K14" i="2"/>
  <c r="T8" i="1"/>
  <c r="K898" i="2"/>
  <c r="T25" i="1"/>
  <c r="X16" i="1"/>
  <c r="T17" i="1"/>
  <c r="AB17" i="1" s="1"/>
  <c r="W18" i="1"/>
  <c r="X18" i="1" s="1"/>
  <c r="W26" i="1"/>
  <c r="X26" i="1" s="1"/>
  <c r="K210" i="2"/>
  <c r="K10" i="2"/>
  <c r="AA47" i="1"/>
  <c r="U47" i="1"/>
  <c r="I47" i="1" s="1"/>
  <c r="X57" i="1"/>
  <c r="K715" i="2"/>
  <c r="T62" i="1"/>
  <c r="T63" i="1"/>
  <c r="U88" i="1"/>
  <c r="I88" i="1" s="1"/>
  <c r="AB93" i="1"/>
  <c r="K523" i="2"/>
  <c r="T103" i="1"/>
  <c r="T107" i="1"/>
  <c r="W132" i="1"/>
  <c r="X132" i="1" s="1"/>
  <c r="U132" i="1"/>
  <c r="I132" i="1" s="1"/>
  <c r="AA132" i="1"/>
  <c r="T142" i="1"/>
  <c r="U159" i="1"/>
  <c r="I159" i="1" s="1"/>
  <c r="AA162" i="1"/>
  <c r="K391" i="2"/>
  <c r="K390" i="2"/>
  <c r="T178" i="1"/>
  <c r="AA209" i="1"/>
  <c r="U209" i="1"/>
  <c r="I209" i="1" s="1"/>
  <c r="W209" i="1"/>
  <c r="X209" i="1" s="1"/>
  <c r="AA232" i="1"/>
  <c r="W232" i="1"/>
  <c r="X232" i="1" s="1"/>
  <c r="K85" i="2"/>
  <c r="T262" i="1"/>
  <c r="AB315" i="1"/>
  <c r="K346" i="2"/>
  <c r="T24" i="1"/>
  <c r="W31" i="1"/>
  <c r="X31" i="1" s="1"/>
  <c r="U31" i="1"/>
  <c r="I31" i="1" s="1"/>
  <c r="AB36" i="1"/>
  <c r="K169" i="2"/>
  <c r="T37" i="1"/>
  <c r="AA38" i="1"/>
  <c r="U38" i="1"/>
  <c r="I38" i="1" s="1"/>
  <c r="K580" i="2"/>
  <c r="K612" i="2"/>
  <c r="K613" i="2"/>
  <c r="T56" i="1"/>
  <c r="AB56" i="1" s="1"/>
  <c r="AB61" i="1"/>
  <c r="AB67" i="1"/>
  <c r="K984" i="2"/>
  <c r="T82" i="1"/>
  <c r="AB122" i="1"/>
  <c r="AB126" i="1"/>
  <c r="W145" i="1"/>
  <c r="X145" i="1" s="1"/>
  <c r="AA145" i="1"/>
  <c r="AA149" i="1"/>
  <c r="W149" i="1"/>
  <c r="X149" i="1" s="1"/>
  <c r="AA152" i="1"/>
  <c r="W152" i="1"/>
  <c r="X152" i="1" s="1"/>
  <c r="U152" i="1"/>
  <c r="I152" i="1" s="1"/>
  <c r="K98" i="2"/>
  <c r="T167" i="1"/>
  <c r="U170" i="1"/>
  <c r="I170" i="1" s="1"/>
  <c r="W170" i="1"/>
  <c r="X170" i="1" s="1"/>
  <c r="AB202" i="1"/>
  <c r="AA204" i="1"/>
  <c r="U204" i="1"/>
  <c r="I204" i="1" s="1"/>
  <c r="U226" i="1"/>
  <c r="I226" i="1" s="1"/>
  <c r="W226" i="1"/>
  <c r="X226" i="1" s="1"/>
  <c r="AA226" i="1"/>
  <c r="U232" i="1"/>
  <c r="I232" i="1" s="1"/>
  <c r="AA292" i="1"/>
  <c r="W292" i="1"/>
  <c r="X292" i="1" s="1"/>
  <c r="U292" i="1"/>
  <c r="I292" i="1" s="1"/>
  <c r="AA13" i="1"/>
  <c r="U13" i="1"/>
  <c r="I13" i="1" s="1"/>
  <c r="W13" i="1"/>
  <c r="X13" i="1" s="1"/>
  <c r="AB4" i="1"/>
  <c r="K142" i="2"/>
  <c r="T7" i="1"/>
  <c r="AB43" i="1"/>
  <c r="K9" i="2"/>
  <c r="T30" i="1"/>
  <c r="W38" i="1"/>
  <c r="X38" i="1" s="1"/>
  <c r="K137" i="2"/>
  <c r="K21" i="2"/>
  <c r="K280" i="2"/>
  <c r="T68" i="1"/>
  <c r="AA69" i="1"/>
  <c r="W69" i="1"/>
  <c r="X69" i="1" s="1"/>
  <c r="U70" i="1"/>
  <c r="I70" i="1" s="1"/>
  <c r="AB80" i="1"/>
  <c r="AB88" i="1"/>
  <c r="X94" i="1"/>
  <c r="AA102" i="1"/>
  <c r="U102" i="1"/>
  <c r="I102" i="1" s="1"/>
  <c r="K866" i="2"/>
  <c r="T106" i="1"/>
  <c r="K854" i="2"/>
  <c r="T115" i="1"/>
  <c r="AA119" i="1"/>
  <c r="W119" i="1"/>
  <c r="X119" i="1" s="1"/>
  <c r="AA123" i="1"/>
  <c r="W123" i="1"/>
  <c r="X123" i="1" s="1"/>
  <c r="AB137" i="1"/>
  <c r="W138" i="1"/>
  <c r="X138" i="1" s="1"/>
  <c r="AA138" i="1"/>
  <c r="AB144" i="1"/>
  <c r="AB151" i="1"/>
  <c r="K101" i="2"/>
  <c r="T158" i="1"/>
  <c r="K332" i="2"/>
  <c r="K71" i="2"/>
  <c r="K350" i="2"/>
  <c r="U200" i="1"/>
  <c r="I200" i="1" s="1"/>
  <c r="AA200" i="1"/>
  <c r="W200" i="1"/>
  <c r="X200" i="1" s="1"/>
  <c r="U202" i="1"/>
  <c r="I202" i="1" s="1"/>
  <c r="AA202" i="1"/>
  <c r="W202" i="1"/>
  <c r="X202" i="1" s="1"/>
  <c r="AB231" i="1"/>
  <c r="U246" i="1"/>
  <c r="I246" i="1" s="1"/>
  <c r="W246" i="1"/>
  <c r="X246" i="1" s="1"/>
  <c r="AA246" i="1"/>
  <c r="AA313" i="1"/>
  <c r="W313" i="1"/>
  <c r="X313" i="1" s="1"/>
  <c r="U313" i="1"/>
  <c r="I313" i="1" s="1"/>
  <c r="AB174" i="1"/>
  <c r="K840" i="2"/>
  <c r="K805" i="2"/>
  <c r="AB205" i="1"/>
  <c r="AB209" i="1"/>
  <c r="K359" i="2"/>
  <c r="T210" i="1"/>
  <c r="AB210" i="1" s="1"/>
  <c r="AB213" i="1"/>
  <c r="AA221" i="1"/>
  <c r="W221" i="1"/>
  <c r="X221" i="1" s="1"/>
  <c r="K585" i="2"/>
  <c r="K277" i="2"/>
  <c r="T240" i="1"/>
  <c r="AB240" i="1" s="1"/>
  <c r="K508" i="2"/>
  <c r="K512" i="2"/>
  <c r="K460" i="2"/>
  <c r="T244" i="1"/>
  <c r="K1393" i="2"/>
  <c r="L1393" i="2" s="1"/>
  <c r="K46" i="2"/>
  <c r="T247" i="1"/>
  <c r="K83" i="2"/>
  <c r="T264" i="1"/>
  <c r="AB266" i="1"/>
  <c r="W271" i="1"/>
  <c r="X271" i="1" s="1"/>
  <c r="U271" i="1"/>
  <c r="I271" i="1" s="1"/>
  <c r="U300" i="1"/>
  <c r="I300" i="1" s="1"/>
  <c r="AB300" i="1"/>
  <c r="W300" i="1"/>
  <c r="X300" i="1" s="1"/>
  <c r="U325" i="1"/>
  <c r="I325" i="1" s="1"/>
  <c r="W325" i="1"/>
  <c r="X325" i="1" s="1"/>
  <c r="AA325" i="1"/>
  <c r="AB325" i="1"/>
  <c r="U342" i="1"/>
  <c r="I342" i="1" s="1"/>
  <c r="W342" i="1"/>
  <c r="X342" i="1" s="1"/>
  <c r="AA342" i="1"/>
  <c r="AB342" i="1"/>
  <c r="AB366" i="1"/>
  <c r="AB436" i="1"/>
  <c r="AB168" i="1"/>
  <c r="U175" i="1"/>
  <c r="I175" i="1" s="1"/>
  <c r="AA175" i="1"/>
  <c r="K388" i="2"/>
  <c r="T214" i="1"/>
  <c r="U266" i="1"/>
  <c r="I266" i="1" s="1"/>
  <c r="W266" i="1"/>
  <c r="X266" i="1" s="1"/>
  <c r="U295" i="1"/>
  <c r="I295" i="1" s="1"/>
  <c r="W295" i="1"/>
  <c r="X295" i="1" s="1"/>
  <c r="AA295" i="1"/>
  <c r="AA300" i="1"/>
  <c r="U306" i="1"/>
  <c r="I306" i="1" s="1"/>
  <c r="W306" i="1"/>
  <c r="X306" i="1" s="1"/>
  <c r="AB399" i="1"/>
  <c r="U413" i="1"/>
  <c r="I413" i="1" s="1"/>
  <c r="W413" i="1"/>
  <c r="X413" i="1" s="1"/>
  <c r="AB413" i="1"/>
  <c r="T180" i="1"/>
  <c r="W206" i="1"/>
  <c r="X206" i="1" s="1"/>
  <c r="AA206" i="1"/>
  <c r="U206" i="1"/>
  <c r="I206" i="1" s="1"/>
  <c r="K1528" i="2"/>
  <c r="L1528" i="2" s="1"/>
  <c r="K808" i="2"/>
  <c r="T224" i="1"/>
  <c r="U235" i="1"/>
  <c r="I235" i="1" s="1"/>
  <c r="AA235" i="1"/>
  <c r="K11" i="2"/>
  <c r="T11" i="1"/>
  <c r="K299" i="2"/>
  <c r="K268" i="2"/>
  <c r="K830" i="2"/>
  <c r="T14" i="1"/>
  <c r="AB14" i="1" s="1"/>
  <c r="K356" i="2"/>
  <c r="T35" i="1"/>
  <c r="K1263" i="2"/>
  <c r="L1263" i="2" s="1"/>
  <c r="K139" i="2"/>
  <c r="K360" i="2"/>
  <c r="T45" i="1"/>
  <c r="K128" i="2"/>
  <c r="T50" i="1"/>
  <c r="K304" i="2"/>
  <c r="K294" i="2"/>
  <c r="K226" i="2"/>
  <c r="K24" i="2"/>
  <c r="K23" i="2"/>
  <c r="K4" i="2"/>
  <c r="K6" i="2"/>
  <c r="K5" i="2"/>
  <c r="T58" i="1"/>
  <c r="K1948" i="2"/>
  <c r="L1948" i="2" s="1"/>
  <c r="K1773" i="2"/>
  <c r="L1773" i="2" s="1"/>
  <c r="K190" i="2"/>
  <c r="T79" i="1"/>
  <c r="K632" i="2"/>
  <c r="T81" i="1"/>
  <c r="AB133" i="1"/>
  <c r="K104" i="2"/>
  <c r="T147" i="1"/>
  <c r="AB147" i="1" s="1"/>
  <c r="AA155" i="1"/>
  <c r="K611" i="2"/>
  <c r="T161" i="1"/>
  <c r="W175" i="1"/>
  <c r="X175" i="1" s="1"/>
  <c r="AA186" i="1"/>
  <c r="U192" i="1"/>
  <c r="I192" i="1" s="1"/>
  <c r="AB196" i="1"/>
  <c r="T197" i="1"/>
  <c r="U221" i="1"/>
  <c r="I221" i="1" s="1"/>
  <c r="K41" i="2"/>
  <c r="K40" i="2"/>
  <c r="T227" i="1"/>
  <c r="AB227" i="1" s="1"/>
  <c r="AA230" i="1"/>
  <c r="AB233" i="1"/>
  <c r="AB234" i="1"/>
  <c r="W235" i="1"/>
  <c r="X235" i="1" s="1"/>
  <c r="AB249" i="1"/>
  <c r="T250" i="1"/>
  <c r="K50" i="2"/>
  <c r="T254" i="1"/>
  <c r="K1735" i="2"/>
  <c r="K1520" i="2"/>
  <c r="L1520" i="2" s="1"/>
  <c r="K1176" i="2"/>
  <c r="L1176" i="2" s="1"/>
  <c r="K557" i="2"/>
  <c r="L557" i="2" s="1"/>
  <c r="T270" i="1"/>
  <c r="AA271" i="1"/>
  <c r="AA302" i="1"/>
  <c r="U302" i="1"/>
  <c r="I302" i="1" s="1"/>
  <c r="W329" i="1"/>
  <c r="X329" i="1" s="1"/>
  <c r="U329" i="1"/>
  <c r="I329" i="1" s="1"/>
  <c r="AB347" i="1"/>
  <c r="K182" i="2"/>
  <c r="T366" i="1"/>
  <c r="K193" i="2"/>
  <c r="T434" i="1"/>
  <c r="AA273" i="1"/>
  <c r="U273" i="1"/>
  <c r="I273" i="1" s="1"/>
  <c r="U285" i="1"/>
  <c r="I285" i="1" s="1"/>
  <c r="W285" i="1"/>
  <c r="X285" i="1" s="1"/>
  <c r="AA285" i="1"/>
  <c r="W302" i="1"/>
  <c r="X302" i="1" s="1"/>
  <c r="K131" i="2"/>
  <c r="K62" i="2"/>
  <c r="T304" i="1"/>
  <c r="AA306" i="1"/>
  <c r="AA335" i="1"/>
  <c r="U335" i="1"/>
  <c r="I335" i="1" s="1"/>
  <c r="W335" i="1"/>
  <c r="X335" i="1" s="1"/>
  <c r="AA356" i="1"/>
  <c r="W356" i="1"/>
  <c r="X356" i="1" s="1"/>
  <c r="U356" i="1"/>
  <c r="I356" i="1" s="1"/>
  <c r="U362" i="1"/>
  <c r="I362" i="1" s="1"/>
  <c r="AA362" i="1"/>
  <c r="W362" i="1"/>
  <c r="X362" i="1" s="1"/>
  <c r="W373" i="1"/>
  <c r="X373" i="1" s="1"/>
  <c r="AA373" i="1"/>
  <c r="K544" i="2"/>
  <c r="T399" i="1"/>
  <c r="W401" i="1"/>
  <c r="X401" i="1" s="1"/>
  <c r="U401" i="1"/>
  <c r="I401" i="1" s="1"/>
  <c r="AA401" i="1"/>
  <c r="W411" i="1"/>
  <c r="X411" i="1" s="1"/>
  <c r="U411" i="1"/>
  <c r="I411" i="1" s="1"/>
  <c r="AA411" i="1"/>
  <c r="AA413" i="1"/>
  <c r="W273" i="1"/>
  <c r="X273" i="1" s="1"/>
  <c r="AB299" i="1"/>
  <c r="W299" i="1"/>
  <c r="X299" i="1" s="1"/>
  <c r="U299" i="1"/>
  <c r="I299" i="1" s="1"/>
  <c r="AB312" i="1"/>
  <c r="W353" i="1"/>
  <c r="X353" i="1" s="1"/>
  <c r="AA353" i="1"/>
  <c r="U397" i="1"/>
  <c r="I397" i="1" s="1"/>
  <c r="AA397" i="1"/>
  <c r="W397" i="1"/>
  <c r="X397" i="1" s="1"/>
  <c r="AB397" i="1"/>
  <c r="AB437" i="1"/>
  <c r="AB199" i="1"/>
  <c r="K38" i="2"/>
  <c r="T220" i="1"/>
  <c r="K708" i="2"/>
  <c r="T223" i="1"/>
  <c r="AA238" i="1"/>
  <c r="U238" i="1"/>
  <c r="I238" i="1" s="1"/>
  <c r="AB242" i="1"/>
  <c r="AB248" i="1"/>
  <c r="AB252" i="1"/>
  <c r="AA263" i="1"/>
  <c r="W263" i="1"/>
  <c r="X263" i="1" s="1"/>
  <c r="U263" i="1"/>
  <c r="I263" i="1" s="1"/>
  <c r="K823" i="2"/>
  <c r="K479" i="2"/>
  <c r="K467" i="2"/>
  <c r="L467" i="2" s="1"/>
  <c r="K896" i="2"/>
  <c r="K354" i="2"/>
  <c r="K244" i="2"/>
  <c r="K320" i="2"/>
  <c r="K12" i="2"/>
  <c r="K168" i="2"/>
  <c r="K138" i="2"/>
  <c r="K262" i="2"/>
  <c r="T3" i="1"/>
  <c r="AB3" i="1" s="1"/>
  <c r="K716" i="2"/>
  <c r="T5" i="1"/>
  <c r="AB5" i="1" s="1"/>
  <c r="K212" i="2"/>
  <c r="T118" i="1"/>
  <c r="K1836" i="2"/>
  <c r="K1602" i="2"/>
  <c r="L1602" i="2" s="1"/>
  <c r="K94" i="2"/>
  <c r="T172" i="1"/>
  <c r="K456" i="2"/>
  <c r="K72" i="2"/>
  <c r="T183" i="1"/>
  <c r="X189" i="1"/>
  <c r="W190" i="1"/>
  <c r="X190" i="1" s="1"/>
  <c r="AB192" i="1"/>
  <c r="AB207" i="1"/>
  <c r="K35" i="2"/>
  <c r="T212" i="1"/>
  <c r="AB212" i="1" s="1"/>
  <c r="AB215" i="1"/>
  <c r="AB222" i="1"/>
  <c r="W238" i="1"/>
  <c r="X238" i="1" s="1"/>
  <c r="AB262" i="1"/>
  <c r="U310" i="1"/>
  <c r="I310" i="1" s="1"/>
  <c r="W310" i="1"/>
  <c r="X310" i="1" s="1"/>
  <c r="AA310" i="1"/>
  <c r="U373" i="1"/>
  <c r="I373" i="1" s="1"/>
  <c r="U392" i="1"/>
  <c r="I392" i="1" s="1"/>
  <c r="AA392" i="1"/>
  <c r="W392" i="1"/>
  <c r="X392" i="1" s="1"/>
  <c r="AA441" i="1"/>
  <c r="W441" i="1"/>
  <c r="X441" i="1" s="1"/>
  <c r="U441" i="1"/>
  <c r="I441" i="1" s="1"/>
  <c r="X269" i="1"/>
  <c r="K112" i="2"/>
  <c r="T272" i="1"/>
  <c r="U275" i="1"/>
  <c r="I275" i="1" s="1"/>
  <c r="W275" i="1"/>
  <c r="X275" i="1" s="1"/>
  <c r="AA275" i="1"/>
  <c r="AB275" i="1"/>
  <c r="AA281" i="1"/>
  <c r="U281" i="1"/>
  <c r="I281" i="1" s="1"/>
  <c r="AB283" i="1"/>
  <c r="AA284" i="1"/>
  <c r="W284" i="1"/>
  <c r="X284" i="1" s="1"/>
  <c r="U284" i="1"/>
  <c r="I284" i="1" s="1"/>
  <c r="AA294" i="1"/>
  <c r="W294" i="1"/>
  <c r="X294" i="1" s="1"/>
  <c r="U294" i="1"/>
  <c r="I294" i="1" s="1"/>
  <c r="U301" i="1"/>
  <c r="I301" i="1" s="1"/>
  <c r="AA303" i="1"/>
  <c r="W303" i="1"/>
  <c r="X303" i="1" s="1"/>
  <c r="AB309" i="1"/>
  <c r="K53" i="2"/>
  <c r="T312" i="1"/>
  <c r="K1736" i="2"/>
  <c r="K1518" i="2"/>
  <c r="L1518" i="2" s="1"/>
  <c r="K831" i="2"/>
  <c r="L831" i="2" s="1"/>
  <c r="T314" i="1"/>
  <c r="AB316" i="1"/>
  <c r="U416" i="1"/>
  <c r="I416" i="1" s="1"/>
  <c r="W416" i="1"/>
  <c r="X416" i="1" s="1"/>
  <c r="AA425" i="1"/>
  <c r="U425" i="1"/>
  <c r="I425" i="1" s="1"/>
  <c r="W425" i="1"/>
  <c r="X425" i="1" s="1"/>
  <c r="AA416" i="1"/>
  <c r="AB108" i="1"/>
  <c r="K1361" i="2"/>
  <c r="L1361" i="2" s="1"/>
  <c r="T112" i="1"/>
  <c r="AB164" i="1"/>
  <c r="K1080" i="2"/>
  <c r="L1080" i="2" s="1"/>
  <c r="K397" i="2"/>
  <c r="K876" i="2"/>
  <c r="T198" i="1"/>
  <c r="AB198" i="1" s="1"/>
  <c r="X211" i="1"/>
  <c r="T218" i="1"/>
  <c r="AB218" i="1" s="1"/>
  <c r="AB229" i="1"/>
  <c r="AB247" i="1"/>
  <c r="K1846" i="2"/>
  <c r="K1601" i="2"/>
  <c r="L1601" i="2" s="1"/>
  <c r="T255" i="1"/>
  <c r="T274" i="1"/>
  <c r="K73" i="2"/>
  <c r="T283" i="1"/>
  <c r="K129" i="2"/>
  <c r="K77" i="2"/>
  <c r="T293" i="1"/>
  <c r="AA321" i="1"/>
  <c r="W321" i="1"/>
  <c r="X321" i="1" s="1"/>
  <c r="U321" i="1"/>
  <c r="I321" i="1" s="1"/>
  <c r="AB327" i="1"/>
  <c r="U359" i="1"/>
  <c r="I359" i="1" s="1"/>
  <c r="AA359" i="1"/>
  <c r="W359" i="1"/>
  <c r="X359" i="1" s="1"/>
  <c r="K590" i="2"/>
  <c r="T396" i="1"/>
  <c r="W398" i="1"/>
  <c r="X398" i="1" s="1"/>
  <c r="U398" i="1"/>
  <c r="I398" i="1" s="1"/>
  <c r="AA398" i="1"/>
  <c r="K478" i="2"/>
  <c r="T87" i="1"/>
  <c r="AB87" i="1" s="1"/>
  <c r="K501" i="2"/>
  <c r="T90" i="1"/>
  <c r="K614" i="2"/>
  <c r="T111" i="1"/>
  <c r="K402" i="2"/>
  <c r="L402" i="2" s="1"/>
  <c r="T129" i="1"/>
  <c r="K243" i="2"/>
  <c r="L243" i="2" s="1"/>
  <c r="T139" i="1"/>
  <c r="AB139" i="1" s="1"/>
  <c r="W176" i="1"/>
  <c r="X176" i="1" s="1"/>
  <c r="AA176" i="1"/>
  <c r="AB201" i="1"/>
  <c r="AB214" i="1"/>
  <c r="AB221" i="1"/>
  <c r="K1592" i="2"/>
  <c r="L1592" i="2" s="1"/>
  <c r="K130" i="2"/>
  <c r="T280" i="1"/>
  <c r="AB295" i="1"/>
  <c r="U309" i="1"/>
  <c r="I309" i="1" s="1"/>
  <c r="AA309" i="1"/>
  <c r="W311" i="1"/>
  <c r="X311" i="1" s="1"/>
  <c r="AA311" i="1"/>
  <c r="AB313" i="1"/>
  <c r="AA323" i="1"/>
  <c r="W323" i="1"/>
  <c r="X323" i="1" s="1"/>
  <c r="U323" i="1"/>
  <c r="I323" i="1" s="1"/>
  <c r="U332" i="1"/>
  <c r="I332" i="1" s="1"/>
  <c r="AA332" i="1"/>
  <c r="W332" i="1"/>
  <c r="X332" i="1" s="1"/>
  <c r="U346" i="1"/>
  <c r="I346" i="1" s="1"/>
  <c r="W346" i="1"/>
  <c r="X346" i="1" s="1"/>
  <c r="K1670" i="2"/>
  <c r="L1670" i="2" s="1"/>
  <c r="T380" i="1"/>
  <c r="K1241" i="2"/>
  <c r="L1241" i="2" s="1"/>
  <c r="K444" i="2"/>
  <c r="K703" i="2"/>
  <c r="L703" i="2" s="1"/>
  <c r="K387" i="2"/>
  <c r="K136" i="2"/>
  <c r="K1170" i="2"/>
  <c r="L1170" i="2" s="1"/>
  <c r="K1142" i="2"/>
  <c r="L1142" i="2" s="1"/>
  <c r="K1371" i="2"/>
  <c r="L1371" i="2" s="1"/>
  <c r="K1177" i="2"/>
  <c r="L1177" i="2" s="1"/>
  <c r="AB330" i="1"/>
  <c r="AB334" i="1"/>
  <c r="AA341" i="1"/>
  <c r="W341" i="1"/>
  <c r="X341" i="1" s="1"/>
  <c r="K458" i="2"/>
  <c r="T15" i="1"/>
  <c r="K216" i="2"/>
  <c r="T66" i="1"/>
  <c r="AB66" i="1" s="1"/>
  <c r="K882" i="2"/>
  <c r="K892" i="2"/>
  <c r="K481" i="2"/>
  <c r="L481" i="2" s="1"/>
  <c r="K248" i="2"/>
  <c r="T116" i="1"/>
  <c r="K355" i="2"/>
  <c r="K88" i="2"/>
  <c r="T208" i="1"/>
  <c r="T217" i="1"/>
  <c r="AB217" i="1" s="1"/>
  <c r="AB271" i="1"/>
  <c r="T282" i="1"/>
  <c r="T290" i="1"/>
  <c r="U296" i="1"/>
  <c r="I296" i="1" s="1"/>
  <c r="W296" i="1"/>
  <c r="X296" i="1" s="1"/>
  <c r="T315" i="1"/>
  <c r="AB321" i="1"/>
  <c r="K1183" i="2"/>
  <c r="L1183" i="2" s="1"/>
  <c r="K1059" i="2"/>
  <c r="T324" i="1"/>
  <c r="AB324" i="1" s="1"/>
  <c r="AB328" i="1"/>
  <c r="AB329" i="1"/>
  <c r="U331" i="1"/>
  <c r="I331" i="1" s="1"/>
  <c r="W338" i="1"/>
  <c r="X338" i="1" s="1"/>
  <c r="AA338" i="1"/>
  <c r="AB356" i="1"/>
  <c r="K864" i="2"/>
  <c r="K900" i="2"/>
  <c r="K605" i="2"/>
  <c r="AB360" i="1"/>
  <c r="T365" i="1"/>
  <c r="AB374" i="1"/>
  <c r="W385" i="1"/>
  <c r="X385" i="1" s="1"/>
  <c r="X391" i="1"/>
  <c r="AB398" i="1"/>
  <c r="AB401" i="1"/>
  <c r="U407" i="1"/>
  <c r="I407" i="1" s="1"/>
  <c r="AA407" i="1"/>
  <c r="W407" i="1"/>
  <c r="X407" i="1" s="1"/>
  <c r="AB409" i="1"/>
  <c r="K222" i="2"/>
  <c r="K162" i="2"/>
  <c r="K464" i="2"/>
  <c r="T430" i="1"/>
  <c r="W438" i="1"/>
  <c r="X438" i="1" s="1"/>
  <c r="AA438" i="1"/>
  <c r="AA451" i="1"/>
  <c r="W451" i="1"/>
  <c r="X451" i="1" s="1"/>
  <c r="U451" i="1"/>
  <c r="I451" i="1" s="1"/>
  <c r="W525" i="1"/>
  <c r="X525" i="1" s="1"/>
  <c r="U525" i="1"/>
  <c r="I525" i="1" s="1"/>
  <c r="AA525" i="1"/>
  <c r="K1372" i="2"/>
  <c r="L1372" i="2" s="1"/>
  <c r="K80" i="2"/>
  <c r="K2165" i="2"/>
  <c r="T330" i="1"/>
  <c r="W331" i="1"/>
  <c r="X331" i="1" s="1"/>
  <c r="K454" i="2"/>
  <c r="K447" i="2"/>
  <c r="L447" i="2" s="1"/>
  <c r="U341" i="1"/>
  <c r="I341" i="1" s="1"/>
  <c r="U357" i="1"/>
  <c r="I357" i="1" s="1"/>
  <c r="AA357" i="1"/>
  <c r="AB369" i="1"/>
  <c r="K348" i="2"/>
  <c r="T379" i="1"/>
  <c r="K430" i="2"/>
  <c r="T412" i="1"/>
  <c r="U427" i="1"/>
  <c r="I427" i="1" s="1"/>
  <c r="AA427" i="1"/>
  <c r="AA433" i="1"/>
  <c r="W433" i="1"/>
  <c r="X433" i="1" s="1"/>
  <c r="U433" i="1"/>
  <c r="I433" i="1" s="1"/>
  <c r="K2249" i="2"/>
  <c r="K592" i="2"/>
  <c r="T445" i="1"/>
  <c r="W216" i="1"/>
  <c r="X216" i="1" s="1"/>
  <c r="U216" i="1"/>
  <c r="I216" i="1" s="1"/>
  <c r="X219" i="1"/>
  <c r="K899" i="2"/>
  <c r="L899" i="2" s="1"/>
  <c r="K394" i="2"/>
  <c r="T237" i="1"/>
  <c r="AB261" i="1"/>
  <c r="U286" i="1"/>
  <c r="I286" i="1" s="1"/>
  <c r="W286" i="1"/>
  <c r="X286" i="1" s="1"/>
  <c r="AB311" i="1"/>
  <c r="T334" i="1"/>
  <c r="W344" i="1"/>
  <c r="X344" i="1" s="1"/>
  <c r="U344" i="1"/>
  <c r="I344" i="1" s="1"/>
  <c r="AB350" i="1"/>
  <c r="W357" i="1"/>
  <c r="X357" i="1" s="1"/>
  <c r="K303" i="2"/>
  <c r="T360" i="1"/>
  <c r="U361" i="1"/>
  <c r="I361" i="1" s="1"/>
  <c r="T364" i="1"/>
  <c r="K861" i="2"/>
  <c r="T367" i="1"/>
  <c r="W374" i="1"/>
  <c r="X374" i="1" s="1"/>
  <c r="AA374" i="1"/>
  <c r="AB376" i="1"/>
  <c r="U395" i="1"/>
  <c r="I395" i="1" s="1"/>
  <c r="W427" i="1"/>
  <c r="X427" i="1" s="1"/>
  <c r="W443" i="1"/>
  <c r="X443" i="1" s="1"/>
  <c r="U443" i="1"/>
  <c r="I443" i="1" s="1"/>
  <c r="AA443" i="1"/>
  <c r="W453" i="1"/>
  <c r="X453" i="1" s="1"/>
  <c r="U453" i="1"/>
  <c r="I453" i="1" s="1"/>
  <c r="AB474" i="1"/>
  <c r="AB511" i="1"/>
  <c r="U322" i="1"/>
  <c r="I322" i="1" s="1"/>
  <c r="U328" i="1"/>
  <c r="I328" i="1" s="1"/>
  <c r="T340" i="1"/>
  <c r="AA344" i="1"/>
  <c r="AB354" i="1"/>
  <c r="AB359" i="1"/>
  <c r="W361" i="1"/>
  <c r="X361" i="1" s="1"/>
  <c r="K1830" i="2"/>
  <c r="K491" i="2"/>
  <c r="T369" i="1"/>
  <c r="U374" i="1"/>
  <c r="I374" i="1" s="1"/>
  <c r="W383" i="1"/>
  <c r="X383" i="1" s="1"/>
  <c r="U383" i="1"/>
  <c r="I383" i="1" s="1"/>
  <c r="AA395" i="1"/>
  <c r="AA403" i="1"/>
  <c r="U403" i="1"/>
  <c r="I403" i="1" s="1"/>
  <c r="W406" i="1"/>
  <c r="X406" i="1" s="1"/>
  <c r="U406" i="1"/>
  <c r="I406" i="1" s="1"/>
  <c r="AA406" i="1"/>
  <c r="U409" i="1"/>
  <c r="I409" i="1" s="1"/>
  <c r="W409" i="1"/>
  <c r="X409" i="1" s="1"/>
  <c r="AA409" i="1"/>
  <c r="K673" i="2"/>
  <c r="T414" i="1"/>
  <c r="U417" i="1"/>
  <c r="I417" i="1" s="1"/>
  <c r="AA417" i="1"/>
  <c r="W417" i="1"/>
  <c r="X417" i="1" s="1"/>
  <c r="W421" i="1"/>
  <c r="X421" i="1" s="1"/>
  <c r="K1233" i="2"/>
  <c r="L1233" i="2" s="1"/>
  <c r="K382" i="2"/>
  <c r="K322" i="2"/>
  <c r="T435" i="1"/>
  <c r="AB435" i="1" s="1"/>
  <c r="U462" i="1"/>
  <c r="I462" i="1" s="1"/>
  <c r="AA462" i="1"/>
  <c r="AB516" i="1"/>
  <c r="U554" i="1"/>
  <c r="I554" i="1" s="1"/>
  <c r="AA554" i="1"/>
  <c r="AB554" i="1"/>
  <c r="W554" i="1"/>
  <c r="X554" i="1" s="1"/>
  <c r="U276" i="1"/>
  <c r="I276" i="1" s="1"/>
  <c r="W276" i="1"/>
  <c r="X276" i="1" s="1"/>
  <c r="W279" i="1"/>
  <c r="X279" i="1" s="1"/>
  <c r="AB301" i="1"/>
  <c r="K438" i="2"/>
  <c r="K386" i="2"/>
  <c r="K191" i="2"/>
  <c r="T320" i="1"/>
  <c r="W322" i="1"/>
  <c r="X322" i="1" s="1"/>
  <c r="U326" i="1"/>
  <c r="I326" i="1" s="1"/>
  <c r="W326" i="1"/>
  <c r="X326" i="1" s="1"/>
  <c r="T337" i="1"/>
  <c r="AB337" i="1" s="1"/>
  <c r="AB346" i="1"/>
  <c r="AA371" i="1"/>
  <c r="U371" i="1"/>
  <c r="I371" i="1" s="1"/>
  <c r="K570" i="2"/>
  <c r="T376" i="1"/>
  <c r="AB380" i="1"/>
  <c r="U394" i="1"/>
  <c r="I394" i="1" s="1"/>
  <c r="AB416" i="1"/>
  <c r="AA421" i="1"/>
  <c r="K230" i="2"/>
  <c r="K310" i="2"/>
  <c r="T429" i="1"/>
  <c r="K383" i="2"/>
  <c r="K316" i="2"/>
  <c r="K328" i="2"/>
  <c r="AB434" i="1"/>
  <c r="W462" i="1"/>
  <c r="X462" i="1" s="1"/>
  <c r="AB468" i="1"/>
  <c r="K577" i="2"/>
  <c r="L577" i="2" s="1"/>
  <c r="T477" i="1"/>
  <c r="K327" i="2"/>
  <c r="T511" i="1"/>
  <c r="T126" i="1"/>
  <c r="K834" i="2"/>
  <c r="K400" i="2"/>
  <c r="K26" i="2"/>
  <c r="T188" i="1"/>
  <c r="AA216" i="1"/>
  <c r="U236" i="1"/>
  <c r="I236" i="1" s="1"/>
  <c r="W236" i="1"/>
  <c r="X236" i="1" s="1"/>
  <c r="X239" i="1"/>
  <c r="AB251" i="1"/>
  <c r="K357" i="2"/>
  <c r="K358" i="2"/>
  <c r="K13" i="2"/>
  <c r="K257" i="2"/>
  <c r="L257" i="2" s="1"/>
  <c r="T40" i="1"/>
  <c r="K746" i="2"/>
  <c r="L746" i="2" s="1"/>
  <c r="K763" i="2"/>
  <c r="K659" i="2"/>
  <c r="K658" i="2"/>
  <c r="K769" i="2"/>
  <c r="T91" i="1"/>
  <c r="AB91" i="1" s="1"/>
  <c r="T140" i="1"/>
  <c r="K1250" i="2"/>
  <c r="L1250" i="2" s="1"/>
  <c r="T141" i="1"/>
  <c r="T154" i="1"/>
  <c r="T184" i="1"/>
  <c r="AB184" i="1" s="1"/>
  <c r="T185" i="1"/>
  <c r="T187" i="1"/>
  <c r="T228" i="1"/>
  <c r="AB228" i="1" s="1"/>
  <c r="K1425" i="2"/>
  <c r="L1425" i="2" s="1"/>
  <c r="K1122" i="2"/>
  <c r="L1122" i="2" s="1"/>
  <c r="K219" i="2"/>
  <c r="L219" i="2" s="1"/>
  <c r="K44" i="2"/>
  <c r="T253" i="1"/>
  <c r="AB284" i="1"/>
  <c r="AA286" i="1"/>
  <c r="AB292" i="1"/>
  <c r="K1328" i="2"/>
  <c r="L1328" i="2" s="1"/>
  <c r="K1044" i="2"/>
  <c r="K586" i="2"/>
  <c r="K771" i="2"/>
  <c r="L771" i="2" s="1"/>
  <c r="K439" i="2"/>
  <c r="AB332" i="1"/>
  <c r="AA333" i="1"/>
  <c r="W333" i="1"/>
  <c r="X333" i="1" s="1"/>
  <c r="AB336" i="1"/>
  <c r="AB339" i="1"/>
  <c r="W343" i="1"/>
  <c r="X343" i="1" s="1"/>
  <c r="U343" i="1"/>
  <c r="I343" i="1" s="1"/>
  <c r="AB353" i="1"/>
  <c r="AB363" i="1"/>
  <c r="W363" i="1"/>
  <c r="X363" i="1" s="1"/>
  <c r="AB373" i="1"/>
  <c r="X378" i="1"/>
  <c r="AB392" i="1"/>
  <c r="W394" i="1"/>
  <c r="X394" i="1" s="1"/>
  <c r="W403" i="1"/>
  <c r="X403" i="1" s="1"/>
  <c r="W405" i="1"/>
  <c r="X405" i="1" s="1"/>
  <c r="AA405" i="1"/>
  <c r="AB421" i="1"/>
  <c r="T426" i="1"/>
  <c r="T432" i="1"/>
  <c r="W448" i="1"/>
  <c r="X448" i="1" s="1"/>
  <c r="AA448" i="1"/>
  <c r="U448" i="1"/>
  <c r="I448" i="1" s="1"/>
  <c r="AA453" i="1"/>
  <c r="AB462" i="1"/>
  <c r="W468" i="1"/>
  <c r="X468" i="1" s="1"/>
  <c r="U468" i="1"/>
  <c r="I468" i="1" s="1"/>
  <c r="AA468" i="1"/>
  <c r="AA545" i="1"/>
  <c r="W545" i="1"/>
  <c r="X545" i="1" s="1"/>
  <c r="U545" i="1"/>
  <c r="I545" i="1" s="1"/>
  <c r="U442" i="1"/>
  <c r="I442" i="1" s="1"/>
  <c r="W442" i="1"/>
  <c r="X442" i="1" s="1"/>
  <c r="AA442" i="1"/>
  <c r="K571" i="2"/>
  <c r="T471" i="1"/>
  <c r="K155" i="2"/>
  <c r="T494" i="1"/>
  <c r="AB512" i="1"/>
  <c r="K1185" i="2"/>
  <c r="L1185" i="2" s="1"/>
  <c r="K558" i="2"/>
  <c r="K256" i="2"/>
  <c r="AB282" i="1"/>
  <c r="K552" i="2"/>
  <c r="K443" i="2"/>
  <c r="AA326" i="1"/>
  <c r="K449" i="2"/>
  <c r="K453" i="2"/>
  <c r="K543" i="2"/>
  <c r="L543" i="2" s="1"/>
  <c r="T336" i="1"/>
  <c r="T339" i="1"/>
  <c r="W354" i="1"/>
  <c r="X354" i="1" s="1"/>
  <c r="AA363" i="1"/>
  <c r="AB365" i="1"/>
  <c r="W368" i="1"/>
  <c r="X368" i="1" s="1"/>
  <c r="AA368" i="1"/>
  <c r="U368" i="1"/>
  <c r="I368" i="1" s="1"/>
  <c r="AB370" i="1"/>
  <c r="AB377" i="1"/>
  <c r="AB383" i="1"/>
  <c r="AB385" i="1"/>
  <c r="W393" i="1"/>
  <c r="X393" i="1" s="1"/>
  <c r="AA400" i="1"/>
  <c r="AB402" i="1"/>
  <c r="AB404" i="1"/>
  <c r="W408" i="1"/>
  <c r="X408" i="1" s="1"/>
  <c r="U408" i="1"/>
  <c r="I408" i="1" s="1"/>
  <c r="AA408" i="1"/>
  <c r="AB415" i="1"/>
  <c r="U419" i="1"/>
  <c r="I419" i="1" s="1"/>
  <c r="W419" i="1"/>
  <c r="X419" i="1" s="1"/>
  <c r="W428" i="1"/>
  <c r="X428" i="1" s="1"/>
  <c r="AA428" i="1"/>
  <c r="AA431" i="1"/>
  <c r="W431" i="1"/>
  <c r="X431" i="1" s="1"/>
  <c r="AB441" i="1"/>
  <c r="W444" i="1"/>
  <c r="X444" i="1" s="1"/>
  <c r="U444" i="1"/>
  <c r="I444" i="1" s="1"/>
  <c r="AA444" i="1"/>
  <c r="U452" i="1"/>
  <c r="I452" i="1" s="1"/>
  <c r="W452" i="1"/>
  <c r="X452" i="1" s="1"/>
  <c r="X505" i="1"/>
  <c r="K569" i="2"/>
  <c r="T345" i="1"/>
  <c r="W348" i="1"/>
  <c r="X348" i="1" s="1"/>
  <c r="U348" i="1"/>
  <c r="I348" i="1" s="1"/>
  <c r="W358" i="1"/>
  <c r="X358" i="1" s="1"/>
  <c r="AA358" i="1"/>
  <c r="T370" i="1"/>
  <c r="W375" i="1"/>
  <c r="X375" i="1" s="1"/>
  <c r="U375" i="1"/>
  <c r="I375" i="1" s="1"/>
  <c r="AA375" i="1"/>
  <c r="U377" i="1"/>
  <c r="I377" i="1" s="1"/>
  <c r="AA377" i="1"/>
  <c r="W377" i="1"/>
  <c r="X377" i="1" s="1"/>
  <c r="U402" i="1"/>
  <c r="I402" i="1" s="1"/>
  <c r="AA402" i="1"/>
  <c r="W402" i="1"/>
  <c r="X402" i="1" s="1"/>
  <c r="K462" i="2"/>
  <c r="T404" i="1"/>
  <c r="T415" i="1"/>
  <c r="W418" i="1"/>
  <c r="X418" i="1" s="1"/>
  <c r="U418" i="1"/>
  <c r="I418" i="1" s="1"/>
  <c r="AB443" i="1"/>
  <c r="AB445" i="1"/>
  <c r="K813" i="2"/>
  <c r="T487" i="1"/>
  <c r="K269" i="2"/>
  <c r="K33" i="2"/>
  <c r="K196" i="2"/>
  <c r="K173" i="2"/>
  <c r="K389" i="2"/>
  <c r="K31" i="2"/>
  <c r="K16" i="2"/>
  <c r="K18" i="2"/>
  <c r="T248" i="1"/>
  <c r="T258" i="1"/>
  <c r="AB258" i="1" s="1"/>
  <c r="T268" i="1"/>
  <c r="K1143" i="2"/>
  <c r="L1143" i="2" s="1"/>
  <c r="K935" i="2"/>
  <c r="K176" i="2"/>
  <c r="T278" i="1"/>
  <c r="K1514" i="2"/>
  <c r="L1514" i="2" s="1"/>
  <c r="K1368" i="2"/>
  <c r="L1368" i="2" s="1"/>
  <c r="K429" i="2"/>
  <c r="K105" i="2"/>
  <c r="K106" i="2"/>
  <c r="T298" i="1"/>
  <c r="AB298" i="1" s="1"/>
  <c r="K471" i="2"/>
  <c r="K442" i="2"/>
  <c r="K192" i="2"/>
  <c r="T308" i="1"/>
  <c r="T318" i="1"/>
  <c r="AB318" i="1" s="1"/>
  <c r="T352" i="1"/>
  <c r="W381" i="1"/>
  <c r="X381" i="1" s="1"/>
  <c r="T390" i="1"/>
  <c r="AB390" i="1" s="1"/>
  <c r="K151" i="2"/>
  <c r="K321" i="2"/>
  <c r="K227" i="2"/>
  <c r="K278" i="2"/>
  <c r="K505" i="2"/>
  <c r="L505" i="2" s="1"/>
  <c r="K529" i="2"/>
  <c r="T454" i="1"/>
  <c r="K272" i="2"/>
  <c r="K325" i="2"/>
  <c r="K1440" i="2"/>
  <c r="K1700" i="2"/>
  <c r="L1700" i="2" s="1"/>
  <c r="K561" i="2"/>
  <c r="K903" i="2"/>
  <c r="K562" i="2"/>
  <c r="T467" i="1"/>
  <c r="AB467" i="1" s="1"/>
  <c r="K517" i="2"/>
  <c r="L517" i="2" s="1"/>
  <c r="T482" i="1"/>
  <c r="AB482" i="1" s="1"/>
  <c r="K352" i="2"/>
  <c r="K324" i="2"/>
  <c r="K225" i="2"/>
  <c r="L225" i="2" s="1"/>
  <c r="T499" i="1"/>
  <c r="AB499" i="1" s="1"/>
  <c r="X503" i="1"/>
  <c r="K863" i="2"/>
  <c r="T516" i="1"/>
  <c r="W533" i="1"/>
  <c r="X533" i="1" s="1"/>
  <c r="AB538" i="1"/>
  <c r="L540" i="1"/>
  <c r="AB540" i="1" s="1"/>
  <c r="AA378" i="1"/>
  <c r="AA381" i="1"/>
  <c r="U387" i="1"/>
  <c r="I387" i="1" s="1"/>
  <c r="AA387" i="1"/>
  <c r="AB396" i="1"/>
  <c r="AB400" i="1"/>
  <c r="K339" i="2"/>
  <c r="K309" i="2"/>
  <c r="K220" i="2"/>
  <c r="K172" i="2"/>
  <c r="L172" i="2" s="1"/>
  <c r="K233" i="2"/>
  <c r="L233" i="2" s="1"/>
  <c r="X466" i="1"/>
  <c r="X470" i="1"/>
  <c r="K2150" i="2"/>
  <c r="L2150" i="2" s="1"/>
  <c r="K154" i="2"/>
  <c r="T481" i="1"/>
  <c r="K534" i="2"/>
  <c r="T497" i="1"/>
  <c r="AB497" i="1" s="1"/>
  <c r="K1199" i="2"/>
  <c r="L1199" i="2" s="1"/>
  <c r="T514" i="1"/>
  <c r="AB525" i="1"/>
  <c r="K204" i="2"/>
  <c r="T526" i="1"/>
  <c r="AB526" i="1" s="1"/>
  <c r="AB545" i="1"/>
  <c r="U457" i="1"/>
  <c r="I457" i="1" s="1"/>
  <c r="AA457" i="1"/>
  <c r="K683" i="2"/>
  <c r="L683" i="2" s="1"/>
  <c r="K414" i="2"/>
  <c r="K209" i="2"/>
  <c r="L209" i="2" s="1"/>
  <c r="T479" i="1"/>
  <c r="K275" i="2"/>
  <c r="T496" i="1"/>
  <c r="K417" i="2"/>
  <c r="L417" i="2" s="1"/>
  <c r="K522" i="2"/>
  <c r="K596" i="2"/>
  <c r="T512" i="1"/>
  <c r="X530" i="1"/>
  <c r="AA543" i="1"/>
  <c r="W543" i="1"/>
  <c r="X543" i="1" s="1"/>
  <c r="W570" i="1"/>
  <c r="X570" i="1" s="1"/>
  <c r="U570" i="1"/>
  <c r="I570" i="1" s="1"/>
  <c r="U530" i="1"/>
  <c r="I530" i="1" s="1"/>
  <c r="U549" i="1"/>
  <c r="I549" i="1" s="1"/>
  <c r="AA549" i="1"/>
  <c r="AA570" i="1"/>
  <c r="K494" i="2"/>
  <c r="T476" i="1"/>
  <c r="K643" i="2"/>
  <c r="T492" i="1"/>
  <c r="K181" i="2"/>
  <c r="K289" i="2"/>
  <c r="L289" i="2" s="1"/>
  <c r="T509" i="1"/>
  <c r="X513" i="1"/>
  <c r="AA530" i="1"/>
  <c r="U539" i="1"/>
  <c r="I539" i="1" s="1"/>
  <c r="AA539" i="1"/>
  <c r="W539" i="1"/>
  <c r="X539" i="1" s="1"/>
  <c r="AB542" i="1"/>
  <c r="U543" i="1"/>
  <c r="I543" i="1" s="1"/>
  <c r="K1026" i="2"/>
  <c r="K509" i="2"/>
  <c r="T556" i="1"/>
  <c r="AB556" i="1" s="1"/>
  <c r="K159" i="2"/>
  <c r="K180" i="2"/>
  <c r="K1097" i="2"/>
  <c r="L1097" i="2" s="1"/>
  <c r="K375" i="2"/>
  <c r="K194" i="2"/>
  <c r="T440" i="1"/>
  <c r="AA458" i="1"/>
  <c r="AA459" i="1"/>
  <c r="K167" i="2"/>
  <c r="T474" i="1"/>
  <c r="X480" i="1"/>
  <c r="AB487" i="1"/>
  <c r="K531" i="2"/>
  <c r="K619" i="2"/>
  <c r="T491" i="1"/>
  <c r="K281" i="2"/>
  <c r="L281" i="2" s="1"/>
  <c r="K160" i="2"/>
  <c r="T507" i="1"/>
  <c r="K201" i="2"/>
  <c r="T524" i="1"/>
  <c r="T529" i="1"/>
  <c r="AB532" i="1"/>
  <c r="AB533" i="1"/>
  <c r="K312" i="2"/>
  <c r="L312" i="2" s="1"/>
  <c r="K333" i="2"/>
  <c r="U535" i="1"/>
  <c r="I535" i="1" s="1"/>
  <c r="AB549" i="1"/>
  <c r="AB577" i="1"/>
  <c r="K1403" i="2"/>
  <c r="L1403" i="2" s="1"/>
  <c r="K1404" i="2"/>
  <c r="L1404" i="2" s="1"/>
  <c r="K452" i="2"/>
  <c r="K466" i="2"/>
  <c r="T372" i="1"/>
  <c r="K1454" i="2"/>
  <c r="L1454" i="2" s="1"/>
  <c r="K772" i="2"/>
  <c r="K404" i="2"/>
  <c r="K345" i="2"/>
  <c r="K714" i="2"/>
  <c r="L714" i="2" s="1"/>
  <c r="T410" i="1"/>
  <c r="AB410" i="1" s="1"/>
  <c r="T436" i="1"/>
  <c r="T437" i="1"/>
  <c r="T439" i="1"/>
  <c r="K165" i="2"/>
  <c r="L165" i="2" s="1"/>
  <c r="T472" i="1"/>
  <c r="AB472" i="1" s="1"/>
  <c r="K594" i="2"/>
  <c r="L594" i="2" s="1"/>
  <c r="K572" i="2"/>
  <c r="T489" i="1"/>
  <c r="AB489" i="1" s="1"/>
  <c r="K232" i="2"/>
  <c r="K300" i="2"/>
  <c r="K195" i="2"/>
  <c r="T506" i="1"/>
  <c r="K199" i="2"/>
  <c r="L199" i="2" s="1"/>
  <c r="T522" i="1"/>
  <c r="AB522" i="1" s="1"/>
  <c r="AB527" i="1"/>
  <c r="U534" i="1"/>
  <c r="I534" i="1" s="1"/>
  <c r="AA534" i="1"/>
  <c r="X535" i="1"/>
  <c r="K218" i="2"/>
  <c r="T542" i="1"/>
  <c r="AB561" i="1"/>
  <c r="W567" i="1"/>
  <c r="X567" i="1" s="1"/>
  <c r="U567" i="1"/>
  <c r="I567" i="1" s="1"/>
  <c r="K1230" i="2"/>
  <c r="L1230" i="2" s="1"/>
  <c r="T504" i="1"/>
  <c r="X508" i="1"/>
  <c r="K198" i="2"/>
  <c r="T521" i="1"/>
  <c r="AA528" i="1"/>
  <c r="U528" i="1"/>
  <c r="I528" i="1" s="1"/>
  <c r="W534" i="1"/>
  <c r="X534" i="1" s="1"/>
  <c r="AA575" i="1"/>
  <c r="U575" i="1"/>
  <c r="I575" i="1" s="1"/>
  <c r="W575" i="1"/>
  <c r="X575" i="1" s="1"/>
  <c r="AA577" i="1"/>
  <c r="W577" i="1"/>
  <c r="X577" i="1" s="1"/>
  <c r="U577" i="1"/>
  <c r="I577" i="1" s="1"/>
  <c r="K1376" i="2"/>
  <c r="L1376" i="2" s="1"/>
  <c r="K110" i="2"/>
  <c r="K1247" i="2"/>
  <c r="L1247" i="2" s="1"/>
  <c r="K532" i="2"/>
  <c r="K369" i="2"/>
  <c r="K123" i="2"/>
  <c r="K152" i="2"/>
  <c r="K68" i="2"/>
  <c r="K1156" i="2"/>
  <c r="L1156" i="2" s="1"/>
  <c r="K567" i="2"/>
  <c r="L567" i="2" s="1"/>
  <c r="K568" i="2"/>
  <c r="K587" i="2"/>
  <c r="K610" i="2"/>
  <c r="K606" i="2"/>
  <c r="K378" i="2"/>
  <c r="L378" i="2" s="1"/>
  <c r="K239" i="2"/>
  <c r="L239" i="2" s="1"/>
  <c r="K133" i="2"/>
  <c r="K229" i="2"/>
  <c r="K1342" i="2"/>
  <c r="L1342" i="2" s="1"/>
  <c r="K276" i="2"/>
  <c r="K1291" i="2"/>
  <c r="L1291" i="2" s="1"/>
  <c r="K376" i="2"/>
  <c r="T350" i="1"/>
  <c r="K710" i="2"/>
  <c r="K260" i="2"/>
  <c r="K336" i="2"/>
  <c r="K228" i="2"/>
  <c r="K459" i="2"/>
  <c r="K263" i="2"/>
  <c r="L263" i="2" s="1"/>
  <c r="T450" i="1"/>
  <c r="AB450" i="1" s="1"/>
  <c r="X473" i="1"/>
  <c r="K1140" i="2"/>
  <c r="L1140" i="2" s="1"/>
  <c r="T486" i="1"/>
  <c r="K261" i="2"/>
  <c r="K240" i="2"/>
  <c r="K290" i="2"/>
  <c r="T502" i="1"/>
  <c r="K1931" i="2"/>
  <c r="K541" i="2"/>
  <c r="K236" i="2"/>
  <c r="T519" i="1"/>
  <c r="K1027" i="2"/>
  <c r="T544" i="1"/>
  <c r="AB552" i="1"/>
  <c r="AA555" i="1"/>
  <c r="W555" i="1"/>
  <c r="X555" i="1" s="1"/>
  <c r="K258" i="2"/>
  <c r="T561" i="1"/>
  <c r="AB575" i="1"/>
  <c r="AA584" i="1"/>
  <c r="W584" i="1"/>
  <c r="X584" i="1" s="1"/>
  <c r="U584" i="1"/>
  <c r="I584" i="1" s="1"/>
  <c r="AA598" i="1"/>
  <c r="W598" i="1"/>
  <c r="X598" i="1" s="1"/>
  <c r="U598" i="1"/>
  <c r="I598" i="1" s="1"/>
  <c r="K1338" i="2"/>
  <c r="L1338" i="2" s="1"/>
  <c r="K836" i="2"/>
  <c r="T257" i="1"/>
  <c r="T267" i="1"/>
  <c r="AB267" i="1" s="1"/>
  <c r="T277" i="1"/>
  <c r="AB277" i="1" s="1"/>
  <c r="T287" i="1"/>
  <c r="K393" i="2"/>
  <c r="K121" i="2"/>
  <c r="T297" i="1"/>
  <c r="T307" i="1"/>
  <c r="T317" i="1"/>
  <c r="T327" i="1"/>
  <c r="T347" i="1"/>
  <c r="T349" i="1"/>
  <c r="U378" i="1"/>
  <c r="I378" i="1" s="1"/>
  <c r="T382" i="1"/>
  <c r="T384" i="1"/>
  <c r="K1666" i="2"/>
  <c r="L1666" i="2" s="1"/>
  <c r="K1163" i="2"/>
  <c r="L1163" i="2" s="1"/>
  <c r="K713" i="2"/>
  <c r="L713" i="2" s="1"/>
  <c r="K591" i="2"/>
  <c r="K279" i="2"/>
  <c r="L279" i="2" s="1"/>
  <c r="K274" i="2"/>
  <c r="K253" i="2"/>
  <c r="L253" i="2" s="1"/>
  <c r="K942" i="2"/>
  <c r="K254" i="2"/>
  <c r="T420" i="1"/>
  <c r="AB425" i="1"/>
  <c r="T446" i="1"/>
  <c r="T447" i="1"/>
  <c r="T449" i="1"/>
  <c r="K213" i="2"/>
  <c r="K186" i="2"/>
  <c r="AB463" i="1"/>
  <c r="W469" i="1"/>
  <c r="X469" i="1" s="1"/>
  <c r="K1015" i="2"/>
  <c r="K153" i="2"/>
  <c r="T484" i="1"/>
  <c r="X488" i="1"/>
  <c r="K380" i="2"/>
  <c r="L380" i="2" s="1"/>
  <c r="K292" i="2"/>
  <c r="K353" i="2"/>
  <c r="T501" i="1"/>
  <c r="K565" i="2"/>
  <c r="L565" i="2" s="1"/>
  <c r="T517" i="1"/>
  <c r="T527" i="1"/>
  <c r="K617" i="2"/>
  <c r="T531" i="1"/>
  <c r="W532" i="1"/>
  <c r="X532" i="1" s="1"/>
  <c r="AB534" i="1"/>
  <c r="AA538" i="1"/>
  <c r="AA566" i="1"/>
  <c r="U566" i="1"/>
  <c r="I566" i="1" s="1"/>
  <c r="W566" i="1"/>
  <c r="X566" i="1" s="1"/>
  <c r="K475" i="2"/>
  <c r="L475" i="2" s="1"/>
  <c r="T546" i="1"/>
  <c r="W562" i="1"/>
  <c r="X562" i="1" s="1"/>
  <c r="U562" i="1"/>
  <c r="I562" i="1" s="1"/>
  <c r="AB565" i="1"/>
  <c r="U582" i="1"/>
  <c r="I582" i="1" s="1"/>
  <c r="AA582" i="1"/>
  <c r="AA586" i="1"/>
  <c r="W586" i="1"/>
  <c r="X586" i="1" s="1"/>
  <c r="AB598" i="1"/>
  <c r="W611" i="1"/>
  <c r="X611" i="1" s="1"/>
  <c r="U611" i="1"/>
  <c r="I611" i="1" s="1"/>
  <c r="AA611" i="1"/>
  <c r="AB616" i="1"/>
  <c r="AA624" i="1"/>
  <c r="W624" i="1"/>
  <c r="X624" i="1" s="1"/>
  <c r="U624" i="1"/>
  <c r="I624" i="1" s="1"/>
  <c r="AB633" i="1"/>
  <c r="AB638" i="1"/>
  <c r="AA659" i="1"/>
  <c r="W659" i="1"/>
  <c r="X659" i="1" s="1"/>
  <c r="U659" i="1"/>
  <c r="I659" i="1" s="1"/>
  <c r="U693" i="1"/>
  <c r="I693" i="1" s="1"/>
  <c r="W693" i="1"/>
  <c r="X693" i="1" s="1"/>
  <c r="AA693" i="1"/>
  <c r="AA616" i="1"/>
  <c r="W616" i="1"/>
  <c r="X616" i="1" s="1"/>
  <c r="U616" i="1"/>
  <c r="I616" i="1" s="1"/>
  <c r="U622" i="1"/>
  <c r="I622" i="1" s="1"/>
  <c r="AB622" i="1"/>
  <c r="AA622" i="1"/>
  <c r="AA633" i="1"/>
  <c r="W633" i="1"/>
  <c r="X633" i="1" s="1"/>
  <c r="AA638" i="1"/>
  <c r="W638" i="1"/>
  <c r="X638" i="1" s="1"/>
  <c r="U638" i="1"/>
  <c r="I638" i="1" s="1"/>
  <c r="U652" i="1"/>
  <c r="I652" i="1" s="1"/>
  <c r="AB652" i="1"/>
  <c r="AA652" i="1"/>
  <c r="AA654" i="1"/>
  <c r="W654" i="1"/>
  <c r="X654" i="1" s="1"/>
  <c r="U654" i="1"/>
  <c r="I654" i="1" s="1"/>
  <c r="AB659" i="1"/>
  <c r="AA663" i="1"/>
  <c r="W663" i="1"/>
  <c r="X663" i="1" s="1"/>
  <c r="AB673" i="1"/>
  <c r="K747" i="2"/>
  <c r="K421" i="2"/>
  <c r="T552" i="1"/>
  <c r="T565" i="1"/>
  <c r="U572" i="1"/>
  <c r="I572" i="1" s="1"/>
  <c r="AA572" i="1"/>
  <c r="U592" i="1"/>
  <c r="I592" i="1" s="1"/>
  <c r="AA592" i="1"/>
  <c r="AA596" i="1"/>
  <c r="W596" i="1"/>
  <c r="X596" i="1" s="1"/>
  <c r="AB608" i="1"/>
  <c r="W622" i="1"/>
  <c r="X622" i="1" s="1"/>
  <c r="AB625" i="1"/>
  <c r="W631" i="1"/>
  <c r="X631" i="1" s="1"/>
  <c r="U631" i="1"/>
  <c r="I631" i="1" s="1"/>
  <c r="AA631" i="1"/>
  <c r="U633" i="1"/>
  <c r="I633" i="1" s="1"/>
  <c r="AB636" i="1"/>
  <c r="AA644" i="1"/>
  <c r="W644" i="1"/>
  <c r="X644" i="1" s="1"/>
  <c r="U644" i="1"/>
  <c r="I644" i="1" s="1"/>
  <c r="W652" i="1"/>
  <c r="X652" i="1" s="1"/>
  <c r="AB666" i="1"/>
  <c r="U673" i="1"/>
  <c r="I673" i="1" s="1"/>
  <c r="AA673" i="1"/>
  <c r="W673" i="1"/>
  <c r="X673" i="1" s="1"/>
  <c r="AB688" i="1"/>
  <c r="AA688" i="1"/>
  <c r="W688" i="1"/>
  <c r="X688" i="1" s="1"/>
  <c r="U688" i="1"/>
  <c r="I688" i="1" s="1"/>
  <c r="AA691" i="1"/>
  <c r="W691" i="1"/>
  <c r="X691" i="1" s="1"/>
  <c r="U691" i="1"/>
  <c r="I691" i="1" s="1"/>
  <c r="AA594" i="1"/>
  <c r="W594" i="1"/>
  <c r="X594" i="1" s="1"/>
  <c r="U594" i="1"/>
  <c r="I594" i="1" s="1"/>
  <c r="X600" i="1"/>
  <c r="AA608" i="1"/>
  <c r="W608" i="1"/>
  <c r="X608" i="1" s="1"/>
  <c r="U608" i="1"/>
  <c r="I608" i="1" s="1"/>
  <c r="AA625" i="1"/>
  <c r="W625" i="1"/>
  <c r="X625" i="1" s="1"/>
  <c r="U625" i="1"/>
  <c r="I625" i="1" s="1"/>
  <c r="AA636" i="1"/>
  <c r="W636" i="1"/>
  <c r="X636" i="1" s="1"/>
  <c r="U636" i="1"/>
  <c r="I636" i="1" s="1"/>
  <c r="U642" i="1"/>
  <c r="I642" i="1" s="1"/>
  <c r="AB642" i="1"/>
  <c r="AA642" i="1"/>
  <c r="AA666" i="1"/>
  <c r="W666" i="1"/>
  <c r="X666" i="1" s="1"/>
  <c r="U666" i="1"/>
  <c r="I666" i="1" s="1"/>
  <c r="U679" i="1"/>
  <c r="I679" i="1" s="1"/>
  <c r="AA679" i="1"/>
  <c r="AA702" i="1"/>
  <c r="W702" i="1"/>
  <c r="X702" i="1" s="1"/>
  <c r="U702" i="1"/>
  <c r="I702" i="1" s="1"/>
  <c r="K933" i="2"/>
  <c r="K335" i="2"/>
  <c r="L335" i="2" s="1"/>
  <c r="T541" i="1"/>
  <c r="K536" i="2"/>
  <c r="K271" i="2"/>
  <c r="T551" i="1"/>
  <c r="W553" i="1"/>
  <c r="X553" i="1" s="1"/>
  <c r="AB568" i="1"/>
  <c r="AB576" i="1"/>
  <c r="AB581" i="1"/>
  <c r="AB583" i="1"/>
  <c r="AB585" i="1"/>
  <c r="AB592" i="1"/>
  <c r="U602" i="1"/>
  <c r="I602" i="1" s="1"/>
  <c r="AA602" i="1"/>
  <c r="AA606" i="1"/>
  <c r="W606" i="1"/>
  <c r="X606" i="1" s="1"/>
  <c r="AA614" i="1"/>
  <c r="W614" i="1"/>
  <c r="X614" i="1" s="1"/>
  <c r="U614" i="1"/>
  <c r="I614" i="1" s="1"/>
  <c r="AB623" i="1"/>
  <c r="AB628" i="1"/>
  <c r="AB634" i="1"/>
  <c r="W642" i="1"/>
  <c r="X642" i="1" s="1"/>
  <c r="AA655" i="1"/>
  <c r="W655" i="1"/>
  <c r="X655" i="1" s="1"/>
  <c r="U655" i="1"/>
  <c r="I655" i="1" s="1"/>
  <c r="AB664" i="1"/>
  <c r="W679" i="1"/>
  <c r="X679" i="1" s="1"/>
  <c r="K521" i="2"/>
  <c r="T559" i="1"/>
  <c r="X560" i="1"/>
  <c r="W564" i="1"/>
  <c r="X564" i="1" s="1"/>
  <c r="U564" i="1"/>
  <c r="I564" i="1" s="1"/>
  <c r="AA568" i="1"/>
  <c r="U568" i="1"/>
  <c r="I568" i="1" s="1"/>
  <c r="AB571" i="1"/>
  <c r="AA574" i="1"/>
  <c r="W574" i="1"/>
  <c r="X574" i="1" s="1"/>
  <c r="U574" i="1"/>
  <c r="I574" i="1" s="1"/>
  <c r="W581" i="1"/>
  <c r="X581" i="1" s="1"/>
  <c r="U581" i="1"/>
  <c r="I581" i="1" s="1"/>
  <c r="AA581" i="1"/>
  <c r="AA585" i="1"/>
  <c r="U585" i="1"/>
  <c r="I585" i="1" s="1"/>
  <c r="AA587" i="1"/>
  <c r="W587" i="1"/>
  <c r="X587" i="1" s="1"/>
  <c r="U587" i="1"/>
  <c r="I587" i="1" s="1"/>
  <c r="AA604" i="1"/>
  <c r="W604" i="1"/>
  <c r="X604" i="1" s="1"/>
  <c r="U604" i="1"/>
  <c r="I604" i="1" s="1"/>
  <c r="U612" i="1"/>
  <c r="I612" i="1" s="1"/>
  <c r="AB612" i="1"/>
  <c r="AA612" i="1"/>
  <c r="AA623" i="1"/>
  <c r="W623" i="1"/>
  <c r="X623" i="1" s="1"/>
  <c r="AA628" i="1"/>
  <c r="W628" i="1"/>
  <c r="X628" i="1" s="1"/>
  <c r="U628" i="1"/>
  <c r="I628" i="1" s="1"/>
  <c r="AA645" i="1"/>
  <c r="W645" i="1"/>
  <c r="X645" i="1" s="1"/>
  <c r="U645" i="1"/>
  <c r="I645" i="1" s="1"/>
  <c r="AB653" i="1"/>
  <c r="AB658" i="1"/>
  <c r="K835" i="2"/>
  <c r="K499" i="2"/>
  <c r="K709" i="2"/>
  <c r="K34" i="2"/>
  <c r="K482" i="2"/>
  <c r="K223" i="2"/>
  <c r="K231" i="2"/>
  <c r="K457" i="2"/>
  <c r="L457" i="2" s="1"/>
  <c r="K463" i="2"/>
  <c r="K1318" i="2"/>
  <c r="L1318" i="2" s="1"/>
  <c r="K39" i="2"/>
  <c r="K809" i="2"/>
  <c r="K87" i="2"/>
  <c r="K2156" i="2"/>
  <c r="K1169" i="2"/>
  <c r="L1169" i="2" s="1"/>
  <c r="K1138" i="2"/>
  <c r="L1138" i="2" s="1"/>
  <c r="K2259" i="2"/>
  <c r="K2161" i="2"/>
  <c r="K1067" i="2"/>
  <c r="K441" i="2"/>
  <c r="K553" i="2"/>
  <c r="K633" i="2"/>
  <c r="K287" i="2"/>
  <c r="L287" i="2" s="1"/>
  <c r="K1369" i="2"/>
  <c r="L1369" i="2" s="1"/>
  <c r="K446" i="2"/>
  <c r="K255" i="2"/>
  <c r="K1370" i="2"/>
  <c r="L1370" i="2" s="1"/>
  <c r="K1139" i="2"/>
  <c r="L1139" i="2" s="1"/>
  <c r="K559" i="2"/>
  <c r="K432" i="2"/>
  <c r="K431" i="2"/>
  <c r="K871" i="2"/>
  <c r="L871" i="2" s="1"/>
  <c r="K266" i="2"/>
  <c r="K1671" i="2"/>
  <c r="L1671" i="2" s="1"/>
  <c r="K1746" i="2"/>
  <c r="K1362" i="2"/>
  <c r="L1362" i="2" s="1"/>
  <c r="AB567" i="1"/>
  <c r="W568" i="1"/>
  <c r="X568" i="1" s="1"/>
  <c r="U576" i="1"/>
  <c r="I576" i="1" s="1"/>
  <c r="AA578" i="1"/>
  <c r="U578" i="1"/>
  <c r="I578" i="1" s="1"/>
  <c r="U583" i="1"/>
  <c r="I583" i="1" s="1"/>
  <c r="W585" i="1"/>
  <c r="X585" i="1" s="1"/>
  <c r="AB591" i="1"/>
  <c r="AB593" i="1"/>
  <c r="AB595" i="1"/>
  <c r="W612" i="1"/>
  <c r="X612" i="1" s="1"/>
  <c r="AB615" i="1"/>
  <c r="W621" i="1"/>
  <c r="X621" i="1" s="1"/>
  <c r="U621" i="1"/>
  <c r="I621" i="1" s="1"/>
  <c r="AA621" i="1"/>
  <c r="U623" i="1"/>
  <c r="I623" i="1" s="1"/>
  <c r="AB626" i="1"/>
  <c r="AA634" i="1"/>
  <c r="W634" i="1"/>
  <c r="X634" i="1" s="1"/>
  <c r="U634" i="1"/>
  <c r="I634" i="1" s="1"/>
  <c r="AB643" i="1"/>
  <c r="AB648" i="1"/>
  <c r="AA653" i="1"/>
  <c r="W653" i="1"/>
  <c r="X653" i="1" s="1"/>
  <c r="AA658" i="1"/>
  <c r="W658" i="1"/>
  <c r="X658" i="1" s="1"/>
  <c r="U658" i="1"/>
  <c r="I658" i="1" s="1"/>
  <c r="U662" i="1"/>
  <c r="I662" i="1" s="1"/>
  <c r="AB662" i="1"/>
  <c r="AA662" i="1"/>
  <c r="AA664" i="1"/>
  <c r="W664" i="1"/>
  <c r="X664" i="1" s="1"/>
  <c r="U664" i="1"/>
  <c r="I664" i="1" s="1"/>
  <c r="AA689" i="1"/>
  <c r="W689" i="1"/>
  <c r="X689" i="1" s="1"/>
  <c r="U689" i="1"/>
  <c r="I689" i="1" s="1"/>
  <c r="K291" i="2"/>
  <c r="L291" i="2" s="1"/>
  <c r="T536" i="1"/>
  <c r="AA550" i="1"/>
  <c r="W550" i="1"/>
  <c r="X550" i="1" s="1"/>
  <c r="K315" i="2"/>
  <c r="T557" i="1"/>
  <c r="AB570" i="1"/>
  <c r="W571" i="1"/>
  <c r="X571" i="1" s="1"/>
  <c r="U571" i="1"/>
  <c r="I571" i="1" s="1"/>
  <c r="AA571" i="1"/>
  <c r="AB580" i="1"/>
  <c r="AA583" i="1"/>
  <c r="W591" i="1"/>
  <c r="X591" i="1" s="1"/>
  <c r="U591" i="1"/>
  <c r="I591" i="1" s="1"/>
  <c r="AA591" i="1"/>
  <c r="AA595" i="1"/>
  <c r="U595" i="1"/>
  <c r="I595" i="1" s="1"/>
  <c r="AA597" i="1"/>
  <c r="W597" i="1"/>
  <c r="X597" i="1" s="1"/>
  <c r="U597" i="1"/>
  <c r="I597" i="1" s="1"/>
  <c r="AB607" i="1"/>
  <c r="AA615" i="1"/>
  <c r="W615" i="1"/>
  <c r="X615" i="1" s="1"/>
  <c r="U615" i="1"/>
  <c r="I615" i="1" s="1"/>
  <c r="AA626" i="1"/>
  <c r="W626" i="1"/>
  <c r="X626" i="1" s="1"/>
  <c r="U626" i="1"/>
  <c r="I626" i="1" s="1"/>
  <c r="U632" i="1"/>
  <c r="I632" i="1" s="1"/>
  <c r="AB632" i="1"/>
  <c r="AA632" i="1"/>
  <c r="AA643" i="1"/>
  <c r="W643" i="1"/>
  <c r="X643" i="1" s="1"/>
  <c r="AA648" i="1"/>
  <c r="W648" i="1"/>
  <c r="X648" i="1" s="1"/>
  <c r="U648" i="1"/>
  <c r="I648" i="1" s="1"/>
  <c r="AA669" i="1"/>
  <c r="W669" i="1"/>
  <c r="X669" i="1" s="1"/>
  <c r="U669" i="1"/>
  <c r="I669" i="1" s="1"/>
  <c r="AA703" i="1"/>
  <c r="U703" i="1"/>
  <c r="I703" i="1" s="1"/>
  <c r="W703" i="1"/>
  <c r="X703" i="1" s="1"/>
  <c r="W537" i="1"/>
  <c r="X537" i="1" s="1"/>
  <c r="K428" i="2"/>
  <c r="K398" i="2"/>
  <c r="T547" i="1"/>
  <c r="U550" i="1"/>
  <c r="I550" i="1" s="1"/>
  <c r="AA558" i="1"/>
  <c r="U563" i="1"/>
  <c r="I563" i="1" s="1"/>
  <c r="X573" i="1"/>
  <c r="AB588" i="1"/>
  <c r="U593" i="1"/>
  <c r="I593" i="1" s="1"/>
  <c r="W595" i="1"/>
  <c r="X595" i="1" s="1"/>
  <c r="AB601" i="1"/>
  <c r="AB603" i="1"/>
  <c r="AB605" i="1"/>
  <c r="AB613" i="1"/>
  <c r="AB618" i="1"/>
  <c r="AB624" i="1"/>
  <c r="W632" i="1"/>
  <c r="X632" i="1" s="1"/>
  <c r="AB635" i="1"/>
  <c r="W641" i="1"/>
  <c r="X641" i="1" s="1"/>
  <c r="U641" i="1"/>
  <c r="I641" i="1" s="1"/>
  <c r="AA641" i="1"/>
  <c r="U643" i="1"/>
  <c r="I643" i="1" s="1"/>
  <c r="AB646" i="1"/>
  <c r="AA656" i="1"/>
  <c r="W656" i="1"/>
  <c r="X656" i="1" s="1"/>
  <c r="U656" i="1"/>
  <c r="I656" i="1" s="1"/>
  <c r="AB665" i="1"/>
  <c r="W711" i="1"/>
  <c r="X711" i="1" s="1"/>
  <c r="U711" i="1"/>
  <c r="I711" i="1" s="1"/>
  <c r="AA711" i="1"/>
  <c r="W580" i="1"/>
  <c r="X580" i="1" s="1"/>
  <c r="U580" i="1"/>
  <c r="I580" i="1" s="1"/>
  <c r="AB584" i="1"/>
  <c r="AA588" i="1"/>
  <c r="W588" i="1"/>
  <c r="X588" i="1" s="1"/>
  <c r="U588" i="1"/>
  <c r="I588" i="1" s="1"/>
  <c r="W601" i="1"/>
  <c r="X601" i="1" s="1"/>
  <c r="U601" i="1"/>
  <c r="I601" i="1" s="1"/>
  <c r="AA601" i="1"/>
  <c r="AA605" i="1"/>
  <c r="U605" i="1"/>
  <c r="I605" i="1" s="1"/>
  <c r="AA607" i="1"/>
  <c r="W607" i="1"/>
  <c r="X607" i="1" s="1"/>
  <c r="U607" i="1"/>
  <c r="I607" i="1" s="1"/>
  <c r="AB611" i="1"/>
  <c r="AA613" i="1"/>
  <c r="W613" i="1"/>
  <c r="X613" i="1" s="1"/>
  <c r="AA618" i="1"/>
  <c r="W618" i="1"/>
  <c r="X618" i="1" s="1"/>
  <c r="U618" i="1"/>
  <c r="I618" i="1" s="1"/>
  <c r="AA635" i="1"/>
  <c r="W635" i="1"/>
  <c r="X635" i="1" s="1"/>
  <c r="U635" i="1"/>
  <c r="I635" i="1" s="1"/>
  <c r="AA646" i="1"/>
  <c r="W646" i="1"/>
  <c r="X646" i="1" s="1"/>
  <c r="U646" i="1"/>
  <c r="I646" i="1" s="1"/>
  <c r="AB654" i="1"/>
  <c r="AA665" i="1"/>
  <c r="W665" i="1"/>
  <c r="X665" i="1" s="1"/>
  <c r="U665" i="1"/>
  <c r="I665" i="1" s="1"/>
  <c r="AA672" i="1"/>
  <c r="W672" i="1"/>
  <c r="X672" i="1" s="1"/>
  <c r="U672" i="1"/>
  <c r="I672" i="1" s="1"/>
  <c r="AA690" i="1"/>
  <c r="W690" i="1"/>
  <c r="X690" i="1" s="1"/>
  <c r="U690" i="1"/>
  <c r="I690" i="1" s="1"/>
  <c r="AB693" i="1"/>
  <c r="AA701" i="1"/>
  <c r="W701" i="1"/>
  <c r="X701" i="1" s="1"/>
  <c r="U701" i="1"/>
  <c r="I701" i="1" s="1"/>
  <c r="AA651" i="1"/>
  <c r="AA661" i="1"/>
  <c r="AA676" i="1"/>
  <c r="AA678" i="1"/>
  <c r="AB697" i="1"/>
  <c r="W710" i="1"/>
  <c r="X710" i="1" s="1"/>
  <c r="W716" i="1"/>
  <c r="X716" i="1" s="1"/>
  <c r="U716" i="1"/>
  <c r="I716" i="1" s="1"/>
  <c r="AA731" i="1"/>
  <c r="AA735" i="1"/>
  <c r="W735" i="1"/>
  <c r="X735" i="1" s="1"/>
  <c r="U735" i="1"/>
  <c r="I735" i="1" s="1"/>
  <c r="U741" i="1"/>
  <c r="I741" i="1" s="1"/>
  <c r="AA743" i="1"/>
  <c r="U743" i="1"/>
  <c r="I743" i="1" s="1"/>
  <c r="AA761" i="1"/>
  <c r="W761" i="1"/>
  <c r="X761" i="1" s="1"/>
  <c r="AA773" i="1"/>
  <c r="W773" i="1"/>
  <c r="X773" i="1" s="1"/>
  <c r="U773" i="1"/>
  <c r="I773" i="1" s="1"/>
  <c r="AA811" i="1"/>
  <c r="W811" i="1"/>
  <c r="X811" i="1" s="1"/>
  <c r="U811" i="1"/>
  <c r="I811" i="1" s="1"/>
  <c r="AA852" i="1"/>
  <c r="W852" i="1"/>
  <c r="X852" i="1" s="1"/>
  <c r="U852" i="1"/>
  <c r="I852" i="1" s="1"/>
  <c r="AA872" i="1"/>
  <c r="W872" i="1"/>
  <c r="X872" i="1" s="1"/>
  <c r="U872" i="1"/>
  <c r="I872" i="1" s="1"/>
  <c r="AA883" i="1"/>
  <c r="W883" i="1"/>
  <c r="X883" i="1" s="1"/>
  <c r="U883" i="1"/>
  <c r="I883" i="1" s="1"/>
  <c r="AA888" i="1"/>
  <c r="W888" i="1"/>
  <c r="X888" i="1" s="1"/>
  <c r="U888" i="1"/>
  <c r="I888" i="1" s="1"/>
  <c r="AA893" i="1"/>
  <c r="W893" i="1"/>
  <c r="X893" i="1" s="1"/>
  <c r="U893" i="1"/>
  <c r="I893" i="1" s="1"/>
  <c r="AA898" i="1"/>
  <c r="W898" i="1"/>
  <c r="X898" i="1" s="1"/>
  <c r="U898" i="1"/>
  <c r="I898" i="1" s="1"/>
  <c r="AA907" i="1"/>
  <c r="W907" i="1"/>
  <c r="X907" i="1" s="1"/>
  <c r="U907" i="1"/>
  <c r="I907" i="1" s="1"/>
  <c r="AA914" i="1"/>
  <c r="W914" i="1"/>
  <c r="X914" i="1" s="1"/>
  <c r="U914" i="1"/>
  <c r="I914" i="1" s="1"/>
  <c r="AA919" i="1"/>
  <c r="W919" i="1"/>
  <c r="X919" i="1" s="1"/>
  <c r="U919" i="1"/>
  <c r="I919" i="1" s="1"/>
  <c r="AB669" i="1"/>
  <c r="AA674" i="1"/>
  <c r="AA675" i="1"/>
  <c r="AA677" i="1"/>
  <c r="U686" i="1"/>
  <c r="I686" i="1" s="1"/>
  <c r="AB701" i="1"/>
  <c r="AA705" i="1"/>
  <c r="W705" i="1"/>
  <c r="X705" i="1" s="1"/>
  <c r="U705" i="1"/>
  <c r="I705" i="1" s="1"/>
  <c r="W708" i="1"/>
  <c r="X708" i="1" s="1"/>
  <c r="AA716" i="1"/>
  <c r="U720" i="1"/>
  <c r="I720" i="1" s="1"/>
  <c r="AA741" i="1"/>
  <c r="W743" i="1"/>
  <c r="X743" i="1" s="1"/>
  <c r="AA745" i="1"/>
  <c r="W745" i="1"/>
  <c r="X745" i="1" s="1"/>
  <c r="U745" i="1"/>
  <c r="I745" i="1" s="1"/>
  <c r="AA748" i="1"/>
  <c r="AB756" i="1"/>
  <c r="U761" i="1"/>
  <c r="I761" i="1" s="1"/>
  <c r="AA771" i="1"/>
  <c r="W771" i="1"/>
  <c r="X771" i="1" s="1"/>
  <c r="AB781" i="1"/>
  <c r="AA783" i="1"/>
  <c r="W783" i="1"/>
  <c r="X783" i="1" s="1"/>
  <c r="U783" i="1"/>
  <c r="I783" i="1" s="1"/>
  <c r="AB794" i="1"/>
  <c r="AB796" i="1"/>
  <c r="AA807" i="1"/>
  <c r="W807" i="1"/>
  <c r="X807" i="1" s="1"/>
  <c r="AA809" i="1"/>
  <c r="W809" i="1"/>
  <c r="X809" i="1" s="1"/>
  <c r="AA817" i="1"/>
  <c r="W817" i="1"/>
  <c r="X817" i="1" s="1"/>
  <c r="AB822" i="1"/>
  <c r="AB824" i="1"/>
  <c r="AB832" i="1"/>
  <c r="AB834" i="1"/>
  <c r="AB842" i="1"/>
  <c r="AB844" i="1"/>
  <c r="AB846" i="1"/>
  <c r="AB850" i="1"/>
  <c r="W854" i="1"/>
  <c r="X854" i="1" s="1"/>
  <c r="U854" i="1"/>
  <c r="I854" i="1" s="1"/>
  <c r="U856" i="1"/>
  <c r="I856" i="1" s="1"/>
  <c r="AA856" i="1"/>
  <c r="AA860" i="1"/>
  <c r="W860" i="1"/>
  <c r="X860" i="1" s="1"/>
  <c r="U860" i="1"/>
  <c r="I860" i="1" s="1"/>
  <c r="AB870" i="1"/>
  <c r="AB886" i="1"/>
  <c r="AB891" i="1"/>
  <c r="AB896" i="1"/>
  <c r="AB903" i="1"/>
  <c r="AB917" i="1"/>
  <c r="AB925" i="1"/>
  <c r="AB942" i="1"/>
  <c r="AA713" i="1"/>
  <c r="U713" i="1"/>
  <c r="I713" i="1" s="1"/>
  <c r="AA730" i="1"/>
  <c r="U730" i="1"/>
  <c r="I730" i="1" s="1"/>
  <c r="W756" i="1"/>
  <c r="X756" i="1" s="1"/>
  <c r="U756" i="1"/>
  <c r="I756" i="1" s="1"/>
  <c r="AA781" i="1"/>
  <c r="W781" i="1"/>
  <c r="X781" i="1" s="1"/>
  <c r="AA794" i="1"/>
  <c r="W794" i="1"/>
  <c r="X794" i="1" s="1"/>
  <c r="U794" i="1"/>
  <c r="I794" i="1" s="1"/>
  <c r="W796" i="1"/>
  <c r="X796" i="1" s="1"/>
  <c r="U796" i="1"/>
  <c r="I796" i="1" s="1"/>
  <c r="AA822" i="1"/>
  <c r="W822" i="1"/>
  <c r="X822" i="1" s="1"/>
  <c r="U822" i="1"/>
  <c r="I822" i="1" s="1"/>
  <c r="W824" i="1"/>
  <c r="X824" i="1" s="1"/>
  <c r="U824" i="1"/>
  <c r="I824" i="1" s="1"/>
  <c r="AA832" i="1"/>
  <c r="W832" i="1"/>
  <c r="X832" i="1" s="1"/>
  <c r="U832" i="1"/>
  <c r="I832" i="1" s="1"/>
  <c r="W834" i="1"/>
  <c r="X834" i="1" s="1"/>
  <c r="U834" i="1"/>
  <c r="I834" i="1" s="1"/>
  <c r="AA842" i="1"/>
  <c r="W842" i="1"/>
  <c r="X842" i="1" s="1"/>
  <c r="U842" i="1"/>
  <c r="I842" i="1" s="1"/>
  <c r="W844" i="1"/>
  <c r="X844" i="1" s="1"/>
  <c r="U844" i="1"/>
  <c r="I844" i="1" s="1"/>
  <c r="U846" i="1"/>
  <c r="I846" i="1" s="1"/>
  <c r="AA846" i="1"/>
  <c r="AA850" i="1"/>
  <c r="W850" i="1"/>
  <c r="X850" i="1" s="1"/>
  <c r="U850" i="1"/>
  <c r="I850" i="1" s="1"/>
  <c r="AA870" i="1"/>
  <c r="W870" i="1"/>
  <c r="X870" i="1" s="1"/>
  <c r="U870" i="1"/>
  <c r="I870" i="1" s="1"/>
  <c r="AA886" i="1"/>
  <c r="W886" i="1"/>
  <c r="X886" i="1" s="1"/>
  <c r="U886" i="1"/>
  <c r="I886" i="1" s="1"/>
  <c r="AA891" i="1"/>
  <c r="W891" i="1"/>
  <c r="X891" i="1" s="1"/>
  <c r="U891" i="1"/>
  <c r="I891" i="1" s="1"/>
  <c r="AA896" i="1"/>
  <c r="W896" i="1"/>
  <c r="X896" i="1" s="1"/>
  <c r="U896" i="1"/>
  <c r="I896" i="1" s="1"/>
  <c r="AA903" i="1"/>
  <c r="W903" i="1"/>
  <c r="X903" i="1" s="1"/>
  <c r="U903" i="1"/>
  <c r="I903" i="1" s="1"/>
  <c r="W917" i="1"/>
  <c r="X917" i="1" s="1"/>
  <c r="U917" i="1"/>
  <c r="I917" i="1" s="1"/>
  <c r="AA917" i="1"/>
  <c r="W925" i="1"/>
  <c r="X925" i="1" s="1"/>
  <c r="AA925" i="1"/>
  <c r="U925" i="1"/>
  <c r="I925" i="1" s="1"/>
  <c r="AA942" i="1"/>
  <c r="W942" i="1"/>
  <c r="X942" i="1" s="1"/>
  <c r="U942" i="1"/>
  <c r="I942" i="1" s="1"/>
  <c r="AA954" i="1"/>
  <c r="W954" i="1"/>
  <c r="X954" i="1" s="1"/>
  <c r="U954" i="1"/>
  <c r="I954" i="1" s="1"/>
  <c r="AB991" i="1"/>
  <c r="AA991" i="1"/>
  <c r="W991" i="1"/>
  <c r="X991" i="1" s="1"/>
  <c r="U991" i="1"/>
  <c r="I991" i="1" s="1"/>
  <c r="U617" i="1"/>
  <c r="I617" i="1" s="1"/>
  <c r="U627" i="1"/>
  <c r="I627" i="1" s="1"/>
  <c r="U637" i="1"/>
  <c r="I637" i="1" s="1"/>
  <c r="U647" i="1"/>
  <c r="I647" i="1" s="1"/>
  <c r="U657" i="1"/>
  <c r="I657" i="1" s="1"/>
  <c r="U667" i="1"/>
  <c r="I667" i="1" s="1"/>
  <c r="U668" i="1"/>
  <c r="I668" i="1" s="1"/>
  <c r="U670" i="1"/>
  <c r="I670" i="1" s="1"/>
  <c r="U671" i="1"/>
  <c r="I671" i="1" s="1"/>
  <c r="U684" i="1"/>
  <c r="I684" i="1" s="1"/>
  <c r="W685" i="1"/>
  <c r="X685" i="1" s="1"/>
  <c r="AB699" i="1"/>
  <c r="AA708" i="1"/>
  <c r="AB712" i="1"/>
  <c r="W713" i="1"/>
  <c r="X713" i="1" s="1"/>
  <c r="AB724" i="1"/>
  <c r="AB726" i="1"/>
  <c r="W730" i="1"/>
  <c r="X730" i="1" s="1"/>
  <c r="AB732" i="1"/>
  <c r="AA740" i="1"/>
  <c r="U740" i="1"/>
  <c r="I740" i="1" s="1"/>
  <c r="AB752" i="1"/>
  <c r="AA754" i="1"/>
  <c r="W754" i="1"/>
  <c r="X754" i="1" s="1"/>
  <c r="U754" i="1"/>
  <c r="I754" i="1" s="1"/>
  <c r="AA756" i="1"/>
  <c r="AB760" i="1"/>
  <c r="AB764" i="1"/>
  <c r="W766" i="1"/>
  <c r="X766" i="1" s="1"/>
  <c r="U766" i="1"/>
  <c r="I766" i="1" s="1"/>
  <c r="AB776" i="1"/>
  <c r="U781" i="1"/>
  <c r="I781" i="1" s="1"/>
  <c r="AA790" i="1"/>
  <c r="U790" i="1"/>
  <c r="I790" i="1" s="1"/>
  <c r="AA796" i="1"/>
  <c r="AB800" i="1"/>
  <c r="AA802" i="1"/>
  <c r="W802" i="1"/>
  <c r="X802" i="1" s="1"/>
  <c r="U802" i="1"/>
  <c r="I802" i="1" s="1"/>
  <c r="AB804" i="1"/>
  <c r="AA824" i="1"/>
  <c r="U826" i="1"/>
  <c r="I826" i="1" s="1"/>
  <c r="AA826" i="1"/>
  <c r="AA834" i="1"/>
  <c r="U836" i="1"/>
  <c r="I836" i="1" s="1"/>
  <c r="AA836" i="1"/>
  <c r="AA844" i="1"/>
  <c r="W846" i="1"/>
  <c r="X846" i="1" s="1"/>
  <c r="AA858" i="1"/>
  <c r="W858" i="1"/>
  <c r="X858" i="1" s="1"/>
  <c r="U858" i="1"/>
  <c r="I858" i="1" s="1"/>
  <c r="AA922" i="1"/>
  <c r="W922" i="1"/>
  <c r="X922" i="1" s="1"/>
  <c r="U922" i="1"/>
  <c r="I922" i="1" s="1"/>
  <c r="AA940" i="1"/>
  <c r="W940" i="1"/>
  <c r="X940" i="1" s="1"/>
  <c r="U940" i="1"/>
  <c r="I940" i="1" s="1"/>
  <c r="K982" i="2"/>
  <c r="K448" i="2"/>
  <c r="K371" i="2"/>
  <c r="K455" i="2"/>
  <c r="L455" i="2" s="1"/>
  <c r="K672" i="2"/>
  <c r="L672" i="2" s="1"/>
  <c r="K249" i="2"/>
  <c r="K1374" i="2"/>
  <c r="L1374" i="2" s="1"/>
  <c r="K1375" i="2"/>
  <c r="L1375" i="2" s="1"/>
  <c r="K445" i="2"/>
  <c r="L445" i="2" s="1"/>
  <c r="K469" i="2"/>
  <c r="K349" i="2"/>
  <c r="K1691" i="2"/>
  <c r="L1691" i="2" s="1"/>
  <c r="K1612" i="2"/>
  <c r="L1612" i="2" s="1"/>
  <c r="K1692" i="2"/>
  <c r="L1692" i="2" s="1"/>
  <c r="K1427" i="2"/>
  <c r="L1427" i="2" s="1"/>
  <c r="K1426" i="2"/>
  <c r="L1426" i="2" s="1"/>
  <c r="K1394" i="2"/>
  <c r="L1394" i="2" s="1"/>
  <c r="K1296" i="2"/>
  <c r="L1296" i="2" s="1"/>
  <c r="K1255" i="2"/>
  <c r="L1255" i="2" s="1"/>
  <c r="K530" i="2"/>
  <c r="K579" i="2"/>
  <c r="K351" i="2"/>
  <c r="K224" i="2"/>
  <c r="K150" i="2"/>
  <c r="K1096" i="2"/>
  <c r="L1096" i="2" s="1"/>
  <c r="K338" i="2"/>
  <c r="K711" i="2"/>
  <c r="K381" i="2"/>
  <c r="K337" i="2"/>
  <c r="K334" i="2"/>
  <c r="K902" i="2"/>
  <c r="K616" i="2"/>
  <c r="K593" i="2"/>
  <c r="K839" i="2"/>
  <c r="L839" i="2" s="1"/>
  <c r="K92" i="2"/>
  <c r="L92" i="2" s="1"/>
  <c r="K1003" i="2"/>
  <c r="K560" i="2"/>
  <c r="K2160" i="2"/>
  <c r="K171" i="2"/>
  <c r="K1346" i="2"/>
  <c r="L1346" i="2" s="1"/>
  <c r="K465" i="2"/>
  <c r="L465" i="2" s="1"/>
  <c r="K682" i="2"/>
  <c r="L682" i="2" s="1"/>
  <c r="K496" i="2"/>
  <c r="K305" i="2"/>
  <c r="K344" i="2"/>
  <c r="L344" i="2" s="1"/>
  <c r="K329" i="2"/>
  <c r="K401" i="2"/>
  <c r="K476" i="2"/>
  <c r="K1273" i="2"/>
  <c r="L1273" i="2" s="1"/>
  <c r="K537" i="2"/>
  <c r="L537" i="2" s="1"/>
  <c r="W617" i="1"/>
  <c r="X617" i="1" s="1"/>
  <c r="W627" i="1"/>
  <c r="X627" i="1" s="1"/>
  <c r="W637" i="1"/>
  <c r="X637" i="1" s="1"/>
  <c r="W647" i="1"/>
  <c r="X647" i="1" s="1"/>
  <c r="W657" i="1"/>
  <c r="X657" i="1" s="1"/>
  <c r="W667" i="1"/>
  <c r="X667" i="1" s="1"/>
  <c r="W668" i="1"/>
  <c r="X668" i="1" s="1"/>
  <c r="W670" i="1"/>
  <c r="X670" i="1" s="1"/>
  <c r="W671" i="1"/>
  <c r="X671" i="1" s="1"/>
  <c r="AA704" i="1"/>
  <c r="W704" i="1"/>
  <c r="X704" i="1" s="1"/>
  <c r="AA722" i="1"/>
  <c r="W722" i="1"/>
  <c r="X722" i="1" s="1"/>
  <c r="U722" i="1"/>
  <c r="I722" i="1" s="1"/>
  <c r="AA724" i="1"/>
  <c r="W724" i="1"/>
  <c r="X724" i="1" s="1"/>
  <c r="W726" i="1"/>
  <c r="X726" i="1" s="1"/>
  <c r="U726" i="1"/>
  <c r="I726" i="1" s="1"/>
  <c r="AB734" i="1"/>
  <c r="AB736" i="1"/>
  <c r="AB742" i="1"/>
  <c r="AA750" i="1"/>
  <c r="U750" i="1"/>
  <c r="I750" i="1" s="1"/>
  <c r="AB762" i="1"/>
  <c r="AA764" i="1"/>
  <c r="W764" i="1"/>
  <c r="X764" i="1" s="1"/>
  <c r="U764" i="1"/>
  <c r="I764" i="1" s="1"/>
  <c r="AB770" i="1"/>
  <c r="W776" i="1"/>
  <c r="X776" i="1" s="1"/>
  <c r="U776" i="1"/>
  <c r="I776" i="1" s="1"/>
  <c r="AA792" i="1"/>
  <c r="W792" i="1"/>
  <c r="X792" i="1" s="1"/>
  <c r="U792" i="1"/>
  <c r="I792" i="1" s="1"/>
  <c r="AB798" i="1"/>
  <c r="W804" i="1"/>
  <c r="X804" i="1" s="1"/>
  <c r="U804" i="1"/>
  <c r="I804" i="1" s="1"/>
  <c r="AB818" i="1"/>
  <c r="AA848" i="1"/>
  <c r="W848" i="1"/>
  <c r="X848" i="1" s="1"/>
  <c r="U848" i="1"/>
  <c r="I848" i="1" s="1"/>
  <c r="AA868" i="1"/>
  <c r="W868" i="1"/>
  <c r="X868" i="1" s="1"/>
  <c r="U868" i="1"/>
  <c r="I868" i="1" s="1"/>
  <c r="W884" i="1"/>
  <c r="X884" i="1" s="1"/>
  <c r="U884" i="1"/>
  <c r="I884" i="1" s="1"/>
  <c r="AA884" i="1"/>
  <c r="W889" i="1"/>
  <c r="X889" i="1" s="1"/>
  <c r="U889" i="1"/>
  <c r="I889" i="1" s="1"/>
  <c r="AA889" i="1"/>
  <c r="W894" i="1"/>
  <c r="X894" i="1" s="1"/>
  <c r="U894" i="1"/>
  <c r="I894" i="1" s="1"/>
  <c r="AA894" i="1"/>
  <c r="W899" i="1"/>
  <c r="X899" i="1" s="1"/>
  <c r="U899" i="1"/>
  <c r="I899" i="1" s="1"/>
  <c r="AA899" i="1"/>
  <c r="AA901" i="1"/>
  <c r="W901" i="1"/>
  <c r="X901" i="1" s="1"/>
  <c r="U901" i="1"/>
  <c r="I901" i="1" s="1"/>
  <c r="AA908" i="1"/>
  <c r="W908" i="1"/>
  <c r="X908" i="1" s="1"/>
  <c r="U908" i="1"/>
  <c r="I908" i="1" s="1"/>
  <c r="AA915" i="1"/>
  <c r="W915" i="1"/>
  <c r="X915" i="1" s="1"/>
  <c r="U915" i="1"/>
  <c r="I915" i="1" s="1"/>
  <c r="AB926" i="1"/>
  <c r="AB943" i="1"/>
  <c r="AA961" i="1"/>
  <c r="W961" i="1"/>
  <c r="X961" i="1" s="1"/>
  <c r="U961" i="1"/>
  <c r="I961" i="1" s="1"/>
  <c r="AB679" i="1"/>
  <c r="AA682" i="1"/>
  <c r="W682" i="1"/>
  <c r="X682" i="1" s="1"/>
  <c r="AA684" i="1"/>
  <c r="AA685" i="1"/>
  <c r="AB711" i="1"/>
  <c r="AA712" i="1"/>
  <c r="W712" i="1"/>
  <c r="X712" i="1" s="1"/>
  <c r="AA715" i="1"/>
  <c r="W715" i="1"/>
  <c r="X715" i="1" s="1"/>
  <c r="U715" i="1"/>
  <c r="I715" i="1" s="1"/>
  <c r="X718" i="1"/>
  <c r="AB728" i="1"/>
  <c r="AA732" i="1"/>
  <c r="W732" i="1"/>
  <c r="X732" i="1" s="1"/>
  <c r="U732" i="1"/>
  <c r="I732" i="1" s="1"/>
  <c r="AA734" i="1"/>
  <c r="W734" i="1"/>
  <c r="X734" i="1" s="1"/>
  <c r="W736" i="1"/>
  <c r="X736" i="1" s="1"/>
  <c r="U736" i="1"/>
  <c r="I736" i="1" s="1"/>
  <c r="AB744" i="1"/>
  <c r="AB746" i="1"/>
  <c r="AA752" i="1"/>
  <c r="W752" i="1"/>
  <c r="X752" i="1" s="1"/>
  <c r="U752" i="1"/>
  <c r="I752" i="1" s="1"/>
  <c r="AA760" i="1"/>
  <c r="U760" i="1"/>
  <c r="I760" i="1" s="1"/>
  <c r="AB772" i="1"/>
  <c r="AA774" i="1"/>
  <c r="W774" i="1"/>
  <c r="X774" i="1" s="1"/>
  <c r="U774" i="1"/>
  <c r="I774" i="1" s="1"/>
  <c r="AA776" i="1"/>
  <c r="AB784" i="1"/>
  <c r="W786" i="1"/>
  <c r="X786" i="1" s="1"/>
  <c r="U786" i="1"/>
  <c r="I786" i="1" s="1"/>
  <c r="AA800" i="1"/>
  <c r="W800" i="1"/>
  <c r="X800" i="1" s="1"/>
  <c r="U800" i="1"/>
  <c r="I800" i="1" s="1"/>
  <c r="AA804" i="1"/>
  <c r="AB808" i="1"/>
  <c r="AB810" i="1"/>
  <c r="AA812" i="1"/>
  <c r="W812" i="1"/>
  <c r="X812" i="1" s="1"/>
  <c r="U812" i="1"/>
  <c r="I812" i="1" s="1"/>
  <c r="W814" i="1"/>
  <c r="X814" i="1" s="1"/>
  <c r="U814" i="1"/>
  <c r="I814" i="1" s="1"/>
  <c r="AB816" i="1"/>
  <c r="AA828" i="1"/>
  <c r="W828" i="1"/>
  <c r="X828" i="1" s="1"/>
  <c r="U828" i="1"/>
  <c r="I828" i="1" s="1"/>
  <c r="AA838" i="1"/>
  <c r="W838" i="1"/>
  <c r="X838" i="1" s="1"/>
  <c r="U838" i="1"/>
  <c r="I838" i="1" s="1"/>
  <c r="AB866" i="1"/>
  <c r="AB887" i="1"/>
  <c r="AB892" i="1"/>
  <c r="AB897" i="1"/>
  <c r="AB904" i="1"/>
  <c r="AB906" i="1"/>
  <c r="AB923" i="1"/>
  <c r="U926" i="1"/>
  <c r="I926" i="1" s="1"/>
  <c r="AA926" i="1"/>
  <c r="W926" i="1"/>
  <c r="X926" i="1" s="1"/>
  <c r="AA930" i="1"/>
  <c r="W930" i="1"/>
  <c r="X930" i="1" s="1"/>
  <c r="U930" i="1"/>
  <c r="I930" i="1" s="1"/>
  <c r="AA943" i="1"/>
  <c r="W943" i="1"/>
  <c r="X943" i="1" s="1"/>
  <c r="U943" i="1"/>
  <c r="I943" i="1" s="1"/>
  <c r="U590" i="1"/>
  <c r="I590" i="1" s="1"/>
  <c r="U600" i="1"/>
  <c r="I600" i="1" s="1"/>
  <c r="U610" i="1"/>
  <c r="I610" i="1" s="1"/>
  <c r="U620" i="1"/>
  <c r="I620" i="1" s="1"/>
  <c r="U630" i="1"/>
  <c r="I630" i="1" s="1"/>
  <c r="U640" i="1"/>
  <c r="I640" i="1" s="1"/>
  <c r="AA667" i="1"/>
  <c r="AB703" i="1"/>
  <c r="W706" i="1"/>
  <c r="X706" i="1" s="1"/>
  <c r="U706" i="1"/>
  <c r="I706" i="1" s="1"/>
  <c r="AA742" i="1"/>
  <c r="W742" i="1"/>
  <c r="X742" i="1" s="1"/>
  <c r="U742" i="1"/>
  <c r="I742" i="1" s="1"/>
  <c r="AA744" i="1"/>
  <c r="W744" i="1"/>
  <c r="X744" i="1" s="1"/>
  <c r="W746" i="1"/>
  <c r="X746" i="1" s="1"/>
  <c r="U746" i="1"/>
  <c r="I746" i="1" s="1"/>
  <c r="AA762" i="1"/>
  <c r="W762" i="1"/>
  <c r="X762" i="1" s="1"/>
  <c r="U762" i="1"/>
  <c r="I762" i="1" s="1"/>
  <c r="AA770" i="1"/>
  <c r="U770" i="1"/>
  <c r="I770" i="1" s="1"/>
  <c r="AA784" i="1"/>
  <c r="W784" i="1"/>
  <c r="X784" i="1" s="1"/>
  <c r="U784" i="1"/>
  <c r="I784" i="1" s="1"/>
  <c r="U816" i="1"/>
  <c r="I816" i="1" s="1"/>
  <c r="AA816" i="1"/>
  <c r="AA818" i="1"/>
  <c r="W818" i="1"/>
  <c r="X818" i="1" s="1"/>
  <c r="U818" i="1"/>
  <c r="I818" i="1" s="1"/>
  <c r="AB859" i="1"/>
  <c r="U866" i="1"/>
  <c r="I866" i="1" s="1"/>
  <c r="AA866" i="1"/>
  <c r="W866" i="1"/>
  <c r="X866" i="1" s="1"/>
  <c r="AA887" i="1"/>
  <c r="W887" i="1"/>
  <c r="X887" i="1" s="1"/>
  <c r="U887" i="1"/>
  <c r="I887" i="1" s="1"/>
  <c r="AA892" i="1"/>
  <c r="W892" i="1"/>
  <c r="X892" i="1" s="1"/>
  <c r="U892" i="1"/>
  <c r="I892" i="1" s="1"/>
  <c r="AA897" i="1"/>
  <c r="W897" i="1"/>
  <c r="X897" i="1" s="1"/>
  <c r="U897" i="1"/>
  <c r="I897" i="1" s="1"/>
  <c r="W904" i="1"/>
  <c r="X904" i="1" s="1"/>
  <c r="U904" i="1"/>
  <c r="I904" i="1" s="1"/>
  <c r="AA904" i="1"/>
  <c r="AA906" i="1"/>
  <c r="W906" i="1"/>
  <c r="X906" i="1" s="1"/>
  <c r="U906" i="1"/>
  <c r="I906" i="1" s="1"/>
  <c r="AA923" i="1"/>
  <c r="W923" i="1"/>
  <c r="X923" i="1" s="1"/>
  <c r="U923" i="1"/>
  <c r="I923" i="1" s="1"/>
  <c r="U651" i="1"/>
  <c r="I651" i="1" s="1"/>
  <c r="U661" i="1"/>
  <c r="I661" i="1" s="1"/>
  <c r="U676" i="1"/>
  <c r="I676" i="1" s="1"/>
  <c r="U678" i="1"/>
  <c r="I678" i="1" s="1"/>
  <c r="U680" i="1"/>
  <c r="I680" i="1" s="1"/>
  <c r="U681" i="1"/>
  <c r="I681" i="1" s="1"/>
  <c r="U694" i="1"/>
  <c r="I694" i="1" s="1"/>
  <c r="W695" i="1"/>
  <c r="X695" i="1" s="1"/>
  <c r="AA706" i="1"/>
  <c r="W728" i="1"/>
  <c r="X728" i="1" s="1"/>
  <c r="AB731" i="1"/>
  <c r="U744" i="1"/>
  <c r="I744" i="1" s="1"/>
  <c r="AA746" i="1"/>
  <c r="W770" i="1"/>
  <c r="X770" i="1" s="1"/>
  <c r="AA772" i="1"/>
  <c r="W772" i="1"/>
  <c r="X772" i="1" s="1"/>
  <c r="U772" i="1"/>
  <c r="I772" i="1" s="1"/>
  <c r="AA780" i="1"/>
  <c r="U780" i="1"/>
  <c r="I780" i="1" s="1"/>
  <c r="AA793" i="1"/>
  <c r="W793" i="1"/>
  <c r="X793" i="1" s="1"/>
  <c r="U793" i="1"/>
  <c r="I793" i="1" s="1"/>
  <c r="AA798" i="1"/>
  <c r="AA808" i="1"/>
  <c r="U808" i="1"/>
  <c r="I808" i="1" s="1"/>
  <c r="AA810" i="1"/>
  <c r="W810" i="1"/>
  <c r="X810" i="1" s="1"/>
  <c r="U810" i="1"/>
  <c r="I810" i="1" s="1"/>
  <c r="W816" i="1"/>
  <c r="X816" i="1" s="1"/>
  <c r="AA821" i="1"/>
  <c r="W821" i="1"/>
  <c r="X821" i="1" s="1"/>
  <c r="U821" i="1"/>
  <c r="I821" i="1" s="1"/>
  <c r="AA831" i="1"/>
  <c r="W831" i="1"/>
  <c r="X831" i="1" s="1"/>
  <c r="U831" i="1"/>
  <c r="I831" i="1" s="1"/>
  <c r="AA841" i="1"/>
  <c r="W841" i="1"/>
  <c r="X841" i="1" s="1"/>
  <c r="U841" i="1"/>
  <c r="I841" i="1" s="1"/>
  <c r="AA859" i="1"/>
  <c r="W859" i="1"/>
  <c r="X859" i="1" s="1"/>
  <c r="U859" i="1"/>
  <c r="I859" i="1" s="1"/>
  <c r="AA981" i="1"/>
  <c r="W981" i="1"/>
  <c r="X981" i="1" s="1"/>
  <c r="U981" i="1"/>
  <c r="I981" i="1" s="1"/>
  <c r="AA1013" i="1"/>
  <c r="W1013" i="1"/>
  <c r="X1013" i="1" s="1"/>
  <c r="U1013" i="1"/>
  <c r="I1013" i="1" s="1"/>
  <c r="K2157" i="2"/>
  <c r="K828" i="2"/>
  <c r="K422" i="2"/>
  <c r="K301" i="2"/>
  <c r="K179" i="2"/>
  <c r="L179" i="2" s="1"/>
  <c r="K241" i="2"/>
  <c r="K293" i="2"/>
  <c r="L293" i="2" s="1"/>
  <c r="K164" i="2"/>
  <c r="L164" i="2" s="1"/>
  <c r="K2000" i="2"/>
  <c r="K1504" i="2"/>
  <c r="L1504" i="2" s="1"/>
  <c r="K500" i="2"/>
  <c r="K326" i="2"/>
  <c r="K313" i="2"/>
  <c r="K938" i="2"/>
  <c r="K427" i="2"/>
  <c r="L427" i="2" s="1"/>
  <c r="W680" i="1"/>
  <c r="X680" i="1" s="1"/>
  <c r="AA714" i="1"/>
  <c r="W714" i="1"/>
  <c r="X714" i="1" s="1"/>
  <c r="U721" i="1"/>
  <c r="I721" i="1" s="1"/>
  <c r="AA723" i="1"/>
  <c r="U723" i="1"/>
  <c r="I723" i="1" s="1"/>
  <c r="AA728" i="1"/>
  <c r="AB733" i="1"/>
  <c r="W738" i="1"/>
  <c r="X738" i="1" s="1"/>
  <c r="AB741" i="1"/>
  <c r="AB748" i="1"/>
  <c r="AB751" i="1"/>
  <c r="AA753" i="1"/>
  <c r="W753" i="1"/>
  <c r="X753" i="1" s="1"/>
  <c r="U753" i="1"/>
  <c r="I753" i="1" s="1"/>
  <c r="AB763" i="1"/>
  <c r="W780" i="1"/>
  <c r="X780" i="1" s="1"/>
  <c r="AA782" i="1"/>
  <c r="W782" i="1"/>
  <c r="X782" i="1" s="1"/>
  <c r="U782" i="1"/>
  <c r="I782" i="1" s="1"/>
  <c r="AA791" i="1"/>
  <c r="W791" i="1"/>
  <c r="X791" i="1" s="1"/>
  <c r="AA801" i="1"/>
  <c r="W801" i="1"/>
  <c r="X801" i="1" s="1"/>
  <c r="U801" i="1"/>
  <c r="I801" i="1" s="1"/>
  <c r="X803" i="1"/>
  <c r="W808" i="1"/>
  <c r="X808" i="1" s="1"/>
  <c r="AB819" i="1"/>
  <c r="AB829" i="1"/>
  <c r="AB839" i="1"/>
  <c r="AA849" i="1"/>
  <c r="W849" i="1"/>
  <c r="X849" i="1" s="1"/>
  <c r="U849" i="1"/>
  <c r="I849" i="1" s="1"/>
  <c r="AA862" i="1"/>
  <c r="W862" i="1"/>
  <c r="X862" i="1" s="1"/>
  <c r="U862" i="1"/>
  <c r="I862" i="1" s="1"/>
  <c r="W864" i="1"/>
  <c r="X864" i="1" s="1"/>
  <c r="U864" i="1"/>
  <c r="I864" i="1" s="1"/>
  <c r="AA864" i="1"/>
  <c r="U885" i="1"/>
  <c r="I885" i="1" s="1"/>
  <c r="AA885" i="1"/>
  <c r="W885" i="1"/>
  <c r="X885" i="1" s="1"/>
  <c r="U890" i="1"/>
  <c r="I890" i="1" s="1"/>
  <c r="AA890" i="1"/>
  <c r="W890" i="1"/>
  <c r="X890" i="1" s="1"/>
  <c r="U895" i="1"/>
  <c r="I895" i="1" s="1"/>
  <c r="AA895" i="1"/>
  <c r="W895" i="1"/>
  <c r="X895" i="1" s="1"/>
  <c r="AA902" i="1"/>
  <c r="W902" i="1"/>
  <c r="X902" i="1" s="1"/>
  <c r="U902" i="1"/>
  <c r="I902" i="1" s="1"/>
  <c r="AB689" i="1"/>
  <c r="AA692" i="1"/>
  <c r="W692" i="1"/>
  <c r="X692" i="1" s="1"/>
  <c r="AA694" i="1"/>
  <c r="AA695" i="1"/>
  <c r="AB702" i="1"/>
  <c r="AA721" i="1"/>
  <c r="X723" i="1"/>
  <c r="AA725" i="1"/>
  <c r="W725" i="1"/>
  <c r="X725" i="1" s="1"/>
  <c r="U725" i="1"/>
  <c r="I725" i="1" s="1"/>
  <c r="AA733" i="1"/>
  <c r="U733" i="1"/>
  <c r="I733" i="1" s="1"/>
  <c r="AA751" i="1"/>
  <c r="W751" i="1"/>
  <c r="X751" i="1" s="1"/>
  <c r="AB761" i="1"/>
  <c r="AA763" i="1"/>
  <c r="W763" i="1"/>
  <c r="X763" i="1" s="1"/>
  <c r="U763" i="1"/>
  <c r="I763" i="1" s="1"/>
  <c r="AB773" i="1"/>
  <c r="AA819" i="1"/>
  <c r="W819" i="1"/>
  <c r="X819" i="1" s="1"/>
  <c r="U819" i="1"/>
  <c r="I819" i="1" s="1"/>
  <c r="AA829" i="1"/>
  <c r="W829" i="1"/>
  <c r="X829" i="1" s="1"/>
  <c r="U829" i="1"/>
  <c r="I829" i="1" s="1"/>
  <c r="AA839" i="1"/>
  <c r="W839" i="1"/>
  <c r="X839" i="1" s="1"/>
  <c r="U839" i="1"/>
  <c r="I839" i="1" s="1"/>
  <c r="AB852" i="1"/>
  <c r="AB872" i="1"/>
  <c r="AB883" i="1"/>
  <c r="AB888" i="1"/>
  <c r="AB893" i="1"/>
  <c r="AB898" i="1"/>
  <c r="AB907" i="1"/>
  <c r="AB914" i="1"/>
  <c r="AB919" i="1"/>
  <c r="AA924" i="1"/>
  <c r="W924" i="1"/>
  <c r="X924" i="1" s="1"/>
  <c r="U924" i="1"/>
  <c r="I924" i="1" s="1"/>
  <c r="AA944" i="1"/>
  <c r="U944" i="1"/>
  <c r="I944" i="1" s="1"/>
  <c r="AB944" i="1"/>
  <c r="W944" i="1"/>
  <c r="X944" i="1" s="1"/>
  <c r="U867" i="1"/>
  <c r="I867" i="1" s="1"/>
  <c r="AA873" i="1"/>
  <c r="U875" i="1"/>
  <c r="I875" i="1" s="1"/>
  <c r="AA878" i="1"/>
  <c r="U880" i="1"/>
  <c r="I880" i="1" s="1"/>
  <c r="W900" i="1"/>
  <c r="X900" i="1" s="1"/>
  <c r="W905" i="1"/>
  <c r="X905" i="1" s="1"/>
  <c r="W910" i="1"/>
  <c r="X910" i="1" s="1"/>
  <c r="AA916" i="1"/>
  <c r="W918" i="1"/>
  <c r="X918" i="1" s="1"/>
  <c r="U947" i="1"/>
  <c r="I947" i="1" s="1"/>
  <c r="W947" i="1"/>
  <c r="X947" i="1" s="1"/>
  <c r="U996" i="1"/>
  <c r="I996" i="1" s="1"/>
  <c r="AA996" i="1"/>
  <c r="W996" i="1"/>
  <c r="X996" i="1" s="1"/>
  <c r="AB998" i="1"/>
  <c r="AA1004" i="1"/>
  <c r="W1004" i="1"/>
  <c r="X1004" i="1" s="1"/>
  <c r="U1004" i="1"/>
  <c r="I1004" i="1" s="1"/>
  <c r="AA1023" i="1"/>
  <c r="W1023" i="1"/>
  <c r="X1023" i="1" s="1"/>
  <c r="U1023" i="1"/>
  <c r="I1023" i="1" s="1"/>
  <c r="W1075" i="1"/>
  <c r="X1075" i="1" s="1"/>
  <c r="U1075" i="1"/>
  <c r="I1075" i="1" s="1"/>
  <c r="AB1075" i="1"/>
  <c r="AA1075" i="1"/>
  <c r="U1077" i="1"/>
  <c r="I1077" i="1" s="1"/>
  <c r="AA1077" i="1"/>
  <c r="W1077" i="1"/>
  <c r="X1077" i="1" s="1"/>
  <c r="AA1173" i="1"/>
  <c r="W1173" i="1"/>
  <c r="X1173" i="1" s="1"/>
  <c r="U1173" i="1"/>
  <c r="I1173" i="1" s="1"/>
  <c r="AA1180" i="1"/>
  <c r="W1180" i="1"/>
  <c r="X1180" i="1" s="1"/>
  <c r="U1180" i="1"/>
  <c r="I1180" i="1" s="1"/>
  <c r="AA1193" i="1"/>
  <c r="W1193" i="1"/>
  <c r="X1193" i="1" s="1"/>
  <c r="U1193" i="1"/>
  <c r="I1193" i="1" s="1"/>
  <c r="U1206" i="1"/>
  <c r="I1206" i="1" s="1"/>
  <c r="AA1206" i="1"/>
  <c r="W1206" i="1"/>
  <c r="X1206" i="1" s="1"/>
  <c r="AB1206" i="1"/>
  <c r="AA805" i="1"/>
  <c r="AA815" i="1"/>
  <c r="AA825" i="1"/>
  <c r="AA835" i="1"/>
  <c r="AA845" i="1"/>
  <c r="AA855" i="1"/>
  <c r="AA865" i="1"/>
  <c r="W867" i="1"/>
  <c r="X867" i="1" s="1"/>
  <c r="W875" i="1"/>
  <c r="X875" i="1" s="1"/>
  <c r="W880" i="1"/>
  <c r="X880" i="1" s="1"/>
  <c r="U911" i="1"/>
  <c r="I911" i="1" s="1"/>
  <c r="U920" i="1"/>
  <c r="I920" i="1" s="1"/>
  <c r="U921" i="1"/>
  <c r="I921" i="1" s="1"/>
  <c r="U927" i="1"/>
  <c r="I927" i="1" s="1"/>
  <c r="U929" i="1"/>
  <c r="I929" i="1" s="1"/>
  <c r="U931" i="1"/>
  <c r="I931" i="1" s="1"/>
  <c r="U932" i="1"/>
  <c r="I932" i="1" s="1"/>
  <c r="U952" i="1"/>
  <c r="I952" i="1" s="1"/>
  <c r="AB954" i="1"/>
  <c r="AA970" i="1"/>
  <c r="AA972" i="1"/>
  <c r="U972" i="1"/>
  <c r="I972" i="1" s="1"/>
  <c r="U1001" i="1"/>
  <c r="I1001" i="1" s="1"/>
  <c r="AA1001" i="1"/>
  <c r="W1001" i="1"/>
  <c r="X1001" i="1" s="1"/>
  <c r="AA1012" i="1"/>
  <c r="W1012" i="1"/>
  <c r="X1012" i="1" s="1"/>
  <c r="AA1014" i="1"/>
  <c r="W1014" i="1"/>
  <c r="X1014" i="1" s="1"/>
  <c r="U1014" i="1"/>
  <c r="I1014" i="1" s="1"/>
  <c r="AB1033" i="1"/>
  <c r="W1047" i="1"/>
  <c r="X1047" i="1" s="1"/>
  <c r="U1047" i="1"/>
  <c r="I1047" i="1" s="1"/>
  <c r="AB1047" i="1"/>
  <c r="AA1047" i="1"/>
  <c r="U1049" i="1"/>
  <c r="I1049" i="1" s="1"/>
  <c r="AA1049" i="1"/>
  <c r="W1049" i="1"/>
  <c r="X1049" i="1" s="1"/>
  <c r="AB1059" i="1"/>
  <c r="AA1064" i="1"/>
  <c r="W1064" i="1"/>
  <c r="X1064" i="1" s="1"/>
  <c r="U1064" i="1"/>
  <c r="I1064" i="1" s="1"/>
  <c r="AA1082" i="1"/>
  <c r="W1082" i="1"/>
  <c r="X1082" i="1" s="1"/>
  <c r="U1082" i="1"/>
  <c r="I1082" i="1" s="1"/>
  <c r="AA1152" i="1"/>
  <c r="W1152" i="1"/>
  <c r="X1152" i="1" s="1"/>
  <c r="U1152" i="1"/>
  <c r="I1152" i="1" s="1"/>
  <c r="AA1160" i="1"/>
  <c r="W1160" i="1"/>
  <c r="X1160" i="1" s="1"/>
  <c r="U1160" i="1"/>
  <c r="I1160" i="1" s="1"/>
  <c r="U1167" i="1"/>
  <c r="I1167" i="1" s="1"/>
  <c r="AA1167" i="1"/>
  <c r="W1167" i="1"/>
  <c r="X1167" i="1" s="1"/>
  <c r="AB1178" i="1"/>
  <c r="AB1198" i="1"/>
  <c r="AB1200" i="1"/>
  <c r="AA1200" i="1"/>
  <c r="W1200" i="1"/>
  <c r="X1200" i="1" s="1"/>
  <c r="U1200" i="1"/>
  <c r="I1200" i="1" s="1"/>
  <c r="W1212" i="1"/>
  <c r="X1212" i="1" s="1"/>
  <c r="AA1212" i="1"/>
  <c r="U1212" i="1"/>
  <c r="I1212" i="1" s="1"/>
  <c r="AB1220" i="1"/>
  <c r="U869" i="1"/>
  <c r="I869" i="1" s="1"/>
  <c r="AA874" i="1"/>
  <c r="U876" i="1"/>
  <c r="I876" i="1" s="1"/>
  <c r="AA879" i="1"/>
  <c r="U881" i="1"/>
  <c r="I881" i="1" s="1"/>
  <c r="W911" i="1"/>
  <c r="X911" i="1" s="1"/>
  <c r="AA918" i="1"/>
  <c r="W920" i="1"/>
  <c r="X920" i="1" s="1"/>
  <c r="W921" i="1"/>
  <c r="X921" i="1" s="1"/>
  <c r="W927" i="1"/>
  <c r="X927" i="1" s="1"/>
  <c r="W929" i="1"/>
  <c r="X929" i="1" s="1"/>
  <c r="W931" i="1"/>
  <c r="X931" i="1" s="1"/>
  <c r="W932" i="1"/>
  <c r="X932" i="1" s="1"/>
  <c r="AA947" i="1"/>
  <c r="W952" i="1"/>
  <c r="X952" i="1" s="1"/>
  <c r="AA998" i="1"/>
  <c r="W998" i="1"/>
  <c r="X998" i="1" s="1"/>
  <c r="U998" i="1"/>
  <c r="I998" i="1" s="1"/>
  <c r="AA1033" i="1"/>
  <c r="W1033" i="1"/>
  <c r="X1033" i="1" s="1"/>
  <c r="U1033" i="1"/>
  <c r="I1033" i="1" s="1"/>
  <c r="W1057" i="1"/>
  <c r="X1057" i="1" s="1"/>
  <c r="U1057" i="1"/>
  <c r="I1057" i="1" s="1"/>
  <c r="AB1057" i="1"/>
  <c r="AA1057" i="1"/>
  <c r="U1059" i="1"/>
  <c r="I1059" i="1" s="1"/>
  <c r="AA1059" i="1"/>
  <c r="W1059" i="1"/>
  <c r="X1059" i="1" s="1"/>
  <c r="U1178" i="1"/>
  <c r="I1178" i="1" s="1"/>
  <c r="AA1178" i="1"/>
  <c r="W1178" i="1"/>
  <c r="X1178" i="1" s="1"/>
  <c r="U1198" i="1"/>
  <c r="I1198" i="1" s="1"/>
  <c r="AA1198" i="1"/>
  <c r="W1198" i="1"/>
  <c r="X1198" i="1" s="1"/>
  <c r="AA1220" i="1"/>
  <c r="W1220" i="1"/>
  <c r="X1220" i="1" s="1"/>
  <c r="U1220" i="1"/>
  <c r="I1220" i="1" s="1"/>
  <c r="AA1299" i="1"/>
  <c r="W1299" i="1"/>
  <c r="X1299" i="1" s="1"/>
  <c r="U1299" i="1"/>
  <c r="I1299" i="1" s="1"/>
  <c r="U820" i="1"/>
  <c r="I820" i="1" s="1"/>
  <c r="U830" i="1"/>
  <c r="I830" i="1" s="1"/>
  <c r="U840" i="1"/>
  <c r="I840" i="1" s="1"/>
  <c r="W869" i="1"/>
  <c r="X869" i="1" s="1"/>
  <c r="AA900" i="1"/>
  <c r="AA905" i="1"/>
  <c r="AA910" i="1"/>
  <c r="AB940" i="1"/>
  <c r="W965" i="1"/>
  <c r="X965" i="1" s="1"/>
  <c r="U965" i="1"/>
  <c r="I965" i="1" s="1"/>
  <c r="AA965" i="1"/>
  <c r="AA974" i="1"/>
  <c r="W974" i="1"/>
  <c r="X974" i="1" s="1"/>
  <c r="U974" i="1"/>
  <c r="I974" i="1" s="1"/>
  <c r="W985" i="1"/>
  <c r="X985" i="1" s="1"/>
  <c r="U985" i="1"/>
  <c r="I985" i="1" s="1"/>
  <c r="AA985" i="1"/>
  <c r="W1105" i="1"/>
  <c r="X1105" i="1" s="1"/>
  <c r="U1105" i="1"/>
  <c r="I1105" i="1" s="1"/>
  <c r="AB1105" i="1"/>
  <c r="AA1105" i="1"/>
  <c r="U1107" i="1"/>
  <c r="I1107" i="1" s="1"/>
  <c r="AA1107" i="1"/>
  <c r="W1107" i="1"/>
  <c r="X1107" i="1" s="1"/>
  <c r="AA1112" i="1"/>
  <c r="W1112" i="1"/>
  <c r="X1112" i="1" s="1"/>
  <c r="U1112" i="1"/>
  <c r="I1112" i="1" s="1"/>
  <c r="W1125" i="1"/>
  <c r="X1125" i="1" s="1"/>
  <c r="U1125" i="1"/>
  <c r="I1125" i="1" s="1"/>
  <c r="AB1125" i="1"/>
  <c r="AA1125" i="1"/>
  <c r="U1127" i="1"/>
  <c r="I1127" i="1" s="1"/>
  <c r="AA1127" i="1"/>
  <c r="W1127" i="1"/>
  <c r="X1127" i="1" s="1"/>
  <c r="AA1142" i="1"/>
  <c r="W1142" i="1"/>
  <c r="X1142" i="1" s="1"/>
  <c r="U1142" i="1"/>
  <c r="I1142" i="1" s="1"/>
  <c r="AA1150" i="1"/>
  <c r="W1150" i="1"/>
  <c r="X1150" i="1" s="1"/>
  <c r="U1150" i="1"/>
  <c r="I1150" i="1" s="1"/>
  <c r="U1157" i="1"/>
  <c r="I1157" i="1" s="1"/>
  <c r="AA1157" i="1"/>
  <c r="W1157" i="1"/>
  <c r="X1157" i="1" s="1"/>
  <c r="W1165" i="1"/>
  <c r="X1165" i="1" s="1"/>
  <c r="U1165" i="1"/>
  <c r="I1165" i="1" s="1"/>
  <c r="AA1165" i="1"/>
  <c r="AA1279" i="1"/>
  <c r="W1279" i="1"/>
  <c r="X1279" i="1" s="1"/>
  <c r="U1279" i="1"/>
  <c r="I1279" i="1" s="1"/>
  <c r="AA1309" i="1"/>
  <c r="W1309" i="1"/>
  <c r="X1309" i="1" s="1"/>
  <c r="U1309" i="1"/>
  <c r="I1309" i="1" s="1"/>
  <c r="W820" i="1"/>
  <c r="X820" i="1" s="1"/>
  <c r="W830" i="1"/>
  <c r="X830" i="1" s="1"/>
  <c r="W840" i="1"/>
  <c r="X840" i="1" s="1"/>
  <c r="U851" i="1"/>
  <c r="I851" i="1" s="1"/>
  <c r="U861" i="1"/>
  <c r="I861" i="1" s="1"/>
  <c r="U871" i="1"/>
  <c r="I871" i="1" s="1"/>
  <c r="U877" i="1"/>
  <c r="I877" i="1" s="1"/>
  <c r="U882" i="1"/>
  <c r="I882" i="1" s="1"/>
  <c r="U913" i="1"/>
  <c r="I913" i="1" s="1"/>
  <c r="W946" i="1"/>
  <c r="X946" i="1" s="1"/>
  <c r="U946" i="1"/>
  <c r="I946" i="1" s="1"/>
  <c r="AB950" i="1"/>
  <c r="AA951" i="1"/>
  <c r="U951" i="1"/>
  <c r="I951" i="1" s="1"/>
  <c r="AB965" i="1"/>
  <c r="U967" i="1"/>
  <c r="I967" i="1" s="1"/>
  <c r="W967" i="1"/>
  <c r="X967" i="1" s="1"/>
  <c r="AB971" i="1"/>
  <c r="AB985" i="1"/>
  <c r="U987" i="1"/>
  <c r="I987" i="1" s="1"/>
  <c r="W987" i="1"/>
  <c r="X987" i="1" s="1"/>
  <c r="W995" i="1"/>
  <c r="X995" i="1" s="1"/>
  <c r="U995" i="1"/>
  <c r="I995" i="1" s="1"/>
  <c r="AB997" i="1"/>
  <c r="AB1003" i="1"/>
  <c r="AA1024" i="1"/>
  <c r="W1024" i="1"/>
  <c r="X1024" i="1" s="1"/>
  <c r="U1024" i="1"/>
  <c r="I1024" i="1" s="1"/>
  <c r="AA1043" i="1"/>
  <c r="W1043" i="1"/>
  <c r="X1043" i="1" s="1"/>
  <c r="U1043" i="1"/>
  <c r="I1043" i="1" s="1"/>
  <c r="W1067" i="1"/>
  <c r="X1067" i="1" s="1"/>
  <c r="U1067" i="1"/>
  <c r="I1067" i="1" s="1"/>
  <c r="AB1067" i="1"/>
  <c r="AA1067" i="1"/>
  <c r="U1069" i="1"/>
  <c r="I1069" i="1" s="1"/>
  <c r="AA1069" i="1"/>
  <c r="W1069" i="1"/>
  <c r="X1069" i="1" s="1"/>
  <c r="W1176" i="1"/>
  <c r="X1176" i="1" s="1"/>
  <c r="U1176" i="1"/>
  <c r="I1176" i="1" s="1"/>
  <c r="AA1176" i="1"/>
  <c r="W1196" i="1"/>
  <c r="X1196" i="1" s="1"/>
  <c r="U1196" i="1"/>
  <c r="I1196" i="1" s="1"/>
  <c r="AA1196" i="1"/>
  <c r="AA1201" i="1"/>
  <c r="W1201" i="1"/>
  <c r="X1201" i="1" s="1"/>
  <c r="U1201" i="1"/>
  <c r="I1201" i="1" s="1"/>
  <c r="W851" i="1"/>
  <c r="X851" i="1" s="1"/>
  <c r="W861" i="1"/>
  <c r="X861" i="1" s="1"/>
  <c r="W871" i="1"/>
  <c r="X871" i="1" s="1"/>
  <c r="W877" i="1"/>
  <c r="X877" i="1" s="1"/>
  <c r="W882" i="1"/>
  <c r="X882" i="1" s="1"/>
  <c r="W913" i="1"/>
  <c r="X913" i="1" s="1"/>
  <c r="U937" i="1"/>
  <c r="I937" i="1" s="1"/>
  <c r="U939" i="1"/>
  <c r="I939" i="1" s="1"/>
  <c r="U941" i="1"/>
  <c r="I941" i="1" s="1"/>
  <c r="AA946" i="1"/>
  <c r="W951" i="1"/>
  <c r="X951" i="1" s="1"/>
  <c r="U960" i="1"/>
  <c r="I960" i="1" s="1"/>
  <c r="AB962" i="1"/>
  <c r="AB982" i="1"/>
  <c r="W1000" i="1"/>
  <c r="X1000" i="1" s="1"/>
  <c r="U1000" i="1"/>
  <c r="I1000" i="1" s="1"/>
  <c r="AB1013" i="1"/>
  <c r="W1017" i="1"/>
  <c r="X1017" i="1" s="1"/>
  <c r="U1017" i="1"/>
  <c r="I1017" i="1" s="1"/>
  <c r="AB1017" i="1"/>
  <c r="AA1017" i="1"/>
  <c r="U1019" i="1"/>
  <c r="I1019" i="1" s="1"/>
  <c r="AA1019" i="1"/>
  <c r="W1019" i="1"/>
  <c r="X1019" i="1" s="1"/>
  <c r="AB1034" i="1"/>
  <c r="AA1053" i="1"/>
  <c r="W1053" i="1"/>
  <c r="X1053" i="1" s="1"/>
  <c r="U1053" i="1"/>
  <c r="I1053" i="1" s="1"/>
  <c r="W1085" i="1"/>
  <c r="X1085" i="1" s="1"/>
  <c r="U1085" i="1"/>
  <c r="I1085" i="1" s="1"/>
  <c r="AB1085" i="1"/>
  <c r="AA1085" i="1"/>
  <c r="U1087" i="1"/>
  <c r="I1087" i="1" s="1"/>
  <c r="AA1087" i="1"/>
  <c r="W1087" i="1"/>
  <c r="X1087" i="1" s="1"/>
  <c r="AA1092" i="1"/>
  <c r="W1092" i="1"/>
  <c r="X1092" i="1" s="1"/>
  <c r="U1092" i="1"/>
  <c r="I1092" i="1" s="1"/>
  <c r="AA1132" i="1"/>
  <c r="W1132" i="1"/>
  <c r="X1132" i="1" s="1"/>
  <c r="U1132" i="1"/>
  <c r="I1132" i="1" s="1"/>
  <c r="AA1140" i="1"/>
  <c r="W1140" i="1"/>
  <c r="X1140" i="1" s="1"/>
  <c r="U1140" i="1"/>
  <c r="I1140" i="1" s="1"/>
  <c r="U1147" i="1"/>
  <c r="I1147" i="1" s="1"/>
  <c r="AA1147" i="1"/>
  <c r="W1147" i="1"/>
  <c r="X1147" i="1" s="1"/>
  <c r="W1155" i="1"/>
  <c r="X1155" i="1" s="1"/>
  <c r="U1155" i="1"/>
  <c r="I1155" i="1" s="1"/>
  <c r="AA1155" i="1"/>
  <c r="AB1172" i="1"/>
  <c r="AA1183" i="1"/>
  <c r="W1183" i="1"/>
  <c r="X1183" i="1" s="1"/>
  <c r="U1183" i="1"/>
  <c r="I1183" i="1" s="1"/>
  <c r="AA1190" i="1"/>
  <c r="W1190" i="1"/>
  <c r="X1190" i="1" s="1"/>
  <c r="U1190" i="1"/>
  <c r="I1190" i="1" s="1"/>
  <c r="AA1230" i="1"/>
  <c r="W1230" i="1"/>
  <c r="X1230" i="1" s="1"/>
  <c r="U1230" i="1"/>
  <c r="I1230" i="1" s="1"/>
  <c r="U755" i="1"/>
  <c r="I755" i="1" s="1"/>
  <c r="U765" i="1"/>
  <c r="I765" i="1" s="1"/>
  <c r="U775" i="1"/>
  <c r="I775" i="1" s="1"/>
  <c r="U785" i="1"/>
  <c r="I785" i="1" s="1"/>
  <c r="U795" i="1"/>
  <c r="I795" i="1" s="1"/>
  <c r="AA962" i="1"/>
  <c r="U962" i="1"/>
  <c r="I962" i="1" s="1"/>
  <c r="AA971" i="1"/>
  <c r="W971" i="1"/>
  <c r="X971" i="1" s="1"/>
  <c r="U971" i="1"/>
  <c r="I971" i="1" s="1"/>
  <c r="AA982" i="1"/>
  <c r="U982" i="1"/>
  <c r="I982" i="1" s="1"/>
  <c r="U997" i="1"/>
  <c r="I997" i="1" s="1"/>
  <c r="AA1003" i="1"/>
  <c r="W1003" i="1"/>
  <c r="X1003" i="1" s="1"/>
  <c r="U1003" i="1"/>
  <c r="I1003" i="1" s="1"/>
  <c r="W1007" i="1"/>
  <c r="X1007" i="1" s="1"/>
  <c r="U1007" i="1"/>
  <c r="I1007" i="1" s="1"/>
  <c r="AA1007" i="1"/>
  <c r="AA1034" i="1"/>
  <c r="W1034" i="1"/>
  <c r="X1034" i="1" s="1"/>
  <c r="U1034" i="1"/>
  <c r="I1034" i="1" s="1"/>
  <c r="AA1172" i="1"/>
  <c r="W1172" i="1"/>
  <c r="X1172" i="1" s="1"/>
  <c r="AB1202" i="1"/>
  <c r="AA1249" i="1"/>
  <c r="U1249" i="1"/>
  <c r="I1249" i="1" s="1"/>
  <c r="W1249" i="1"/>
  <c r="X1249" i="1" s="1"/>
  <c r="W755" i="1"/>
  <c r="X755" i="1" s="1"/>
  <c r="W765" i="1"/>
  <c r="X765" i="1" s="1"/>
  <c r="W775" i="1"/>
  <c r="X775" i="1" s="1"/>
  <c r="W785" i="1"/>
  <c r="X785" i="1" s="1"/>
  <c r="U935" i="1"/>
  <c r="I935" i="1" s="1"/>
  <c r="W936" i="1"/>
  <c r="X936" i="1" s="1"/>
  <c r="W945" i="1"/>
  <c r="X945" i="1" s="1"/>
  <c r="AA945" i="1"/>
  <c r="U950" i="1"/>
  <c r="I950" i="1" s="1"/>
  <c r="AA953" i="1"/>
  <c r="W953" i="1"/>
  <c r="X953" i="1" s="1"/>
  <c r="W962" i="1"/>
  <c r="X962" i="1" s="1"/>
  <c r="AB970" i="1"/>
  <c r="W982" i="1"/>
  <c r="X982" i="1" s="1"/>
  <c r="AB995" i="1"/>
  <c r="W997" i="1"/>
  <c r="X997" i="1" s="1"/>
  <c r="AB1007" i="1"/>
  <c r="U1009" i="1"/>
  <c r="I1009" i="1" s="1"/>
  <c r="W1009" i="1"/>
  <c r="X1009" i="1" s="1"/>
  <c r="W1027" i="1"/>
  <c r="X1027" i="1" s="1"/>
  <c r="U1027" i="1"/>
  <c r="I1027" i="1" s="1"/>
  <c r="AB1027" i="1"/>
  <c r="AA1027" i="1"/>
  <c r="U1029" i="1"/>
  <c r="I1029" i="1" s="1"/>
  <c r="AA1029" i="1"/>
  <c r="W1029" i="1"/>
  <c r="X1029" i="1" s="1"/>
  <c r="AA1063" i="1"/>
  <c r="W1063" i="1"/>
  <c r="X1063" i="1" s="1"/>
  <c r="U1063" i="1"/>
  <c r="I1063" i="1" s="1"/>
  <c r="W1115" i="1"/>
  <c r="X1115" i="1" s="1"/>
  <c r="U1115" i="1"/>
  <c r="I1115" i="1" s="1"/>
  <c r="AB1115" i="1"/>
  <c r="AA1115" i="1"/>
  <c r="U1117" i="1"/>
  <c r="I1117" i="1" s="1"/>
  <c r="AA1117" i="1"/>
  <c r="W1117" i="1"/>
  <c r="X1117" i="1" s="1"/>
  <c r="U1137" i="1"/>
  <c r="I1137" i="1" s="1"/>
  <c r="AA1137" i="1"/>
  <c r="W1137" i="1"/>
  <c r="X1137" i="1" s="1"/>
  <c r="W1145" i="1"/>
  <c r="X1145" i="1" s="1"/>
  <c r="U1145" i="1"/>
  <c r="I1145" i="1" s="1"/>
  <c r="AA1145" i="1"/>
  <c r="AA1170" i="1"/>
  <c r="W1170" i="1"/>
  <c r="X1170" i="1" s="1"/>
  <c r="U1170" i="1"/>
  <c r="I1170" i="1" s="1"/>
  <c r="U1188" i="1"/>
  <c r="I1188" i="1" s="1"/>
  <c r="AA1188" i="1"/>
  <c r="W1188" i="1"/>
  <c r="X1188" i="1" s="1"/>
  <c r="W1202" i="1"/>
  <c r="X1202" i="1" s="1"/>
  <c r="AA1202" i="1"/>
  <c r="U1202" i="1"/>
  <c r="I1202" i="1" s="1"/>
  <c r="AA1269" i="1"/>
  <c r="U1269" i="1"/>
  <c r="I1269" i="1" s="1"/>
  <c r="W1269" i="1"/>
  <c r="X1269" i="1" s="1"/>
  <c r="AA1321" i="1"/>
  <c r="W1321" i="1"/>
  <c r="X1321" i="1" s="1"/>
  <c r="U1321" i="1"/>
  <c r="I1321" i="1" s="1"/>
  <c r="U707" i="1"/>
  <c r="I707" i="1" s="1"/>
  <c r="U717" i="1"/>
  <c r="I717" i="1" s="1"/>
  <c r="U727" i="1"/>
  <c r="I727" i="1" s="1"/>
  <c r="U737" i="1"/>
  <c r="I737" i="1" s="1"/>
  <c r="U805" i="1"/>
  <c r="I805" i="1" s="1"/>
  <c r="U815" i="1"/>
  <c r="I815" i="1" s="1"/>
  <c r="U825" i="1"/>
  <c r="I825" i="1" s="1"/>
  <c r="U835" i="1"/>
  <c r="I835" i="1" s="1"/>
  <c r="U845" i="1"/>
  <c r="I845" i="1" s="1"/>
  <c r="U855" i="1"/>
  <c r="I855" i="1" s="1"/>
  <c r="U865" i="1"/>
  <c r="I865" i="1" s="1"/>
  <c r="U874" i="1"/>
  <c r="I874" i="1" s="1"/>
  <c r="AA877" i="1"/>
  <c r="U879" i="1"/>
  <c r="I879" i="1" s="1"/>
  <c r="W955" i="1"/>
  <c r="X955" i="1" s="1"/>
  <c r="U955" i="1"/>
  <c r="I955" i="1" s="1"/>
  <c r="AA955" i="1"/>
  <c r="AB957" i="1"/>
  <c r="AA964" i="1"/>
  <c r="W964" i="1"/>
  <c r="X964" i="1" s="1"/>
  <c r="U964" i="1"/>
  <c r="I964" i="1" s="1"/>
  <c r="W975" i="1"/>
  <c r="X975" i="1" s="1"/>
  <c r="U975" i="1"/>
  <c r="I975" i="1" s="1"/>
  <c r="AA975" i="1"/>
  <c r="AB977" i="1"/>
  <c r="AA984" i="1"/>
  <c r="W984" i="1"/>
  <c r="X984" i="1" s="1"/>
  <c r="U984" i="1"/>
  <c r="I984" i="1" s="1"/>
  <c r="AA990" i="1"/>
  <c r="W990" i="1"/>
  <c r="X990" i="1" s="1"/>
  <c r="AA992" i="1"/>
  <c r="W992" i="1"/>
  <c r="X992" i="1" s="1"/>
  <c r="U992" i="1"/>
  <c r="I992" i="1" s="1"/>
  <c r="AA1044" i="1"/>
  <c r="W1044" i="1"/>
  <c r="X1044" i="1" s="1"/>
  <c r="U1044" i="1"/>
  <c r="I1044" i="1" s="1"/>
  <c r="AA1219" i="1"/>
  <c r="W1219" i="1"/>
  <c r="X1219" i="1" s="1"/>
  <c r="U1219" i="1"/>
  <c r="I1219" i="1" s="1"/>
  <c r="AA1231" i="1"/>
  <c r="W1231" i="1"/>
  <c r="X1231" i="1" s="1"/>
  <c r="U1231" i="1"/>
  <c r="I1231" i="1" s="1"/>
  <c r="AB930" i="1"/>
  <c r="AA933" i="1"/>
  <c r="W933" i="1"/>
  <c r="X933" i="1" s="1"/>
  <c r="AA950" i="1"/>
  <c r="AB952" i="1"/>
  <c r="U957" i="1"/>
  <c r="I957" i="1" s="1"/>
  <c r="W957" i="1"/>
  <c r="X957" i="1" s="1"/>
  <c r="AB961" i="1"/>
  <c r="U977" i="1"/>
  <c r="I977" i="1" s="1"/>
  <c r="W977" i="1"/>
  <c r="X977" i="1" s="1"/>
  <c r="AB981" i="1"/>
  <c r="AB996" i="1"/>
  <c r="AB1004" i="1"/>
  <c r="AA1009" i="1"/>
  <c r="AB1012" i="1"/>
  <c r="AB1023" i="1"/>
  <c r="W1037" i="1"/>
  <c r="X1037" i="1" s="1"/>
  <c r="U1037" i="1"/>
  <c r="I1037" i="1" s="1"/>
  <c r="AB1037" i="1"/>
  <c r="AA1037" i="1"/>
  <c r="U1039" i="1"/>
  <c r="I1039" i="1" s="1"/>
  <c r="AA1039" i="1"/>
  <c r="W1039" i="1"/>
  <c r="X1039" i="1" s="1"/>
  <c r="AA1054" i="1"/>
  <c r="W1054" i="1"/>
  <c r="X1054" i="1" s="1"/>
  <c r="U1054" i="1"/>
  <c r="I1054" i="1" s="1"/>
  <c r="AA1073" i="1"/>
  <c r="W1073" i="1"/>
  <c r="X1073" i="1" s="1"/>
  <c r="U1073" i="1"/>
  <c r="I1073" i="1" s="1"/>
  <c r="AB1077" i="1"/>
  <c r="W1095" i="1"/>
  <c r="X1095" i="1" s="1"/>
  <c r="U1095" i="1"/>
  <c r="I1095" i="1" s="1"/>
  <c r="AB1095" i="1"/>
  <c r="AA1095" i="1"/>
  <c r="U1097" i="1"/>
  <c r="I1097" i="1" s="1"/>
  <c r="AA1097" i="1"/>
  <c r="W1097" i="1"/>
  <c r="X1097" i="1" s="1"/>
  <c r="AA1102" i="1"/>
  <c r="W1102" i="1"/>
  <c r="X1102" i="1" s="1"/>
  <c r="U1102" i="1"/>
  <c r="I1102" i="1" s="1"/>
  <c r="AA1122" i="1"/>
  <c r="W1122" i="1"/>
  <c r="X1122" i="1" s="1"/>
  <c r="U1122" i="1"/>
  <c r="I1122" i="1" s="1"/>
  <c r="W1135" i="1"/>
  <c r="X1135" i="1" s="1"/>
  <c r="U1135" i="1"/>
  <c r="I1135" i="1" s="1"/>
  <c r="AA1135" i="1"/>
  <c r="AA1162" i="1"/>
  <c r="W1162" i="1"/>
  <c r="X1162" i="1" s="1"/>
  <c r="U1162" i="1"/>
  <c r="I1162" i="1" s="1"/>
  <c r="AB1173" i="1"/>
  <c r="AB1180" i="1"/>
  <c r="W1186" i="1"/>
  <c r="X1186" i="1" s="1"/>
  <c r="U1186" i="1"/>
  <c r="I1186" i="1" s="1"/>
  <c r="AA1186" i="1"/>
  <c r="AB1193" i="1"/>
  <c r="U1179" i="1"/>
  <c r="I1179" i="1" s="1"/>
  <c r="U1189" i="1"/>
  <c r="I1189" i="1" s="1"/>
  <c r="U1199" i="1"/>
  <c r="I1199" i="1" s="1"/>
  <c r="AB1207" i="1"/>
  <c r="AB1208" i="1"/>
  <c r="X1218" i="1"/>
  <c r="W1221" i="1"/>
  <c r="X1221" i="1" s="1"/>
  <c r="U1221" i="1"/>
  <c r="I1221" i="1" s="1"/>
  <c r="U1224" i="1"/>
  <c r="I1224" i="1" s="1"/>
  <c r="U1229" i="1"/>
  <c r="I1229" i="1" s="1"/>
  <c r="AA1254" i="1"/>
  <c r="AA1260" i="1"/>
  <c r="W1260" i="1"/>
  <c r="X1260" i="1" s="1"/>
  <c r="AA1262" i="1"/>
  <c r="W1262" i="1"/>
  <c r="X1262" i="1" s="1"/>
  <c r="U1262" i="1"/>
  <c r="I1262" i="1" s="1"/>
  <c r="AA1268" i="1"/>
  <c r="W1268" i="1"/>
  <c r="X1268" i="1" s="1"/>
  <c r="AB1288" i="1"/>
  <c r="AB1296" i="1"/>
  <c r="AA1296" i="1"/>
  <c r="U1296" i="1"/>
  <c r="I1296" i="1" s="1"/>
  <c r="AB1310" i="1"/>
  <c r="AA1312" i="1"/>
  <c r="W1312" i="1"/>
  <c r="X1312" i="1" s="1"/>
  <c r="U1312" i="1"/>
  <c r="I1312" i="1" s="1"/>
  <c r="AA1318" i="1"/>
  <c r="U1318" i="1"/>
  <c r="I1318" i="1" s="1"/>
  <c r="AB1329" i="1"/>
  <c r="AA1333" i="1"/>
  <c r="W1333" i="1"/>
  <c r="X1333" i="1" s="1"/>
  <c r="U1333" i="1"/>
  <c r="I1333" i="1" s="1"/>
  <c r="AB1341" i="1"/>
  <c r="AB1378" i="1"/>
  <c r="AB1386" i="1"/>
  <c r="AB1420" i="1"/>
  <c r="U1423" i="1"/>
  <c r="I1423" i="1" s="1"/>
  <c r="AA1423" i="1"/>
  <c r="W1423" i="1"/>
  <c r="X1423" i="1" s="1"/>
  <c r="AA1136" i="1"/>
  <c r="U1139" i="1"/>
  <c r="I1139" i="1" s="1"/>
  <c r="AA1146" i="1"/>
  <c r="U1149" i="1"/>
  <c r="I1149" i="1" s="1"/>
  <c r="AA1156" i="1"/>
  <c r="U1159" i="1"/>
  <c r="I1159" i="1" s="1"/>
  <c r="AA1166" i="1"/>
  <c r="W1168" i="1"/>
  <c r="X1168" i="1" s="1"/>
  <c r="U1169" i="1"/>
  <c r="I1169" i="1" s="1"/>
  <c r="AA1177" i="1"/>
  <c r="W1179" i="1"/>
  <c r="X1179" i="1" s="1"/>
  <c r="AA1187" i="1"/>
  <c r="W1189" i="1"/>
  <c r="X1189" i="1" s="1"/>
  <c r="AA1197" i="1"/>
  <c r="W1199" i="1"/>
  <c r="X1199" i="1" s="1"/>
  <c r="W1216" i="1"/>
  <c r="X1216" i="1" s="1"/>
  <c r="AA1221" i="1"/>
  <c r="AA1241" i="1"/>
  <c r="W1241" i="1"/>
  <c r="X1241" i="1" s="1"/>
  <c r="U1241" i="1"/>
  <c r="I1241" i="1" s="1"/>
  <c r="AA1246" i="1"/>
  <c r="U1246" i="1"/>
  <c r="I1246" i="1" s="1"/>
  <c r="AB1249" i="1"/>
  <c r="U1260" i="1"/>
  <c r="I1260" i="1" s="1"/>
  <c r="W1264" i="1"/>
  <c r="X1264" i="1" s="1"/>
  <c r="U1264" i="1"/>
  <c r="I1264" i="1" s="1"/>
  <c r="AB1270" i="1"/>
  <c r="AB1272" i="1"/>
  <c r="AB1276" i="1"/>
  <c r="AA1276" i="1"/>
  <c r="U1276" i="1"/>
  <c r="I1276" i="1" s="1"/>
  <c r="AB1290" i="1"/>
  <c r="AA1292" i="1"/>
  <c r="W1292" i="1"/>
  <c r="X1292" i="1" s="1"/>
  <c r="U1292" i="1"/>
  <c r="I1292" i="1" s="1"/>
  <c r="AA1308" i="1"/>
  <c r="W1308" i="1"/>
  <c r="X1308" i="1" s="1"/>
  <c r="AA1310" i="1"/>
  <c r="W1310" i="1"/>
  <c r="X1310" i="1" s="1"/>
  <c r="U1310" i="1"/>
  <c r="I1310" i="1" s="1"/>
  <c r="AB1331" i="1"/>
  <c r="AA1341" i="1"/>
  <c r="W1341" i="1"/>
  <c r="X1341" i="1" s="1"/>
  <c r="U1341" i="1"/>
  <c r="I1341" i="1" s="1"/>
  <c r="AB1372" i="1"/>
  <c r="AA1372" i="1"/>
  <c r="W1372" i="1"/>
  <c r="X1372" i="1" s="1"/>
  <c r="U1372" i="1"/>
  <c r="I1372" i="1" s="1"/>
  <c r="AA1378" i="1"/>
  <c r="W1378" i="1"/>
  <c r="X1378" i="1" s="1"/>
  <c r="U1378" i="1"/>
  <c r="I1378" i="1" s="1"/>
  <c r="AA1386" i="1"/>
  <c r="W1386" i="1"/>
  <c r="X1386" i="1" s="1"/>
  <c r="U1386" i="1"/>
  <c r="I1386" i="1" s="1"/>
  <c r="AA1420" i="1"/>
  <c r="W1420" i="1"/>
  <c r="X1420" i="1" s="1"/>
  <c r="U1420" i="1"/>
  <c r="I1420" i="1" s="1"/>
  <c r="U1447" i="1"/>
  <c r="I1447" i="1" s="1"/>
  <c r="AA1447" i="1"/>
  <c r="W1447" i="1"/>
  <c r="X1447" i="1" s="1"/>
  <c r="U1022" i="1"/>
  <c r="I1022" i="1" s="1"/>
  <c r="U1032" i="1"/>
  <c r="I1032" i="1" s="1"/>
  <c r="U1042" i="1"/>
  <c r="I1042" i="1" s="1"/>
  <c r="U1052" i="1"/>
  <c r="I1052" i="1" s="1"/>
  <c r="U1062" i="1"/>
  <c r="I1062" i="1" s="1"/>
  <c r="U1072" i="1"/>
  <c r="I1072" i="1" s="1"/>
  <c r="X1215" i="1"/>
  <c r="U1228" i="1"/>
  <c r="I1228" i="1" s="1"/>
  <c r="W1246" i="1"/>
  <c r="X1246" i="1" s="1"/>
  <c r="AA1270" i="1"/>
  <c r="W1270" i="1"/>
  <c r="X1270" i="1" s="1"/>
  <c r="AA1272" i="1"/>
  <c r="W1272" i="1"/>
  <c r="X1272" i="1" s="1"/>
  <c r="U1272" i="1"/>
  <c r="I1272" i="1" s="1"/>
  <c r="AA1288" i="1"/>
  <c r="W1288" i="1"/>
  <c r="X1288" i="1" s="1"/>
  <c r="AA1290" i="1"/>
  <c r="W1290" i="1"/>
  <c r="X1290" i="1" s="1"/>
  <c r="U1290" i="1"/>
  <c r="I1290" i="1" s="1"/>
  <c r="AA1329" i="1"/>
  <c r="W1329" i="1"/>
  <c r="X1329" i="1" s="1"/>
  <c r="AA1331" i="1"/>
  <c r="W1331" i="1"/>
  <c r="X1331" i="1" s="1"/>
  <c r="U1331" i="1"/>
  <c r="I1331" i="1" s="1"/>
  <c r="W1022" i="1"/>
  <c r="X1022" i="1" s="1"/>
  <c r="W1032" i="1"/>
  <c r="X1032" i="1" s="1"/>
  <c r="W1042" i="1"/>
  <c r="X1042" i="1" s="1"/>
  <c r="W1052" i="1"/>
  <c r="X1052" i="1" s="1"/>
  <c r="W1062" i="1"/>
  <c r="X1062" i="1" s="1"/>
  <c r="W1072" i="1"/>
  <c r="X1072" i="1" s="1"/>
  <c r="W1080" i="1"/>
  <c r="X1080" i="1" s="1"/>
  <c r="U1081" i="1"/>
  <c r="I1081" i="1" s="1"/>
  <c r="W1090" i="1"/>
  <c r="X1090" i="1" s="1"/>
  <c r="U1091" i="1"/>
  <c r="I1091" i="1" s="1"/>
  <c r="W1100" i="1"/>
  <c r="X1100" i="1" s="1"/>
  <c r="U1101" i="1"/>
  <c r="I1101" i="1" s="1"/>
  <c r="W1110" i="1"/>
  <c r="X1110" i="1" s="1"/>
  <c r="U1111" i="1"/>
  <c r="I1111" i="1" s="1"/>
  <c r="U1121" i="1"/>
  <c r="I1121" i="1" s="1"/>
  <c r="U1131" i="1"/>
  <c r="I1131" i="1" s="1"/>
  <c r="U1141" i="1"/>
  <c r="I1141" i="1" s="1"/>
  <c r="U1151" i="1"/>
  <c r="I1151" i="1" s="1"/>
  <c r="U1161" i="1"/>
  <c r="I1161" i="1" s="1"/>
  <c r="U1171" i="1"/>
  <c r="I1171" i="1" s="1"/>
  <c r="U1182" i="1"/>
  <c r="I1182" i="1" s="1"/>
  <c r="U1192" i="1"/>
  <c r="I1192" i="1" s="1"/>
  <c r="U1211" i="1"/>
  <c r="I1211" i="1" s="1"/>
  <c r="AA1216" i="1"/>
  <c r="W1228" i="1"/>
  <c r="X1228" i="1" s="1"/>
  <c r="AA1256" i="1"/>
  <c r="U1256" i="1"/>
  <c r="I1256" i="1" s="1"/>
  <c r="U1270" i="1"/>
  <c r="I1270" i="1" s="1"/>
  <c r="U1288" i="1"/>
  <c r="I1288" i="1" s="1"/>
  <c r="AA1302" i="1"/>
  <c r="W1302" i="1"/>
  <c r="X1302" i="1" s="1"/>
  <c r="U1302" i="1"/>
  <c r="I1302" i="1" s="1"/>
  <c r="AA1313" i="1"/>
  <c r="W1313" i="1"/>
  <c r="X1313" i="1" s="1"/>
  <c r="U1313" i="1"/>
  <c r="I1313" i="1" s="1"/>
  <c r="AB1322" i="1"/>
  <c r="U1329" i="1"/>
  <c r="I1329" i="1" s="1"/>
  <c r="AB1362" i="1"/>
  <c r="AA1362" i="1"/>
  <c r="W1362" i="1"/>
  <c r="X1362" i="1" s="1"/>
  <c r="U1362" i="1"/>
  <c r="I1362" i="1" s="1"/>
  <c r="AA1368" i="1"/>
  <c r="W1368" i="1"/>
  <c r="X1368" i="1" s="1"/>
  <c r="U1368" i="1"/>
  <c r="I1368" i="1" s="1"/>
  <c r="AA1376" i="1"/>
  <c r="W1376" i="1"/>
  <c r="X1376" i="1" s="1"/>
  <c r="U1376" i="1"/>
  <c r="I1376" i="1" s="1"/>
  <c r="AB1412" i="1"/>
  <c r="AA1412" i="1"/>
  <c r="W1412" i="1"/>
  <c r="X1412" i="1" s="1"/>
  <c r="U1412" i="1"/>
  <c r="I1412" i="1" s="1"/>
  <c r="AB1421" i="1"/>
  <c r="AA1426" i="1"/>
  <c r="W1426" i="1"/>
  <c r="X1426" i="1" s="1"/>
  <c r="U1426" i="1"/>
  <c r="I1426" i="1" s="1"/>
  <c r="W1081" i="1"/>
  <c r="X1081" i="1" s="1"/>
  <c r="W1091" i="1"/>
  <c r="X1091" i="1" s="1"/>
  <c r="W1101" i="1"/>
  <c r="X1101" i="1" s="1"/>
  <c r="W1111" i="1"/>
  <c r="X1111" i="1" s="1"/>
  <c r="W1121" i="1"/>
  <c r="X1121" i="1" s="1"/>
  <c r="W1131" i="1"/>
  <c r="X1131" i="1" s="1"/>
  <c r="W1141" i="1"/>
  <c r="X1141" i="1" s="1"/>
  <c r="W1151" i="1"/>
  <c r="X1151" i="1" s="1"/>
  <c r="W1161" i="1"/>
  <c r="X1161" i="1" s="1"/>
  <c r="W1171" i="1"/>
  <c r="X1171" i="1" s="1"/>
  <c r="W1182" i="1"/>
  <c r="X1182" i="1" s="1"/>
  <c r="W1192" i="1"/>
  <c r="X1192" i="1" s="1"/>
  <c r="W1211" i="1"/>
  <c r="X1211" i="1" s="1"/>
  <c r="U1214" i="1"/>
  <c r="I1214" i="1" s="1"/>
  <c r="AA1214" i="1"/>
  <c r="AB1219" i="1"/>
  <c r="X1223" i="1"/>
  <c r="AB1230" i="1"/>
  <c r="X1233" i="1"/>
  <c r="W1236" i="1"/>
  <c r="X1236" i="1" s="1"/>
  <c r="AB1248" i="1"/>
  <c r="AA1251" i="1"/>
  <c r="W1251" i="1"/>
  <c r="X1251" i="1" s="1"/>
  <c r="U1251" i="1"/>
  <c r="I1251" i="1" s="1"/>
  <c r="W1256" i="1"/>
  <c r="X1256" i="1" s="1"/>
  <c r="AB1280" i="1"/>
  <c r="AA1282" i="1"/>
  <c r="W1282" i="1"/>
  <c r="X1282" i="1" s="1"/>
  <c r="U1282" i="1"/>
  <c r="I1282" i="1" s="1"/>
  <c r="AA1298" i="1"/>
  <c r="W1298" i="1"/>
  <c r="X1298" i="1" s="1"/>
  <c r="AA1300" i="1"/>
  <c r="W1300" i="1"/>
  <c r="X1300" i="1" s="1"/>
  <c r="U1300" i="1"/>
  <c r="I1300" i="1" s="1"/>
  <c r="W1304" i="1"/>
  <c r="X1304" i="1" s="1"/>
  <c r="U1304" i="1"/>
  <c r="I1304" i="1" s="1"/>
  <c r="AA1320" i="1"/>
  <c r="W1320" i="1"/>
  <c r="X1320" i="1" s="1"/>
  <c r="AA1322" i="1"/>
  <c r="W1322" i="1"/>
  <c r="X1322" i="1" s="1"/>
  <c r="U1322" i="1"/>
  <c r="I1322" i="1" s="1"/>
  <c r="AB1408" i="1"/>
  <c r="AB1416" i="1"/>
  <c r="AA1421" i="1"/>
  <c r="W1421" i="1"/>
  <c r="X1421" i="1" s="1"/>
  <c r="U1421" i="1"/>
  <c r="I1421" i="1" s="1"/>
  <c r="AB1436" i="1"/>
  <c r="AA1240" i="1"/>
  <c r="W1240" i="1"/>
  <c r="X1240" i="1" s="1"/>
  <c r="AB1242" i="1"/>
  <c r="AA1259" i="1"/>
  <c r="U1259" i="1"/>
  <c r="I1259" i="1" s="1"/>
  <c r="AA1266" i="1"/>
  <c r="U1266" i="1"/>
  <c r="I1266" i="1" s="1"/>
  <c r="AB1269" i="1"/>
  <c r="AA1278" i="1"/>
  <c r="W1278" i="1"/>
  <c r="X1278" i="1" s="1"/>
  <c r="AA1280" i="1"/>
  <c r="W1280" i="1"/>
  <c r="X1280" i="1" s="1"/>
  <c r="U1280" i="1"/>
  <c r="I1280" i="1" s="1"/>
  <c r="W1284" i="1"/>
  <c r="X1284" i="1" s="1"/>
  <c r="U1284" i="1"/>
  <c r="I1284" i="1" s="1"/>
  <c r="AB1309" i="1"/>
  <c r="U1320" i="1"/>
  <c r="I1320" i="1" s="1"/>
  <c r="AA1355" i="1"/>
  <c r="W1355" i="1"/>
  <c r="X1355" i="1" s="1"/>
  <c r="U1355" i="1"/>
  <c r="I1355" i="1" s="1"/>
  <c r="AA1366" i="1"/>
  <c r="W1366" i="1"/>
  <c r="X1366" i="1" s="1"/>
  <c r="U1366" i="1"/>
  <c r="I1366" i="1" s="1"/>
  <c r="AB1402" i="1"/>
  <c r="AA1402" i="1"/>
  <c r="W1402" i="1"/>
  <c r="X1402" i="1" s="1"/>
  <c r="U1402" i="1"/>
  <c r="I1402" i="1" s="1"/>
  <c r="AA1408" i="1"/>
  <c r="W1408" i="1"/>
  <c r="X1408" i="1" s="1"/>
  <c r="U1408" i="1"/>
  <c r="I1408" i="1" s="1"/>
  <c r="AA1416" i="1"/>
  <c r="W1416" i="1"/>
  <c r="X1416" i="1" s="1"/>
  <c r="U1416" i="1"/>
  <c r="I1416" i="1" s="1"/>
  <c r="W1436" i="1"/>
  <c r="X1436" i="1" s="1"/>
  <c r="AA1436" i="1"/>
  <c r="U1436" i="1"/>
  <c r="I1436" i="1" s="1"/>
  <c r="W963" i="1"/>
  <c r="X963" i="1" s="1"/>
  <c r="W973" i="1"/>
  <c r="X973" i="1" s="1"/>
  <c r="W983" i="1"/>
  <c r="X983" i="1" s="1"/>
  <c r="W993" i="1"/>
  <c r="X993" i="1" s="1"/>
  <c r="U994" i="1"/>
  <c r="I994" i="1" s="1"/>
  <c r="W999" i="1"/>
  <c r="X999" i="1" s="1"/>
  <c r="W1005" i="1"/>
  <c r="X1005" i="1" s="1"/>
  <c r="U1006" i="1"/>
  <c r="I1006" i="1" s="1"/>
  <c r="W1015" i="1"/>
  <c r="X1015" i="1" s="1"/>
  <c r="U1016" i="1"/>
  <c r="I1016" i="1" s="1"/>
  <c r="W1025" i="1"/>
  <c r="X1025" i="1" s="1"/>
  <c r="U1026" i="1"/>
  <c r="I1026" i="1" s="1"/>
  <c r="W1035" i="1"/>
  <c r="X1035" i="1" s="1"/>
  <c r="U1036" i="1"/>
  <c r="I1036" i="1" s="1"/>
  <c r="W1045" i="1"/>
  <c r="X1045" i="1" s="1"/>
  <c r="U1046" i="1"/>
  <c r="I1046" i="1" s="1"/>
  <c r="W1055" i="1"/>
  <c r="X1055" i="1" s="1"/>
  <c r="U1056" i="1"/>
  <c r="I1056" i="1" s="1"/>
  <c r="W1065" i="1"/>
  <c r="X1065" i="1" s="1"/>
  <c r="U1066" i="1"/>
  <c r="I1066" i="1" s="1"/>
  <c r="W1074" i="1"/>
  <c r="X1074" i="1" s="1"/>
  <c r="W1083" i="1"/>
  <c r="X1083" i="1" s="1"/>
  <c r="U1084" i="1"/>
  <c r="I1084" i="1" s="1"/>
  <c r="W1093" i="1"/>
  <c r="X1093" i="1" s="1"/>
  <c r="U1094" i="1"/>
  <c r="I1094" i="1" s="1"/>
  <c r="W1103" i="1"/>
  <c r="X1103" i="1" s="1"/>
  <c r="U1104" i="1"/>
  <c r="I1104" i="1" s="1"/>
  <c r="W1113" i="1"/>
  <c r="X1113" i="1" s="1"/>
  <c r="U1114" i="1"/>
  <c r="I1114" i="1" s="1"/>
  <c r="W1123" i="1"/>
  <c r="X1123" i="1" s="1"/>
  <c r="U1124" i="1"/>
  <c r="I1124" i="1" s="1"/>
  <c r="W1133" i="1"/>
  <c r="X1133" i="1" s="1"/>
  <c r="U1134" i="1"/>
  <c r="I1134" i="1" s="1"/>
  <c r="W1143" i="1"/>
  <c r="X1143" i="1" s="1"/>
  <c r="U1144" i="1"/>
  <c r="I1144" i="1" s="1"/>
  <c r="W1153" i="1"/>
  <c r="X1153" i="1" s="1"/>
  <c r="U1154" i="1"/>
  <c r="I1154" i="1" s="1"/>
  <c r="W1163" i="1"/>
  <c r="X1163" i="1" s="1"/>
  <c r="U1164" i="1"/>
  <c r="I1164" i="1" s="1"/>
  <c r="W1174" i="1"/>
  <c r="X1174" i="1" s="1"/>
  <c r="U1175" i="1"/>
  <c r="I1175" i="1" s="1"/>
  <c r="W1184" i="1"/>
  <c r="X1184" i="1" s="1"/>
  <c r="U1185" i="1"/>
  <c r="I1185" i="1" s="1"/>
  <c r="W1194" i="1"/>
  <c r="X1194" i="1" s="1"/>
  <c r="U1195" i="1"/>
  <c r="I1195" i="1" s="1"/>
  <c r="U1207" i="1"/>
  <c r="I1207" i="1" s="1"/>
  <c r="U1208" i="1"/>
  <c r="I1208" i="1" s="1"/>
  <c r="W1210" i="1"/>
  <c r="X1210" i="1" s="1"/>
  <c r="AA1222" i="1"/>
  <c r="W1222" i="1"/>
  <c r="X1222" i="1" s="1"/>
  <c r="U1222" i="1"/>
  <c r="I1222" i="1" s="1"/>
  <c r="AA1236" i="1"/>
  <c r="AA1242" i="1"/>
  <c r="W1242" i="1"/>
  <c r="X1242" i="1" s="1"/>
  <c r="U1242" i="1"/>
  <c r="I1242" i="1" s="1"/>
  <c r="AA1248" i="1"/>
  <c r="W1248" i="1"/>
  <c r="X1248" i="1" s="1"/>
  <c r="W1259" i="1"/>
  <c r="X1259" i="1" s="1"/>
  <c r="AA1261" i="1"/>
  <c r="W1261" i="1"/>
  <c r="X1261" i="1" s="1"/>
  <c r="U1261" i="1"/>
  <c r="I1261" i="1" s="1"/>
  <c r="W1266" i="1"/>
  <c r="X1266" i="1" s="1"/>
  <c r="AA1314" i="1"/>
  <c r="W1314" i="1"/>
  <c r="X1314" i="1" s="1"/>
  <c r="U1314" i="1"/>
  <c r="I1314" i="1" s="1"/>
  <c r="AB1330" i="1"/>
  <c r="U1455" i="1"/>
  <c r="I1455" i="1" s="1"/>
  <c r="AA1455" i="1"/>
  <c r="W1455" i="1"/>
  <c r="X1455" i="1" s="1"/>
  <c r="W1485" i="1"/>
  <c r="X1485" i="1" s="1"/>
  <c r="U1485" i="1"/>
  <c r="I1485" i="1" s="1"/>
  <c r="AA1485" i="1"/>
  <c r="AA1525" i="1"/>
  <c r="W1525" i="1"/>
  <c r="X1525" i="1" s="1"/>
  <c r="U1525" i="1"/>
  <c r="I1525" i="1" s="1"/>
  <c r="W994" i="1"/>
  <c r="X994" i="1" s="1"/>
  <c r="W1006" i="1"/>
  <c r="X1006" i="1" s="1"/>
  <c r="W1016" i="1"/>
  <c r="X1016" i="1" s="1"/>
  <c r="W1026" i="1"/>
  <c r="X1026" i="1" s="1"/>
  <c r="W1036" i="1"/>
  <c r="X1036" i="1" s="1"/>
  <c r="W1046" i="1"/>
  <c r="X1046" i="1" s="1"/>
  <c r="W1056" i="1"/>
  <c r="X1056" i="1" s="1"/>
  <c r="W1066" i="1"/>
  <c r="X1066" i="1" s="1"/>
  <c r="W1084" i="1"/>
  <c r="X1084" i="1" s="1"/>
  <c r="W1094" i="1"/>
  <c r="X1094" i="1" s="1"/>
  <c r="W1104" i="1"/>
  <c r="X1104" i="1" s="1"/>
  <c r="W1114" i="1"/>
  <c r="X1114" i="1" s="1"/>
  <c r="W1124" i="1"/>
  <c r="X1124" i="1" s="1"/>
  <c r="W1134" i="1"/>
  <c r="X1134" i="1" s="1"/>
  <c r="W1144" i="1"/>
  <c r="X1144" i="1" s="1"/>
  <c r="W1154" i="1"/>
  <c r="X1154" i="1" s="1"/>
  <c r="W1164" i="1"/>
  <c r="X1164" i="1" s="1"/>
  <c r="W1175" i="1"/>
  <c r="X1175" i="1" s="1"/>
  <c r="W1185" i="1"/>
  <c r="X1185" i="1" s="1"/>
  <c r="W1195" i="1"/>
  <c r="X1195" i="1" s="1"/>
  <c r="W1207" i="1"/>
  <c r="X1207" i="1" s="1"/>
  <c r="W1208" i="1"/>
  <c r="X1208" i="1" s="1"/>
  <c r="AA1226" i="1"/>
  <c r="AB1229" i="1"/>
  <c r="AA1232" i="1"/>
  <c r="W1232" i="1"/>
  <c r="X1232" i="1" s="1"/>
  <c r="U1232" i="1"/>
  <c r="I1232" i="1" s="1"/>
  <c r="W1244" i="1"/>
  <c r="X1244" i="1" s="1"/>
  <c r="U1244" i="1"/>
  <c r="I1244" i="1" s="1"/>
  <c r="AB1286" i="1"/>
  <c r="AA1306" i="1"/>
  <c r="U1306" i="1"/>
  <c r="I1306" i="1" s="1"/>
  <c r="W1316" i="1"/>
  <c r="X1316" i="1" s="1"/>
  <c r="U1316" i="1"/>
  <c r="I1316" i="1" s="1"/>
  <c r="AA1340" i="1"/>
  <c r="W1340" i="1"/>
  <c r="X1340" i="1" s="1"/>
  <c r="U1340" i="1"/>
  <c r="I1340" i="1" s="1"/>
  <c r="AB1347" i="1"/>
  <c r="AA1347" i="1"/>
  <c r="W1347" i="1"/>
  <c r="X1347" i="1" s="1"/>
  <c r="U1347" i="1"/>
  <c r="I1347" i="1" s="1"/>
  <c r="AB1392" i="1"/>
  <c r="AA1392" i="1"/>
  <c r="W1392" i="1"/>
  <c r="X1392" i="1" s="1"/>
  <c r="U1392" i="1"/>
  <c r="I1392" i="1" s="1"/>
  <c r="AA1398" i="1"/>
  <c r="W1398" i="1"/>
  <c r="X1398" i="1" s="1"/>
  <c r="U1398" i="1"/>
  <c r="I1398" i="1" s="1"/>
  <c r="AA1406" i="1"/>
  <c r="W1406" i="1"/>
  <c r="X1406" i="1" s="1"/>
  <c r="U1406" i="1"/>
  <c r="I1406" i="1" s="1"/>
  <c r="AB1419" i="1"/>
  <c r="W1422" i="1"/>
  <c r="X1422" i="1" s="1"/>
  <c r="AA1422" i="1"/>
  <c r="U1422" i="1"/>
  <c r="I1422" i="1" s="1"/>
  <c r="U956" i="1"/>
  <c r="I956" i="1" s="1"/>
  <c r="U966" i="1"/>
  <c r="I966" i="1" s="1"/>
  <c r="U976" i="1"/>
  <c r="I976" i="1" s="1"/>
  <c r="U986" i="1"/>
  <c r="I986" i="1" s="1"/>
  <c r="U1008" i="1"/>
  <c r="I1008" i="1" s="1"/>
  <c r="U1018" i="1"/>
  <c r="I1018" i="1" s="1"/>
  <c r="U1028" i="1"/>
  <c r="I1028" i="1" s="1"/>
  <c r="U1038" i="1"/>
  <c r="I1038" i="1" s="1"/>
  <c r="U1048" i="1"/>
  <c r="I1048" i="1" s="1"/>
  <c r="U1058" i="1"/>
  <c r="I1058" i="1" s="1"/>
  <c r="U1068" i="1"/>
  <c r="I1068" i="1" s="1"/>
  <c r="U1076" i="1"/>
  <c r="I1076" i="1" s="1"/>
  <c r="U1086" i="1"/>
  <c r="I1086" i="1" s="1"/>
  <c r="U1096" i="1"/>
  <c r="I1096" i="1" s="1"/>
  <c r="U1106" i="1"/>
  <c r="I1106" i="1" s="1"/>
  <c r="U1116" i="1"/>
  <c r="I1116" i="1" s="1"/>
  <c r="U1126" i="1"/>
  <c r="I1126" i="1" s="1"/>
  <c r="U1136" i="1"/>
  <c r="I1136" i="1" s="1"/>
  <c r="U1146" i="1"/>
  <c r="I1146" i="1" s="1"/>
  <c r="U1156" i="1"/>
  <c r="I1156" i="1" s="1"/>
  <c r="U1166" i="1"/>
  <c r="I1166" i="1" s="1"/>
  <c r="U1177" i="1"/>
  <c r="I1177" i="1" s="1"/>
  <c r="U1187" i="1"/>
  <c r="I1187" i="1" s="1"/>
  <c r="U1197" i="1"/>
  <c r="I1197" i="1" s="1"/>
  <c r="AB1212" i="1"/>
  <c r="AA1213" i="1"/>
  <c r="W1213" i="1"/>
  <c r="X1213" i="1" s="1"/>
  <c r="U1213" i="1"/>
  <c r="I1213" i="1" s="1"/>
  <c r="AB1221" i="1"/>
  <c r="AA1244" i="1"/>
  <c r="AA1250" i="1"/>
  <c r="W1250" i="1"/>
  <c r="X1250" i="1" s="1"/>
  <c r="AA1252" i="1"/>
  <c r="W1252" i="1"/>
  <c r="X1252" i="1" s="1"/>
  <c r="U1252" i="1"/>
  <c r="I1252" i="1" s="1"/>
  <c r="AA1258" i="1"/>
  <c r="W1258" i="1"/>
  <c r="X1258" i="1" s="1"/>
  <c r="AB1268" i="1"/>
  <c r="AA1271" i="1"/>
  <c r="W1271" i="1"/>
  <c r="X1271" i="1" s="1"/>
  <c r="U1271" i="1"/>
  <c r="I1271" i="1" s="1"/>
  <c r="AA1286" i="1"/>
  <c r="U1286" i="1"/>
  <c r="I1286" i="1" s="1"/>
  <c r="AA1289" i="1"/>
  <c r="W1289" i="1"/>
  <c r="X1289" i="1" s="1"/>
  <c r="U1289" i="1"/>
  <c r="I1289" i="1" s="1"/>
  <c r="AB1299" i="1"/>
  <c r="AB1321" i="1"/>
  <c r="AB1327" i="1"/>
  <c r="AA1327" i="1"/>
  <c r="U1327" i="1"/>
  <c r="I1327" i="1" s="1"/>
  <c r="AA1330" i="1"/>
  <c r="W1330" i="1"/>
  <c r="X1330" i="1" s="1"/>
  <c r="U1330" i="1"/>
  <c r="I1330" i="1" s="1"/>
  <c r="AB1337" i="1"/>
  <c r="AA1337" i="1"/>
  <c r="W1337" i="1"/>
  <c r="X1337" i="1" s="1"/>
  <c r="U1337" i="1"/>
  <c r="I1337" i="1" s="1"/>
  <c r="AA1419" i="1"/>
  <c r="W1419" i="1"/>
  <c r="X1419" i="1" s="1"/>
  <c r="U1419" i="1"/>
  <c r="I1419" i="1" s="1"/>
  <c r="W1515" i="1"/>
  <c r="X1515" i="1" s="1"/>
  <c r="U1515" i="1"/>
  <c r="I1515" i="1" s="1"/>
  <c r="AA1515" i="1"/>
  <c r="AA1203" i="1"/>
  <c r="U1203" i="1"/>
  <c r="I1203" i="1" s="1"/>
  <c r="X1204" i="1"/>
  <c r="X1224" i="1"/>
  <c r="AB1228" i="1"/>
  <c r="W1234" i="1"/>
  <c r="X1234" i="1" s="1"/>
  <c r="U1234" i="1"/>
  <c r="I1234" i="1" s="1"/>
  <c r="AB1241" i="1"/>
  <c r="W1254" i="1"/>
  <c r="X1254" i="1" s="1"/>
  <c r="U1254" i="1"/>
  <c r="I1254" i="1" s="1"/>
  <c r="AB1279" i="1"/>
  <c r="AA1323" i="1"/>
  <c r="W1323" i="1"/>
  <c r="X1323" i="1" s="1"/>
  <c r="U1323" i="1"/>
  <c r="I1323" i="1" s="1"/>
  <c r="AA1343" i="1"/>
  <c r="W1343" i="1"/>
  <c r="X1343" i="1" s="1"/>
  <c r="U1343" i="1"/>
  <c r="I1343" i="1" s="1"/>
  <c r="AA1351" i="1"/>
  <c r="W1351" i="1"/>
  <c r="X1351" i="1" s="1"/>
  <c r="U1351" i="1"/>
  <c r="I1351" i="1" s="1"/>
  <c r="AB1382" i="1"/>
  <c r="AA1382" i="1"/>
  <c r="W1382" i="1"/>
  <c r="X1382" i="1" s="1"/>
  <c r="U1382" i="1"/>
  <c r="I1382" i="1" s="1"/>
  <c r="AA1388" i="1"/>
  <c r="W1388" i="1"/>
  <c r="X1388" i="1" s="1"/>
  <c r="U1388" i="1"/>
  <c r="I1388" i="1" s="1"/>
  <c r="AA1396" i="1"/>
  <c r="W1396" i="1"/>
  <c r="X1396" i="1" s="1"/>
  <c r="U1396" i="1"/>
  <c r="I1396" i="1" s="1"/>
  <c r="AB1423" i="1"/>
  <c r="U1437" i="1"/>
  <c r="I1437" i="1" s="1"/>
  <c r="AA1437" i="1"/>
  <c r="W1437" i="1"/>
  <c r="X1437" i="1" s="1"/>
  <c r="AA1223" i="1"/>
  <c r="W1225" i="1"/>
  <c r="X1225" i="1" s="1"/>
  <c r="AA1233" i="1"/>
  <c r="W1235" i="1"/>
  <c r="X1235" i="1" s="1"/>
  <c r="AA1243" i="1"/>
  <c r="W1245" i="1"/>
  <c r="X1245" i="1" s="1"/>
  <c r="AA1253" i="1"/>
  <c r="W1255" i="1"/>
  <c r="X1255" i="1" s="1"/>
  <c r="AA1263" i="1"/>
  <c r="W1265" i="1"/>
  <c r="X1265" i="1" s="1"/>
  <c r="W1275" i="1"/>
  <c r="X1275" i="1" s="1"/>
  <c r="AA1283" i="1"/>
  <c r="W1285" i="1"/>
  <c r="X1285" i="1" s="1"/>
  <c r="W1295" i="1"/>
  <c r="X1295" i="1" s="1"/>
  <c r="AA1303" i="1"/>
  <c r="W1305" i="1"/>
  <c r="X1305" i="1" s="1"/>
  <c r="AA1315" i="1"/>
  <c r="W1317" i="1"/>
  <c r="X1317" i="1" s="1"/>
  <c r="W1326" i="1"/>
  <c r="X1326" i="1" s="1"/>
  <c r="W1336" i="1"/>
  <c r="X1336" i="1" s="1"/>
  <c r="W1346" i="1"/>
  <c r="X1346" i="1" s="1"/>
  <c r="W1359" i="1"/>
  <c r="X1359" i="1" s="1"/>
  <c r="W1360" i="1"/>
  <c r="X1360" i="1" s="1"/>
  <c r="W1361" i="1"/>
  <c r="X1361" i="1" s="1"/>
  <c r="W1371" i="1"/>
  <c r="X1371" i="1" s="1"/>
  <c r="W1381" i="1"/>
  <c r="X1381" i="1" s="1"/>
  <c r="W1391" i="1"/>
  <c r="X1391" i="1" s="1"/>
  <c r="W1401" i="1"/>
  <c r="X1401" i="1" s="1"/>
  <c r="W1411" i="1"/>
  <c r="X1411" i="1" s="1"/>
  <c r="AA1431" i="1"/>
  <c r="W1440" i="1"/>
  <c r="X1440" i="1" s="1"/>
  <c r="W1441" i="1"/>
  <c r="X1441" i="1" s="1"/>
  <c r="AA1446" i="1"/>
  <c r="W1446" i="1"/>
  <c r="X1446" i="1" s="1"/>
  <c r="AA1450" i="1"/>
  <c r="W1450" i="1"/>
  <c r="X1450" i="1" s="1"/>
  <c r="AB1462" i="1"/>
  <c r="U1469" i="1"/>
  <c r="I1469" i="1" s="1"/>
  <c r="AA1469" i="1"/>
  <c r="U1481" i="1"/>
  <c r="I1481" i="1" s="1"/>
  <c r="W1481" i="1"/>
  <c r="X1481" i="1" s="1"/>
  <c r="AA1484" i="1"/>
  <c r="W1484" i="1"/>
  <c r="X1484" i="1" s="1"/>
  <c r="AB1498" i="1"/>
  <c r="AB1506" i="1"/>
  <c r="W1509" i="1"/>
  <c r="X1509" i="1" s="1"/>
  <c r="U1509" i="1"/>
  <c r="I1509" i="1" s="1"/>
  <c r="AA1509" i="1"/>
  <c r="X1517" i="1"/>
  <c r="AB1524" i="1"/>
  <c r="AA1538" i="1"/>
  <c r="W1538" i="1"/>
  <c r="X1538" i="1" s="1"/>
  <c r="U1538" i="1"/>
  <c r="I1538" i="1" s="1"/>
  <c r="AA1542" i="1"/>
  <c r="W1542" i="1"/>
  <c r="X1542" i="1" s="1"/>
  <c r="U1542" i="1"/>
  <c r="I1542" i="1" s="1"/>
  <c r="X1544" i="1"/>
  <c r="W1551" i="1"/>
  <c r="X1551" i="1" s="1"/>
  <c r="U1551" i="1"/>
  <c r="I1551" i="1" s="1"/>
  <c r="AB1555" i="1"/>
  <c r="AA1557" i="1"/>
  <c r="U1557" i="1"/>
  <c r="I1557" i="1" s="1"/>
  <c r="AB1559" i="1"/>
  <c r="W1561" i="1"/>
  <c r="X1561" i="1" s="1"/>
  <c r="U1561" i="1"/>
  <c r="I1561" i="1" s="1"/>
  <c r="W1567" i="1"/>
  <c r="X1567" i="1" s="1"/>
  <c r="AA1567" i="1"/>
  <c r="U1567" i="1"/>
  <c r="I1567" i="1" s="1"/>
  <c r="AB1571" i="1"/>
  <c r="AB1574" i="1"/>
  <c r="AA1576" i="1"/>
  <c r="W1576" i="1"/>
  <c r="X1576" i="1" s="1"/>
  <c r="U1576" i="1"/>
  <c r="I1576" i="1" s="1"/>
  <c r="AB1593" i="1"/>
  <c r="AA1456" i="1"/>
  <c r="W1456" i="1"/>
  <c r="X1456" i="1" s="1"/>
  <c r="AA1462" i="1"/>
  <c r="U1462" i="1"/>
  <c r="I1462" i="1" s="1"/>
  <c r="W1475" i="1"/>
  <c r="X1475" i="1" s="1"/>
  <c r="U1475" i="1"/>
  <c r="I1475" i="1" s="1"/>
  <c r="AB1492" i="1"/>
  <c r="AA1498" i="1"/>
  <c r="W1498" i="1"/>
  <c r="X1498" i="1" s="1"/>
  <c r="AA1506" i="1"/>
  <c r="W1506" i="1"/>
  <c r="X1506" i="1" s="1"/>
  <c r="U1506" i="1"/>
  <c r="I1506" i="1" s="1"/>
  <c r="AA1514" i="1"/>
  <c r="W1514" i="1"/>
  <c r="X1514" i="1" s="1"/>
  <c r="AB1526" i="1"/>
  <c r="W1535" i="1"/>
  <c r="X1535" i="1" s="1"/>
  <c r="U1535" i="1"/>
  <c r="I1535" i="1" s="1"/>
  <c r="AA1553" i="1"/>
  <c r="W1553" i="1"/>
  <c r="X1553" i="1" s="1"/>
  <c r="U1553" i="1"/>
  <c r="I1553" i="1" s="1"/>
  <c r="AA1555" i="1"/>
  <c r="W1555" i="1"/>
  <c r="X1555" i="1" s="1"/>
  <c r="U1555" i="1"/>
  <c r="I1555" i="1" s="1"/>
  <c r="AA1559" i="1"/>
  <c r="W1559" i="1"/>
  <c r="X1559" i="1" s="1"/>
  <c r="U1559" i="1"/>
  <c r="I1559" i="1" s="1"/>
  <c r="AA1571" i="1"/>
  <c r="U1571" i="1"/>
  <c r="I1571" i="1" s="1"/>
  <c r="W1585" i="1"/>
  <c r="X1585" i="1" s="1"/>
  <c r="U1585" i="1"/>
  <c r="I1585" i="1" s="1"/>
  <c r="AB1585" i="1"/>
  <c r="W1593" i="1"/>
  <c r="X1593" i="1" s="1"/>
  <c r="AA1593" i="1"/>
  <c r="U1593" i="1"/>
  <c r="I1593" i="1" s="1"/>
  <c r="U1438" i="1"/>
  <c r="I1438" i="1" s="1"/>
  <c r="W1439" i="1"/>
  <c r="X1439" i="1" s="1"/>
  <c r="U1456" i="1"/>
  <c r="I1456" i="1" s="1"/>
  <c r="W1462" i="1"/>
  <c r="X1462" i="1" s="1"/>
  <c r="AA1468" i="1"/>
  <c r="W1468" i="1"/>
  <c r="X1468" i="1" s="1"/>
  <c r="AA1492" i="1"/>
  <c r="U1492" i="1"/>
  <c r="I1492" i="1" s="1"/>
  <c r="W1500" i="1"/>
  <c r="X1500" i="1" s="1"/>
  <c r="U1500" i="1"/>
  <c r="I1500" i="1" s="1"/>
  <c r="W1519" i="1"/>
  <c r="X1519" i="1" s="1"/>
  <c r="U1519" i="1"/>
  <c r="I1519" i="1" s="1"/>
  <c r="AA1519" i="1"/>
  <c r="AA1524" i="1"/>
  <c r="W1524" i="1"/>
  <c r="X1524" i="1" s="1"/>
  <c r="AA1526" i="1"/>
  <c r="W1526" i="1"/>
  <c r="X1526" i="1" s="1"/>
  <c r="U1526" i="1"/>
  <c r="I1526" i="1" s="1"/>
  <c r="AA1533" i="1"/>
  <c r="W1533" i="1"/>
  <c r="X1533" i="1" s="1"/>
  <c r="U1533" i="1"/>
  <c r="I1533" i="1" s="1"/>
  <c r="AA1535" i="1"/>
  <c r="AA1565" i="1"/>
  <c r="U1565" i="1"/>
  <c r="I1565" i="1" s="1"/>
  <c r="W1571" i="1"/>
  <c r="X1571" i="1" s="1"/>
  <c r="AA1574" i="1"/>
  <c r="W1574" i="1"/>
  <c r="X1574" i="1" s="1"/>
  <c r="U1574" i="1"/>
  <c r="I1574" i="1" s="1"/>
  <c r="AA1581" i="1"/>
  <c r="W1581" i="1"/>
  <c r="X1581" i="1" s="1"/>
  <c r="U1581" i="1"/>
  <c r="I1581" i="1" s="1"/>
  <c r="U1583" i="1"/>
  <c r="I1583" i="1" s="1"/>
  <c r="W1583" i="1"/>
  <c r="X1583" i="1" s="1"/>
  <c r="AA1583" i="1"/>
  <c r="AA1585" i="1"/>
  <c r="W1339" i="1"/>
  <c r="X1339" i="1" s="1"/>
  <c r="W1349" i="1"/>
  <c r="X1349" i="1" s="1"/>
  <c r="U1350" i="1"/>
  <c r="I1350" i="1" s="1"/>
  <c r="W1364" i="1"/>
  <c r="X1364" i="1" s="1"/>
  <c r="U1365" i="1"/>
  <c r="I1365" i="1" s="1"/>
  <c r="W1374" i="1"/>
  <c r="X1374" i="1" s="1"/>
  <c r="U1375" i="1"/>
  <c r="I1375" i="1" s="1"/>
  <c r="W1384" i="1"/>
  <c r="X1384" i="1" s="1"/>
  <c r="U1385" i="1"/>
  <c r="I1385" i="1" s="1"/>
  <c r="W1394" i="1"/>
  <c r="X1394" i="1" s="1"/>
  <c r="U1395" i="1"/>
  <c r="I1395" i="1" s="1"/>
  <c r="W1404" i="1"/>
  <c r="X1404" i="1" s="1"/>
  <c r="U1405" i="1"/>
  <c r="I1405" i="1" s="1"/>
  <c r="W1414" i="1"/>
  <c r="X1414" i="1" s="1"/>
  <c r="U1415" i="1"/>
  <c r="I1415" i="1" s="1"/>
  <c r="L1425" i="1"/>
  <c r="AB1425" i="1" s="1"/>
  <c r="AB1450" i="1"/>
  <c r="AB1455" i="1"/>
  <c r="U1459" i="1"/>
  <c r="I1459" i="1" s="1"/>
  <c r="AA1459" i="1"/>
  <c r="U1468" i="1"/>
  <c r="I1468" i="1" s="1"/>
  <c r="U1471" i="1"/>
  <c r="I1471" i="1" s="1"/>
  <c r="W1471" i="1"/>
  <c r="X1471" i="1" s="1"/>
  <c r="AA1474" i="1"/>
  <c r="W1474" i="1"/>
  <c r="X1474" i="1" s="1"/>
  <c r="U1480" i="1"/>
  <c r="I1480" i="1" s="1"/>
  <c r="AA1486" i="1"/>
  <c r="W1486" i="1"/>
  <c r="X1486" i="1" s="1"/>
  <c r="U1486" i="1"/>
  <c r="I1486" i="1" s="1"/>
  <c r="W1492" i="1"/>
  <c r="X1492" i="1" s="1"/>
  <c r="AA1500" i="1"/>
  <c r="AB1502" i="1"/>
  <c r="AA1508" i="1"/>
  <c r="W1508" i="1"/>
  <c r="X1508" i="1" s="1"/>
  <c r="AB1514" i="1"/>
  <c r="AA1516" i="1"/>
  <c r="W1516" i="1"/>
  <c r="X1516" i="1" s="1"/>
  <c r="U1516" i="1"/>
  <c r="I1516" i="1" s="1"/>
  <c r="AB1519" i="1"/>
  <c r="U1524" i="1"/>
  <c r="I1524" i="1" s="1"/>
  <c r="AA1528" i="1"/>
  <c r="W1528" i="1"/>
  <c r="X1528" i="1" s="1"/>
  <c r="U1528" i="1"/>
  <c r="I1528" i="1" s="1"/>
  <c r="W1530" i="1"/>
  <c r="X1530" i="1" s="1"/>
  <c r="U1530" i="1"/>
  <c r="I1530" i="1" s="1"/>
  <c r="W1565" i="1"/>
  <c r="X1565" i="1" s="1"/>
  <c r="AB1579" i="1"/>
  <c r="AA1579" i="1"/>
  <c r="W1579" i="1"/>
  <c r="X1579" i="1" s="1"/>
  <c r="U1579" i="1"/>
  <c r="I1579" i="1" s="1"/>
  <c r="AB1594" i="1"/>
  <c r="W1603" i="1"/>
  <c r="X1603" i="1" s="1"/>
  <c r="U1603" i="1"/>
  <c r="I1603" i="1" s="1"/>
  <c r="AA1603" i="1"/>
  <c r="W1606" i="1"/>
  <c r="X1606" i="1" s="1"/>
  <c r="U1606" i="1"/>
  <c r="I1606" i="1" s="1"/>
  <c r="AA1606" i="1"/>
  <c r="W1619" i="1"/>
  <c r="X1619" i="1" s="1"/>
  <c r="U1619" i="1"/>
  <c r="I1619" i="1" s="1"/>
  <c r="AB1619" i="1"/>
  <c r="AA1619" i="1"/>
  <c r="W1350" i="1"/>
  <c r="X1350" i="1" s="1"/>
  <c r="W1365" i="1"/>
  <c r="X1365" i="1" s="1"/>
  <c r="W1375" i="1"/>
  <c r="X1375" i="1" s="1"/>
  <c r="W1385" i="1"/>
  <c r="X1385" i="1" s="1"/>
  <c r="W1395" i="1"/>
  <c r="X1395" i="1" s="1"/>
  <c r="W1405" i="1"/>
  <c r="X1405" i="1" s="1"/>
  <c r="W1415" i="1"/>
  <c r="X1415" i="1" s="1"/>
  <c r="AA1438" i="1"/>
  <c r="AA1439" i="1"/>
  <c r="AB1456" i="1"/>
  <c r="W1465" i="1"/>
  <c r="X1465" i="1" s="1"/>
  <c r="U1465" i="1"/>
  <c r="I1465" i="1" s="1"/>
  <c r="AA1480" i="1"/>
  <c r="U1489" i="1"/>
  <c r="I1489" i="1" s="1"/>
  <c r="AA1489" i="1"/>
  <c r="W1495" i="1"/>
  <c r="X1495" i="1" s="1"/>
  <c r="U1495" i="1"/>
  <c r="I1495" i="1" s="1"/>
  <c r="AB1500" i="1"/>
  <c r="AA1502" i="1"/>
  <c r="U1502" i="1"/>
  <c r="I1502" i="1" s="1"/>
  <c r="W1510" i="1"/>
  <c r="X1510" i="1" s="1"/>
  <c r="U1510" i="1"/>
  <c r="I1510" i="1" s="1"/>
  <c r="AA1530" i="1"/>
  <c r="AB1532" i="1"/>
  <c r="AA1537" i="1"/>
  <c r="W1537" i="1"/>
  <c r="X1537" i="1" s="1"/>
  <c r="AB1539" i="1"/>
  <c r="AA1541" i="1"/>
  <c r="U1541" i="1"/>
  <c r="I1541" i="1" s="1"/>
  <c r="AB1543" i="1"/>
  <c r="AB1552" i="1"/>
  <c r="AB1556" i="1"/>
  <c r="AB1558" i="1"/>
  <c r="U1568" i="1"/>
  <c r="I1568" i="1" s="1"/>
  <c r="AA1568" i="1"/>
  <c r="W1568" i="1"/>
  <c r="X1568" i="1" s="1"/>
  <c r="AB1575" i="1"/>
  <c r="W1577" i="1"/>
  <c r="X1577" i="1" s="1"/>
  <c r="AA1577" i="1"/>
  <c r="U1577" i="1"/>
  <c r="I1577" i="1" s="1"/>
  <c r="W1588" i="1"/>
  <c r="X1588" i="1" s="1"/>
  <c r="AB1588" i="1"/>
  <c r="AA1588" i="1"/>
  <c r="U1588" i="1"/>
  <c r="I1588" i="1" s="1"/>
  <c r="AB1590" i="1"/>
  <c r="AA1590" i="1"/>
  <c r="W1590" i="1"/>
  <c r="X1590" i="1" s="1"/>
  <c r="U1590" i="1"/>
  <c r="I1590" i="1" s="1"/>
  <c r="U1281" i="1"/>
  <c r="I1281" i="1" s="1"/>
  <c r="U1291" i="1"/>
  <c r="I1291" i="1" s="1"/>
  <c r="U1301" i="1"/>
  <c r="I1301" i="1" s="1"/>
  <c r="U1311" i="1"/>
  <c r="I1311" i="1" s="1"/>
  <c r="U1332" i="1"/>
  <c r="I1332" i="1" s="1"/>
  <c r="U1342" i="1"/>
  <c r="I1342" i="1" s="1"/>
  <c r="U1352" i="1"/>
  <c r="I1352" i="1" s="1"/>
  <c r="U1353" i="1"/>
  <c r="I1353" i="1" s="1"/>
  <c r="U1354" i="1"/>
  <c r="I1354" i="1" s="1"/>
  <c r="U1367" i="1"/>
  <c r="I1367" i="1" s="1"/>
  <c r="U1377" i="1"/>
  <c r="I1377" i="1" s="1"/>
  <c r="U1387" i="1"/>
  <c r="I1387" i="1" s="1"/>
  <c r="U1397" i="1"/>
  <c r="I1397" i="1" s="1"/>
  <c r="U1407" i="1"/>
  <c r="I1407" i="1" s="1"/>
  <c r="U1417" i="1"/>
  <c r="I1417" i="1" s="1"/>
  <c r="U1418" i="1"/>
  <c r="I1418" i="1" s="1"/>
  <c r="U1424" i="1"/>
  <c r="I1424" i="1" s="1"/>
  <c r="U1434" i="1"/>
  <c r="I1434" i="1" s="1"/>
  <c r="U1435" i="1"/>
  <c r="I1435" i="1" s="1"/>
  <c r="W1444" i="1"/>
  <c r="X1444" i="1" s="1"/>
  <c r="AA1448" i="1"/>
  <c r="W1448" i="1"/>
  <c r="X1448" i="1" s="1"/>
  <c r="W1449" i="1"/>
  <c r="X1449" i="1" s="1"/>
  <c r="AA1458" i="1"/>
  <c r="W1458" i="1"/>
  <c r="X1458" i="1" s="1"/>
  <c r="AA1465" i="1"/>
  <c r="AA1482" i="1"/>
  <c r="U1482" i="1"/>
  <c r="I1482" i="1" s="1"/>
  <c r="W1489" i="1"/>
  <c r="X1489" i="1" s="1"/>
  <c r="AA1495" i="1"/>
  <c r="W1502" i="1"/>
  <c r="X1502" i="1" s="1"/>
  <c r="AA1510" i="1"/>
  <c r="AB1512" i="1"/>
  <c r="AA1518" i="1"/>
  <c r="W1518" i="1"/>
  <c r="X1518" i="1" s="1"/>
  <c r="AA1539" i="1"/>
  <c r="W1539" i="1"/>
  <c r="X1539" i="1" s="1"/>
  <c r="U1539" i="1"/>
  <c r="I1539" i="1" s="1"/>
  <c r="AA1543" i="1"/>
  <c r="W1543" i="1"/>
  <c r="X1543" i="1" s="1"/>
  <c r="U1543" i="1"/>
  <c r="I1543" i="1" s="1"/>
  <c r="AB1550" i="1"/>
  <c r="AA1552" i="1"/>
  <c r="U1552" i="1"/>
  <c r="I1552" i="1" s="1"/>
  <c r="AB1554" i="1"/>
  <c r="W1556" i="1"/>
  <c r="X1556" i="1" s="1"/>
  <c r="U1556" i="1"/>
  <c r="I1556" i="1" s="1"/>
  <c r="AB1560" i="1"/>
  <c r="AB1566" i="1"/>
  <c r="AA1594" i="1"/>
  <c r="U1594" i="1"/>
  <c r="I1594" i="1" s="1"/>
  <c r="W1594" i="1"/>
  <c r="X1594" i="1" s="1"/>
  <c r="W1281" i="1"/>
  <c r="X1281" i="1" s="1"/>
  <c r="W1291" i="1"/>
  <c r="X1291" i="1" s="1"/>
  <c r="W1301" i="1"/>
  <c r="X1301" i="1" s="1"/>
  <c r="W1311" i="1"/>
  <c r="X1311" i="1" s="1"/>
  <c r="W1332" i="1"/>
  <c r="X1332" i="1" s="1"/>
  <c r="W1342" i="1"/>
  <c r="X1342" i="1" s="1"/>
  <c r="W1352" i="1"/>
  <c r="X1352" i="1" s="1"/>
  <c r="W1353" i="1"/>
  <c r="X1353" i="1" s="1"/>
  <c r="W1354" i="1"/>
  <c r="X1354" i="1" s="1"/>
  <c r="W1367" i="1"/>
  <c r="X1367" i="1" s="1"/>
  <c r="W1377" i="1"/>
  <c r="X1377" i="1" s="1"/>
  <c r="W1387" i="1"/>
  <c r="X1387" i="1" s="1"/>
  <c r="W1397" i="1"/>
  <c r="X1397" i="1" s="1"/>
  <c r="W1407" i="1"/>
  <c r="X1407" i="1" s="1"/>
  <c r="W1417" i="1"/>
  <c r="X1417" i="1" s="1"/>
  <c r="W1418" i="1"/>
  <c r="X1418" i="1" s="1"/>
  <c r="W1424" i="1"/>
  <c r="X1424" i="1" s="1"/>
  <c r="W1434" i="1"/>
  <c r="X1434" i="1" s="1"/>
  <c r="W1435" i="1"/>
  <c r="X1435" i="1" s="1"/>
  <c r="AA1449" i="1"/>
  <c r="AA1454" i="1"/>
  <c r="W1454" i="1"/>
  <c r="X1454" i="1" s="1"/>
  <c r="U1458" i="1"/>
  <c r="I1458" i="1" s="1"/>
  <c r="U1461" i="1"/>
  <c r="I1461" i="1" s="1"/>
  <c r="W1461" i="1"/>
  <c r="X1461" i="1" s="1"/>
  <c r="AA1464" i="1"/>
  <c r="W1464" i="1"/>
  <c r="X1464" i="1" s="1"/>
  <c r="U1470" i="1"/>
  <c r="I1470" i="1" s="1"/>
  <c r="AA1476" i="1"/>
  <c r="W1476" i="1"/>
  <c r="X1476" i="1" s="1"/>
  <c r="U1476" i="1"/>
  <c r="I1476" i="1" s="1"/>
  <c r="W1482" i="1"/>
  <c r="X1482" i="1" s="1"/>
  <c r="AB1485" i="1"/>
  <c r="AA1488" i="1"/>
  <c r="W1488" i="1"/>
  <c r="X1488" i="1" s="1"/>
  <c r="AB1489" i="1"/>
  <c r="X1497" i="1"/>
  <c r="W1505" i="1"/>
  <c r="X1505" i="1" s="1"/>
  <c r="U1505" i="1"/>
  <c r="I1505" i="1" s="1"/>
  <c r="AA1512" i="1"/>
  <c r="U1512" i="1"/>
  <c r="I1512" i="1" s="1"/>
  <c r="AB1515" i="1"/>
  <c r="W1520" i="1"/>
  <c r="X1520" i="1" s="1"/>
  <c r="U1520" i="1"/>
  <c r="I1520" i="1" s="1"/>
  <c r="AB1525" i="1"/>
  <c r="AA1532" i="1"/>
  <c r="W1532" i="1"/>
  <c r="X1532" i="1" s="1"/>
  <c r="AB1534" i="1"/>
  <c r="AB1536" i="1"/>
  <c r="AA1550" i="1"/>
  <c r="W1550" i="1"/>
  <c r="X1550" i="1" s="1"/>
  <c r="U1550" i="1"/>
  <c r="I1550" i="1" s="1"/>
  <c r="AA1554" i="1"/>
  <c r="W1554" i="1"/>
  <c r="X1554" i="1" s="1"/>
  <c r="U1554" i="1"/>
  <c r="I1554" i="1" s="1"/>
  <c r="AA1558" i="1"/>
  <c r="W1558" i="1"/>
  <c r="X1558" i="1" s="1"/>
  <c r="U1558" i="1"/>
  <c r="I1558" i="1" s="1"/>
  <c r="AA1560" i="1"/>
  <c r="W1560" i="1"/>
  <c r="X1560" i="1" s="1"/>
  <c r="U1560" i="1"/>
  <c r="I1560" i="1" s="1"/>
  <c r="AA1566" i="1"/>
  <c r="U1566" i="1"/>
  <c r="I1566" i="1" s="1"/>
  <c r="AA1575" i="1"/>
  <c r="W1575" i="1"/>
  <c r="X1575" i="1" s="1"/>
  <c r="U1575" i="1"/>
  <c r="I1575" i="1" s="1"/>
  <c r="AB1580" i="1"/>
  <c r="AB1447" i="1"/>
  <c r="U1479" i="1"/>
  <c r="I1479" i="1" s="1"/>
  <c r="AA1479" i="1"/>
  <c r="U1488" i="1"/>
  <c r="I1488" i="1" s="1"/>
  <c r="U1491" i="1"/>
  <c r="I1491" i="1" s="1"/>
  <c r="W1491" i="1"/>
  <c r="X1491" i="1" s="1"/>
  <c r="AA1494" i="1"/>
  <c r="W1494" i="1"/>
  <c r="X1494" i="1" s="1"/>
  <c r="AA1505" i="1"/>
  <c r="W1512" i="1"/>
  <c r="X1512" i="1" s="1"/>
  <c r="AA1534" i="1"/>
  <c r="W1534" i="1"/>
  <c r="X1534" i="1" s="1"/>
  <c r="U1534" i="1"/>
  <c r="I1534" i="1" s="1"/>
  <c r="AA1536" i="1"/>
  <c r="U1536" i="1"/>
  <c r="I1536" i="1" s="1"/>
  <c r="AA1580" i="1"/>
  <c r="W1580" i="1"/>
  <c r="X1580" i="1" s="1"/>
  <c r="U1580" i="1"/>
  <c r="I1580" i="1" s="1"/>
  <c r="AA1626" i="1"/>
  <c r="U1626" i="1"/>
  <c r="I1626" i="1" s="1"/>
  <c r="W1626" i="1"/>
  <c r="X1626" i="1" s="1"/>
  <c r="X1442" i="1"/>
  <c r="AA1472" i="1"/>
  <c r="U1472" i="1"/>
  <c r="I1472" i="1" s="1"/>
  <c r="W1479" i="1"/>
  <c r="X1479" i="1" s="1"/>
  <c r="U1494" i="1"/>
  <c r="I1494" i="1" s="1"/>
  <c r="W1499" i="1"/>
  <c r="X1499" i="1" s="1"/>
  <c r="U1499" i="1"/>
  <c r="I1499" i="1" s="1"/>
  <c r="AA1499" i="1"/>
  <c r="X1507" i="1"/>
  <c r="AB1520" i="1"/>
  <c r="AA1522" i="1"/>
  <c r="U1522" i="1"/>
  <c r="I1522" i="1" s="1"/>
  <c r="X1527" i="1"/>
  <c r="W1536" i="1"/>
  <c r="X1536" i="1" s="1"/>
  <c r="AA1564" i="1"/>
  <c r="U1564" i="1"/>
  <c r="I1564" i="1" s="1"/>
  <c r="AA1616" i="1"/>
  <c r="W1616" i="1"/>
  <c r="X1616" i="1" s="1"/>
  <c r="U1616" i="1"/>
  <c r="I1616" i="1" s="1"/>
  <c r="AA1640" i="1"/>
  <c r="W1640" i="1"/>
  <c r="X1640" i="1" s="1"/>
  <c r="U1640" i="1"/>
  <c r="I1640" i="1" s="1"/>
  <c r="AA1647" i="1"/>
  <c r="W1647" i="1"/>
  <c r="X1647" i="1" s="1"/>
  <c r="U1647" i="1"/>
  <c r="I1647" i="1" s="1"/>
  <c r="W1430" i="1"/>
  <c r="X1430" i="1" s="1"/>
  <c r="AA1432" i="1"/>
  <c r="AA1433" i="1"/>
  <c r="U1440" i="1"/>
  <c r="I1440" i="1" s="1"/>
  <c r="AA1442" i="1"/>
  <c r="AA1443" i="1"/>
  <c r="U1460" i="1"/>
  <c r="I1460" i="1" s="1"/>
  <c r="AA1466" i="1"/>
  <c r="W1466" i="1"/>
  <c r="X1466" i="1" s="1"/>
  <c r="U1466" i="1"/>
  <c r="I1466" i="1" s="1"/>
  <c r="W1472" i="1"/>
  <c r="X1472" i="1" s="1"/>
  <c r="AB1475" i="1"/>
  <c r="AA1478" i="1"/>
  <c r="W1478" i="1"/>
  <c r="X1478" i="1" s="1"/>
  <c r="AB1479" i="1"/>
  <c r="AA1491" i="1"/>
  <c r="AA1496" i="1"/>
  <c r="W1496" i="1"/>
  <c r="X1496" i="1" s="1"/>
  <c r="U1496" i="1"/>
  <c r="I1496" i="1" s="1"/>
  <c r="AB1499" i="1"/>
  <c r="AA1504" i="1"/>
  <c r="W1504" i="1"/>
  <c r="X1504" i="1" s="1"/>
  <c r="W1522" i="1"/>
  <c r="X1522" i="1" s="1"/>
  <c r="AA1531" i="1"/>
  <c r="U1531" i="1"/>
  <c r="I1531" i="1" s="1"/>
  <c r="AB1538" i="1"/>
  <c r="W1540" i="1"/>
  <c r="X1540" i="1" s="1"/>
  <c r="U1540" i="1"/>
  <c r="I1540" i="1" s="1"/>
  <c r="AA1548" i="1"/>
  <c r="W1548" i="1"/>
  <c r="X1548" i="1" s="1"/>
  <c r="U1548" i="1"/>
  <c r="I1548" i="1" s="1"/>
  <c r="AB1551" i="1"/>
  <c r="AB1553" i="1"/>
  <c r="AB1557" i="1"/>
  <c r="AB1561" i="1"/>
  <c r="W1564" i="1"/>
  <c r="X1564" i="1" s="1"/>
  <c r="AB1567" i="1"/>
  <c r="AB1578" i="1"/>
  <c r="AA1578" i="1"/>
  <c r="W1578" i="1"/>
  <c r="X1578" i="1" s="1"/>
  <c r="U1578" i="1"/>
  <c r="I1578" i="1" s="1"/>
  <c r="AA1589" i="1"/>
  <c r="W1589" i="1"/>
  <c r="X1589" i="1" s="1"/>
  <c r="U1589" i="1"/>
  <c r="I1589" i="1" s="1"/>
  <c r="U1591" i="1"/>
  <c r="I1591" i="1" s="1"/>
  <c r="AA1591" i="1"/>
  <c r="W1591" i="1"/>
  <c r="X1591" i="1" s="1"/>
  <c r="W1501" i="1"/>
  <c r="X1501" i="1" s="1"/>
  <c r="W1511" i="1"/>
  <c r="X1511" i="1" s="1"/>
  <c r="W1521" i="1"/>
  <c r="X1521" i="1" s="1"/>
  <c r="AA1529" i="1"/>
  <c r="AA1545" i="1"/>
  <c r="W1546" i="1"/>
  <c r="X1546" i="1" s="1"/>
  <c r="W1562" i="1"/>
  <c r="X1562" i="1" s="1"/>
  <c r="W1563" i="1"/>
  <c r="X1563" i="1" s="1"/>
  <c r="W1569" i="1"/>
  <c r="X1569" i="1" s="1"/>
  <c r="AA1584" i="1"/>
  <c r="W1586" i="1"/>
  <c r="X1586" i="1" s="1"/>
  <c r="AB1589" i="1"/>
  <c r="X1600" i="1"/>
  <c r="AB1606" i="1"/>
  <c r="AA1611" i="1"/>
  <c r="W1611" i="1"/>
  <c r="X1611" i="1" s="1"/>
  <c r="AA1617" i="1"/>
  <c r="W1617" i="1"/>
  <c r="X1617" i="1" s="1"/>
  <c r="U1617" i="1"/>
  <c r="I1617" i="1" s="1"/>
  <c r="AA1622" i="1"/>
  <c r="W1622" i="1"/>
  <c r="X1622" i="1" s="1"/>
  <c r="U1622" i="1"/>
  <c r="I1622" i="1" s="1"/>
  <c r="AB1626" i="1"/>
  <c r="AA1634" i="1"/>
  <c r="W1634" i="1"/>
  <c r="X1634" i="1" s="1"/>
  <c r="U1634" i="1"/>
  <c r="I1634" i="1" s="1"/>
  <c r="W1636" i="1"/>
  <c r="X1636" i="1" s="1"/>
  <c r="U1636" i="1"/>
  <c r="I1636" i="1" s="1"/>
  <c r="AA1636" i="1"/>
  <c r="AB1647" i="1"/>
  <c r="AA1654" i="1"/>
  <c r="W1654" i="1"/>
  <c r="X1654" i="1" s="1"/>
  <c r="U1654" i="1"/>
  <c r="I1654" i="1" s="1"/>
  <c r="AA1664" i="1"/>
  <c r="W1664" i="1"/>
  <c r="X1664" i="1" s="1"/>
  <c r="U1664" i="1"/>
  <c r="I1664" i="1" s="1"/>
  <c r="AA1674" i="1"/>
  <c r="W1674" i="1"/>
  <c r="X1674" i="1" s="1"/>
  <c r="U1674" i="1"/>
  <c r="I1674" i="1" s="1"/>
  <c r="AA1684" i="1"/>
  <c r="W1684" i="1"/>
  <c r="X1684" i="1" s="1"/>
  <c r="U1684" i="1"/>
  <c r="I1684" i="1" s="1"/>
  <c r="AA1694" i="1"/>
  <c r="W1694" i="1"/>
  <c r="X1694" i="1" s="1"/>
  <c r="U1694" i="1"/>
  <c r="I1694" i="1" s="1"/>
  <c r="AA1704" i="1"/>
  <c r="W1704" i="1"/>
  <c r="X1704" i="1" s="1"/>
  <c r="U1704" i="1"/>
  <c r="I1704" i="1" s="1"/>
  <c r="AA1714" i="1"/>
  <c r="W1714" i="1"/>
  <c r="X1714" i="1" s="1"/>
  <c r="U1714" i="1"/>
  <c r="I1714" i="1" s="1"/>
  <c r="AA1724" i="1"/>
  <c r="W1724" i="1"/>
  <c r="X1724" i="1" s="1"/>
  <c r="U1724" i="1"/>
  <c r="I1724" i="1" s="1"/>
  <c r="AA1734" i="1"/>
  <c r="W1734" i="1"/>
  <c r="X1734" i="1" s="1"/>
  <c r="U1734" i="1"/>
  <c r="I1734" i="1" s="1"/>
  <c r="AA1744" i="1"/>
  <c r="W1744" i="1"/>
  <c r="X1744" i="1" s="1"/>
  <c r="U1744" i="1"/>
  <c r="I1744" i="1" s="1"/>
  <c r="AA1754" i="1"/>
  <c r="W1754" i="1"/>
  <c r="X1754" i="1" s="1"/>
  <c r="U1754" i="1"/>
  <c r="I1754" i="1" s="1"/>
  <c r="AA1783" i="1"/>
  <c r="U1783" i="1"/>
  <c r="I1783" i="1" s="1"/>
  <c r="W1792" i="1"/>
  <c r="X1792" i="1" s="1"/>
  <c r="U1792" i="1"/>
  <c r="I1792" i="1" s="1"/>
  <c r="AB1792" i="1"/>
  <c r="AB1796" i="1"/>
  <c r="AA1796" i="1"/>
  <c r="W1796" i="1"/>
  <c r="X1796" i="1" s="1"/>
  <c r="U1796" i="1"/>
  <c r="I1796" i="1" s="1"/>
  <c r="W1805" i="1"/>
  <c r="X1805" i="1" s="1"/>
  <c r="U1805" i="1"/>
  <c r="I1805" i="1" s="1"/>
  <c r="AA1805" i="1"/>
  <c r="AB1751" i="1"/>
  <c r="AB1761" i="1"/>
  <c r="AA1766" i="1"/>
  <c r="W1766" i="1"/>
  <c r="X1766" i="1" s="1"/>
  <c r="U1766" i="1"/>
  <c r="I1766" i="1" s="1"/>
  <c r="AA1776" i="1"/>
  <c r="W1776" i="1"/>
  <c r="X1776" i="1" s="1"/>
  <c r="U1776" i="1"/>
  <c r="I1776" i="1" s="1"/>
  <c r="AA1785" i="1"/>
  <c r="W1785" i="1"/>
  <c r="X1785" i="1" s="1"/>
  <c r="U1785" i="1"/>
  <c r="I1785" i="1" s="1"/>
  <c r="AB1788" i="1"/>
  <c r="W1922" i="1"/>
  <c r="X1922" i="1" s="1"/>
  <c r="U1922" i="1"/>
  <c r="I1922" i="1" s="1"/>
  <c r="AB1616" i="1"/>
  <c r="AB1640" i="1"/>
  <c r="W1649" i="1"/>
  <c r="X1649" i="1" s="1"/>
  <c r="U1649" i="1"/>
  <c r="I1649" i="1" s="1"/>
  <c r="AA1649" i="1"/>
  <c r="AA1651" i="1"/>
  <c r="U1651" i="1"/>
  <c r="I1651" i="1" s="1"/>
  <c r="W1659" i="1"/>
  <c r="X1659" i="1" s="1"/>
  <c r="U1659" i="1"/>
  <c r="I1659" i="1" s="1"/>
  <c r="AA1661" i="1"/>
  <c r="U1661" i="1"/>
  <c r="I1661" i="1" s="1"/>
  <c r="W1669" i="1"/>
  <c r="X1669" i="1" s="1"/>
  <c r="U1669" i="1"/>
  <c r="I1669" i="1" s="1"/>
  <c r="AA1671" i="1"/>
  <c r="U1671" i="1"/>
  <c r="I1671" i="1" s="1"/>
  <c r="W1679" i="1"/>
  <c r="X1679" i="1" s="1"/>
  <c r="U1679" i="1"/>
  <c r="I1679" i="1" s="1"/>
  <c r="AA1681" i="1"/>
  <c r="U1681" i="1"/>
  <c r="I1681" i="1" s="1"/>
  <c r="W1689" i="1"/>
  <c r="X1689" i="1" s="1"/>
  <c r="U1689" i="1"/>
  <c r="I1689" i="1" s="1"/>
  <c r="AA1691" i="1"/>
  <c r="U1691" i="1"/>
  <c r="I1691" i="1" s="1"/>
  <c r="W1699" i="1"/>
  <c r="X1699" i="1" s="1"/>
  <c r="U1699" i="1"/>
  <c r="I1699" i="1" s="1"/>
  <c r="AA1701" i="1"/>
  <c r="U1701" i="1"/>
  <c r="I1701" i="1" s="1"/>
  <c r="W1709" i="1"/>
  <c r="X1709" i="1" s="1"/>
  <c r="U1709" i="1"/>
  <c r="I1709" i="1" s="1"/>
  <c r="AA1711" i="1"/>
  <c r="U1711" i="1"/>
  <c r="I1711" i="1" s="1"/>
  <c r="W1719" i="1"/>
  <c r="X1719" i="1" s="1"/>
  <c r="U1719" i="1"/>
  <c r="I1719" i="1" s="1"/>
  <c r="AA1721" i="1"/>
  <c r="U1721" i="1"/>
  <c r="I1721" i="1" s="1"/>
  <c r="W1729" i="1"/>
  <c r="X1729" i="1" s="1"/>
  <c r="U1729" i="1"/>
  <c r="I1729" i="1" s="1"/>
  <c r="AA1731" i="1"/>
  <c r="U1731" i="1"/>
  <c r="I1731" i="1" s="1"/>
  <c r="W1739" i="1"/>
  <c r="X1739" i="1" s="1"/>
  <c r="U1739" i="1"/>
  <c r="I1739" i="1" s="1"/>
  <c r="AA1741" i="1"/>
  <c r="U1741" i="1"/>
  <c r="I1741" i="1" s="1"/>
  <c r="W1749" i="1"/>
  <c r="X1749" i="1" s="1"/>
  <c r="U1749" i="1"/>
  <c r="I1749" i="1" s="1"/>
  <c r="AA1751" i="1"/>
  <c r="U1751" i="1"/>
  <c r="I1751" i="1" s="1"/>
  <c r="W1759" i="1"/>
  <c r="X1759" i="1" s="1"/>
  <c r="U1759" i="1"/>
  <c r="I1759" i="1" s="1"/>
  <c r="AA1761" i="1"/>
  <c r="U1761" i="1"/>
  <c r="I1761" i="1" s="1"/>
  <c r="W1781" i="1"/>
  <c r="X1781" i="1" s="1"/>
  <c r="U1781" i="1"/>
  <c r="I1781" i="1" s="1"/>
  <c r="AB1781" i="1"/>
  <c r="AA1788" i="1"/>
  <c r="W1788" i="1"/>
  <c r="X1788" i="1" s="1"/>
  <c r="U1788" i="1"/>
  <c r="I1788" i="1" s="1"/>
  <c r="W1857" i="1"/>
  <c r="X1857" i="1" s="1"/>
  <c r="U1857" i="1"/>
  <c r="I1857" i="1" s="1"/>
  <c r="U1592" i="1"/>
  <c r="I1592" i="1" s="1"/>
  <c r="U1599" i="1"/>
  <c r="I1599" i="1" s="1"/>
  <c r="U1610" i="1"/>
  <c r="I1610" i="1" s="1"/>
  <c r="W1651" i="1"/>
  <c r="X1651" i="1" s="1"/>
  <c r="AA1659" i="1"/>
  <c r="W1661" i="1"/>
  <c r="X1661" i="1" s="1"/>
  <c r="AA1669" i="1"/>
  <c r="W1671" i="1"/>
  <c r="X1671" i="1" s="1"/>
  <c r="AA1679" i="1"/>
  <c r="W1681" i="1"/>
  <c r="X1681" i="1" s="1"/>
  <c r="AA1689" i="1"/>
  <c r="W1691" i="1"/>
  <c r="X1691" i="1" s="1"/>
  <c r="AA1699" i="1"/>
  <c r="W1701" i="1"/>
  <c r="X1701" i="1" s="1"/>
  <c r="AA1709" i="1"/>
  <c r="W1711" i="1"/>
  <c r="X1711" i="1" s="1"/>
  <c r="AA1719" i="1"/>
  <c r="W1721" i="1"/>
  <c r="X1721" i="1" s="1"/>
  <c r="AA1729" i="1"/>
  <c r="W1731" i="1"/>
  <c r="X1731" i="1" s="1"/>
  <c r="AA1739" i="1"/>
  <c r="W1741" i="1"/>
  <c r="X1741" i="1" s="1"/>
  <c r="AA1749" i="1"/>
  <c r="W1751" i="1"/>
  <c r="X1751" i="1" s="1"/>
  <c r="AA1759" i="1"/>
  <c r="W1761" i="1"/>
  <c r="X1761" i="1" s="1"/>
  <c r="W1771" i="1"/>
  <c r="X1771" i="1" s="1"/>
  <c r="U1771" i="1"/>
  <c r="I1771" i="1" s="1"/>
  <c r="AA1773" i="1"/>
  <c r="U1773" i="1"/>
  <c r="I1773" i="1" s="1"/>
  <c r="AA1781" i="1"/>
  <c r="AA1799" i="1"/>
  <c r="AB1799" i="1"/>
  <c r="W1799" i="1"/>
  <c r="X1799" i="1" s="1"/>
  <c r="U1799" i="1"/>
  <c r="I1799" i="1" s="1"/>
  <c r="W1801" i="1"/>
  <c r="X1801" i="1" s="1"/>
  <c r="AA1801" i="1"/>
  <c r="U1801" i="1"/>
  <c r="I1801" i="1" s="1"/>
  <c r="AA1809" i="1"/>
  <c r="U1809" i="1"/>
  <c r="I1809" i="1" s="1"/>
  <c r="AB1809" i="1"/>
  <c r="W1809" i="1"/>
  <c r="X1809" i="1" s="1"/>
  <c r="U1899" i="1"/>
  <c r="I1899" i="1" s="1"/>
  <c r="W1899" i="1"/>
  <c r="X1899" i="1" s="1"/>
  <c r="W1920" i="1"/>
  <c r="X1920" i="1" s="1"/>
  <c r="U1920" i="1"/>
  <c r="I1920" i="1" s="1"/>
  <c r="W1942" i="1"/>
  <c r="X1942" i="1" s="1"/>
  <c r="U1942" i="1"/>
  <c r="I1942" i="1" s="1"/>
  <c r="W1592" i="1"/>
  <c r="X1592" i="1" s="1"/>
  <c r="U1598" i="1"/>
  <c r="I1598" i="1" s="1"/>
  <c r="W1599" i="1"/>
  <c r="X1599" i="1" s="1"/>
  <c r="U1605" i="1"/>
  <c r="I1605" i="1" s="1"/>
  <c r="W1610" i="1"/>
  <c r="X1610" i="1" s="1"/>
  <c r="AA1621" i="1"/>
  <c r="W1621" i="1"/>
  <c r="X1621" i="1" s="1"/>
  <c r="AA1628" i="1"/>
  <c r="W1628" i="1"/>
  <c r="X1628" i="1" s="1"/>
  <c r="U1628" i="1"/>
  <c r="I1628" i="1" s="1"/>
  <c r="W1630" i="1"/>
  <c r="X1630" i="1" s="1"/>
  <c r="U1630" i="1"/>
  <c r="I1630" i="1" s="1"/>
  <c r="AA1630" i="1"/>
  <c r="W1642" i="1"/>
  <c r="X1642" i="1" s="1"/>
  <c r="U1642" i="1"/>
  <c r="I1642" i="1" s="1"/>
  <c r="AA1642" i="1"/>
  <c r="AA1644" i="1"/>
  <c r="U1644" i="1"/>
  <c r="I1644" i="1" s="1"/>
  <c r="AB1646" i="1"/>
  <c r="AA1653" i="1"/>
  <c r="W1653" i="1"/>
  <c r="X1653" i="1" s="1"/>
  <c r="AA1655" i="1"/>
  <c r="W1655" i="1"/>
  <c r="X1655" i="1" s="1"/>
  <c r="U1655" i="1"/>
  <c r="I1655" i="1" s="1"/>
  <c r="AB1659" i="1"/>
  <c r="AA1663" i="1"/>
  <c r="W1663" i="1"/>
  <c r="X1663" i="1" s="1"/>
  <c r="AA1665" i="1"/>
  <c r="W1665" i="1"/>
  <c r="X1665" i="1" s="1"/>
  <c r="U1665" i="1"/>
  <c r="I1665" i="1" s="1"/>
  <c r="AB1669" i="1"/>
  <c r="AA1673" i="1"/>
  <c r="W1673" i="1"/>
  <c r="X1673" i="1" s="1"/>
  <c r="AA1675" i="1"/>
  <c r="W1675" i="1"/>
  <c r="X1675" i="1" s="1"/>
  <c r="U1675" i="1"/>
  <c r="I1675" i="1" s="1"/>
  <c r="AB1679" i="1"/>
  <c r="AA1683" i="1"/>
  <c r="W1683" i="1"/>
  <c r="X1683" i="1" s="1"/>
  <c r="AA1685" i="1"/>
  <c r="W1685" i="1"/>
  <c r="X1685" i="1" s="1"/>
  <c r="U1685" i="1"/>
  <c r="I1685" i="1" s="1"/>
  <c r="AB1689" i="1"/>
  <c r="AA1693" i="1"/>
  <c r="W1693" i="1"/>
  <c r="X1693" i="1" s="1"/>
  <c r="AA1695" i="1"/>
  <c r="W1695" i="1"/>
  <c r="X1695" i="1" s="1"/>
  <c r="U1695" i="1"/>
  <c r="I1695" i="1" s="1"/>
  <c r="AB1699" i="1"/>
  <c r="AA1703" i="1"/>
  <c r="W1703" i="1"/>
  <c r="X1703" i="1" s="1"/>
  <c r="AA1705" i="1"/>
  <c r="W1705" i="1"/>
  <c r="X1705" i="1" s="1"/>
  <c r="U1705" i="1"/>
  <c r="I1705" i="1" s="1"/>
  <c r="AB1709" i="1"/>
  <c r="AA1713" i="1"/>
  <c r="W1713" i="1"/>
  <c r="X1713" i="1" s="1"/>
  <c r="AA1715" i="1"/>
  <c r="W1715" i="1"/>
  <c r="X1715" i="1" s="1"/>
  <c r="U1715" i="1"/>
  <c r="I1715" i="1" s="1"/>
  <c r="AB1719" i="1"/>
  <c r="AA1723" i="1"/>
  <c r="W1723" i="1"/>
  <c r="X1723" i="1" s="1"/>
  <c r="AA1725" i="1"/>
  <c r="W1725" i="1"/>
  <c r="X1725" i="1" s="1"/>
  <c r="U1725" i="1"/>
  <c r="I1725" i="1" s="1"/>
  <c r="AB1729" i="1"/>
  <c r="AA1733" i="1"/>
  <c r="W1733" i="1"/>
  <c r="X1733" i="1" s="1"/>
  <c r="AA1735" i="1"/>
  <c r="W1735" i="1"/>
  <c r="X1735" i="1" s="1"/>
  <c r="U1735" i="1"/>
  <c r="I1735" i="1" s="1"/>
  <c r="AB1739" i="1"/>
  <c r="AA1743" i="1"/>
  <c r="W1743" i="1"/>
  <c r="X1743" i="1" s="1"/>
  <c r="AA1745" i="1"/>
  <c r="W1745" i="1"/>
  <c r="X1745" i="1" s="1"/>
  <c r="U1745" i="1"/>
  <c r="I1745" i="1" s="1"/>
  <c r="AB1749" i="1"/>
  <c r="AA1753" i="1"/>
  <c r="W1753" i="1"/>
  <c r="X1753" i="1" s="1"/>
  <c r="AA1755" i="1"/>
  <c r="W1755" i="1"/>
  <c r="X1755" i="1" s="1"/>
  <c r="U1755" i="1"/>
  <c r="I1755" i="1" s="1"/>
  <c r="AB1759" i="1"/>
  <c r="AA1771" i="1"/>
  <c r="W1773" i="1"/>
  <c r="X1773" i="1" s="1"/>
  <c r="U1793" i="1"/>
  <c r="I1793" i="1" s="1"/>
  <c r="AA1793" i="1"/>
  <c r="W1793" i="1"/>
  <c r="X1793" i="1" s="1"/>
  <c r="AA1797" i="1"/>
  <c r="W1797" i="1"/>
  <c r="X1797" i="1" s="1"/>
  <c r="U1797" i="1"/>
  <c r="I1797" i="1" s="1"/>
  <c r="W1915" i="1"/>
  <c r="X1915" i="1" s="1"/>
  <c r="U1915" i="1"/>
  <c r="I1915" i="1" s="1"/>
  <c r="W1605" i="1"/>
  <c r="X1605" i="1" s="1"/>
  <c r="AB1615" i="1"/>
  <c r="U1621" i="1"/>
  <c r="I1621" i="1" s="1"/>
  <c r="AA1623" i="1"/>
  <c r="W1623" i="1"/>
  <c r="X1623" i="1" s="1"/>
  <c r="U1623" i="1"/>
  <c r="I1623" i="1" s="1"/>
  <c r="W1625" i="1"/>
  <c r="X1625" i="1" s="1"/>
  <c r="U1625" i="1"/>
  <c r="I1625" i="1" s="1"/>
  <c r="U1632" i="1"/>
  <c r="I1632" i="1" s="1"/>
  <c r="W1632" i="1"/>
  <c r="X1632" i="1" s="1"/>
  <c r="AA1635" i="1"/>
  <c r="W1635" i="1"/>
  <c r="X1635" i="1" s="1"/>
  <c r="U1635" i="1"/>
  <c r="I1635" i="1" s="1"/>
  <c r="U1637" i="1"/>
  <c r="I1637" i="1" s="1"/>
  <c r="W1637" i="1"/>
  <c r="X1637" i="1" s="1"/>
  <c r="W1644" i="1"/>
  <c r="X1644" i="1" s="1"/>
  <c r="U1653" i="1"/>
  <c r="I1653" i="1" s="1"/>
  <c r="U1663" i="1"/>
  <c r="I1663" i="1" s="1"/>
  <c r="U1673" i="1"/>
  <c r="I1673" i="1" s="1"/>
  <c r="U1683" i="1"/>
  <c r="I1683" i="1" s="1"/>
  <c r="U1693" i="1"/>
  <c r="I1693" i="1" s="1"/>
  <c r="U1703" i="1"/>
  <c r="I1703" i="1" s="1"/>
  <c r="U1713" i="1"/>
  <c r="I1713" i="1" s="1"/>
  <c r="U1723" i="1"/>
  <c r="I1723" i="1" s="1"/>
  <c r="U1733" i="1"/>
  <c r="I1733" i="1" s="1"/>
  <c r="U1743" i="1"/>
  <c r="I1743" i="1" s="1"/>
  <c r="U1753" i="1"/>
  <c r="I1753" i="1" s="1"/>
  <c r="AA1765" i="1"/>
  <c r="W1765" i="1"/>
  <c r="X1765" i="1" s="1"/>
  <c r="AA1767" i="1"/>
  <c r="W1767" i="1"/>
  <c r="X1767" i="1" s="1"/>
  <c r="U1767" i="1"/>
  <c r="I1767" i="1" s="1"/>
  <c r="AB1771" i="1"/>
  <c r="AA1775" i="1"/>
  <c r="W1775" i="1"/>
  <c r="X1775" i="1" s="1"/>
  <c r="AA1777" i="1"/>
  <c r="W1777" i="1"/>
  <c r="X1777" i="1" s="1"/>
  <c r="U1777" i="1"/>
  <c r="I1777" i="1" s="1"/>
  <c r="AB1782" i="1"/>
  <c r="AA1786" i="1"/>
  <c r="W1786" i="1"/>
  <c r="X1786" i="1" s="1"/>
  <c r="U1786" i="1"/>
  <c r="I1786" i="1" s="1"/>
  <c r="W1791" i="1"/>
  <c r="X1791" i="1" s="1"/>
  <c r="U1791" i="1"/>
  <c r="I1791" i="1" s="1"/>
  <c r="AA1791" i="1"/>
  <c r="AA1836" i="1"/>
  <c r="W1836" i="1"/>
  <c r="X1836" i="1" s="1"/>
  <c r="U1836" i="1"/>
  <c r="I1836" i="1" s="1"/>
  <c r="W1872" i="1"/>
  <c r="X1872" i="1" s="1"/>
  <c r="U1872" i="1"/>
  <c r="I1872" i="1" s="1"/>
  <c r="AA1612" i="1"/>
  <c r="W1612" i="1"/>
  <c r="X1612" i="1" s="1"/>
  <c r="U1612" i="1"/>
  <c r="I1612" i="1" s="1"/>
  <c r="AA1646" i="1"/>
  <c r="W1646" i="1"/>
  <c r="X1646" i="1" s="1"/>
  <c r="AB1740" i="1"/>
  <c r="AB1750" i="1"/>
  <c r="AB1760" i="1"/>
  <c r="AB1762" i="1"/>
  <c r="U1782" i="1"/>
  <c r="I1782" i="1" s="1"/>
  <c r="AA1782" i="1"/>
  <c r="W1782" i="1"/>
  <c r="X1782" i="1" s="1"/>
  <c r="U1529" i="1"/>
  <c r="I1529" i="1" s="1"/>
  <c r="U1545" i="1"/>
  <c r="I1545" i="1" s="1"/>
  <c r="U1582" i="1"/>
  <c r="I1582" i="1" s="1"/>
  <c r="U1584" i="1"/>
  <c r="I1584" i="1" s="1"/>
  <c r="W1597" i="1"/>
  <c r="X1597" i="1" s="1"/>
  <c r="AA1602" i="1"/>
  <c r="W1602" i="1"/>
  <c r="X1602" i="1" s="1"/>
  <c r="U1615" i="1"/>
  <c r="I1615" i="1" s="1"/>
  <c r="AA1620" i="1"/>
  <c r="U1620" i="1"/>
  <c r="I1620" i="1" s="1"/>
  <c r="U1646" i="1"/>
  <c r="I1646" i="1" s="1"/>
  <c r="AA1648" i="1"/>
  <c r="W1648" i="1"/>
  <c r="X1648" i="1" s="1"/>
  <c r="U1648" i="1"/>
  <c r="I1648" i="1" s="1"/>
  <c r="U1650" i="1"/>
  <c r="I1650" i="1" s="1"/>
  <c r="W1650" i="1"/>
  <c r="X1650" i="1" s="1"/>
  <c r="W1658" i="1"/>
  <c r="X1658" i="1" s="1"/>
  <c r="U1658" i="1"/>
  <c r="I1658" i="1" s="1"/>
  <c r="AA1658" i="1"/>
  <c r="U1660" i="1"/>
  <c r="I1660" i="1" s="1"/>
  <c r="W1660" i="1"/>
  <c r="X1660" i="1" s="1"/>
  <c r="W1668" i="1"/>
  <c r="X1668" i="1" s="1"/>
  <c r="U1668" i="1"/>
  <c r="I1668" i="1" s="1"/>
  <c r="AA1668" i="1"/>
  <c r="U1670" i="1"/>
  <c r="I1670" i="1" s="1"/>
  <c r="W1670" i="1"/>
  <c r="X1670" i="1" s="1"/>
  <c r="W1678" i="1"/>
  <c r="X1678" i="1" s="1"/>
  <c r="U1678" i="1"/>
  <c r="I1678" i="1" s="1"/>
  <c r="AA1678" i="1"/>
  <c r="U1680" i="1"/>
  <c r="I1680" i="1" s="1"/>
  <c r="W1680" i="1"/>
  <c r="X1680" i="1" s="1"/>
  <c r="W1688" i="1"/>
  <c r="X1688" i="1" s="1"/>
  <c r="U1688" i="1"/>
  <c r="I1688" i="1" s="1"/>
  <c r="AA1688" i="1"/>
  <c r="U1690" i="1"/>
  <c r="I1690" i="1" s="1"/>
  <c r="W1690" i="1"/>
  <c r="X1690" i="1" s="1"/>
  <c r="W1698" i="1"/>
  <c r="X1698" i="1" s="1"/>
  <c r="U1698" i="1"/>
  <c r="I1698" i="1" s="1"/>
  <c r="AA1698" i="1"/>
  <c r="U1700" i="1"/>
  <c r="I1700" i="1" s="1"/>
  <c r="W1700" i="1"/>
  <c r="X1700" i="1" s="1"/>
  <c r="W1708" i="1"/>
  <c r="X1708" i="1" s="1"/>
  <c r="U1708" i="1"/>
  <c r="I1708" i="1" s="1"/>
  <c r="AA1708" i="1"/>
  <c r="U1710" i="1"/>
  <c r="I1710" i="1" s="1"/>
  <c r="W1710" i="1"/>
  <c r="X1710" i="1" s="1"/>
  <c r="W1718" i="1"/>
  <c r="X1718" i="1" s="1"/>
  <c r="U1718" i="1"/>
  <c r="I1718" i="1" s="1"/>
  <c r="AA1718" i="1"/>
  <c r="U1720" i="1"/>
  <c r="I1720" i="1" s="1"/>
  <c r="W1720" i="1"/>
  <c r="X1720" i="1" s="1"/>
  <c r="W1728" i="1"/>
  <c r="X1728" i="1" s="1"/>
  <c r="U1728" i="1"/>
  <c r="I1728" i="1" s="1"/>
  <c r="AA1728" i="1"/>
  <c r="U1730" i="1"/>
  <c r="I1730" i="1" s="1"/>
  <c r="W1730" i="1"/>
  <c r="X1730" i="1" s="1"/>
  <c r="W1738" i="1"/>
  <c r="X1738" i="1" s="1"/>
  <c r="U1738" i="1"/>
  <c r="I1738" i="1" s="1"/>
  <c r="AA1738" i="1"/>
  <c r="U1740" i="1"/>
  <c r="I1740" i="1" s="1"/>
  <c r="W1740" i="1"/>
  <c r="X1740" i="1" s="1"/>
  <c r="W1748" i="1"/>
  <c r="X1748" i="1" s="1"/>
  <c r="U1748" i="1"/>
  <c r="I1748" i="1" s="1"/>
  <c r="AA1748" i="1"/>
  <c r="U1750" i="1"/>
  <c r="I1750" i="1" s="1"/>
  <c r="W1750" i="1"/>
  <c r="X1750" i="1" s="1"/>
  <c r="W1758" i="1"/>
  <c r="X1758" i="1" s="1"/>
  <c r="U1758" i="1"/>
  <c r="I1758" i="1" s="1"/>
  <c r="AA1758" i="1"/>
  <c r="U1760" i="1"/>
  <c r="I1760" i="1" s="1"/>
  <c r="W1760" i="1"/>
  <c r="X1760" i="1" s="1"/>
  <c r="AA1762" i="1"/>
  <c r="U1762" i="1"/>
  <c r="I1762" i="1" s="1"/>
  <c r="AB1772" i="1"/>
  <c r="W1780" i="1"/>
  <c r="X1780" i="1" s="1"/>
  <c r="U1780" i="1"/>
  <c r="I1780" i="1" s="1"/>
  <c r="AA1780" i="1"/>
  <c r="AB1794" i="1"/>
  <c r="AA1802" i="1"/>
  <c r="U1802" i="1"/>
  <c r="I1802" i="1" s="1"/>
  <c r="W1802" i="1"/>
  <c r="X1802" i="1" s="1"/>
  <c r="W1870" i="1"/>
  <c r="X1870" i="1" s="1"/>
  <c r="U1870" i="1"/>
  <c r="I1870" i="1" s="1"/>
  <c r="W1932" i="1"/>
  <c r="X1932" i="1" s="1"/>
  <c r="U1932" i="1"/>
  <c r="I1932" i="1" s="1"/>
  <c r="W1582" i="1"/>
  <c r="X1582" i="1" s="1"/>
  <c r="AA1596" i="1"/>
  <c r="W1596" i="1"/>
  <c r="X1596" i="1" s="1"/>
  <c r="AA1597" i="1"/>
  <c r="AA1601" i="1"/>
  <c r="U1601" i="1"/>
  <c r="I1601" i="1" s="1"/>
  <c r="W1608" i="1"/>
  <c r="X1608" i="1" s="1"/>
  <c r="U1608" i="1"/>
  <c r="I1608" i="1" s="1"/>
  <c r="W1615" i="1"/>
  <c r="X1615" i="1" s="1"/>
  <c r="AA1627" i="1"/>
  <c r="W1627" i="1"/>
  <c r="X1627" i="1" s="1"/>
  <c r="AA1639" i="1"/>
  <c r="W1639" i="1"/>
  <c r="X1639" i="1" s="1"/>
  <c r="AA1656" i="1"/>
  <c r="W1656" i="1"/>
  <c r="X1656" i="1" s="1"/>
  <c r="U1656" i="1"/>
  <c r="I1656" i="1" s="1"/>
  <c r="AA1666" i="1"/>
  <c r="W1666" i="1"/>
  <c r="X1666" i="1" s="1"/>
  <c r="U1666" i="1"/>
  <c r="I1666" i="1" s="1"/>
  <c r="AA1676" i="1"/>
  <c r="W1676" i="1"/>
  <c r="X1676" i="1" s="1"/>
  <c r="U1676" i="1"/>
  <c r="I1676" i="1" s="1"/>
  <c r="AA1686" i="1"/>
  <c r="W1686" i="1"/>
  <c r="X1686" i="1" s="1"/>
  <c r="U1686" i="1"/>
  <c r="I1686" i="1" s="1"/>
  <c r="AA1696" i="1"/>
  <c r="W1696" i="1"/>
  <c r="X1696" i="1" s="1"/>
  <c r="U1696" i="1"/>
  <c r="I1696" i="1" s="1"/>
  <c r="AA1706" i="1"/>
  <c r="W1706" i="1"/>
  <c r="X1706" i="1" s="1"/>
  <c r="U1706" i="1"/>
  <c r="I1706" i="1" s="1"/>
  <c r="AA1716" i="1"/>
  <c r="W1716" i="1"/>
  <c r="X1716" i="1" s="1"/>
  <c r="U1716" i="1"/>
  <c r="I1716" i="1" s="1"/>
  <c r="AA1726" i="1"/>
  <c r="W1726" i="1"/>
  <c r="X1726" i="1" s="1"/>
  <c r="U1726" i="1"/>
  <c r="I1726" i="1" s="1"/>
  <c r="AA1736" i="1"/>
  <c r="W1736" i="1"/>
  <c r="X1736" i="1" s="1"/>
  <c r="U1736" i="1"/>
  <c r="I1736" i="1" s="1"/>
  <c r="AA1746" i="1"/>
  <c r="W1746" i="1"/>
  <c r="X1746" i="1" s="1"/>
  <c r="U1746" i="1"/>
  <c r="I1746" i="1" s="1"/>
  <c r="AB1748" i="1"/>
  <c r="AA1756" i="1"/>
  <c r="W1756" i="1"/>
  <c r="X1756" i="1" s="1"/>
  <c r="U1756" i="1"/>
  <c r="I1756" i="1" s="1"/>
  <c r="AB1758" i="1"/>
  <c r="W1762" i="1"/>
  <c r="X1762" i="1" s="1"/>
  <c r="W1770" i="1"/>
  <c r="X1770" i="1" s="1"/>
  <c r="U1770" i="1"/>
  <c r="I1770" i="1" s="1"/>
  <c r="AA1770" i="1"/>
  <c r="U1772" i="1"/>
  <c r="I1772" i="1" s="1"/>
  <c r="W1772" i="1"/>
  <c r="X1772" i="1" s="1"/>
  <c r="AA1794" i="1"/>
  <c r="U1794" i="1"/>
  <c r="I1794" i="1" s="1"/>
  <c r="AA1798" i="1"/>
  <c r="W1798" i="1"/>
  <c r="X1798" i="1" s="1"/>
  <c r="U1798" i="1"/>
  <c r="I1798" i="1" s="1"/>
  <c r="U1849" i="1"/>
  <c r="I1849" i="1" s="1"/>
  <c r="W1849" i="1"/>
  <c r="X1849" i="1" s="1"/>
  <c r="W1865" i="1"/>
  <c r="X1865" i="1" s="1"/>
  <c r="U1865" i="1"/>
  <c r="I1865" i="1" s="1"/>
  <c r="W1907" i="1"/>
  <c r="X1907" i="1" s="1"/>
  <c r="U1907" i="1"/>
  <c r="I1907" i="1" s="1"/>
  <c r="U1596" i="1"/>
  <c r="I1596" i="1" s="1"/>
  <c r="W1601" i="1"/>
  <c r="X1601" i="1" s="1"/>
  <c r="AA1608" i="1"/>
  <c r="W1614" i="1"/>
  <c r="X1614" i="1" s="1"/>
  <c r="U1614" i="1"/>
  <c r="I1614" i="1" s="1"/>
  <c r="AB1617" i="1"/>
  <c r="U1627" i="1"/>
  <c r="I1627" i="1" s="1"/>
  <c r="U1639" i="1"/>
  <c r="I1639" i="1" s="1"/>
  <c r="AA1641" i="1"/>
  <c r="W1641" i="1"/>
  <c r="X1641" i="1" s="1"/>
  <c r="U1641" i="1"/>
  <c r="I1641" i="1" s="1"/>
  <c r="U1643" i="1"/>
  <c r="I1643" i="1" s="1"/>
  <c r="W1643" i="1"/>
  <c r="X1643" i="1" s="1"/>
  <c r="AA1650" i="1"/>
  <c r="AA1660" i="1"/>
  <c r="AA1670" i="1"/>
  <c r="AA1680" i="1"/>
  <c r="AA1690" i="1"/>
  <c r="AA1700" i="1"/>
  <c r="AA1710" i="1"/>
  <c r="AA1720" i="1"/>
  <c r="AA1730" i="1"/>
  <c r="AA1740" i="1"/>
  <c r="AA1750" i="1"/>
  <c r="AA1760" i="1"/>
  <c r="AB1766" i="1"/>
  <c r="AA1768" i="1"/>
  <c r="W1768" i="1"/>
  <c r="X1768" i="1" s="1"/>
  <c r="U1768" i="1"/>
  <c r="I1768" i="1" s="1"/>
  <c r="AB1776" i="1"/>
  <c r="AA1778" i="1"/>
  <c r="W1778" i="1"/>
  <c r="X1778" i="1" s="1"/>
  <c r="U1778" i="1"/>
  <c r="I1778" i="1" s="1"/>
  <c r="AB1783" i="1"/>
  <c r="AB1785" i="1"/>
  <c r="AA1787" i="1"/>
  <c r="W1787" i="1"/>
  <c r="X1787" i="1" s="1"/>
  <c r="U1787" i="1"/>
  <c r="I1787" i="1" s="1"/>
  <c r="W1794" i="1"/>
  <c r="X1794" i="1" s="1"/>
  <c r="AB1805" i="1"/>
  <c r="AA1812" i="1"/>
  <c r="U1812" i="1"/>
  <c r="I1812" i="1" s="1"/>
  <c r="W1812" i="1"/>
  <c r="X1812" i="1" s="1"/>
  <c r="W1952" i="1"/>
  <c r="X1952" i="1" s="1"/>
  <c r="U1952" i="1"/>
  <c r="I1952" i="1" s="1"/>
  <c r="AB1812" i="1"/>
  <c r="AB1816" i="1"/>
  <c r="AA1816" i="1"/>
  <c r="W1816" i="1"/>
  <c r="X1816" i="1" s="1"/>
  <c r="U1816" i="1"/>
  <c r="I1816" i="1" s="1"/>
  <c r="AA1825" i="1"/>
  <c r="W1825" i="1"/>
  <c r="X1825" i="1" s="1"/>
  <c r="U1825" i="1"/>
  <c r="I1825" i="1" s="1"/>
  <c r="X1828" i="1"/>
  <c r="L1828" i="1"/>
  <c r="AB1828" i="1" s="1"/>
  <c r="AB1836" i="1"/>
  <c r="X1874" i="1"/>
  <c r="L1874" i="1"/>
  <c r="W1886" i="1"/>
  <c r="X1886" i="1" s="1"/>
  <c r="U1886" i="1"/>
  <c r="I1886" i="1" s="1"/>
  <c r="X1924" i="1"/>
  <c r="L1924" i="1"/>
  <c r="X1934" i="1"/>
  <c r="L1934" i="1"/>
  <c r="X1944" i="1"/>
  <c r="L1944" i="1"/>
  <c r="X1954" i="1"/>
  <c r="L1954" i="1"/>
  <c r="X1964" i="1"/>
  <c r="L1964" i="1"/>
  <c r="U1970" i="1"/>
  <c r="I1970" i="1" s="1"/>
  <c r="W1976" i="1"/>
  <c r="X1976" i="1" s="1"/>
  <c r="U1976" i="1"/>
  <c r="I1976" i="1" s="1"/>
  <c r="W2007" i="1"/>
  <c r="X2007" i="1" s="1"/>
  <c r="U2007" i="1"/>
  <c r="I2007" i="1" s="1"/>
  <c r="W2018" i="1"/>
  <c r="X2018" i="1" s="1"/>
  <c r="U2018" i="1"/>
  <c r="I2018" i="1" s="1"/>
  <c r="W2030" i="1"/>
  <c r="X2030" i="1" s="1"/>
  <c r="U2030" i="1"/>
  <c r="I2030" i="1" s="1"/>
  <c r="W1962" i="1"/>
  <c r="X1962" i="1" s="1"/>
  <c r="U1962" i="1"/>
  <c r="I1962" i="1" s="1"/>
  <c r="W2025" i="1"/>
  <c r="X2025" i="1" s="1"/>
  <c r="U2025" i="1"/>
  <c r="I2025" i="1" s="1"/>
  <c r="U2050" i="1"/>
  <c r="I2050" i="1" s="1"/>
  <c r="W2050" i="1"/>
  <c r="X2050" i="1" s="1"/>
  <c r="U2062" i="1"/>
  <c r="I2062" i="1" s="1"/>
  <c r="W2062" i="1"/>
  <c r="X2062" i="1" s="1"/>
  <c r="AA1834" i="1"/>
  <c r="W1834" i="1"/>
  <c r="X1834" i="1" s="1"/>
  <c r="X1864" i="1"/>
  <c r="L1864" i="1"/>
  <c r="W1876" i="1"/>
  <c r="X1876" i="1" s="1"/>
  <c r="U1876" i="1"/>
  <c r="I1876" i="1" s="1"/>
  <c r="X1914" i="1"/>
  <c r="L1914" i="1"/>
  <c r="W1926" i="1"/>
  <c r="X1926" i="1" s="1"/>
  <c r="U1926" i="1"/>
  <c r="I1926" i="1" s="1"/>
  <c r="W1936" i="1"/>
  <c r="X1936" i="1" s="1"/>
  <c r="U1936" i="1"/>
  <c r="I1936" i="1" s="1"/>
  <c r="W1946" i="1"/>
  <c r="X1946" i="1" s="1"/>
  <c r="U1946" i="1"/>
  <c r="I1946" i="1" s="1"/>
  <c r="W1956" i="1"/>
  <c r="X1956" i="1" s="1"/>
  <c r="U1956" i="1"/>
  <c r="I1956" i="1" s="1"/>
  <c r="W1966" i="1"/>
  <c r="X1966" i="1" s="1"/>
  <c r="U1966" i="1"/>
  <c r="I1966" i="1" s="1"/>
  <c r="W1989" i="1"/>
  <c r="X1989" i="1" s="1"/>
  <c r="W1997" i="1"/>
  <c r="X1997" i="1" s="1"/>
  <c r="U1997" i="1"/>
  <c r="I1997" i="1" s="1"/>
  <c r="W2005" i="1"/>
  <c r="X2005" i="1" s="1"/>
  <c r="U2005" i="1"/>
  <c r="I2005" i="1" s="1"/>
  <c r="W2016" i="1"/>
  <c r="X2016" i="1" s="1"/>
  <c r="U2016" i="1"/>
  <c r="I2016" i="1" s="1"/>
  <c r="W2028" i="1"/>
  <c r="X2028" i="1" s="1"/>
  <c r="U2028" i="1"/>
  <c r="I2028" i="1" s="1"/>
  <c r="W2041" i="1"/>
  <c r="X2041" i="1" s="1"/>
  <c r="U2041" i="1"/>
  <c r="I2041" i="1" s="1"/>
  <c r="AA1806" i="1"/>
  <c r="AB1811" i="1"/>
  <c r="AA1814" i="1"/>
  <c r="W1814" i="1"/>
  <c r="X1814" i="1" s="1"/>
  <c r="U1814" i="1"/>
  <c r="I1814" i="1" s="1"/>
  <c r="AA1826" i="1"/>
  <c r="W1826" i="1"/>
  <c r="X1826" i="1" s="1"/>
  <c r="U1826" i="1"/>
  <c r="I1826" i="1" s="1"/>
  <c r="U1834" i="1"/>
  <c r="I1834" i="1" s="1"/>
  <c r="AB1845" i="1"/>
  <c r="W1847" i="1"/>
  <c r="X1847" i="1" s="1"/>
  <c r="U1847" i="1"/>
  <c r="I1847" i="1" s="1"/>
  <c r="W1855" i="1"/>
  <c r="X1855" i="1" s="1"/>
  <c r="U1855" i="1"/>
  <c r="I1855" i="1" s="1"/>
  <c r="W1862" i="1"/>
  <c r="X1862" i="1" s="1"/>
  <c r="U1862" i="1"/>
  <c r="I1862" i="1" s="1"/>
  <c r="U1868" i="1"/>
  <c r="I1868" i="1" s="1"/>
  <c r="W1897" i="1"/>
  <c r="X1897" i="1" s="1"/>
  <c r="U1897" i="1"/>
  <c r="I1897" i="1" s="1"/>
  <c r="W1905" i="1"/>
  <c r="X1905" i="1" s="1"/>
  <c r="U1905" i="1"/>
  <c r="I1905" i="1" s="1"/>
  <c r="W1912" i="1"/>
  <c r="X1912" i="1" s="1"/>
  <c r="U1912" i="1"/>
  <c r="I1912" i="1" s="1"/>
  <c r="U1918" i="1"/>
  <c r="I1918" i="1" s="1"/>
  <c r="W1987" i="1"/>
  <c r="X1987" i="1" s="1"/>
  <c r="U1987" i="1"/>
  <c r="I1987" i="1" s="1"/>
  <c r="X2004" i="1"/>
  <c r="L2004" i="1"/>
  <c r="W2012" i="1"/>
  <c r="X2012" i="1" s="1"/>
  <c r="U2012" i="1"/>
  <c r="I2012" i="1" s="1"/>
  <c r="AA1764" i="1"/>
  <c r="X1804" i="1"/>
  <c r="AB1817" i="1"/>
  <c r="AA1824" i="1"/>
  <c r="W1824" i="1"/>
  <c r="X1824" i="1" s="1"/>
  <c r="AA1843" i="1"/>
  <c r="U1843" i="1"/>
  <c r="I1843" i="1" s="1"/>
  <c r="X1854" i="1"/>
  <c r="L1854" i="1"/>
  <c r="U1860" i="1"/>
  <c r="I1860" i="1" s="1"/>
  <c r="W1866" i="1"/>
  <c r="X1866" i="1" s="1"/>
  <c r="U1866" i="1"/>
  <c r="I1866" i="1" s="1"/>
  <c r="W1889" i="1"/>
  <c r="X1889" i="1" s="1"/>
  <c r="X1904" i="1"/>
  <c r="L1904" i="1"/>
  <c r="U1910" i="1"/>
  <c r="I1910" i="1" s="1"/>
  <c r="W1916" i="1"/>
  <c r="X1916" i="1" s="1"/>
  <c r="U1916" i="1"/>
  <c r="I1916" i="1" s="1"/>
  <c r="W1979" i="1"/>
  <c r="X1979" i="1" s="1"/>
  <c r="W1995" i="1"/>
  <c r="X1995" i="1" s="1"/>
  <c r="U1995" i="1"/>
  <c r="I1995" i="1" s="1"/>
  <c r="W2002" i="1"/>
  <c r="X2002" i="1" s="1"/>
  <c r="U2002" i="1"/>
  <c r="I2002" i="1" s="1"/>
  <c r="U2008" i="1"/>
  <c r="I2008" i="1" s="1"/>
  <c r="W2026" i="1"/>
  <c r="X2026" i="1" s="1"/>
  <c r="U2026" i="1"/>
  <c r="I2026" i="1" s="1"/>
  <c r="W2035" i="1"/>
  <c r="X2035" i="1" s="1"/>
  <c r="U2035" i="1"/>
  <c r="I2035" i="1" s="1"/>
  <c r="W2053" i="1"/>
  <c r="X2053" i="1" s="1"/>
  <c r="U2053" i="1"/>
  <c r="I2053" i="1" s="1"/>
  <c r="W2063" i="1"/>
  <c r="X2063" i="1" s="1"/>
  <c r="U2063" i="1"/>
  <c r="I2063" i="1" s="1"/>
  <c r="AA1811" i="1"/>
  <c r="W1811" i="1"/>
  <c r="X1811" i="1" s="1"/>
  <c r="AA1817" i="1"/>
  <c r="W1817" i="1"/>
  <c r="X1817" i="1" s="1"/>
  <c r="U1817" i="1"/>
  <c r="I1817" i="1" s="1"/>
  <c r="AB1837" i="1"/>
  <c r="W1840" i="1"/>
  <c r="X1840" i="1" s="1"/>
  <c r="U1840" i="1"/>
  <c r="I1840" i="1" s="1"/>
  <c r="AA1840" i="1"/>
  <c r="AA1845" i="1"/>
  <c r="W1845" i="1"/>
  <c r="X1845" i="1" s="1"/>
  <c r="U1845" i="1"/>
  <c r="I1845" i="1" s="1"/>
  <c r="W1852" i="1"/>
  <c r="X1852" i="1" s="1"/>
  <c r="U1852" i="1"/>
  <c r="I1852" i="1" s="1"/>
  <c r="W1887" i="1"/>
  <c r="X1887" i="1" s="1"/>
  <c r="U1887" i="1"/>
  <c r="I1887" i="1" s="1"/>
  <c r="W1895" i="1"/>
  <c r="X1895" i="1" s="1"/>
  <c r="U1895" i="1"/>
  <c r="I1895" i="1" s="1"/>
  <c r="W1902" i="1"/>
  <c r="X1902" i="1" s="1"/>
  <c r="U1902" i="1"/>
  <c r="I1902" i="1" s="1"/>
  <c r="W1977" i="1"/>
  <c r="X1977" i="1" s="1"/>
  <c r="U1977" i="1"/>
  <c r="I1977" i="1" s="1"/>
  <c r="W1985" i="1"/>
  <c r="X1985" i="1" s="1"/>
  <c r="U1985" i="1"/>
  <c r="I1985" i="1" s="1"/>
  <c r="X1994" i="1"/>
  <c r="L1994" i="1"/>
  <c r="U2000" i="1"/>
  <c r="I2000" i="1" s="1"/>
  <c r="W2006" i="1"/>
  <c r="X2006" i="1" s="1"/>
  <c r="U2006" i="1"/>
  <c r="I2006" i="1" s="1"/>
  <c r="W2051" i="1"/>
  <c r="X2051" i="1" s="1"/>
  <c r="U2051" i="1"/>
  <c r="I2051" i="1" s="1"/>
  <c r="U1618" i="1"/>
  <c r="I1618" i="1" s="1"/>
  <c r="U1624" i="1"/>
  <c r="I1624" i="1" s="1"/>
  <c r="U1629" i="1"/>
  <c r="I1629" i="1" s="1"/>
  <c r="U1657" i="1"/>
  <c r="I1657" i="1" s="1"/>
  <c r="U1667" i="1"/>
  <c r="I1667" i="1" s="1"/>
  <c r="U1677" i="1"/>
  <c r="I1677" i="1" s="1"/>
  <c r="U1687" i="1"/>
  <c r="I1687" i="1" s="1"/>
  <c r="U1697" i="1"/>
  <c r="I1697" i="1" s="1"/>
  <c r="U1707" i="1"/>
  <c r="I1707" i="1" s="1"/>
  <c r="U1717" i="1"/>
  <c r="I1717" i="1" s="1"/>
  <c r="U1727" i="1"/>
  <c r="I1727" i="1" s="1"/>
  <c r="U1737" i="1"/>
  <c r="I1737" i="1" s="1"/>
  <c r="U1747" i="1"/>
  <c r="I1747" i="1" s="1"/>
  <c r="U1757" i="1"/>
  <c r="I1757" i="1" s="1"/>
  <c r="U1769" i="1"/>
  <c r="I1769" i="1" s="1"/>
  <c r="U1779" i="1"/>
  <c r="I1779" i="1" s="1"/>
  <c r="U1789" i="1"/>
  <c r="I1789" i="1" s="1"/>
  <c r="U1790" i="1"/>
  <c r="I1790" i="1" s="1"/>
  <c r="U1803" i="1"/>
  <c r="I1803" i="1" s="1"/>
  <c r="U1811" i="1"/>
  <c r="I1811" i="1" s="1"/>
  <c r="AB1813" i="1"/>
  <c r="AA1815" i="1"/>
  <c r="W1815" i="1"/>
  <c r="X1815" i="1" s="1"/>
  <c r="U1815" i="1"/>
  <c r="I1815" i="1" s="1"/>
  <c r="AA1837" i="1"/>
  <c r="W1837" i="1"/>
  <c r="X1837" i="1" s="1"/>
  <c r="U1837" i="1"/>
  <c r="I1837" i="1" s="1"/>
  <c r="U1850" i="1"/>
  <c r="I1850" i="1" s="1"/>
  <c r="W1856" i="1"/>
  <c r="X1856" i="1" s="1"/>
  <c r="U1856" i="1"/>
  <c r="I1856" i="1" s="1"/>
  <c r="X1894" i="1"/>
  <c r="L1894" i="1"/>
  <c r="W1906" i="1"/>
  <c r="X1906" i="1" s="1"/>
  <c r="U1906" i="1"/>
  <c r="I1906" i="1" s="1"/>
  <c r="X1984" i="1"/>
  <c r="L1984" i="1"/>
  <c r="W1992" i="1"/>
  <c r="X1992" i="1" s="1"/>
  <c r="U1992" i="1"/>
  <c r="I1992" i="1" s="1"/>
  <c r="W2022" i="1"/>
  <c r="X2022" i="1" s="1"/>
  <c r="U2022" i="1"/>
  <c r="I2022" i="1" s="1"/>
  <c r="W2044" i="1"/>
  <c r="X2044" i="1" s="1"/>
  <c r="U2044" i="1"/>
  <c r="I2044" i="1" s="1"/>
  <c r="W1613" i="1"/>
  <c r="X1613" i="1" s="1"/>
  <c r="W1618" i="1"/>
  <c r="X1618" i="1" s="1"/>
  <c r="W1624" i="1"/>
  <c r="X1624" i="1" s="1"/>
  <c r="W1629" i="1"/>
  <c r="X1629" i="1" s="1"/>
  <c r="W1657" i="1"/>
  <c r="X1657" i="1" s="1"/>
  <c r="W1667" i="1"/>
  <c r="X1667" i="1" s="1"/>
  <c r="W1677" i="1"/>
  <c r="X1677" i="1" s="1"/>
  <c r="W1687" i="1"/>
  <c r="X1687" i="1" s="1"/>
  <c r="W1697" i="1"/>
  <c r="X1697" i="1" s="1"/>
  <c r="W1707" i="1"/>
  <c r="X1707" i="1" s="1"/>
  <c r="W1717" i="1"/>
  <c r="X1717" i="1" s="1"/>
  <c r="W1727" i="1"/>
  <c r="X1727" i="1" s="1"/>
  <c r="W1737" i="1"/>
  <c r="X1737" i="1" s="1"/>
  <c r="W1747" i="1"/>
  <c r="X1747" i="1" s="1"/>
  <c r="W1757" i="1"/>
  <c r="X1757" i="1" s="1"/>
  <c r="W1769" i="1"/>
  <c r="X1769" i="1" s="1"/>
  <c r="W1779" i="1"/>
  <c r="X1779" i="1" s="1"/>
  <c r="W1789" i="1"/>
  <c r="X1789" i="1" s="1"/>
  <c r="W1790" i="1"/>
  <c r="X1790" i="1" s="1"/>
  <c r="W1803" i="1"/>
  <c r="X1803" i="1" s="1"/>
  <c r="AA1813" i="1"/>
  <c r="W1813" i="1"/>
  <c r="X1813" i="1" s="1"/>
  <c r="X1818" i="1"/>
  <c r="L1818" i="1"/>
  <c r="AB1818" i="1" s="1"/>
  <c r="AB1827" i="1"/>
  <c r="W1830" i="1"/>
  <c r="X1830" i="1" s="1"/>
  <c r="U1830" i="1"/>
  <c r="I1830" i="1" s="1"/>
  <c r="AA1830" i="1"/>
  <c r="AA1833" i="1"/>
  <c r="U1833" i="1"/>
  <c r="I1833" i="1" s="1"/>
  <c r="AB1840" i="1"/>
  <c r="AA1842" i="1"/>
  <c r="W1842" i="1"/>
  <c r="X1842" i="1" s="1"/>
  <c r="U1848" i="1"/>
  <c r="I1848" i="1" s="1"/>
  <c r="W1877" i="1"/>
  <c r="X1877" i="1" s="1"/>
  <c r="U1877" i="1"/>
  <c r="I1877" i="1" s="1"/>
  <c r="W1885" i="1"/>
  <c r="X1885" i="1" s="1"/>
  <c r="U1885" i="1"/>
  <c r="I1885" i="1" s="1"/>
  <c r="W1892" i="1"/>
  <c r="X1892" i="1" s="1"/>
  <c r="U1892" i="1"/>
  <c r="I1892" i="1" s="1"/>
  <c r="U1898" i="1"/>
  <c r="I1898" i="1" s="1"/>
  <c r="W1927" i="1"/>
  <c r="X1927" i="1" s="1"/>
  <c r="U1927" i="1"/>
  <c r="I1927" i="1" s="1"/>
  <c r="W1937" i="1"/>
  <c r="X1937" i="1" s="1"/>
  <c r="U1937" i="1"/>
  <c r="I1937" i="1" s="1"/>
  <c r="W1947" i="1"/>
  <c r="X1947" i="1" s="1"/>
  <c r="U1947" i="1"/>
  <c r="I1947" i="1" s="1"/>
  <c r="W1957" i="1"/>
  <c r="X1957" i="1" s="1"/>
  <c r="U1957" i="1"/>
  <c r="I1957" i="1" s="1"/>
  <c r="W1967" i="1"/>
  <c r="X1967" i="1" s="1"/>
  <c r="U1967" i="1"/>
  <c r="I1967" i="1" s="1"/>
  <c r="W1975" i="1"/>
  <c r="X1975" i="1" s="1"/>
  <c r="U1975" i="1"/>
  <c r="I1975" i="1" s="1"/>
  <c r="W1982" i="1"/>
  <c r="X1982" i="1" s="1"/>
  <c r="U1982" i="1"/>
  <c r="I1982" i="1" s="1"/>
  <c r="U1988" i="1"/>
  <c r="I1988" i="1" s="1"/>
  <c r="W1996" i="1"/>
  <c r="X1996" i="1" s="1"/>
  <c r="U1996" i="1"/>
  <c r="I1996" i="1" s="1"/>
  <c r="U1631" i="1"/>
  <c r="I1631" i="1" s="1"/>
  <c r="U1810" i="1"/>
  <c r="I1810" i="1" s="1"/>
  <c r="U1813" i="1"/>
  <c r="I1813" i="1" s="1"/>
  <c r="AB1825" i="1"/>
  <c r="AA1827" i="1"/>
  <c r="W1827" i="1"/>
  <c r="X1827" i="1" s="1"/>
  <c r="U1827" i="1"/>
  <c r="I1827" i="1" s="1"/>
  <c r="AA1835" i="1"/>
  <c r="W1835" i="1"/>
  <c r="X1835" i="1" s="1"/>
  <c r="U1835" i="1"/>
  <c r="I1835" i="1" s="1"/>
  <c r="X1838" i="1"/>
  <c r="L1838" i="1"/>
  <c r="AB1838" i="1" s="1"/>
  <c r="U1842" i="1"/>
  <c r="I1842" i="1" s="1"/>
  <c r="W1846" i="1"/>
  <c r="X1846" i="1" s="1"/>
  <c r="U1846" i="1"/>
  <c r="I1846" i="1" s="1"/>
  <c r="X1884" i="1"/>
  <c r="L1884" i="1"/>
  <c r="U1890" i="1"/>
  <c r="I1890" i="1" s="1"/>
  <c r="W1896" i="1"/>
  <c r="X1896" i="1" s="1"/>
  <c r="U1896" i="1"/>
  <c r="I1896" i="1" s="1"/>
  <c r="X1974" i="1"/>
  <c r="L1974" i="1"/>
  <c r="U1980" i="1"/>
  <c r="I1980" i="1" s="1"/>
  <c r="W1986" i="1"/>
  <c r="X1986" i="1" s="1"/>
  <c r="U1986" i="1"/>
  <c r="I1986" i="1" s="1"/>
  <c r="W2020" i="1"/>
  <c r="X2020" i="1" s="1"/>
  <c r="U2020" i="1"/>
  <c r="I2020" i="1" s="1"/>
  <c r="W2032" i="1"/>
  <c r="X2032" i="1" s="1"/>
  <c r="U2032" i="1"/>
  <c r="I2032" i="1" s="1"/>
  <c r="AB1798" i="1"/>
  <c r="AA1823" i="1"/>
  <c r="U1823" i="1"/>
  <c r="I1823" i="1" s="1"/>
  <c r="AB1830" i="1"/>
  <c r="AA1844" i="1"/>
  <c r="W1844" i="1"/>
  <c r="X1844" i="1" s="1"/>
  <c r="W1867" i="1"/>
  <c r="X1867" i="1" s="1"/>
  <c r="U1867" i="1"/>
  <c r="I1867" i="1" s="1"/>
  <c r="W1875" i="1"/>
  <c r="X1875" i="1" s="1"/>
  <c r="U1875" i="1"/>
  <c r="I1875" i="1" s="1"/>
  <c r="W1882" i="1"/>
  <c r="X1882" i="1" s="1"/>
  <c r="U1882" i="1"/>
  <c r="I1882" i="1" s="1"/>
  <c r="U1888" i="1"/>
  <c r="I1888" i="1" s="1"/>
  <c r="W1917" i="1"/>
  <c r="X1917" i="1" s="1"/>
  <c r="U1917" i="1"/>
  <c r="I1917" i="1" s="1"/>
  <c r="W1925" i="1"/>
  <c r="X1925" i="1" s="1"/>
  <c r="U1925" i="1"/>
  <c r="I1925" i="1" s="1"/>
  <c r="W1935" i="1"/>
  <c r="X1935" i="1" s="1"/>
  <c r="U1935" i="1"/>
  <c r="I1935" i="1" s="1"/>
  <c r="W1945" i="1"/>
  <c r="X1945" i="1" s="1"/>
  <c r="U1945" i="1"/>
  <c r="I1945" i="1" s="1"/>
  <c r="W1955" i="1"/>
  <c r="X1955" i="1" s="1"/>
  <c r="U1955" i="1"/>
  <c r="I1955" i="1" s="1"/>
  <c r="W1965" i="1"/>
  <c r="X1965" i="1" s="1"/>
  <c r="U1965" i="1"/>
  <c r="I1965" i="1" s="1"/>
  <c r="W1972" i="1"/>
  <c r="X1972" i="1" s="1"/>
  <c r="U1972" i="1"/>
  <c r="I1972" i="1" s="1"/>
  <c r="U1978" i="1"/>
  <c r="I1978" i="1" s="1"/>
  <c r="W2015" i="1"/>
  <c r="X2015" i="1" s="1"/>
  <c r="U2015" i="1"/>
  <c r="I2015" i="1" s="1"/>
  <c r="W2045" i="1"/>
  <c r="X2045" i="1" s="1"/>
  <c r="U2045" i="1"/>
  <c r="I2045" i="1" s="1"/>
  <c r="W2070" i="1"/>
  <c r="X2070" i="1" s="1"/>
  <c r="U2070" i="1"/>
  <c r="I2070" i="1" s="1"/>
  <c r="W2098" i="1"/>
  <c r="X2098" i="1" s="1"/>
  <c r="U2098" i="1"/>
  <c r="I2098" i="1" s="1"/>
  <c r="W2108" i="1"/>
  <c r="X2108" i="1" s="1"/>
  <c r="U2108" i="1"/>
  <c r="I2108" i="1" s="1"/>
  <c r="W1822" i="1"/>
  <c r="X1822" i="1" s="1"/>
  <c r="W1832" i="1"/>
  <c r="X1832" i="1" s="1"/>
  <c r="W2082" i="1"/>
  <c r="X2082" i="1" s="1"/>
  <c r="U2082" i="1"/>
  <c r="I2082" i="1" s="1"/>
  <c r="L2014" i="1"/>
  <c r="U2017" i="1"/>
  <c r="I2017" i="1" s="1"/>
  <c r="L2024" i="1"/>
  <c r="U2027" i="1"/>
  <c r="I2027" i="1" s="1"/>
  <c r="U2036" i="1"/>
  <c r="I2036" i="1" s="1"/>
  <c r="U2042" i="1"/>
  <c r="I2042" i="1" s="1"/>
  <c r="U2064" i="1"/>
  <c r="I2064" i="1" s="1"/>
  <c r="X2067" i="1"/>
  <c r="W2101" i="1"/>
  <c r="X2101" i="1" s="1"/>
  <c r="U2101" i="1"/>
  <c r="I2101" i="1" s="1"/>
  <c r="U2103" i="1"/>
  <c r="I2103" i="1" s="1"/>
  <c r="W2111" i="1"/>
  <c r="X2111" i="1" s="1"/>
  <c r="U2111" i="1"/>
  <c r="I2111" i="1" s="1"/>
  <c r="L1883" i="1"/>
  <c r="L1893" i="1"/>
  <c r="L1933" i="1"/>
  <c r="L1943" i="1"/>
  <c r="L1953" i="1"/>
  <c r="L1963" i="1"/>
  <c r="U2047" i="1"/>
  <c r="I2047" i="1" s="1"/>
  <c r="W2058" i="1"/>
  <c r="X2058" i="1" s="1"/>
  <c r="W2069" i="1"/>
  <c r="X2069" i="1" s="1"/>
  <c r="U2069" i="1"/>
  <c r="I2069" i="1" s="1"/>
  <c r="X2071" i="1"/>
  <c r="X2080" i="1"/>
  <c r="W2099" i="1"/>
  <c r="X2099" i="1" s="1"/>
  <c r="U2099" i="1"/>
  <c r="I2099" i="1" s="1"/>
  <c r="W2109" i="1"/>
  <c r="X2109" i="1" s="1"/>
  <c r="U2109" i="1"/>
  <c r="I2109" i="1" s="1"/>
  <c r="W2073" i="1"/>
  <c r="X2073" i="1" s="1"/>
  <c r="U2073" i="1"/>
  <c r="I2073" i="1" s="1"/>
  <c r="X2087" i="1"/>
  <c r="W2097" i="1"/>
  <c r="X2097" i="1" s="1"/>
  <c r="U2097" i="1"/>
  <c r="I2097" i="1" s="1"/>
  <c r="W2107" i="1"/>
  <c r="X2107" i="1" s="1"/>
  <c r="U2107" i="1"/>
  <c r="I2107" i="1" s="1"/>
  <c r="W2112" i="1"/>
  <c r="X2112" i="1" s="1"/>
  <c r="U2112" i="1"/>
  <c r="I2112" i="1" s="1"/>
  <c r="X2040" i="1"/>
  <c r="W2060" i="1"/>
  <c r="X2060" i="1" s="1"/>
  <c r="W2066" i="1"/>
  <c r="X2066" i="1" s="1"/>
  <c r="U2094" i="1"/>
  <c r="I2094" i="1" s="1"/>
  <c r="W2102" i="1"/>
  <c r="X2102" i="1" s="1"/>
  <c r="U2102" i="1"/>
  <c r="I2102" i="1" s="1"/>
  <c r="U2039" i="1"/>
  <c r="I2039" i="1" s="1"/>
  <c r="U2049" i="1"/>
  <c r="I2049" i="1" s="1"/>
  <c r="U2065" i="1"/>
  <c r="I2065" i="1" s="1"/>
  <c r="U2077" i="1"/>
  <c r="I2077" i="1" s="1"/>
  <c r="W2077" i="1"/>
  <c r="X2077" i="1" s="1"/>
  <c r="W2081" i="1"/>
  <c r="X2081" i="1" s="1"/>
  <c r="U2081" i="1"/>
  <c r="I2081" i="1" s="1"/>
  <c r="W2110" i="1"/>
  <c r="X2110" i="1" s="1"/>
  <c r="U2110" i="1"/>
  <c r="I2110" i="1" s="1"/>
  <c r="U2059" i="1"/>
  <c r="I2059" i="1" s="1"/>
  <c r="W2079" i="1"/>
  <c r="X2079" i="1" s="1"/>
  <c r="U2079" i="1"/>
  <c r="I2079" i="1" s="1"/>
  <c r="U2088" i="1"/>
  <c r="I2088" i="1" s="1"/>
  <c r="X2092" i="1"/>
  <c r="X2100" i="1"/>
  <c r="X2119" i="1"/>
  <c r="L3" i="2"/>
  <c r="L8" i="2"/>
  <c r="L13" i="2"/>
  <c r="L18" i="2"/>
  <c r="L23" i="2"/>
  <c r="L28" i="2"/>
  <c r="L33" i="2"/>
  <c r="L38" i="2"/>
  <c r="L43" i="2"/>
  <c r="L48" i="2"/>
  <c r="L53" i="2"/>
  <c r="L58" i="2"/>
  <c r="L63" i="2"/>
  <c r="L85" i="2"/>
  <c r="L88" i="2"/>
  <c r="L105" i="2"/>
  <c r="L108" i="2"/>
  <c r="L127" i="2"/>
  <c r="L130" i="2"/>
  <c r="L147" i="2"/>
  <c r="L150" i="2"/>
  <c r="L171" i="2"/>
  <c r="L187" i="2"/>
  <c r="L249" i="2"/>
  <c r="L66" i="2"/>
  <c r="L71" i="2"/>
  <c r="L91" i="2"/>
  <c r="L94" i="2"/>
  <c r="L133" i="2"/>
  <c r="L136" i="2"/>
  <c r="L153" i="2"/>
  <c r="L156" i="2"/>
  <c r="L184" i="2"/>
  <c r="L203" i="2"/>
  <c r="L213" i="2"/>
  <c r="L223" i="2"/>
  <c r="X2129" i="1"/>
  <c r="W2139" i="1"/>
  <c r="X2139" i="1" s="1"/>
  <c r="U2139" i="1"/>
  <c r="I2139" i="1" s="1"/>
  <c r="L6" i="2"/>
  <c r="L11" i="2"/>
  <c r="L16" i="2"/>
  <c r="L21" i="2"/>
  <c r="L26" i="2"/>
  <c r="L31" i="2"/>
  <c r="L36" i="2"/>
  <c r="L41" i="2"/>
  <c r="L46" i="2"/>
  <c r="L51" i="2"/>
  <c r="L56" i="2"/>
  <c r="L77" i="2"/>
  <c r="L80" i="2"/>
  <c r="L97" i="2"/>
  <c r="L100" i="2"/>
  <c r="L114" i="2"/>
  <c r="L139" i="2"/>
  <c r="L142" i="2"/>
  <c r="L159" i="2"/>
  <c r="L162" i="2"/>
  <c r="L269" i="2"/>
  <c r="U2121" i="1"/>
  <c r="I2121" i="1" s="1"/>
  <c r="U2129" i="1"/>
  <c r="I2129" i="1" s="1"/>
  <c r="U2134" i="1"/>
  <c r="I2134" i="1" s="1"/>
  <c r="U2141" i="1"/>
  <c r="I2141" i="1" s="1"/>
  <c r="K66" i="2"/>
  <c r="K74" i="2"/>
  <c r="L74" i="2" s="1"/>
  <c r="L83" i="2"/>
  <c r="L86" i="2"/>
  <c r="L103" i="2"/>
  <c r="L106" i="2"/>
  <c r="L125" i="2"/>
  <c r="L128" i="2"/>
  <c r="L145" i="2"/>
  <c r="L148" i="2"/>
  <c r="L175" i="2"/>
  <c r="L181" i="2"/>
  <c r="L191" i="2"/>
  <c r="L207" i="2"/>
  <c r="L227" i="2"/>
  <c r="L4" i="2"/>
  <c r="L9" i="2"/>
  <c r="L14" i="2"/>
  <c r="L19" i="2"/>
  <c r="L24" i="2"/>
  <c r="L29" i="2"/>
  <c r="L34" i="2"/>
  <c r="L39" i="2"/>
  <c r="L44" i="2"/>
  <c r="L49" i="2"/>
  <c r="L54" i="2"/>
  <c r="L72" i="2"/>
  <c r="L89" i="2"/>
  <c r="L109" i="2"/>
  <c r="K122" i="2"/>
  <c r="L122" i="2" s="1"/>
  <c r="L131" i="2"/>
  <c r="L134" i="2"/>
  <c r="L151" i="2"/>
  <c r="L154" i="2"/>
  <c r="L169" i="2"/>
  <c r="U2100" i="1"/>
  <c r="I2100" i="1" s="1"/>
  <c r="U2113" i="1"/>
  <c r="I2113" i="1" s="1"/>
  <c r="W2118" i="1"/>
  <c r="X2118" i="1" s="1"/>
  <c r="U2118" i="1"/>
  <c r="I2118" i="1" s="1"/>
  <c r="U2123" i="1"/>
  <c r="I2123" i="1" s="1"/>
  <c r="U2131" i="1"/>
  <c r="I2131" i="1" s="1"/>
  <c r="K64" i="2"/>
  <c r="L64" i="2" s="1"/>
  <c r="L75" i="2"/>
  <c r="L78" i="2"/>
  <c r="L95" i="2"/>
  <c r="L98" i="2"/>
  <c r="L112" i="2"/>
  <c r="L120" i="2"/>
  <c r="L137" i="2"/>
  <c r="L140" i="2"/>
  <c r="L157" i="2"/>
  <c r="L160" i="2"/>
  <c r="L163" i="2"/>
  <c r="L211" i="2"/>
  <c r="L231" i="2"/>
  <c r="L273" i="2"/>
  <c r="U2080" i="1"/>
  <c r="I2080" i="1" s="1"/>
  <c r="U2086" i="1"/>
  <c r="I2086" i="1" s="1"/>
  <c r="U2091" i="1"/>
  <c r="I2091" i="1" s="1"/>
  <c r="U2136" i="1"/>
  <c r="I2136" i="1" s="1"/>
  <c r="L12" i="2"/>
  <c r="L17" i="2"/>
  <c r="L22" i="2"/>
  <c r="L27" i="2"/>
  <c r="L32" i="2"/>
  <c r="L37" i="2"/>
  <c r="L42" i="2"/>
  <c r="L47" i="2"/>
  <c r="L52" i="2"/>
  <c r="L57" i="2"/>
  <c r="L62" i="2"/>
  <c r="L81" i="2"/>
  <c r="L84" i="2"/>
  <c r="L101" i="2"/>
  <c r="L104" i="2"/>
  <c r="L115" i="2"/>
  <c r="L123" i="2"/>
  <c r="L126" i="2"/>
  <c r="L143" i="2"/>
  <c r="L146" i="2"/>
  <c r="L173" i="2"/>
  <c r="L195" i="2"/>
  <c r="L201" i="2"/>
  <c r="L221" i="2"/>
  <c r="L241" i="2"/>
  <c r="L251" i="2"/>
  <c r="L267" i="2"/>
  <c r="W2115" i="1"/>
  <c r="X2115" i="1" s="1"/>
  <c r="W2120" i="1"/>
  <c r="X2120" i="1" s="1"/>
  <c r="W2125" i="1"/>
  <c r="X2125" i="1" s="1"/>
  <c r="W2128" i="1"/>
  <c r="X2128" i="1" s="1"/>
  <c r="U2128" i="1"/>
  <c r="I2128" i="1" s="1"/>
  <c r="U2133" i="1"/>
  <c r="I2133" i="1" s="1"/>
  <c r="W2140" i="1"/>
  <c r="X2140" i="1" s="1"/>
  <c r="U2140" i="1"/>
  <c r="I2140" i="1" s="1"/>
  <c r="L87" i="2"/>
  <c r="L90" i="2"/>
  <c r="L107" i="2"/>
  <c r="L110" i="2"/>
  <c r="L129" i="2"/>
  <c r="L132" i="2"/>
  <c r="L149" i="2"/>
  <c r="L152" i="2"/>
  <c r="L167" i="2"/>
  <c r="L189" i="2"/>
  <c r="X2142" i="1"/>
  <c r="L5" i="2"/>
  <c r="L10" i="2"/>
  <c r="L15" i="2"/>
  <c r="L20" i="2"/>
  <c r="L25" i="2"/>
  <c r="L30" i="2"/>
  <c r="L35" i="2"/>
  <c r="L40" i="2"/>
  <c r="L45" i="2"/>
  <c r="L50" i="2"/>
  <c r="L55" i="2"/>
  <c r="L60" i="2"/>
  <c r="L73" i="2"/>
  <c r="L76" i="2"/>
  <c r="L93" i="2"/>
  <c r="L96" i="2"/>
  <c r="L135" i="2"/>
  <c r="L138" i="2"/>
  <c r="L155" i="2"/>
  <c r="L158" i="2"/>
  <c r="L183" i="2"/>
  <c r="L215" i="2"/>
  <c r="L235" i="2"/>
  <c r="L255" i="2"/>
  <c r="L261" i="2"/>
  <c r="W2130" i="1"/>
  <c r="X2130" i="1" s="1"/>
  <c r="L68" i="2"/>
  <c r="K70" i="2"/>
  <c r="L70" i="2" s="1"/>
  <c r="L79" i="2"/>
  <c r="L82" i="2"/>
  <c r="L99" i="2"/>
  <c r="L102" i="2"/>
  <c r="L113" i="2"/>
  <c r="L116" i="2"/>
  <c r="K118" i="2"/>
  <c r="L118" i="2" s="1"/>
  <c r="L121" i="2"/>
  <c r="L124" i="2"/>
  <c r="L141" i="2"/>
  <c r="L144" i="2"/>
  <c r="L161" i="2"/>
  <c r="L193" i="2"/>
  <c r="L229" i="2"/>
  <c r="L271" i="2"/>
  <c r="L204" i="2"/>
  <c r="L224" i="2"/>
  <c r="L244" i="2"/>
  <c r="L264" i="2"/>
  <c r="L275" i="2"/>
  <c r="L305" i="2"/>
  <c r="L325" i="2"/>
  <c r="L361" i="2"/>
  <c r="L387" i="2"/>
  <c r="L397" i="2"/>
  <c r="L451" i="2"/>
  <c r="L553" i="2"/>
  <c r="L562" i="2"/>
  <c r="L590" i="2"/>
  <c r="L807" i="2"/>
  <c r="L182" i="2"/>
  <c r="L202" i="2"/>
  <c r="L222" i="2"/>
  <c r="L242" i="2"/>
  <c r="L262" i="2"/>
  <c r="L278" i="2"/>
  <c r="L288" i="2"/>
  <c r="L298" i="2"/>
  <c r="L308" i="2"/>
  <c r="L313" i="2"/>
  <c r="L318" i="2"/>
  <c r="L328" i="2"/>
  <c r="L333" i="2"/>
  <c r="L338" i="2"/>
  <c r="L343" i="2"/>
  <c r="L348" i="2"/>
  <c r="L353" i="2"/>
  <c r="L364" i="2"/>
  <c r="L369" i="2"/>
  <c r="L372" i="2"/>
  <c r="L384" i="2"/>
  <c r="L394" i="2"/>
  <c r="L433" i="2"/>
  <c r="L442" i="2"/>
  <c r="L460" i="2"/>
  <c r="L469" i="2"/>
  <c r="L502" i="2"/>
  <c r="L511" i="2"/>
  <c r="L522" i="2"/>
  <c r="L533" i="2"/>
  <c r="L541" i="2"/>
  <c r="L559" i="2"/>
  <c r="L593" i="2"/>
  <c r="L180" i="2"/>
  <c r="L200" i="2"/>
  <c r="L220" i="2"/>
  <c r="L240" i="2"/>
  <c r="L260" i="2"/>
  <c r="L303" i="2"/>
  <c r="L323" i="2"/>
  <c r="L356" i="2"/>
  <c r="L381" i="2"/>
  <c r="L391" i="2"/>
  <c r="L401" i="2"/>
  <c r="L422" i="2"/>
  <c r="L439" i="2"/>
  <c r="L463" i="2"/>
  <c r="L483" i="2"/>
  <c r="L491" i="2"/>
  <c r="L499" i="2"/>
  <c r="L519" i="2"/>
  <c r="L747" i="2"/>
  <c r="L198" i="2"/>
  <c r="L218" i="2"/>
  <c r="L238" i="2"/>
  <c r="L258" i="2"/>
  <c r="L276" i="2"/>
  <c r="L286" i="2"/>
  <c r="L296" i="2"/>
  <c r="L306" i="2"/>
  <c r="L311" i="2"/>
  <c r="L316" i="2"/>
  <c r="L326" i="2"/>
  <c r="L331" i="2"/>
  <c r="L336" i="2"/>
  <c r="L341" i="2"/>
  <c r="L346" i="2"/>
  <c r="L351" i="2"/>
  <c r="L359" i="2"/>
  <c r="L375" i="2"/>
  <c r="L388" i="2"/>
  <c r="L398" i="2"/>
  <c r="L551" i="2"/>
  <c r="L569" i="2"/>
  <c r="L176" i="2"/>
  <c r="L196" i="2"/>
  <c r="L216" i="2"/>
  <c r="L236" i="2"/>
  <c r="L256" i="2"/>
  <c r="L301" i="2"/>
  <c r="L321" i="2"/>
  <c r="L385" i="2"/>
  <c r="L395" i="2"/>
  <c r="L431" i="2"/>
  <c r="L449" i="2"/>
  <c r="L509" i="2"/>
  <c r="L531" i="2"/>
  <c r="L542" i="2"/>
  <c r="L560" i="2"/>
  <c r="L563" i="2"/>
  <c r="L579" i="2"/>
  <c r="U2138" i="1"/>
  <c r="I2138" i="1" s="1"/>
  <c r="L174" i="2"/>
  <c r="K178" i="2"/>
  <c r="L178" i="2" s="1"/>
  <c r="L194" i="2"/>
  <c r="L214" i="2"/>
  <c r="L234" i="2"/>
  <c r="L254" i="2"/>
  <c r="L274" i="2"/>
  <c r="L284" i="2"/>
  <c r="L294" i="2"/>
  <c r="L304" i="2"/>
  <c r="L309" i="2"/>
  <c r="L314" i="2"/>
  <c r="L324" i="2"/>
  <c r="L329" i="2"/>
  <c r="L334" i="2"/>
  <c r="L339" i="2"/>
  <c r="L349" i="2"/>
  <c r="L354" i="2"/>
  <c r="L382" i="2"/>
  <c r="L392" i="2"/>
  <c r="L440" i="2"/>
  <c r="L443" i="2"/>
  <c r="L473" i="2"/>
  <c r="L500" i="2"/>
  <c r="L503" i="2"/>
  <c r="L520" i="2"/>
  <c r="L523" i="2"/>
  <c r="L192" i="2"/>
  <c r="L212" i="2"/>
  <c r="L232" i="2"/>
  <c r="L252" i="2"/>
  <c r="L272" i="2"/>
  <c r="L299" i="2"/>
  <c r="L319" i="2"/>
  <c r="L357" i="2"/>
  <c r="L360" i="2"/>
  <c r="L376" i="2"/>
  <c r="L389" i="2"/>
  <c r="L399" i="2"/>
  <c r="L573" i="2"/>
  <c r="L584" i="2"/>
  <c r="L711" i="2"/>
  <c r="L170" i="2"/>
  <c r="L190" i="2"/>
  <c r="L210" i="2"/>
  <c r="L230" i="2"/>
  <c r="L250" i="2"/>
  <c r="L282" i="2"/>
  <c r="L292" i="2"/>
  <c r="L302" i="2"/>
  <c r="L307" i="2"/>
  <c r="L317" i="2"/>
  <c r="L322" i="2"/>
  <c r="L332" i="2"/>
  <c r="L337" i="2"/>
  <c r="L342" i="2"/>
  <c r="L347" i="2"/>
  <c r="L352" i="2"/>
  <c r="L386" i="2"/>
  <c r="L396" i="2"/>
  <c r="L453" i="2"/>
  <c r="L471" i="2"/>
  <c r="L549" i="2"/>
  <c r="L561" i="2"/>
  <c r="L587" i="2"/>
  <c r="L592" i="2"/>
  <c r="L168" i="2"/>
  <c r="L188" i="2"/>
  <c r="L208" i="2"/>
  <c r="L228" i="2"/>
  <c r="L248" i="2"/>
  <c r="L268" i="2"/>
  <c r="L277" i="2"/>
  <c r="L327" i="2"/>
  <c r="L371" i="2"/>
  <c r="L383" i="2"/>
  <c r="L393" i="2"/>
  <c r="L429" i="2"/>
  <c r="L441" i="2"/>
  <c r="L459" i="2"/>
  <c r="L462" i="2"/>
  <c r="L479" i="2"/>
  <c r="L482" i="2"/>
  <c r="L501" i="2"/>
  <c r="L521" i="2"/>
  <c r="L529" i="2"/>
  <c r="L580" i="2"/>
  <c r="L166" i="2"/>
  <c r="L186" i="2"/>
  <c r="L206" i="2"/>
  <c r="L226" i="2"/>
  <c r="L246" i="2"/>
  <c r="L266" i="2"/>
  <c r="L280" i="2"/>
  <c r="L290" i="2"/>
  <c r="L300" i="2"/>
  <c r="L310" i="2"/>
  <c r="L315" i="2"/>
  <c r="L320" i="2"/>
  <c r="L330" i="2"/>
  <c r="L340" i="2"/>
  <c r="L345" i="2"/>
  <c r="L350" i="2"/>
  <c r="L355" i="2"/>
  <c r="L358" i="2"/>
  <c r="L366" i="2"/>
  <c r="L374" i="2"/>
  <c r="L377" i="2"/>
  <c r="L390" i="2"/>
  <c r="L400" i="2"/>
  <c r="L403" i="2"/>
  <c r="L413" i="2"/>
  <c r="L421" i="2"/>
  <c r="L493" i="2"/>
  <c r="L513" i="2"/>
  <c r="L571" i="2"/>
  <c r="L585" i="2"/>
  <c r="L591" i="2"/>
  <c r="L611" i="2"/>
  <c r="J640" i="2"/>
  <c r="L640" i="2" s="1"/>
  <c r="J666" i="2"/>
  <c r="L666" i="2" s="1"/>
  <c r="L668" i="2"/>
  <c r="J720" i="2"/>
  <c r="L720" i="2" s="1"/>
  <c r="L775" i="2"/>
  <c r="L586" i="2"/>
  <c r="L835" i="2"/>
  <c r="J841" i="2"/>
  <c r="L841" i="2" s="1"/>
  <c r="L861" i="2"/>
  <c r="J885" i="2"/>
  <c r="L885" i="2" s="1"/>
  <c r="L438" i="2"/>
  <c r="L458" i="2"/>
  <c r="L478" i="2"/>
  <c r="L518" i="2"/>
  <c r="L558" i="2"/>
  <c r="L581" i="2"/>
  <c r="J638" i="2"/>
  <c r="L638" i="2"/>
  <c r="J643" i="2"/>
  <c r="L643" i="2"/>
  <c r="L709" i="2"/>
  <c r="J718" i="2"/>
  <c r="L718" i="2" s="1"/>
  <c r="L809" i="2"/>
  <c r="L416" i="2"/>
  <c r="L436" i="2"/>
  <c r="L456" i="2"/>
  <c r="L476" i="2"/>
  <c r="L496" i="2"/>
  <c r="L516" i="2"/>
  <c r="L536" i="2"/>
  <c r="L556" i="2"/>
  <c r="L576" i="2"/>
  <c r="L616" i="2"/>
  <c r="L618" i="2"/>
  <c r="L620" i="2"/>
  <c r="L622" i="2"/>
  <c r="L624" i="2"/>
  <c r="L626" i="2"/>
  <c r="L628" i="2"/>
  <c r="L630" i="2"/>
  <c r="L632" i="2"/>
  <c r="L634" i="2"/>
  <c r="L636" i="2"/>
  <c r="L659" i="2"/>
  <c r="J659" i="2"/>
  <c r="L803" i="2"/>
  <c r="L903" i="2"/>
  <c r="L414" i="2"/>
  <c r="L434" i="2"/>
  <c r="L454" i="2"/>
  <c r="L474" i="2"/>
  <c r="L494" i="2"/>
  <c r="L514" i="2"/>
  <c r="L534" i="2"/>
  <c r="L554" i="2"/>
  <c r="L574" i="2"/>
  <c r="L604" i="2"/>
  <c r="L606" i="2"/>
  <c r="J614" i="2"/>
  <c r="L614" i="2" s="1"/>
  <c r="J641" i="2"/>
  <c r="L641" i="2" s="1"/>
  <c r="L671" i="2"/>
  <c r="L673" i="2"/>
  <c r="J825" i="2"/>
  <c r="L825" i="2" s="1"/>
  <c r="L833" i="2"/>
  <c r="J865" i="2"/>
  <c r="L865" i="2" s="1"/>
  <c r="L412" i="2"/>
  <c r="L432" i="2"/>
  <c r="L452" i="2"/>
  <c r="L472" i="2"/>
  <c r="L492" i="2"/>
  <c r="L512" i="2"/>
  <c r="L532" i="2"/>
  <c r="L552" i="2"/>
  <c r="L572" i="2"/>
  <c r="L610" i="2"/>
  <c r="J612" i="2"/>
  <c r="L612" i="2" s="1"/>
  <c r="L648" i="2"/>
  <c r="L650" i="2"/>
  <c r="L697" i="2"/>
  <c r="L699" i="2"/>
  <c r="L701" i="2"/>
  <c r="L763" i="2"/>
  <c r="L854" i="2"/>
  <c r="L430" i="2"/>
  <c r="L470" i="2"/>
  <c r="L530" i="2"/>
  <c r="L550" i="2"/>
  <c r="L570" i="2"/>
  <c r="L644" i="2"/>
  <c r="L667" i="2"/>
  <c r="J745" i="2"/>
  <c r="L745" i="2" s="1"/>
  <c r="L901" i="2"/>
  <c r="L408" i="2"/>
  <c r="L428" i="2"/>
  <c r="L448" i="2"/>
  <c r="L468" i="2"/>
  <c r="L488" i="2"/>
  <c r="L508" i="2"/>
  <c r="L548" i="2"/>
  <c r="L568" i="2"/>
  <c r="L769" i="2"/>
  <c r="L837" i="2"/>
  <c r="L898" i="2"/>
  <c r="L406" i="2"/>
  <c r="L426" i="2"/>
  <c r="L446" i="2"/>
  <c r="K450" i="2"/>
  <c r="L450" i="2" s="1"/>
  <c r="L466" i="2"/>
  <c r="L486" i="2"/>
  <c r="L506" i="2"/>
  <c r="L526" i="2"/>
  <c r="L546" i="2"/>
  <c r="L566" i="2"/>
  <c r="L615" i="2"/>
  <c r="L617" i="2"/>
  <c r="L619" i="2"/>
  <c r="L621" i="2"/>
  <c r="L623" i="2"/>
  <c r="L625" i="2"/>
  <c r="L627" i="2"/>
  <c r="L629" i="2"/>
  <c r="L631" i="2"/>
  <c r="L633" i="2"/>
  <c r="L635" i="2"/>
  <c r="J637" i="2"/>
  <c r="L637" i="2" s="1"/>
  <c r="L642" i="2"/>
  <c r="J642" i="2"/>
  <c r="L658" i="2"/>
  <c r="L678" i="2"/>
  <c r="L680" i="2"/>
  <c r="L706" i="2"/>
  <c r="L708" i="2"/>
  <c r="J727" i="2"/>
  <c r="L727" i="2"/>
  <c r="J761" i="2"/>
  <c r="L761" i="2" s="1"/>
  <c r="L785" i="2"/>
  <c r="J805" i="2"/>
  <c r="L805" i="2" s="1"/>
  <c r="L818" i="2"/>
  <c r="L823" i="2"/>
  <c r="L834" i="2"/>
  <c r="L855" i="2"/>
  <c r="L404" i="2"/>
  <c r="L424" i="2"/>
  <c r="L444" i="2"/>
  <c r="L464" i="2"/>
  <c r="L484" i="2"/>
  <c r="L504" i="2"/>
  <c r="L524" i="2"/>
  <c r="K528" i="2"/>
  <c r="L528" i="2" s="1"/>
  <c r="L544" i="2"/>
  <c r="L564" i="2"/>
  <c r="L596" i="2"/>
  <c r="L605" i="2"/>
  <c r="L613" i="2"/>
  <c r="L749" i="2"/>
  <c r="L813" i="2"/>
  <c r="L829" i="2"/>
  <c r="L863" i="2"/>
  <c r="L716" i="2"/>
  <c r="L725" i="2"/>
  <c r="L736" i="2"/>
  <c r="L756" i="2"/>
  <c r="L776" i="2"/>
  <c r="L796" i="2"/>
  <c r="L816" i="2"/>
  <c r="L836" i="2"/>
  <c r="L856" i="2"/>
  <c r="L869" i="2"/>
  <c r="L876" i="2"/>
  <c r="L889" i="2"/>
  <c r="L896" i="2"/>
  <c r="L914" i="2"/>
  <c r="L919" i="2"/>
  <c r="L924" i="2"/>
  <c r="L929" i="2"/>
  <c r="L934" i="2"/>
  <c r="L939" i="2"/>
  <c r="L944" i="2"/>
  <c r="L949" i="2"/>
  <c r="L954" i="2"/>
  <c r="L959" i="2"/>
  <c r="L964" i="2"/>
  <c r="L969" i="2"/>
  <c r="L974" i="2"/>
  <c r="L979" i="2"/>
  <c r="L984" i="2"/>
  <c r="L989" i="2"/>
  <c r="L994" i="2"/>
  <c r="L999" i="2"/>
  <c r="L1004" i="2"/>
  <c r="L1009" i="2"/>
  <c r="L1014" i="2"/>
  <c r="L1019" i="2"/>
  <c r="L1024" i="2"/>
  <c r="L1029" i="2"/>
  <c r="L1039" i="2"/>
  <c r="L1044" i="2"/>
  <c r="L1047" i="2"/>
  <c r="L1057" i="2"/>
  <c r="L1067" i="2"/>
  <c r="L647" i="2"/>
  <c r="L670" i="2"/>
  <c r="L715" i="2"/>
  <c r="L752" i="2"/>
  <c r="L772" i="2"/>
  <c r="L792" i="2"/>
  <c r="L812" i="2"/>
  <c r="L832" i="2"/>
  <c r="L852" i="2"/>
  <c r="L872" i="2"/>
  <c r="L892" i="2"/>
  <c r="L912" i="2"/>
  <c r="L917" i="2"/>
  <c r="L922" i="2"/>
  <c r="L927" i="2"/>
  <c r="L932" i="2"/>
  <c r="L937" i="2"/>
  <c r="L942" i="2"/>
  <c r="L947" i="2"/>
  <c r="L952" i="2"/>
  <c r="L957" i="2"/>
  <c r="L962" i="2"/>
  <c r="L967" i="2"/>
  <c r="L972" i="2"/>
  <c r="L977" i="2"/>
  <c r="L982" i="2"/>
  <c r="L987" i="2"/>
  <c r="L992" i="2"/>
  <c r="L997" i="2"/>
  <c r="L1002" i="2"/>
  <c r="L1007" i="2"/>
  <c r="L1012" i="2"/>
  <c r="L1017" i="2"/>
  <c r="L1022" i="2"/>
  <c r="L1027" i="2"/>
  <c r="L1032" i="2"/>
  <c r="L1037" i="2"/>
  <c r="L710" i="2"/>
  <c r="L770" i="2"/>
  <c r="L830" i="2"/>
  <c r="L890" i="2"/>
  <c r="J639" i="2"/>
  <c r="L639" i="2" s="1"/>
  <c r="J644" i="2"/>
  <c r="L665" i="2"/>
  <c r="L705" i="2"/>
  <c r="L748" i="2"/>
  <c r="L768" i="2"/>
  <c r="L788" i="2"/>
  <c r="J797" i="2"/>
  <c r="L797" i="2" s="1"/>
  <c r="L808" i="2"/>
  <c r="J817" i="2"/>
  <c r="L817" i="2" s="1"/>
  <c r="L828" i="2"/>
  <c r="J837" i="2"/>
  <c r="L848" i="2"/>
  <c r="L868" i="2"/>
  <c r="L888" i="2"/>
  <c r="J897" i="2"/>
  <c r="L897" i="2" s="1"/>
  <c r="L908" i="2"/>
  <c r="L915" i="2"/>
  <c r="L920" i="2"/>
  <c r="L925" i="2"/>
  <c r="L930" i="2"/>
  <c r="L935" i="2"/>
  <c r="L940" i="2"/>
  <c r="L945" i="2"/>
  <c r="L950" i="2"/>
  <c r="L955" i="2"/>
  <c r="L960" i="2"/>
  <c r="L965" i="2"/>
  <c r="L970" i="2"/>
  <c r="L975" i="2"/>
  <c r="L980" i="2"/>
  <c r="L985" i="2"/>
  <c r="L990" i="2"/>
  <c r="L995" i="2"/>
  <c r="L1000" i="2"/>
  <c r="L1005" i="2"/>
  <c r="L1010" i="2"/>
  <c r="L1015" i="2"/>
  <c r="L1020" i="2"/>
  <c r="L1025" i="2"/>
  <c r="L1030" i="2"/>
  <c r="L700" i="2"/>
  <c r="L766" i="2"/>
  <c r="L866" i="2"/>
  <c r="L655" i="2"/>
  <c r="L695" i="2"/>
  <c r="J719" i="2"/>
  <c r="L719" i="2" s="1"/>
  <c r="L744" i="2"/>
  <c r="L764" i="2"/>
  <c r="L784" i="2"/>
  <c r="L804" i="2"/>
  <c r="L824" i="2"/>
  <c r="J833" i="2"/>
  <c r="L844" i="2"/>
  <c r="L864" i="2"/>
  <c r="J873" i="2"/>
  <c r="L873" i="2" s="1"/>
  <c r="L884" i="2"/>
  <c r="J893" i="2"/>
  <c r="L893" i="2" s="1"/>
  <c r="L904" i="2"/>
  <c r="L913" i="2"/>
  <c r="L918" i="2"/>
  <c r="L923" i="2"/>
  <c r="L928" i="2"/>
  <c r="L933" i="2"/>
  <c r="L938" i="2"/>
  <c r="L943" i="2"/>
  <c r="L948" i="2"/>
  <c r="L953" i="2"/>
  <c r="L958" i="2"/>
  <c r="L963" i="2"/>
  <c r="L968" i="2"/>
  <c r="L973" i="2"/>
  <c r="L978" i="2"/>
  <c r="L983" i="2"/>
  <c r="L988" i="2"/>
  <c r="L993" i="2"/>
  <c r="L998" i="2"/>
  <c r="L1003" i="2"/>
  <c r="L1008" i="2"/>
  <c r="L1013" i="2"/>
  <c r="L1018" i="2"/>
  <c r="L1023" i="2"/>
  <c r="L1028" i="2"/>
  <c r="L1033" i="2"/>
  <c r="L1043" i="2"/>
  <c r="L690" i="2"/>
  <c r="L782" i="2"/>
  <c r="L802" i="2"/>
  <c r="L882" i="2"/>
  <c r="L902" i="2"/>
  <c r="L1046" i="2"/>
  <c r="L685" i="2"/>
  <c r="L730" i="2"/>
  <c r="L740" i="2"/>
  <c r="L760" i="2"/>
  <c r="L780" i="2"/>
  <c r="L800" i="2"/>
  <c r="L820" i="2"/>
  <c r="L840" i="2"/>
  <c r="L860" i="2"/>
  <c r="L880" i="2"/>
  <c r="L900" i="2"/>
  <c r="L916" i="2"/>
  <c r="L921" i="2"/>
  <c r="L926" i="2"/>
  <c r="L931" i="2"/>
  <c r="L936" i="2"/>
  <c r="L941" i="2"/>
  <c r="L946" i="2"/>
  <c r="L951" i="2"/>
  <c r="L956" i="2"/>
  <c r="L961" i="2"/>
  <c r="L966" i="2"/>
  <c r="L971" i="2"/>
  <c r="L976" i="2"/>
  <c r="L981" i="2"/>
  <c r="L986" i="2"/>
  <c r="L991" i="2"/>
  <c r="L996" i="2"/>
  <c r="L1001" i="2"/>
  <c r="L1006" i="2"/>
  <c r="L1011" i="2"/>
  <c r="L1016" i="2"/>
  <c r="L1021" i="2"/>
  <c r="L1026" i="2"/>
  <c r="L1031" i="2"/>
  <c r="L1041" i="2"/>
  <c r="L1049" i="2"/>
  <c r="L1059" i="2"/>
  <c r="L1440" i="2"/>
  <c r="L1428" i="2"/>
  <c r="L1808" i="2"/>
  <c r="L1746" i="2"/>
  <c r="L1771" i="2"/>
  <c r="L1735" i="2"/>
  <c r="L1736" i="2"/>
  <c r="L1756" i="2"/>
  <c r="L1731" i="2"/>
  <c r="L1781" i="2"/>
  <c r="L1800" i="2"/>
  <c r="L1813" i="2"/>
  <c r="L1833" i="2"/>
  <c r="L1853" i="2"/>
  <c r="L1856" i="2"/>
  <c r="L1867" i="2"/>
  <c r="L1889" i="2"/>
  <c r="L1898" i="2"/>
  <c r="L1859" i="2"/>
  <c r="L1892" i="2"/>
  <c r="L1909" i="2"/>
  <c r="L1921" i="2"/>
  <c r="L1828" i="2"/>
  <c r="J1876" i="2"/>
  <c r="L1876" i="2" s="1"/>
  <c r="J1909" i="2"/>
  <c r="J1921" i="2"/>
  <c r="L1734" i="2"/>
  <c r="L1744" i="2"/>
  <c r="L1754" i="2"/>
  <c r="L1764" i="2"/>
  <c r="L1793" i="2"/>
  <c r="L1831" i="2"/>
  <c r="L1845" i="2"/>
  <c r="L1851" i="2"/>
  <c r="L1854" i="2"/>
  <c r="L1865" i="2"/>
  <c r="J1887" i="2"/>
  <c r="L1887" i="2" s="1"/>
  <c r="L1788" i="2"/>
  <c r="L1796" i="2"/>
  <c r="L1806" i="2"/>
  <c r="L1890" i="2"/>
  <c r="L1896" i="2"/>
  <c r="J1896" i="2"/>
  <c r="J1907" i="2"/>
  <c r="L1907" i="2" s="1"/>
  <c r="L1732" i="2"/>
  <c r="L1742" i="2"/>
  <c r="L1752" i="2"/>
  <c r="L1762" i="2"/>
  <c r="L1772" i="2"/>
  <c r="L1801" i="2"/>
  <c r="L1823" i="2"/>
  <c r="L1837" i="2"/>
  <c r="J1916" i="2"/>
  <c r="L1916" i="2" s="1"/>
  <c r="L1780" i="2"/>
  <c r="L1791" i="2"/>
  <c r="L1794" i="2"/>
  <c r="L1809" i="2"/>
  <c r="L1829" i="2"/>
  <c r="L1843" i="2"/>
  <c r="L1846" i="2"/>
  <c r="L1849" i="2"/>
  <c r="L1852" i="2"/>
  <c r="L1863" i="2"/>
  <c r="L1730" i="2"/>
  <c r="L1740" i="2"/>
  <c r="L1750" i="2"/>
  <c r="L1760" i="2"/>
  <c r="L1770" i="2"/>
  <c r="L1783" i="2"/>
  <c r="L1818" i="2"/>
  <c r="L1858" i="2"/>
  <c r="L1802" i="2"/>
  <c r="L1880" i="2"/>
  <c r="L1894" i="2"/>
  <c r="L1738" i="2"/>
  <c r="L1748" i="2"/>
  <c r="L1758" i="2"/>
  <c r="L1768" i="2"/>
  <c r="L1778" i="2"/>
  <c r="L1797" i="2"/>
  <c r="L1807" i="2"/>
  <c r="L1827" i="2"/>
  <c r="L1830" i="2"/>
  <c r="L1841" i="2"/>
  <c r="L1847" i="2"/>
  <c r="L1850" i="2"/>
  <c r="L1878" i="2"/>
  <c r="L1900" i="2"/>
  <c r="J1926" i="2"/>
  <c r="L1926" i="2"/>
  <c r="J1957" i="2"/>
  <c r="L1957" i="2" s="1"/>
  <c r="J1975" i="2"/>
  <c r="L1975" i="2" s="1"/>
  <c r="L1995" i="2"/>
  <c r="J1995" i="2"/>
  <c r="J2035" i="2"/>
  <c r="L2035" i="2" s="1"/>
  <c r="L2046" i="2"/>
  <c r="J2046" i="2"/>
  <c r="J1931" i="2"/>
  <c r="L1931" i="2" s="1"/>
  <c r="J1941" i="2"/>
  <c r="L1941" i="2" s="1"/>
  <c r="J1981" i="2"/>
  <c r="L1981" i="2" s="1"/>
  <c r="L2055" i="2"/>
  <c r="J2055" i="2"/>
  <c r="L1905" i="2"/>
  <c r="L1919" i="2"/>
  <c r="L1929" i="2"/>
  <c r="L1936" i="2"/>
  <c r="L1939" i="2"/>
  <c r="L1946" i="2"/>
  <c r="L1949" i="2"/>
  <c r="J1949" i="2"/>
  <c r="J1963" i="2"/>
  <c r="L1963" i="2" s="1"/>
  <c r="J1973" i="2"/>
  <c r="L1973" i="2" s="1"/>
  <c r="J1987" i="2"/>
  <c r="L1987" i="2" s="1"/>
  <c r="J1874" i="2"/>
  <c r="L1874" i="2" s="1"/>
  <c r="L1883" i="2"/>
  <c r="J1885" i="2"/>
  <c r="L1885" i="2" s="1"/>
  <c r="J1894" i="2"/>
  <c r="J1919" i="2"/>
  <c r="J1929" i="2"/>
  <c r="J1939" i="2"/>
  <c r="J1955" i="2"/>
  <c r="L1955" i="2" s="1"/>
  <c r="J1993" i="2"/>
  <c r="L1993" i="2" s="1"/>
  <c r="L2010" i="2"/>
  <c r="J2010" i="2"/>
  <c r="J1892" i="2"/>
  <c r="J1903" i="2"/>
  <c r="L1903" i="2" s="1"/>
  <c r="J1912" i="2"/>
  <c r="L1912" i="2" s="1"/>
  <c r="J1979" i="2"/>
  <c r="L1979" i="2" s="1"/>
  <c r="J1999" i="2"/>
  <c r="L1999" i="2" s="1"/>
  <c r="J2019" i="2"/>
  <c r="L2019" i="2" s="1"/>
  <c r="J2030" i="2"/>
  <c r="L2030" i="2" s="1"/>
  <c r="L2033" i="2"/>
  <c r="L2066" i="2"/>
  <c r="J2066" i="2"/>
  <c r="J1772" i="2"/>
  <c r="J1774" i="2"/>
  <c r="L1774" i="2" s="1"/>
  <c r="J1776" i="2"/>
  <c r="L1776" i="2" s="1"/>
  <c r="J1778" i="2"/>
  <c r="J1780" i="2"/>
  <c r="J1782" i="2"/>
  <c r="L1782" i="2" s="1"/>
  <c r="J1784" i="2"/>
  <c r="L1784" i="2" s="1"/>
  <c r="J1786" i="2"/>
  <c r="L1786" i="2" s="1"/>
  <c r="J1788" i="2"/>
  <c r="J1792" i="2"/>
  <c r="L1792" i="2" s="1"/>
  <c r="J1808" i="2"/>
  <c r="J1810" i="2"/>
  <c r="L1810" i="2" s="1"/>
  <c r="J1812" i="2"/>
  <c r="L1812" i="2" s="1"/>
  <c r="J1814" i="2"/>
  <c r="L1814" i="2" s="1"/>
  <c r="J1816" i="2"/>
  <c r="L1816" i="2" s="1"/>
  <c r="J1818" i="2"/>
  <c r="J1820" i="2"/>
  <c r="L1820" i="2" s="1"/>
  <c r="J1822" i="2"/>
  <c r="L1822" i="2" s="1"/>
  <c r="J1824" i="2"/>
  <c r="L1824" i="2" s="1"/>
  <c r="J1826" i="2"/>
  <c r="L1826" i="2" s="1"/>
  <c r="J1828" i="2"/>
  <c r="J1830" i="2"/>
  <c r="J1832" i="2"/>
  <c r="L1832" i="2" s="1"/>
  <c r="J1836" i="2"/>
  <c r="L1836" i="2" s="1"/>
  <c r="J1838" i="2"/>
  <c r="L1838" i="2" s="1"/>
  <c r="J1840" i="2"/>
  <c r="L1840" i="2" s="1"/>
  <c r="J1842" i="2"/>
  <c r="L1842" i="2" s="1"/>
  <c r="J1844" i="2"/>
  <c r="L1844" i="2" s="1"/>
  <c r="J1846" i="2"/>
  <c r="J1848" i="2"/>
  <c r="L1848" i="2" s="1"/>
  <c r="J1850" i="2"/>
  <c r="J1852" i="2"/>
  <c r="J1854" i="2"/>
  <c r="J1856" i="2"/>
  <c r="J1858" i="2"/>
  <c r="J1860" i="2"/>
  <c r="L1860" i="2" s="1"/>
  <c r="J1864" i="2"/>
  <c r="L1864" i="2" s="1"/>
  <c r="J1866" i="2"/>
  <c r="L1866" i="2" s="1"/>
  <c r="J1868" i="2"/>
  <c r="L1868" i="2" s="1"/>
  <c r="L1879" i="2"/>
  <c r="J1881" i="2"/>
  <c r="L1881" i="2" s="1"/>
  <c r="J1890" i="2"/>
  <c r="L1899" i="2"/>
  <c r="J1901" i="2"/>
  <c r="L1901" i="2" s="1"/>
  <c r="J1910" i="2"/>
  <c r="L1910" i="2" s="1"/>
  <c r="J1917" i="2"/>
  <c r="L1917" i="2" s="1"/>
  <c r="J1927" i="2"/>
  <c r="L1927" i="2" s="1"/>
  <c r="J1937" i="2"/>
  <c r="L1937" i="2" s="1"/>
  <c r="J1947" i="2"/>
  <c r="L1947" i="2" s="1"/>
  <c r="J1961" i="2"/>
  <c r="L1961" i="2" s="1"/>
  <c r="J1971" i="2"/>
  <c r="L1971" i="2" s="1"/>
  <c r="J1985" i="2"/>
  <c r="L1985" i="2" s="1"/>
  <c r="J2050" i="2"/>
  <c r="L2050" i="2" s="1"/>
  <c r="L2053" i="2"/>
  <c r="L2059" i="2"/>
  <c r="J2059" i="2"/>
  <c r="L1877" i="2"/>
  <c r="L1915" i="2"/>
  <c r="L1922" i="2"/>
  <c r="L1925" i="2"/>
  <c r="L1932" i="2"/>
  <c r="L1935" i="2"/>
  <c r="L1942" i="2"/>
  <c r="J1953" i="2"/>
  <c r="L1953" i="2" s="1"/>
  <c r="J1991" i="2"/>
  <c r="L1991" i="2" s="1"/>
  <c r="J1886" i="2"/>
  <c r="L1886" i="2" s="1"/>
  <c r="L1895" i="2"/>
  <c r="J1897" i="2"/>
  <c r="L1897" i="2" s="1"/>
  <c r="J1906" i="2"/>
  <c r="L1906" i="2" s="1"/>
  <c r="J1915" i="2"/>
  <c r="J1925" i="2"/>
  <c r="J1935" i="2"/>
  <c r="J1945" i="2"/>
  <c r="L1945" i="2" s="1"/>
  <c r="L1950" i="2"/>
  <c r="J1977" i="2"/>
  <c r="L1977" i="2" s="1"/>
  <c r="L1873" i="2"/>
  <c r="J1875" i="2"/>
  <c r="L1875" i="2" s="1"/>
  <c r="L1893" i="2"/>
  <c r="J1895" i="2"/>
  <c r="L1913" i="2"/>
  <c r="L1920" i="2"/>
  <c r="L1923" i="2"/>
  <c r="L1930" i="2"/>
  <c r="L1933" i="2"/>
  <c r="L1940" i="2"/>
  <c r="L1943" i="2"/>
  <c r="J1969" i="2"/>
  <c r="L1969" i="2" s="1"/>
  <c r="L1983" i="2"/>
  <c r="J1983" i="2"/>
  <c r="J2006" i="2"/>
  <c r="L2006" i="2" s="1"/>
  <c r="L1871" i="2"/>
  <c r="L1891" i="2"/>
  <c r="L1911" i="2"/>
  <c r="J1951" i="2"/>
  <c r="L1951" i="2" s="1"/>
  <c r="L1967" i="2"/>
  <c r="L1989" i="2"/>
  <c r="J1989" i="2"/>
  <c r="L2023" i="2"/>
  <c r="J2026" i="2"/>
  <c r="L2026" i="2" s="1"/>
  <c r="J2070" i="2"/>
  <c r="L2070" i="2" s="1"/>
  <c r="J2084" i="2"/>
  <c r="L2084" i="2" s="1"/>
  <c r="L2098" i="2"/>
  <c r="J2098" i="2"/>
  <c r="L2008" i="2"/>
  <c r="L2028" i="2"/>
  <c r="L2048" i="2"/>
  <c r="L2068" i="2"/>
  <c r="L2073" i="2"/>
  <c r="J2109" i="2"/>
  <c r="L2109" i="2" s="1"/>
  <c r="L2120" i="2"/>
  <c r="J2127" i="2"/>
  <c r="L2127" i="2" s="1"/>
  <c r="L2132" i="2"/>
  <c r="J2156" i="2"/>
  <c r="L2156" i="2" s="1"/>
  <c r="J2190" i="2"/>
  <c r="L2190" i="2" s="1"/>
  <c r="L2201" i="2"/>
  <c r="J2076" i="2"/>
  <c r="L2076" i="2" s="1"/>
  <c r="L2090" i="2"/>
  <c r="J2090" i="2"/>
  <c r="L2138" i="2"/>
  <c r="J2177" i="2"/>
  <c r="L2177" i="2" s="1"/>
  <c r="L2209" i="2"/>
  <c r="J2217" i="2"/>
  <c r="L2217" i="2" s="1"/>
  <c r="L2044" i="2"/>
  <c r="J2082" i="2"/>
  <c r="L2082" i="2" s="1"/>
  <c r="J2096" i="2"/>
  <c r="L2096" i="2" s="1"/>
  <c r="J2104" i="2"/>
  <c r="L2104" i="2" s="1"/>
  <c r="J2138" i="2"/>
  <c r="L2160" i="2"/>
  <c r="L2193" i="2"/>
  <c r="J2228" i="2"/>
  <c r="L2228" i="2" s="1"/>
  <c r="J2004" i="2"/>
  <c r="L2004" i="2" s="1"/>
  <c r="J2013" i="2"/>
  <c r="L2013" i="2" s="1"/>
  <c r="L2022" i="2"/>
  <c r="J2024" i="2"/>
  <c r="L2024" i="2" s="1"/>
  <c r="J2033" i="2"/>
  <c r="J2044" i="2"/>
  <c r="J2053" i="2"/>
  <c r="L2062" i="2"/>
  <c r="L2071" i="2"/>
  <c r="L2088" i="2"/>
  <c r="L2102" i="2"/>
  <c r="J2115" i="2"/>
  <c r="L2115" i="2" s="1"/>
  <c r="J2188" i="2"/>
  <c r="L2188" i="2" s="1"/>
  <c r="L2000" i="2"/>
  <c r="J2002" i="2"/>
  <c r="L2002" i="2" s="1"/>
  <c r="L2020" i="2"/>
  <c r="J2022" i="2"/>
  <c r="L2040" i="2"/>
  <c r="J2042" i="2"/>
  <c r="L2042" i="2" s="1"/>
  <c r="L2060" i="2"/>
  <c r="J2071" i="2"/>
  <c r="J2074" i="2"/>
  <c r="L2074" i="2" s="1"/>
  <c r="L2077" i="2"/>
  <c r="J2118" i="2"/>
  <c r="L2118" i="2" s="1"/>
  <c r="J2136" i="2"/>
  <c r="L2136" i="2" s="1"/>
  <c r="L2169" i="2"/>
  <c r="J2199" i="2"/>
  <c r="L2199" i="2" s="1"/>
  <c r="L2210" i="2"/>
  <c r="L1998" i="2"/>
  <c r="L2018" i="2"/>
  <c r="L2038" i="2"/>
  <c r="L2058" i="2"/>
  <c r="J2080" i="2"/>
  <c r="L2080" i="2" s="1"/>
  <c r="J2094" i="2"/>
  <c r="L2094" i="2" s="1"/>
  <c r="L2308" i="2"/>
  <c r="L2016" i="2"/>
  <c r="L2036" i="2"/>
  <c r="L2056" i="2"/>
  <c r="J2086" i="2"/>
  <c r="L2086" i="2" s="1"/>
  <c r="L2100" i="2"/>
  <c r="J2100" i="2"/>
  <c r="J2116" i="2"/>
  <c r="L2116" i="2" s="1"/>
  <c r="J2158" i="2"/>
  <c r="L2158" i="2" s="1"/>
  <c r="L2189" i="2"/>
  <c r="J2197" i="2"/>
  <c r="L2197" i="2" s="1"/>
  <c r="J1996" i="2"/>
  <c r="L1996" i="2" s="1"/>
  <c r="L2014" i="2"/>
  <c r="J2016" i="2"/>
  <c r="J2036" i="2"/>
  <c r="J2056" i="2"/>
  <c r="J2072" i="2"/>
  <c r="L2072" i="2" s="1"/>
  <c r="L2075" i="2"/>
  <c r="L2103" i="2"/>
  <c r="L2129" i="2"/>
  <c r="L2012" i="2"/>
  <c r="J2014" i="2"/>
  <c r="L2032" i="2"/>
  <c r="J2034" i="2"/>
  <c r="L2034" i="2" s="1"/>
  <c r="L2052" i="2"/>
  <c r="J2054" i="2"/>
  <c r="L2054" i="2" s="1"/>
  <c r="J2078" i="2"/>
  <c r="L2078" i="2" s="1"/>
  <c r="L2081" i="2"/>
  <c r="J2092" i="2"/>
  <c r="L2092" i="2" s="1"/>
  <c r="J2129" i="2"/>
  <c r="J2167" i="2"/>
  <c r="L2167" i="2" s="1"/>
  <c r="L2179" i="2"/>
  <c r="J2208" i="2"/>
  <c r="L2208" i="2" s="1"/>
  <c r="L2219" i="2"/>
  <c r="L2230" i="2"/>
  <c r="L2271" i="2"/>
  <c r="L2287" i="2"/>
  <c r="L2305" i="2"/>
  <c r="L2323" i="2"/>
  <c r="L2269" i="2"/>
  <c r="L2125" i="2"/>
  <c r="L2145" i="2"/>
  <c r="L2165" i="2"/>
  <c r="L2186" i="2"/>
  <c r="L2206" i="2"/>
  <c r="L2226" i="2"/>
  <c r="L2235" i="2"/>
  <c r="J2237" i="2"/>
  <c r="L2237" i="2" s="1"/>
  <c r="J2244" i="2"/>
  <c r="L2244" i="2" s="1"/>
  <c r="L2251" i="2"/>
  <c r="J2253" i="2"/>
  <c r="L2253" i="2" s="1"/>
  <c r="L2267" i="2"/>
  <c r="J2269" i="2"/>
  <c r="L2283" i="2"/>
  <c r="L2294" i="2"/>
  <c r="L2301" i="2"/>
  <c r="L2330" i="2"/>
  <c r="L2143" i="2"/>
  <c r="L2204" i="2"/>
  <c r="L2224" i="2"/>
  <c r="L2121" i="2"/>
  <c r="J2132" i="2"/>
  <c r="L2141" i="2"/>
  <c r="J2143" i="2"/>
  <c r="J2152" i="2"/>
  <c r="L2152" i="2" s="1"/>
  <c r="L2161" i="2"/>
  <c r="J2163" i="2"/>
  <c r="L2163" i="2" s="1"/>
  <c r="J2172" i="2"/>
  <c r="L2172" i="2" s="1"/>
  <c r="L2182" i="2"/>
  <c r="J2184" i="2"/>
  <c r="L2184" i="2" s="1"/>
  <c r="J2193" i="2"/>
  <c r="L2202" i="2"/>
  <c r="J2204" i="2"/>
  <c r="J2213" i="2"/>
  <c r="L2213" i="2" s="1"/>
  <c r="L2222" i="2"/>
  <c r="J2224" i="2"/>
  <c r="J2233" i="2"/>
  <c r="L2233" i="2" s="1"/>
  <c r="L2249" i="2"/>
  <c r="J2256" i="2"/>
  <c r="L2256" i="2" s="1"/>
  <c r="L2263" i="2"/>
  <c r="L2274" i="2"/>
  <c r="J2281" i="2"/>
  <c r="L2281" i="2" s="1"/>
  <c r="L2297" i="2"/>
  <c r="L2119" i="2"/>
  <c r="L2139" i="2"/>
  <c r="L2180" i="2"/>
  <c r="L2200" i="2"/>
  <c r="L2220" i="2"/>
  <c r="L2295" i="2"/>
  <c r="L2345" i="2"/>
  <c r="L2355" i="2"/>
  <c r="L2117" i="2"/>
  <c r="L2137" i="2"/>
  <c r="L2157" i="2"/>
  <c r="J2159" i="2"/>
  <c r="L2159" i="2" s="1"/>
  <c r="J2168" i="2"/>
  <c r="L2168" i="2" s="1"/>
  <c r="L2178" i="2"/>
  <c r="J2180" i="2"/>
  <c r="J2189" i="2"/>
  <c r="L2198" i="2"/>
  <c r="J2200" i="2"/>
  <c r="J2209" i="2"/>
  <c r="L2218" i="2"/>
  <c r="J2220" i="2"/>
  <c r="J2229" i="2"/>
  <c r="L2229" i="2" s="1"/>
  <c r="J2238" i="2"/>
  <c r="L2238" i="2" s="1"/>
  <c r="L2245" i="2"/>
  <c r="J2247" i="2"/>
  <c r="L2247" i="2" s="1"/>
  <c r="J2254" i="2"/>
  <c r="L2254" i="2" s="1"/>
  <c r="J2261" i="2"/>
  <c r="L2261" i="2" s="1"/>
  <c r="L2277" i="2"/>
  <c r="L2313" i="2"/>
  <c r="L2338" i="2"/>
  <c r="L2135" i="2"/>
  <c r="L2113" i="2"/>
  <c r="L2133" i="2"/>
  <c r="J2135" i="2"/>
  <c r="L2153" i="2"/>
  <c r="J2155" i="2"/>
  <c r="L2155" i="2" s="1"/>
  <c r="L2173" i="2"/>
  <c r="J2175" i="2"/>
  <c r="L2175" i="2" s="1"/>
  <c r="L2194" i="2"/>
  <c r="J2196" i="2"/>
  <c r="L2196" i="2" s="1"/>
  <c r="L2214" i="2"/>
  <c r="J2216" i="2"/>
  <c r="L2216" i="2" s="1"/>
  <c r="L2234" i="2"/>
  <c r="J2243" i="2"/>
  <c r="L2243" i="2" s="1"/>
  <c r="L2257" i="2"/>
  <c r="J2275" i="2"/>
  <c r="L2275" i="2" s="1"/>
  <c r="L2291" i="2"/>
  <c r="L2309" i="2"/>
  <c r="L2327" i="2"/>
  <c r="L2341" i="2"/>
  <c r="L2111" i="2"/>
  <c r="L2131" i="2"/>
  <c r="L2151" i="2"/>
  <c r="L2171" i="2"/>
  <c r="L2192" i="2"/>
  <c r="L2212" i="2"/>
  <c r="L2232" i="2"/>
  <c r="J2241" i="2"/>
  <c r="L2241" i="2" s="1"/>
  <c r="L2255" i="2"/>
  <c r="L2273" i="2"/>
  <c r="L2289" i="2"/>
  <c r="L2307" i="2"/>
  <c r="L2325" i="2"/>
  <c r="L2351" i="2"/>
  <c r="L2361" i="2"/>
  <c r="L2335" i="2"/>
  <c r="L2346" i="2"/>
  <c r="L2356" i="2"/>
  <c r="L2366" i="2"/>
  <c r="L2369" i="2"/>
  <c r="L2379" i="2"/>
  <c r="L2389" i="2"/>
  <c r="L2399" i="2"/>
  <c r="L2354" i="2"/>
  <c r="L2364" i="2"/>
  <c r="L2352" i="2"/>
  <c r="L2362" i="2"/>
  <c r="L2372" i="2"/>
  <c r="L2382" i="2"/>
  <c r="L2392" i="2"/>
  <c r="L2365" i="2"/>
  <c r="L2375" i="2"/>
  <c r="L2385" i="2"/>
  <c r="L2395" i="2"/>
  <c r="L2343" i="2"/>
  <c r="L2350" i="2"/>
  <c r="L2360" i="2"/>
  <c r="L2370" i="2"/>
  <c r="L2380" i="2"/>
  <c r="L2390" i="2"/>
  <c r="L2400" i="2"/>
  <c r="L2239" i="2"/>
  <c r="L2259" i="2"/>
  <c r="L2279" i="2"/>
  <c r="L2299" i="2"/>
  <c r="L2319" i="2"/>
  <c r="L2339" i="2"/>
  <c r="L2348" i="2"/>
  <c r="L2358" i="2"/>
  <c r="L2368" i="2"/>
  <c r="L2378" i="2"/>
  <c r="L2388" i="2"/>
  <c r="L2398" i="2"/>
  <c r="L2371" i="2"/>
  <c r="L2381" i="2"/>
  <c r="L2391" i="2"/>
  <c r="L2401" i="2"/>
  <c r="U449" i="1" l="1"/>
  <c r="I449" i="1" s="1"/>
  <c r="AA449" i="1"/>
  <c r="W449" i="1"/>
  <c r="X449" i="1" s="1"/>
  <c r="AB449" i="1"/>
  <c r="U317" i="1"/>
  <c r="I317" i="1" s="1"/>
  <c r="AA317" i="1"/>
  <c r="W317" i="1"/>
  <c r="X317" i="1" s="1"/>
  <c r="U502" i="1"/>
  <c r="I502" i="1" s="1"/>
  <c r="W502" i="1"/>
  <c r="X502" i="1" s="1"/>
  <c r="AA502" i="1"/>
  <c r="U504" i="1"/>
  <c r="I504" i="1" s="1"/>
  <c r="W504" i="1"/>
  <c r="X504" i="1" s="1"/>
  <c r="AB504" i="1"/>
  <c r="AA504" i="1"/>
  <c r="AA491" i="1"/>
  <c r="U491" i="1"/>
  <c r="I491" i="1" s="1"/>
  <c r="W491" i="1"/>
  <c r="X491" i="1" s="1"/>
  <c r="U492" i="1"/>
  <c r="I492" i="1" s="1"/>
  <c r="W492" i="1"/>
  <c r="X492" i="1" s="1"/>
  <c r="AA492" i="1"/>
  <c r="U339" i="1"/>
  <c r="I339" i="1" s="1"/>
  <c r="AA339" i="1"/>
  <c r="W339" i="1"/>
  <c r="X339" i="1" s="1"/>
  <c r="U187" i="1"/>
  <c r="I187" i="1" s="1"/>
  <c r="W187" i="1"/>
  <c r="X187" i="1" s="1"/>
  <c r="AA187" i="1"/>
  <c r="U315" i="1"/>
  <c r="I315" i="1" s="1"/>
  <c r="W315" i="1"/>
  <c r="X315" i="1" s="1"/>
  <c r="AA315" i="1"/>
  <c r="AA116" i="1"/>
  <c r="W116" i="1"/>
  <c r="X116" i="1" s="1"/>
  <c r="U116" i="1"/>
  <c r="I116" i="1" s="1"/>
  <c r="U280" i="1"/>
  <c r="I280" i="1" s="1"/>
  <c r="AA280" i="1"/>
  <c r="AB280" i="1"/>
  <c r="W280" i="1"/>
  <c r="X280" i="1" s="1"/>
  <c r="AA274" i="1"/>
  <c r="W274" i="1"/>
  <c r="X274" i="1" s="1"/>
  <c r="U274" i="1"/>
  <c r="I274" i="1" s="1"/>
  <c r="AB274" i="1"/>
  <c r="U270" i="1"/>
  <c r="I270" i="1" s="1"/>
  <c r="W270" i="1"/>
  <c r="X270" i="1" s="1"/>
  <c r="AA270" i="1"/>
  <c r="AA81" i="1"/>
  <c r="U81" i="1"/>
  <c r="I81" i="1" s="1"/>
  <c r="W81" i="1"/>
  <c r="X81" i="1" s="1"/>
  <c r="U247" i="1"/>
  <c r="I247" i="1" s="1"/>
  <c r="AA247" i="1"/>
  <c r="W247" i="1"/>
  <c r="X247" i="1" s="1"/>
  <c r="AA30" i="1"/>
  <c r="U30" i="1"/>
  <c r="I30" i="1" s="1"/>
  <c r="AB30" i="1"/>
  <c r="W30" i="1"/>
  <c r="X30" i="1" s="1"/>
  <c r="W24" i="1"/>
  <c r="X24" i="1" s="1"/>
  <c r="U24" i="1"/>
  <c r="I24" i="1" s="1"/>
  <c r="AB24" i="1"/>
  <c r="AA24" i="1"/>
  <c r="W62" i="1"/>
  <c r="X62" i="1" s="1"/>
  <c r="U62" i="1"/>
  <c r="I62" i="1" s="1"/>
  <c r="AA62" i="1"/>
  <c r="AB270" i="1"/>
  <c r="AA222" i="1"/>
  <c r="W222" i="1"/>
  <c r="X222" i="1" s="1"/>
  <c r="U222" i="1"/>
  <c r="I222" i="1" s="1"/>
  <c r="AA557" i="1"/>
  <c r="U557" i="1"/>
  <c r="I557" i="1" s="1"/>
  <c r="W557" i="1"/>
  <c r="X557" i="1" s="1"/>
  <c r="AA541" i="1"/>
  <c r="W541" i="1"/>
  <c r="X541" i="1" s="1"/>
  <c r="U541" i="1"/>
  <c r="I541" i="1" s="1"/>
  <c r="U447" i="1"/>
  <c r="I447" i="1" s="1"/>
  <c r="AA447" i="1"/>
  <c r="W447" i="1"/>
  <c r="X447" i="1" s="1"/>
  <c r="U307" i="1"/>
  <c r="I307" i="1" s="1"/>
  <c r="AA307" i="1"/>
  <c r="AB307" i="1"/>
  <c r="W307" i="1"/>
  <c r="X307" i="1" s="1"/>
  <c r="U472" i="1"/>
  <c r="I472" i="1" s="1"/>
  <c r="AA472" i="1"/>
  <c r="W472" i="1"/>
  <c r="X472" i="1" s="1"/>
  <c r="U479" i="1"/>
  <c r="I479" i="1" s="1"/>
  <c r="AB479" i="1"/>
  <c r="AA479" i="1"/>
  <c r="W479" i="1"/>
  <c r="X479" i="1" s="1"/>
  <c r="U514" i="1"/>
  <c r="I514" i="1" s="1"/>
  <c r="AB514" i="1"/>
  <c r="AA514" i="1"/>
  <c r="W514" i="1"/>
  <c r="X514" i="1" s="1"/>
  <c r="U352" i="1"/>
  <c r="I352" i="1" s="1"/>
  <c r="AB352" i="1"/>
  <c r="AA352" i="1"/>
  <c r="W352" i="1"/>
  <c r="X352" i="1" s="1"/>
  <c r="AB447" i="1"/>
  <c r="AA336" i="1"/>
  <c r="W336" i="1"/>
  <c r="X336" i="1" s="1"/>
  <c r="U336" i="1"/>
  <c r="I336" i="1" s="1"/>
  <c r="U185" i="1"/>
  <c r="I185" i="1" s="1"/>
  <c r="AA185" i="1"/>
  <c r="W185" i="1"/>
  <c r="X185" i="1" s="1"/>
  <c r="AB185" i="1"/>
  <c r="AA129" i="1"/>
  <c r="W129" i="1"/>
  <c r="X129" i="1" s="1"/>
  <c r="U129" i="1"/>
  <c r="I129" i="1" s="1"/>
  <c r="U255" i="1"/>
  <c r="I255" i="1" s="1"/>
  <c r="W255" i="1"/>
  <c r="X255" i="1" s="1"/>
  <c r="AA255" i="1"/>
  <c r="AA272" i="1"/>
  <c r="W272" i="1"/>
  <c r="X272" i="1" s="1"/>
  <c r="U272" i="1"/>
  <c r="I272" i="1" s="1"/>
  <c r="U118" i="1"/>
  <c r="I118" i="1" s="1"/>
  <c r="AA118" i="1"/>
  <c r="W118" i="1"/>
  <c r="X118" i="1" s="1"/>
  <c r="W35" i="1"/>
  <c r="X35" i="1" s="1"/>
  <c r="AA35" i="1"/>
  <c r="AB35" i="1"/>
  <c r="U35" i="1"/>
  <c r="I35" i="1" s="1"/>
  <c r="AA158" i="1"/>
  <c r="W158" i="1"/>
  <c r="X158" i="1" s="1"/>
  <c r="U158" i="1"/>
  <c r="I158" i="1" s="1"/>
  <c r="AA178" i="1"/>
  <c r="U178" i="1"/>
  <c r="I178" i="1" s="1"/>
  <c r="W178" i="1"/>
  <c r="X178" i="1" s="1"/>
  <c r="U25" i="1"/>
  <c r="I25" i="1" s="1"/>
  <c r="AA25" i="1"/>
  <c r="W25" i="1"/>
  <c r="X25" i="1" s="1"/>
  <c r="AA243" i="1"/>
  <c r="W243" i="1"/>
  <c r="X243" i="1" s="1"/>
  <c r="U243" i="1"/>
  <c r="I243" i="1" s="1"/>
  <c r="AA89" i="1"/>
  <c r="U89" i="1"/>
  <c r="I89" i="1" s="1"/>
  <c r="W89" i="1"/>
  <c r="X89" i="1" s="1"/>
  <c r="AB89" i="1"/>
  <c r="AA124" i="1"/>
  <c r="W124" i="1"/>
  <c r="X124" i="1" s="1"/>
  <c r="U124" i="1"/>
  <c r="I124" i="1" s="1"/>
  <c r="AB124" i="1"/>
  <c r="AA41" i="1"/>
  <c r="W41" i="1"/>
  <c r="X41" i="1" s="1"/>
  <c r="U41" i="1"/>
  <c r="I41" i="1" s="1"/>
  <c r="AA104" i="1"/>
  <c r="U104" i="1"/>
  <c r="I104" i="1" s="1"/>
  <c r="W104" i="1"/>
  <c r="X104" i="1" s="1"/>
  <c r="AB104" i="1"/>
  <c r="W125" i="1"/>
  <c r="X125" i="1" s="1"/>
  <c r="U125" i="1"/>
  <c r="I125" i="1" s="1"/>
  <c r="AA125" i="1"/>
  <c r="AB125" i="1"/>
  <c r="U72" i="1"/>
  <c r="I72" i="1" s="1"/>
  <c r="AA72" i="1"/>
  <c r="AB72" i="1"/>
  <c r="W72" i="1"/>
  <c r="X72" i="1" s="1"/>
  <c r="W65" i="1"/>
  <c r="X65" i="1" s="1"/>
  <c r="AA65" i="1"/>
  <c r="U65" i="1"/>
  <c r="I65" i="1" s="1"/>
  <c r="W20" i="1"/>
  <c r="X20" i="1" s="1"/>
  <c r="AB20" i="1"/>
  <c r="AA20" i="1"/>
  <c r="U20" i="1"/>
  <c r="I20" i="1" s="1"/>
  <c r="W96" i="1"/>
  <c r="X96" i="1" s="1"/>
  <c r="AA96" i="1"/>
  <c r="U96" i="1"/>
  <c r="I96" i="1" s="1"/>
  <c r="AA23" i="1"/>
  <c r="W23" i="1"/>
  <c r="X23" i="1" s="1"/>
  <c r="AB23" i="1"/>
  <c r="U23" i="1"/>
  <c r="I23" i="1" s="1"/>
  <c r="AA446" i="1"/>
  <c r="W446" i="1"/>
  <c r="X446" i="1" s="1"/>
  <c r="U446" i="1"/>
  <c r="I446" i="1" s="1"/>
  <c r="AA430" i="1"/>
  <c r="W430" i="1"/>
  <c r="X430" i="1" s="1"/>
  <c r="U430" i="1"/>
  <c r="I430" i="1" s="1"/>
  <c r="AB430" i="1"/>
  <c r="AA79" i="1"/>
  <c r="AB79" i="1"/>
  <c r="W79" i="1"/>
  <c r="X79" i="1" s="1"/>
  <c r="U79" i="1"/>
  <c r="I79" i="1" s="1"/>
  <c r="AA224" i="1"/>
  <c r="W224" i="1"/>
  <c r="X224" i="1" s="1"/>
  <c r="U224" i="1"/>
  <c r="I224" i="1" s="1"/>
  <c r="AA83" i="1"/>
  <c r="U83" i="1"/>
  <c r="I83" i="1" s="1"/>
  <c r="W83" i="1"/>
  <c r="X83" i="1" s="1"/>
  <c r="W19" i="1"/>
  <c r="X19" i="1" s="1"/>
  <c r="AA19" i="1"/>
  <c r="U19" i="1"/>
  <c r="I19" i="1" s="1"/>
  <c r="AB19" i="1"/>
  <c r="U547" i="1"/>
  <c r="I547" i="1" s="1"/>
  <c r="AA547" i="1"/>
  <c r="W547" i="1"/>
  <c r="X547" i="1" s="1"/>
  <c r="AA531" i="1"/>
  <c r="W531" i="1"/>
  <c r="X531" i="1" s="1"/>
  <c r="U531" i="1"/>
  <c r="I531" i="1" s="1"/>
  <c r="U484" i="1"/>
  <c r="I484" i="1" s="1"/>
  <c r="AA484" i="1"/>
  <c r="W484" i="1"/>
  <c r="X484" i="1" s="1"/>
  <c r="AB484" i="1"/>
  <c r="U544" i="1"/>
  <c r="I544" i="1" s="1"/>
  <c r="AA544" i="1"/>
  <c r="W544" i="1"/>
  <c r="X544" i="1" s="1"/>
  <c r="U439" i="1"/>
  <c r="I439" i="1" s="1"/>
  <c r="AA439" i="1"/>
  <c r="W439" i="1"/>
  <c r="X439" i="1" s="1"/>
  <c r="U497" i="1"/>
  <c r="I497" i="1" s="1"/>
  <c r="AA497" i="1"/>
  <c r="W497" i="1"/>
  <c r="X497" i="1" s="1"/>
  <c r="U308" i="1"/>
  <c r="I308" i="1" s="1"/>
  <c r="AA308" i="1"/>
  <c r="W308" i="1"/>
  <c r="X308" i="1" s="1"/>
  <c r="W278" i="1"/>
  <c r="X278" i="1" s="1"/>
  <c r="AA278" i="1"/>
  <c r="U278" i="1"/>
  <c r="I278" i="1" s="1"/>
  <c r="U345" i="1"/>
  <c r="I345" i="1" s="1"/>
  <c r="W345" i="1"/>
  <c r="X345" i="1" s="1"/>
  <c r="AA345" i="1"/>
  <c r="AA154" i="1"/>
  <c r="U154" i="1"/>
  <c r="I154" i="1" s="1"/>
  <c r="W154" i="1"/>
  <c r="X154" i="1" s="1"/>
  <c r="AA40" i="1"/>
  <c r="U40" i="1"/>
  <c r="I40" i="1" s="1"/>
  <c r="W40" i="1"/>
  <c r="X40" i="1" s="1"/>
  <c r="U188" i="1"/>
  <c r="I188" i="1" s="1"/>
  <c r="AA188" i="1"/>
  <c r="W188" i="1"/>
  <c r="X188" i="1" s="1"/>
  <c r="U414" i="1"/>
  <c r="I414" i="1" s="1"/>
  <c r="W414" i="1"/>
  <c r="X414" i="1" s="1"/>
  <c r="AB414" i="1"/>
  <c r="AA414" i="1"/>
  <c r="U290" i="1"/>
  <c r="I290" i="1" s="1"/>
  <c r="AB290" i="1"/>
  <c r="AA290" i="1"/>
  <c r="W290" i="1"/>
  <c r="X290" i="1" s="1"/>
  <c r="W111" i="1"/>
  <c r="X111" i="1" s="1"/>
  <c r="AA111" i="1"/>
  <c r="U111" i="1"/>
  <c r="I111" i="1" s="1"/>
  <c r="AB111" i="1"/>
  <c r="AA5" i="1"/>
  <c r="U5" i="1"/>
  <c r="I5" i="1" s="1"/>
  <c r="W5" i="1"/>
  <c r="X5" i="1" s="1"/>
  <c r="U399" i="1"/>
  <c r="I399" i="1" s="1"/>
  <c r="W399" i="1"/>
  <c r="X399" i="1" s="1"/>
  <c r="AA399" i="1"/>
  <c r="AB345" i="1"/>
  <c r="W14" i="1"/>
  <c r="X14" i="1" s="1"/>
  <c r="AA14" i="1"/>
  <c r="U14" i="1"/>
  <c r="I14" i="1" s="1"/>
  <c r="AA244" i="1"/>
  <c r="W244" i="1"/>
  <c r="X244" i="1" s="1"/>
  <c r="U244" i="1"/>
  <c r="I244" i="1" s="1"/>
  <c r="AB154" i="1"/>
  <c r="W115" i="1"/>
  <c r="X115" i="1" s="1"/>
  <c r="U115" i="1"/>
  <c r="I115" i="1" s="1"/>
  <c r="AA115" i="1"/>
  <c r="U7" i="1"/>
  <c r="I7" i="1" s="1"/>
  <c r="AA7" i="1"/>
  <c r="W7" i="1"/>
  <c r="X7" i="1" s="1"/>
  <c r="U167" i="1"/>
  <c r="I167" i="1" s="1"/>
  <c r="W167" i="1"/>
  <c r="X167" i="1" s="1"/>
  <c r="AB167" i="1"/>
  <c r="AA167" i="1"/>
  <c r="AA262" i="1"/>
  <c r="U262" i="1"/>
  <c r="I262" i="1" s="1"/>
  <c r="W262" i="1"/>
  <c r="X262" i="1" s="1"/>
  <c r="AB115" i="1"/>
  <c r="AA8" i="1"/>
  <c r="W8" i="1"/>
  <c r="X8" i="1" s="1"/>
  <c r="U8" i="1"/>
  <c r="I8" i="1" s="1"/>
  <c r="AB178" i="1"/>
  <c r="W120" i="1"/>
  <c r="X120" i="1" s="1"/>
  <c r="AA120" i="1"/>
  <c r="AB120" i="1"/>
  <c r="U120" i="1"/>
  <c r="I120" i="1" s="1"/>
  <c r="AB40" i="1"/>
  <c r="W146" i="1"/>
  <c r="X146" i="1" s="1"/>
  <c r="AA146" i="1"/>
  <c r="AB146" i="1"/>
  <c r="U146" i="1"/>
  <c r="I146" i="1" s="1"/>
  <c r="W100" i="1"/>
  <c r="X100" i="1" s="1"/>
  <c r="U100" i="1"/>
  <c r="I100" i="1" s="1"/>
  <c r="AB100" i="1"/>
  <c r="AA100" i="1"/>
  <c r="W60" i="1"/>
  <c r="X60" i="1" s="1"/>
  <c r="AA60" i="1"/>
  <c r="U60" i="1"/>
  <c r="I60" i="1" s="1"/>
  <c r="AA131" i="1"/>
  <c r="W131" i="1"/>
  <c r="X131" i="1" s="1"/>
  <c r="U131" i="1"/>
  <c r="I131" i="1" s="1"/>
  <c r="AB131" i="1"/>
  <c r="U101" i="1"/>
  <c r="I101" i="1" s="1"/>
  <c r="AA101" i="1"/>
  <c r="W101" i="1"/>
  <c r="X101" i="1" s="1"/>
  <c r="AA54" i="1"/>
  <c r="W54" i="1"/>
  <c r="X54" i="1" s="1"/>
  <c r="U54" i="1"/>
  <c r="I54" i="1" s="1"/>
  <c r="AB8" i="1"/>
  <c r="AB101" i="1"/>
  <c r="U297" i="1"/>
  <c r="I297" i="1" s="1"/>
  <c r="AA297" i="1"/>
  <c r="W297" i="1"/>
  <c r="X297" i="1" s="1"/>
  <c r="AB297" i="1"/>
  <c r="U372" i="1"/>
  <c r="I372" i="1" s="1"/>
  <c r="AA372" i="1"/>
  <c r="W372" i="1"/>
  <c r="X372" i="1" s="1"/>
  <c r="U477" i="1"/>
  <c r="I477" i="1" s="1"/>
  <c r="AA477" i="1"/>
  <c r="W477" i="1"/>
  <c r="X477" i="1" s="1"/>
  <c r="AB557" i="1"/>
  <c r="W420" i="1"/>
  <c r="X420" i="1" s="1"/>
  <c r="U420" i="1"/>
  <c r="I420" i="1" s="1"/>
  <c r="AA420" i="1"/>
  <c r="W384" i="1"/>
  <c r="X384" i="1" s="1"/>
  <c r="U384" i="1"/>
  <c r="I384" i="1" s="1"/>
  <c r="AB384" i="1"/>
  <c r="AA384" i="1"/>
  <c r="U486" i="1"/>
  <c r="I486" i="1" s="1"/>
  <c r="AB486" i="1"/>
  <c r="AA486" i="1"/>
  <c r="W486" i="1"/>
  <c r="X486" i="1" s="1"/>
  <c r="U350" i="1"/>
  <c r="I350" i="1" s="1"/>
  <c r="W350" i="1"/>
  <c r="X350" i="1" s="1"/>
  <c r="AA350" i="1"/>
  <c r="AB531" i="1"/>
  <c r="AA506" i="1"/>
  <c r="W506" i="1"/>
  <c r="X506" i="1" s="1"/>
  <c r="U506" i="1"/>
  <c r="I506" i="1" s="1"/>
  <c r="U437" i="1"/>
  <c r="I437" i="1" s="1"/>
  <c r="AA437" i="1"/>
  <c r="W437" i="1"/>
  <c r="X437" i="1" s="1"/>
  <c r="U529" i="1"/>
  <c r="I529" i="1" s="1"/>
  <c r="AA529" i="1"/>
  <c r="W529" i="1"/>
  <c r="X529" i="1" s="1"/>
  <c r="AB529" i="1"/>
  <c r="U467" i="1"/>
  <c r="I467" i="1" s="1"/>
  <c r="AA467" i="1"/>
  <c r="W467" i="1"/>
  <c r="X467" i="1" s="1"/>
  <c r="U494" i="1"/>
  <c r="I494" i="1" s="1"/>
  <c r="AA494" i="1"/>
  <c r="W494" i="1"/>
  <c r="X494" i="1" s="1"/>
  <c r="AB494" i="1"/>
  <c r="AA253" i="1"/>
  <c r="U253" i="1"/>
  <c r="I253" i="1" s="1"/>
  <c r="W253" i="1"/>
  <c r="X253" i="1" s="1"/>
  <c r="W141" i="1"/>
  <c r="X141" i="1" s="1"/>
  <c r="U141" i="1"/>
  <c r="I141" i="1" s="1"/>
  <c r="AA141" i="1"/>
  <c r="U337" i="1"/>
  <c r="I337" i="1" s="1"/>
  <c r="AA337" i="1"/>
  <c r="W337" i="1"/>
  <c r="X337" i="1" s="1"/>
  <c r="AA435" i="1"/>
  <c r="U435" i="1"/>
  <c r="I435" i="1" s="1"/>
  <c r="W435" i="1"/>
  <c r="X435" i="1" s="1"/>
  <c r="AA340" i="1"/>
  <c r="U340" i="1"/>
  <c r="I340" i="1" s="1"/>
  <c r="W340" i="1"/>
  <c r="X340" i="1" s="1"/>
  <c r="U367" i="1"/>
  <c r="I367" i="1" s="1"/>
  <c r="AA367" i="1"/>
  <c r="W367" i="1"/>
  <c r="X367" i="1" s="1"/>
  <c r="AA334" i="1"/>
  <c r="W334" i="1"/>
  <c r="X334" i="1" s="1"/>
  <c r="U334" i="1"/>
  <c r="I334" i="1" s="1"/>
  <c r="AB340" i="1"/>
  <c r="AA282" i="1"/>
  <c r="W282" i="1"/>
  <c r="X282" i="1" s="1"/>
  <c r="U282" i="1"/>
  <c r="I282" i="1" s="1"/>
  <c r="W380" i="1"/>
  <c r="X380" i="1" s="1"/>
  <c r="U380" i="1"/>
  <c r="I380" i="1" s="1"/>
  <c r="AA380" i="1"/>
  <c r="W396" i="1"/>
  <c r="X396" i="1" s="1"/>
  <c r="U396" i="1"/>
  <c r="I396" i="1" s="1"/>
  <c r="AA396" i="1"/>
  <c r="U112" i="1"/>
  <c r="I112" i="1" s="1"/>
  <c r="AA112" i="1"/>
  <c r="W112" i="1"/>
  <c r="X112" i="1" s="1"/>
  <c r="U183" i="1"/>
  <c r="I183" i="1" s="1"/>
  <c r="AA183" i="1"/>
  <c r="W183" i="1"/>
  <c r="X183" i="1" s="1"/>
  <c r="U227" i="1"/>
  <c r="I227" i="1" s="1"/>
  <c r="AA227" i="1"/>
  <c r="W227" i="1"/>
  <c r="X227" i="1" s="1"/>
  <c r="W161" i="1"/>
  <c r="X161" i="1" s="1"/>
  <c r="U161" i="1"/>
  <c r="I161" i="1" s="1"/>
  <c r="AA161" i="1"/>
  <c r="AB317" i="1"/>
  <c r="U210" i="1"/>
  <c r="I210" i="1" s="1"/>
  <c r="AA210" i="1"/>
  <c r="W210" i="1"/>
  <c r="X210" i="1" s="1"/>
  <c r="AB118" i="1"/>
  <c r="W107" i="1"/>
  <c r="X107" i="1" s="1"/>
  <c r="AB107" i="1"/>
  <c r="U107" i="1"/>
  <c r="I107" i="1" s="1"/>
  <c r="AA107" i="1"/>
  <c r="U195" i="1"/>
  <c r="I195" i="1" s="1"/>
  <c r="AA195" i="1"/>
  <c r="W195" i="1"/>
  <c r="X195" i="1" s="1"/>
  <c r="AB163" i="1"/>
  <c r="U163" i="1"/>
  <c r="I163" i="1" s="1"/>
  <c r="AA163" i="1"/>
  <c r="W163" i="1"/>
  <c r="X163" i="1" s="1"/>
  <c r="U164" i="1"/>
  <c r="I164" i="1" s="1"/>
  <c r="W164" i="1"/>
  <c r="X164" i="1" s="1"/>
  <c r="AA164" i="1"/>
  <c r="W6" i="1"/>
  <c r="X6" i="1" s="1"/>
  <c r="AA6" i="1"/>
  <c r="AB6" i="1"/>
  <c r="U6" i="1"/>
  <c r="I6" i="1" s="1"/>
  <c r="AB65" i="1"/>
  <c r="U482" i="1"/>
  <c r="I482" i="1" s="1"/>
  <c r="W482" i="1"/>
  <c r="X482" i="1" s="1"/>
  <c r="AA482" i="1"/>
  <c r="W454" i="1"/>
  <c r="X454" i="1" s="1"/>
  <c r="U454" i="1"/>
  <c r="I454" i="1" s="1"/>
  <c r="AA454" i="1"/>
  <c r="U536" i="1"/>
  <c r="I536" i="1" s="1"/>
  <c r="AA536" i="1"/>
  <c r="W536" i="1"/>
  <c r="X536" i="1" s="1"/>
  <c r="W546" i="1"/>
  <c r="X546" i="1" s="1"/>
  <c r="AB546" i="1"/>
  <c r="AA546" i="1"/>
  <c r="U546" i="1"/>
  <c r="I546" i="1" s="1"/>
  <c r="U527" i="1"/>
  <c r="I527" i="1" s="1"/>
  <c r="AA527" i="1"/>
  <c r="W527" i="1"/>
  <c r="X527" i="1" s="1"/>
  <c r="U382" i="1"/>
  <c r="I382" i="1" s="1"/>
  <c r="W382" i="1"/>
  <c r="X382" i="1" s="1"/>
  <c r="AA382" i="1"/>
  <c r="U287" i="1"/>
  <c r="I287" i="1" s="1"/>
  <c r="AA287" i="1"/>
  <c r="W287" i="1"/>
  <c r="X287" i="1" s="1"/>
  <c r="AB541" i="1"/>
  <c r="AB544" i="1"/>
  <c r="AA436" i="1"/>
  <c r="W436" i="1"/>
  <c r="X436" i="1" s="1"/>
  <c r="U436" i="1"/>
  <c r="I436" i="1" s="1"/>
  <c r="U524" i="1"/>
  <c r="I524" i="1" s="1"/>
  <c r="AA524" i="1"/>
  <c r="W524" i="1"/>
  <c r="X524" i="1" s="1"/>
  <c r="U474" i="1"/>
  <c r="I474" i="1" s="1"/>
  <c r="AA474" i="1"/>
  <c r="W474" i="1"/>
  <c r="X474" i="1" s="1"/>
  <c r="W556" i="1"/>
  <c r="X556" i="1" s="1"/>
  <c r="U556" i="1"/>
  <c r="I556" i="1" s="1"/>
  <c r="AA556" i="1"/>
  <c r="U512" i="1"/>
  <c r="I512" i="1" s="1"/>
  <c r="AA512" i="1"/>
  <c r="W512" i="1"/>
  <c r="X512" i="1" s="1"/>
  <c r="AB481" i="1"/>
  <c r="AA481" i="1"/>
  <c r="U481" i="1"/>
  <c r="I481" i="1" s="1"/>
  <c r="W481" i="1"/>
  <c r="X481" i="1" s="1"/>
  <c r="W516" i="1"/>
  <c r="X516" i="1" s="1"/>
  <c r="U516" i="1"/>
  <c r="I516" i="1" s="1"/>
  <c r="AA516" i="1"/>
  <c r="AB536" i="1"/>
  <c r="AB502" i="1"/>
  <c r="AB439" i="1"/>
  <c r="AA365" i="1"/>
  <c r="W365" i="1"/>
  <c r="X365" i="1" s="1"/>
  <c r="U365" i="1"/>
  <c r="I365" i="1" s="1"/>
  <c r="W66" i="1"/>
  <c r="X66" i="1" s="1"/>
  <c r="AA66" i="1"/>
  <c r="U66" i="1"/>
  <c r="I66" i="1" s="1"/>
  <c r="W90" i="1"/>
  <c r="X90" i="1" s="1"/>
  <c r="AA90" i="1"/>
  <c r="U90" i="1"/>
  <c r="I90" i="1" s="1"/>
  <c r="AA293" i="1"/>
  <c r="W293" i="1"/>
  <c r="X293" i="1" s="1"/>
  <c r="U293" i="1"/>
  <c r="I293" i="1" s="1"/>
  <c r="AA314" i="1"/>
  <c r="W314" i="1"/>
  <c r="X314" i="1" s="1"/>
  <c r="U314" i="1"/>
  <c r="I314" i="1" s="1"/>
  <c r="AA3" i="1"/>
  <c r="U3" i="1"/>
  <c r="I3" i="1" s="1"/>
  <c r="W3" i="1"/>
  <c r="X3" i="1" s="1"/>
  <c r="AB272" i="1"/>
  <c r="AA254" i="1"/>
  <c r="W254" i="1"/>
  <c r="X254" i="1" s="1"/>
  <c r="U254" i="1"/>
  <c r="I254" i="1" s="1"/>
  <c r="U50" i="1"/>
  <c r="I50" i="1" s="1"/>
  <c r="AA50" i="1"/>
  <c r="W50" i="1"/>
  <c r="X50" i="1" s="1"/>
  <c r="AB308" i="1"/>
  <c r="AB243" i="1"/>
  <c r="AA106" i="1"/>
  <c r="AB106" i="1"/>
  <c r="U106" i="1"/>
  <c r="I106" i="1" s="1"/>
  <c r="W106" i="1"/>
  <c r="X106" i="1" s="1"/>
  <c r="U68" i="1"/>
  <c r="I68" i="1" s="1"/>
  <c r="AA68" i="1"/>
  <c r="AB68" i="1"/>
  <c r="W68" i="1"/>
  <c r="X68" i="1" s="1"/>
  <c r="W82" i="1"/>
  <c r="X82" i="1" s="1"/>
  <c r="AA82" i="1"/>
  <c r="U82" i="1"/>
  <c r="I82" i="1" s="1"/>
  <c r="AB82" i="1"/>
  <c r="AA37" i="1"/>
  <c r="U37" i="1"/>
  <c r="I37" i="1" s="1"/>
  <c r="AB37" i="1"/>
  <c r="W37" i="1"/>
  <c r="X37" i="1" s="1"/>
  <c r="AB255" i="1"/>
  <c r="AB161" i="1"/>
  <c r="W103" i="1"/>
  <c r="X103" i="1" s="1"/>
  <c r="AA103" i="1"/>
  <c r="U103" i="1"/>
  <c r="I103" i="1" s="1"/>
  <c r="AB103" i="1"/>
  <c r="AA156" i="1"/>
  <c r="W156" i="1"/>
  <c r="X156" i="1" s="1"/>
  <c r="U156" i="1"/>
  <c r="I156" i="1" s="1"/>
  <c r="AB156" i="1"/>
  <c r="U76" i="1"/>
  <c r="I76" i="1" s="1"/>
  <c r="W76" i="1"/>
  <c r="X76" i="1" s="1"/>
  <c r="AA76" i="1"/>
  <c r="U71" i="1"/>
  <c r="I71" i="1" s="1"/>
  <c r="AA71" i="1"/>
  <c r="W71" i="1"/>
  <c r="X71" i="1" s="1"/>
  <c r="W27" i="1"/>
  <c r="X27" i="1" s="1"/>
  <c r="AA27" i="1"/>
  <c r="U27" i="1"/>
  <c r="I27" i="1" s="1"/>
  <c r="AB27" i="1"/>
  <c r="W95" i="1"/>
  <c r="X95" i="1" s="1"/>
  <c r="AA95" i="1"/>
  <c r="U95" i="1"/>
  <c r="I95" i="1" s="1"/>
  <c r="AB188" i="1"/>
  <c r="W53" i="1"/>
  <c r="X53" i="1" s="1"/>
  <c r="U53" i="1"/>
  <c r="I53" i="1" s="1"/>
  <c r="AB53" i="1"/>
  <c r="AA53" i="1"/>
  <c r="AA36" i="1"/>
  <c r="U36" i="1"/>
  <c r="I36" i="1" s="1"/>
  <c r="W36" i="1"/>
  <c r="X36" i="1" s="1"/>
  <c r="W476" i="1"/>
  <c r="X476" i="1" s="1"/>
  <c r="U476" i="1"/>
  <c r="I476" i="1" s="1"/>
  <c r="AA476" i="1"/>
  <c r="U517" i="1"/>
  <c r="I517" i="1" s="1"/>
  <c r="AA517" i="1"/>
  <c r="W517" i="1"/>
  <c r="X517" i="1" s="1"/>
  <c r="U277" i="1"/>
  <c r="I277" i="1" s="1"/>
  <c r="W277" i="1"/>
  <c r="X277" i="1" s="1"/>
  <c r="AA277" i="1"/>
  <c r="U519" i="1"/>
  <c r="I519" i="1" s="1"/>
  <c r="W519" i="1"/>
  <c r="X519" i="1" s="1"/>
  <c r="AA519" i="1"/>
  <c r="U542" i="1"/>
  <c r="I542" i="1" s="1"/>
  <c r="AA542" i="1"/>
  <c r="W542" i="1"/>
  <c r="X542" i="1" s="1"/>
  <c r="W410" i="1"/>
  <c r="X410" i="1" s="1"/>
  <c r="AA410" i="1"/>
  <c r="U410" i="1"/>
  <c r="I410" i="1" s="1"/>
  <c r="W415" i="1"/>
  <c r="X415" i="1" s="1"/>
  <c r="U415" i="1"/>
  <c r="I415" i="1" s="1"/>
  <c r="AA415" i="1"/>
  <c r="AB517" i="1"/>
  <c r="AB476" i="1"/>
  <c r="AB491" i="1"/>
  <c r="U432" i="1"/>
  <c r="I432" i="1" s="1"/>
  <c r="W432" i="1"/>
  <c r="X432" i="1" s="1"/>
  <c r="AA432" i="1"/>
  <c r="W140" i="1"/>
  <c r="X140" i="1" s="1"/>
  <c r="U140" i="1"/>
  <c r="I140" i="1" s="1"/>
  <c r="AA140" i="1"/>
  <c r="AB364" i="1"/>
  <c r="W364" i="1"/>
  <c r="X364" i="1" s="1"/>
  <c r="AA364" i="1"/>
  <c r="U364" i="1"/>
  <c r="I364" i="1" s="1"/>
  <c r="U445" i="1"/>
  <c r="I445" i="1" s="1"/>
  <c r="AA445" i="1"/>
  <c r="W445" i="1"/>
  <c r="X445" i="1" s="1"/>
  <c r="U412" i="1"/>
  <c r="I412" i="1" s="1"/>
  <c r="W412" i="1"/>
  <c r="X412" i="1" s="1"/>
  <c r="AA412" i="1"/>
  <c r="AB412" i="1"/>
  <c r="AB492" i="1"/>
  <c r="AA324" i="1"/>
  <c r="W324" i="1"/>
  <c r="X324" i="1" s="1"/>
  <c r="U324" i="1"/>
  <c r="I324" i="1" s="1"/>
  <c r="U217" i="1"/>
  <c r="I217" i="1" s="1"/>
  <c r="W217" i="1"/>
  <c r="X217" i="1" s="1"/>
  <c r="AA217" i="1"/>
  <c r="AB382" i="1"/>
  <c r="AA223" i="1"/>
  <c r="W223" i="1"/>
  <c r="X223" i="1" s="1"/>
  <c r="U223" i="1"/>
  <c r="I223" i="1" s="1"/>
  <c r="AB367" i="1"/>
  <c r="AA58" i="1"/>
  <c r="W58" i="1"/>
  <c r="X58" i="1" s="1"/>
  <c r="U58" i="1"/>
  <c r="I58" i="1" s="1"/>
  <c r="AA214" i="1"/>
  <c r="U214" i="1"/>
  <c r="I214" i="1" s="1"/>
  <c r="W214" i="1"/>
  <c r="X214" i="1" s="1"/>
  <c r="AB187" i="1"/>
  <c r="AB224" i="1"/>
  <c r="W39" i="1"/>
  <c r="X39" i="1" s="1"/>
  <c r="U39" i="1"/>
  <c r="I39" i="1" s="1"/>
  <c r="AA39" i="1"/>
  <c r="U225" i="1"/>
  <c r="I225" i="1" s="1"/>
  <c r="AA225" i="1"/>
  <c r="W225" i="1"/>
  <c r="X225" i="1" s="1"/>
  <c r="W168" i="1"/>
  <c r="X168" i="1" s="1"/>
  <c r="AA168" i="1"/>
  <c r="U168" i="1"/>
  <c r="I168" i="1" s="1"/>
  <c r="W150" i="1"/>
  <c r="X150" i="1" s="1"/>
  <c r="U150" i="1"/>
  <c r="I150" i="1" s="1"/>
  <c r="AB150" i="1"/>
  <c r="AA150" i="1"/>
  <c r="U305" i="1"/>
  <c r="I305" i="1" s="1"/>
  <c r="W305" i="1"/>
  <c r="X305" i="1" s="1"/>
  <c r="AA305" i="1"/>
  <c r="AB305" i="1"/>
  <c r="W160" i="1"/>
  <c r="X160" i="1" s="1"/>
  <c r="U160" i="1"/>
  <c r="I160" i="1" s="1"/>
  <c r="AA160" i="1"/>
  <c r="AA109" i="1"/>
  <c r="U109" i="1"/>
  <c r="I109" i="1" s="1"/>
  <c r="W109" i="1"/>
  <c r="X109" i="1" s="1"/>
  <c r="AB58" i="1"/>
  <c r="W10" i="1"/>
  <c r="X10" i="1" s="1"/>
  <c r="AA10" i="1"/>
  <c r="U10" i="1"/>
  <c r="I10" i="1" s="1"/>
  <c r="U93" i="1"/>
  <c r="I93" i="1" s="1"/>
  <c r="W93" i="1"/>
  <c r="X93" i="1" s="1"/>
  <c r="AA93" i="1"/>
  <c r="AB160" i="1"/>
  <c r="AB50" i="1"/>
  <c r="AA565" i="1"/>
  <c r="W565" i="1"/>
  <c r="X565" i="1" s="1"/>
  <c r="U565" i="1"/>
  <c r="I565" i="1" s="1"/>
  <c r="U349" i="1"/>
  <c r="I349" i="1" s="1"/>
  <c r="W349" i="1"/>
  <c r="X349" i="1" s="1"/>
  <c r="AA349" i="1"/>
  <c r="AB349" i="1"/>
  <c r="U267" i="1"/>
  <c r="I267" i="1" s="1"/>
  <c r="W267" i="1"/>
  <c r="X267" i="1" s="1"/>
  <c r="AA267" i="1"/>
  <c r="U450" i="1"/>
  <c r="I450" i="1" s="1"/>
  <c r="AA450" i="1"/>
  <c r="W450" i="1"/>
  <c r="X450" i="1" s="1"/>
  <c r="W521" i="1"/>
  <c r="X521" i="1" s="1"/>
  <c r="U521" i="1"/>
  <c r="I521" i="1" s="1"/>
  <c r="AB521" i="1"/>
  <c r="AA521" i="1"/>
  <c r="U507" i="1"/>
  <c r="I507" i="1" s="1"/>
  <c r="AA507" i="1"/>
  <c r="W507" i="1"/>
  <c r="X507" i="1" s="1"/>
  <c r="U509" i="1"/>
  <c r="I509" i="1" s="1"/>
  <c r="AB509" i="1"/>
  <c r="AA509" i="1"/>
  <c r="W509" i="1"/>
  <c r="X509" i="1" s="1"/>
  <c r="AA298" i="1"/>
  <c r="W298" i="1"/>
  <c r="X298" i="1" s="1"/>
  <c r="U298" i="1"/>
  <c r="I298" i="1" s="1"/>
  <c r="U268" i="1"/>
  <c r="I268" i="1" s="1"/>
  <c r="AA268" i="1"/>
  <c r="W268" i="1"/>
  <c r="X268" i="1" s="1"/>
  <c r="AA404" i="1"/>
  <c r="U404" i="1"/>
  <c r="I404" i="1" s="1"/>
  <c r="W404" i="1"/>
  <c r="X404" i="1" s="1"/>
  <c r="W471" i="1"/>
  <c r="X471" i="1" s="1"/>
  <c r="U471" i="1"/>
  <c r="I471" i="1" s="1"/>
  <c r="AB471" i="1"/>
  <c r="AA471" i="1"/>
  <c r="AA426" i="1"/>
  <c r="W426" i="1"/>
  <c r="X426" i="1" s="1"/>
  <c r="U426" i="1"/>
  <c r="I426" i="1" s="1"/>
  <c r="AA91" i="1"/>
  <c r="W91" i="1"/>
  <c r="X91" i="1" s="1"/>
  <c r="U91" i="1"/>
  <c r="I91" i="1" s="1"/>
  <c r="U126" i="1"/>
  <c r="I126" i="1" s="1"/>
  <c r="W126" i="1"/>
  <c r="X126" i="1" s="1"/>
  <c r="AA126" i="1"/>
  <c r="AB446" i="1"/>
  <c r="U369" i="1"/>
  <c r="I369" i="1" s="1"/>
  <c r="AA369" i="1"/>
  <c r="W369" i="1"/>
  <c r="X369" i="1" s="1"/>
  <c r="AB519" i="1"/>
  <c r="AB432" i="1"/>
  <c r="AA208" i="1"/>
  <c r="W208" i="1"/>
  <c r="X208" i="1" s="1"/>
  <c r="U208" i="1"/>
  <c r="I208" i="1" s="1"/>
  <c r="U15" i="1"/>
  <c r="I15" i="1" s="1"/>
  <c r="AA15" i="1"/>
  <c r="W15" i="1"/>
  <c r="X15" i="1" s="1"/>
  <c r="W87" i="1"/>
  <c r="X87" i="1" s="1"/>
  <c r="U87" i="1"/>
  <c r="I87" i="1" s="1"/>
  <c r="AA87" i="1"/>
  <c r="AB372" i="1"/>
  <c r="U218" i="1"/>
  <c r="I218" i="1" s="1"/>
  <c r="W218" i="1"/>
  <c r="X218" i="1" s="1"/>
  <c r="AA218" i="1"/>
  <c r="AA172" i="1"/>
  <c r="U172" i="1"/>
  <c r="I172" i="1" s="1"/>
  <c r="W172" i="1"/>
  <c r="X172" i="1" s="1"/>
  <c r="AA434" i="1"/>
  <c r="W434" i="1"/>
  <c r="X434" i="1" s="1"/>
  <c r="U434" i="1"/>
  <c r="I434" i="1" s="1"/>
  <c r="AB287" i="1"/>
  <c r="AB253" i="1"/>
  <c r="U147" i="1"/>
  <c r="I147" i="1" s="1"/>
  <c r="AA147" i="1"/>
  <c r="W147" i="1"/>
  <c r="X147" i="1" s="1"/>
  <c r="AA45" i="1"/>
  <c r="W45" i="1"/>
  <c r="X45" i="1" s="1"/>
  <c r="U45" i="1"/>
  <c r="I45" i="1" s="1"/>
  <c r="U11" i="1"/>
  <c r="I11" i="1" s="1"/>
  <c r="AA11" i="1"/>
  <c r="W11" i="1"/>
  <c r="X11" i="1" s="1"/>
  <c r="AA264" i="1"/>
  <c r="W264" i="1"/>
  <c r="X264" i="1" s="1"/>
  <c r="U264" i="1"/>
  <c r="I264" i="1" s="1"/>
  <c r="U240" i="1"/>
  <c r="I240" i="1" s="1"/>
  <c r="AA240" i="1"/>
  <c r="W240" i="1"/>
  <c r="X240" i="1" s="1"/>
  <c r="AB208" i="1"/>
  <c r="AB158" i="1"/>
  <c r="AA64" i="1"/>
  <c r="U64" i="1"/>
  <c r="I64" i="1" s="1"/>
  <c r="W64" i="1"/>
  <c r="X64" i="1" s="1"/>
  <c r="W121" i="1"/>
  <c r="X121" i="1" s="1"/>
  <c r="AA121" i="1"/>
  <c r="U121" i="1"/>
  <c r="I121" i="1" s="1"/>
  <c r="AB183" i="1"/>
  <c r="W157" i="1"/>
  <c r="X157" i="1" s="1"/>
  <c r="U157" i="1"/>
  <c r="I157" i="1" s="1"/>
  <c r="AA157" i="1"/>
  <c r="U265" i="1"/>
  <c r="I265" i="1" s="1"/>
  <c r="W265" i="1"/>
  <c r="X265" i="1" s="1"/>
  <c r="AA265" i="1"/>
  <c r="AB265" i="1"/>
  <c r="W242" i="1"/>
  <c r="X242" i="1" s="1"/>
  <c r="AA242" i="1"/>
  <c r="U242" i="1"/>
  <c r="I242" i="1" s="1"/>
  <c r="AB96" i="1"/>
  <c r="AB15" i="1"/>
  <c r="AB129" i="1"/>
  <c r="U522" i="1"/>
  <c r="I522" i="1" s="1"/>
  <c r="AA522" i="1"/>
  <c r="W522" i="1"/>
  <c r="X522" i="1" s="1"/>
  <c r="U318" i="1"/>
  <c r="I318" i="1" s="1"/>
  <c r="AA318" i="1"/>
  <c r="W318" i="1"/>
  <c r="X318" i="1" s="1"/>
  <c r="W184" i="1"/>
  <c r="X184" i="1" s="1"/>
  <c r="AA184" i="1"/>
  <c r="U184" i="1"/>
  <c r="I184" i="1" s="1"/>
  <c r="W551" i="1"/>
  <c r="X551" i="1" s="1"/>
  <c r="AA551" i="1"/>
  <c r="U551" i="1"/>
  <c r="I551" i="1" s="1"/>
  <c r="U552" i="1"/>
  <c r="I552" i="1" s="1"/>
  <c r="AA552" i="1"/>
  <c r="W552" i="1"/>
  <c r="X552" i="1" s="1"/>
  <c r="AA501" i="1"/>
  <c r="W501" i="1"/>
  <c r="X501" i="1" s="1"/>
  <c r="U501" i="1"/>
  <c r="I501" i="1" s="1"/>
  <c r="AB501" i="1"/>
  <c r="U347" i="1"/>
  <c r="I347" i="1" s="1"/>
  <c r="AA347" i="1"/>
  <c r="W347" i="1"/>
  <c r="X347" i="1" s="1"/>
  <c r="U257" i="1"/>
  <c r="I257" i="1" s="1"/>
  <c r="AA257" i="1"/>
  <c r="AB257" i="1"/>
  <c r="W257" i="1"/>
  <c r="X257" i="1" s="1"/>
  <c r="AA561" i="1"/>
  <c r="U561" i="1"/>
  <c r="I561" i="1" s="1"/>
  <c r="W561" i="1"/>
  <c r="X561" i="1" s="1"/>
  <c r="U489" i="1"/>
  <c r="I489" i="1" s="1"/>
  <c r="AA489" i="1"/>
  <c r="W489" i="1"/>
  <c r="X489" i="1" s="1"/>
  <c r="AB551" i="1"/>
  <c r="AA526" i="1"/>
  <c r="U526" i="1"/>
  <c r="I526" i="1" s="1"/>
  <c r="W526" i="1"/>
  <c r="X526" i="1" s="1"/>
  <c r="AB477" i="1"/>
  <c r="U499" i="1"/>
  <c r="I499" i="1" s="1"/>
  <c r="W499" i="1"/>
  <c r="X499" i="1" s="1"/>
  <c r="AA499" i="1"/>
  <c r="AA258" i="1"/>
  <c r="W258" i="1"/>
  <c r="X258" i="1" s="1"/>
  <c r="U258" i="1"/>
  <c r="I258" i="1" s="1"/>
  <c r="U487" i="1"/>
  <c r="I487" i="1" s="1"/>
  <c r="W487" i="1"/>
  <c r="X487" i="1" s="1"/>
  <c r="AA487" i="1"/>
  <c r="AA370" i="1"/>
  <c r="W370" i="1"/>
  <c r="X370" i="1" s="1"/>
  <c r="U370" i="1"/>
  <c r="I370" i="1" s="1"/>
  <c r="AB507" i="1"/>
  <c r="AB524" i="1"/>
  <c r="U320" i="1"/>
  <c r="I320" i="1" s="1"/>
  <c r="AA320" i="1"/>
  <c r="W320" i="1"/>
  <c r="X320" i="1" s="1"/>
  <c r="AB320" i="1"/>
  <c r="AA360" i="1"/>
  <c r="W360" i="1"/>
  <c r="X360" i="1" s="1"/>
  <c r="U360" i="1"/>
  <c r="I360" i="1" s="1"/>
  <c r="U379" i="1"/>
  <c r="I379" i="1" s="1"/>
  <c r="W379" i="1"/>
  <c r="X379" i="1" s="1"/>
  <c r="AA379" i="1"/>
  <c r="AB379" i="1"/>
  <c r="AA330" i="1"/>
  <c r="W330" i="1"/>
  <c r="X330" i="1" s="1"/>
  <c r="U330" i="1"/>
  <c r="I330" i="1" s="1"/>
  <c r="AA283" i="1"/>
  <c r="U283" i="1"/>
  <c r="I283" i="1" s="1"/>
  <c r="W283" i="1"/>
  <c r="X283" i="1" s="1"/>
  <c r="W212" i="1"/>
  <c r="X212" i="1" s="1"/>
  <c r="AA212" i="1"/>
  <c r="U212" i="1"/>
  <c r="I212" i="1" s="1"/>
  <c r="U220" i="1"/>
  <c r="I220" i="1" s="1"/>
  <c r="W220" i="1"/>
  <c r="X220" i="1" s="1"/>
  <c r="AA220" i="1"/>
  <c r="AA304" i="1"/>
  <c r="W304" i="1"/>
  <c r="X304" i="1" s="1"/>
  <c r="U304" i="1"/>
  <c r="I304" i="1" s="1"/>
  <c r="AB278" i="1"/>
  <c r="U250" i="1"/>
  <c r="I250" i="1" s="1"/>
  <c r="AB250" i="1"/>
  <c r="AA250" i="1"/>
  <c r="W250" i="1"/>
  <c r="X250" i="1" s="1"/>
  <c r="AB220" i="1"/>
  <c r="U180" i="1"/>
  <c r="I180" i="1" s="1"/>
  <c r="W180" i="1"/>
  <c r="X180" i="1" s="1"/>
  <c r="AA180" i="1"/>
  <c r="AB180" i="1"/>
  <c r="AB304" i="1"/>
  <c r="AB244" i="1"/>
  <c r="W142" i="1"/>
  <c r="X142" i="1" s="1"/>
  <c r="U142" i="1"/>
  <c r="I142" i="1" s="1"/>
  <c r="AB142" i="1"/>
  <c r="AA142" i="1"/>
  <c r="AA48" i="1"/>
  <c r="W48" i="1"/>
  <c r="X48" i="1" s="1"/>
  <c r="U48" i="1"/>
  <c r="I48" i="1" s="1"/>
  <c r="AB48" i="1"/>
  <c r="W136" i="1"/>
  <c r="X136" i="1" s="1"/>
  <c r="AB136" i="1"/>
  <c r="U136" i="1"/>
  <c r="I136" i="1" s="1"/>
  <c r="AA136" i="1"/>
  <c r="AA203" i="1"/>
  <c r="W203" i="1"/>
  <c r="X203" i="1" s="1"/>
  <c r="U203" i="1"/>
  <c r="I203" i="1" s="1"/>
  <c r="AB112" i="1"/>
  <c r="AB268" i="1"/>
  <c r="U177" i="1"/>
  <c r="I177" i="1" s="1"/>
  <c r="AA177" i="1"/>
  <c r="W177" i="1"/>
  <c r="X177" i="1" s="1"/>
  <c r="AA133" i="1"/>
  <c r="U133" i="1"/>
  <c r="I133" i="1" s="1"/>
  <c r="W133" i="1"/>
  <c r="X133" i="1" s="1"/>
  <c r="AA84" i="1"/>
  <c r="W84" i="1"/>
  <c r="X84" i="1" s="1"/>
  <c r="U84" i="1"/>
  <c r="I84" i="1" s="1"/>
  <c r="AB203" i="1"/>
  <c r="W61" i="1"/>
  <c r="X61" i="1" s="1"/>
  <c r="U61" i="1"/>
  <c r="I61" i="1" s="1"/>
  <c r="AA61" i="1"/>
  <c r="AB140" i="1"/>
  <c r="AB116" i="1"/>
  <c r="AB90" i="1"/>
  <c r="AB11" i="1"/>
  <c r="AB121" i="1"/>
  <c r="U559" i="1"/>
  <c r="I559" i="1" s="1"/>
  <c r="AA559" i="1"/>
  <c r="AB559" i="1"/>
  <c r="W559" i="1"/>
  <c r="X559" i="1" s="1"/>
  <c r="U429" i="1"/>
  <c r="I429" i="1" s="1"/>
  <c r="AA429" i="1"/>
  <c r="W429" i="1"/>
  <c r="X429" i="1" s="1"/>
  <c r="AB429" i="1"/>
  <c r="U327" i="1"/>
  <c r="I327" i="1" s="1"/>
  <c r="W327" i="1"/>
  <c r="X327" i="1" s="1"/>
  <c r="AA327" i="1"/>
  <c r="AA440" i="1"/>
  <c r="U440" i="1"/>
  <c r="I440" i="1" s="1"/>
  <c r="W440" i="1"/>
  <c r="X440" i="1" s="1"/>
  <c r="AB547" i="1"/>
  <c r="AB496" i="1"/>
  <c r="AA496" i="1"/>
  <c r="W496" i="1"/>
  <c r="X496" i="1" s="1"/>
  <c r="U496" i="1"/>
  <c r="I496" i="1" s="1"/>
  <c r="U390" i="1"/>
  <c r="I390" i="1" s="1"/>
  <c r="AA390" i="1"/>
  <c r="W390" i="1"/>
  <c r="X390" i="1" s="1"/>
  <c r="AA248" i="1"/>
  <c r="W248" i="1"/>
  <c r="X248" i="1" s="1"/>
  <c r="U248" i="1"/>
  <c r="I248" i="1" s="1"/>
  <c r="AB454" i="1"/>
  <c r="AA228" i="1"/>
  <c r="W228" i="1"/>
  <c r="X228" i="1" s="1"/>
  <c r="U228" i="1"/>
  <c r="I228" i="1" s="1"/>
  <c r="AA511" i="1"/>
  <c r="W511" i="1"/>
  <c r="X511" i="1" s="1"/>
  <c r="U511" i="1"/>
  <c r="I511" i="1" s="1"/>
  <c r="U376" i="1"/>
  <c r="I376" i="1" s="1"/>
  <c r="AA376" i="1"/>
  <c r="W376" i="1"/>
  <c r="X376" i="1" s="1"/>
  <c r="AB420" i="1"/>
  <c r="AB506" i="1"/>
  <c r="AB426" i="1"/>
  <c r="U237" i="1"/>
  <c r="I237" i="1" s="1"/>
  <c r="AA237" i="1"/>
  <c r="AB237" i="1"/>
  <c r="W237" i="1"/>
  <c r="X237" i="1" s="1"/>
  <c r="AB440" i="1"/>
  <c r="AA139" i="1"/>
  <c r="U139" i="1"/>
  <c r="I139" i="1" s="1"/>
  <c r="W139" i="1"/>
  <c r="X139" i="1" s="1"/>
  <c r="AB83" i="1"/>
  <c r="U198" i="1"/>
  <c r="I198" i="1" s="1"/>
  <c r="AA198" i="1"/>
  <c r="W198" i="1"/>
  <c r="X198" i="1" s="1"/>
  <c r="AA312" i="1"/>
  <c r="U312" i="1"/>
  <c r="I312" i="1" s="1"/>
  <c r="W312" i="1"/>
  <c r="X312" i="1" s="1"/>
  <c r="AB293" i="1"/>
  <c r="AB314" i="1"/>
  <c r="AA366" i="1"/>
  <c r="U366" i="1"/>
  <c r="I366" i="1" s="1"/>
  <c r="W366" i="1"/>
  <c r="X366" i="1" s="1"/>
  <c r="U197" i="1"/>
  <c r="I197" i="1" s="1"/>
  <c r="AB197" i="1"/>
  <c r="AA197" i="1"/>
  <c r="W197" i="1"/>
  <c r="X197" i="1" s="1"/>
  <c r="AB7" i="1"/>
  <c r="AB254" i="1"/>
  <c r="AA56" i="1"/>
  <c r="W56" i="1"/>
  <c r="X56" i="1" s="1"/>
  <c r="U56" i="1"/>
  <c r="I56" i="1" s="1"/>
  <c r="AB141" i="1"/>
  <c r="U63" i="1"/>
  <c r="I63" i="1" s="1"/>
  <c r="AA63" i="1"/>
  <c r="W63" i="1"/>
  <c r="X63" i="1" s="1"/>
  <c r="U17" i="1"/>
  <c r="I17" i="1" s="1"/>
  <c r="W17" i="1"/>
  <c r="X17" i="1" s="1"/>
  <c r="AA17" i="1"/>
  <c r="AA99" i="1"/>
  <c r="W99" i="1"/>
  <c r="X99" i="1" s="1"/>
  <c r="AB99" i="1"/>
  <c r="U99" i="1"/>
  <c r="I99" i="1" s="1"/>
  <c r="W32" i="1"/>
  <c r="X32" i="1" s="1"/>
  <c r="AA32" i="1"/>
  <c r="U32" i="1"/>
  <c r="I32" i="1" s="1"/>
  <c r="W108" i="1"/>
  <c r="X108" i="1" s="1"/>
  <c r="AA108" i="1"/>
  <c r="U108" i="1"/>
  <c r="I108" i="1" s="1"/>
  <c r="AB63" i="1"/>
  <c r="AA28" i="1"/>
  <c r="U28" i="1"/>
  <c r="I28" i="1" s="1"/>
  <c r="W28" i="1"/>
  <c r="X28" i="1" s="1"/>
  <c r="AB62" i="1"/>
  <c r="AB25" i="1"/>
  <c r="AB81" i="1"/>
  <c r="AB45" i="1"/>
  <c r="AB10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752" authorId="0" shapeId="0" xr:uid="{00000000-0006-0000-0100-000001000000}">
      <text>
        <r>
          <rPr>
            <sz val="1"/>
            <color indexed="8"/>
            <rFont val="Helvetica Neue"/>
            <family val="2"/>
          </rPr>
          <t>Microsoft Office User:
por cobrar</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<sst xmlns="http://schemas.openxmlformats.org/spreadsheetml/2006/main" count="18174" uniqueCount="5425">
  <si>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</si>
  <si>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</si>
  <si>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</si>
  <si>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</si>
  <si>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</si>
  <si>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</si>
  <si>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</si>
  <si>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</si>
  <si>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</si>
  <si>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</si>
  <si>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</si>
  <si>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</si>
  <si>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</si>
  <si>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</si>
  <si>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</si>
  <si>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</si>
  <si>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</si>
  <si>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</si>
  <si>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</si>
  <si>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</si>
  <si>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</si>
  <si>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</si>
  <si>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</si>
  <si>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</si>
  <si>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</si>
  <si>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</si>
  <si>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</si>
  <si>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</si>
  <si>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</si>
  <si>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</si>
  <si>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</si>
  <si>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</si>
  <si>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</si>
  <si>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</si>
  <si>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</si>
  <si>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</si>
  <si>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</si>
  <si>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</si>
  <si>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</si>
  <si>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</si>
  <si>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</si>
  <si>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</si>
  <si>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</si>
  <si>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</si>
  <si>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</si>
  <si>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</si>
  <si>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</si>
  <si>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</si>
  <si>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</si>
  <si>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</si>
  <si>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</si>
  <si>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</si>
  <si>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</si>
  <si>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</si>
  <si>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</si>
  <si>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</si>
  <si>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</si>
  <si>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</si>
  <si>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</si>
  <si>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</si>
  <si>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</si>
  <si>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</si>
  <si>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</si>
  <si>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</si>
  <si>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</si>
  <si>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</si>
  <si>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</si>
  <si>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</si>
  <si>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</si>
  <si>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</si>
  <si>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</si>
  <si>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</si>
  <si>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</si>
  <si>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</si>
  <si>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</si>
  <si>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</si>
  <si>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</si>
  <si>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</si>
  <si>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</si>
  <si>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</si>
  <si>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</si>
  <si>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</si>
  <si>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</si>
  <si>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</si>
  <si>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</si>
  <si>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</si>
  <si>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</si>
  <si>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</si>
  <si>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</si>
  <si>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</si>
  <si>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</si>
  <si>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</si>
  <si>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</si>
  <si>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</si>
  <si>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</si>
  <si>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</si>
  <si>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</si>
  <si>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</si>
  <si>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</si>
  <si>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</si>
  <si>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</si>
  <si>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</si>
  <si>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</si>
  <si>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</si>
  <si>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</si>
  <si>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</si>
  <si>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</si>
  <si>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</si>
  <si>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</si>
  <si>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</si>
  <si>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</si>
  <si>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</si>
  <si>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</si>
  <si>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</si>
  <si>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</si>
  <si>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</si>
  <si>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</si>
  <si>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</si>
  <si>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</si>
  <si>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</si>
  <si>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</si>
  <si>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</si>
  <si>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</si>
  <si>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</si>
  <si>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</si>
  <si>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</si>
  <si>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</si>
  <si>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</si>
  <si>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</si>
  <si>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</si>
  <si>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</si>
  <si>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</si>
  <si>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</si>
  <si>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</si>
  <si>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</si>
  <si>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</si>
  <si>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</si>
  <si>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</si>
  <si>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</si>
  <si>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</si>
  <si>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</si>
  <si>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</si>
  <si>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</si>
  <si>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</si>
  <si>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</si>
  <si>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</si>
  <si>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</si>
  <si>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</si>
  <si>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</si>
  <si>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</si>
  <si>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</si>
  <si>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</si>
  <si>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</si>
  <si>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</si>
  <si>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</si>
  <si>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</si>
  <si>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</si>
  <si>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</si>
  <si>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</si>
  <si>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</si>
  <si>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</si>
  <si>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</si>
  <si>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</si>
  <si>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</si>
  <si>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</si>
  <si>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</si>
  <si>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</si>
  <si>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</si>
  <si>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</si>
  <si>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</si>
  <si>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</si>
  <si>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</si>
  <si>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</si>
  <si>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</si>
  <si>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</si>
  <si>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</si>
  <si>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</si>
  <si>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</si>
  <si>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</si>
  <si>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</si>
  <si>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</si>
  <si>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</si>
  <si>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</si>
  <si>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</si>
  <si>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</si>
  <si>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</si>
  <si>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</si>
  <si>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</si>
  <si>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</si>
  <si>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</si>
  <si>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</si>
  <si>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</si>
  <si>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</si>
  <si>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</si>
  <si>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</si>
  <si>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</si>
  <si>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</si>
  <si>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</si>
  <si>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</si>
  <si>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</si>
  <si>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</si>
  <si>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</si>
  <si>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</si>
  <si>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</si>
  <si>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</si>
  <si>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</si>
  <si>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</si>
  <si>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</si>
  <si>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</si>
  <si>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</si>
  <si>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</si>
  <si>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</si>
  <si>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</si>
  <si>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</si>
  <si>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</si>
  <si>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</si>
  <si>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</si>
  <si>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</si>
  <si>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</si>
  <si>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</si>
  <si>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</si>
  <si>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</si>
  <si>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</si>
  <si>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</si>
  <si>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</si>
  <si>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</si>
  <si>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</si>
  <si>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</si>
  <si>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</si>
  <si>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</si>
  <si>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</si>
  <si>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</si>
  <si>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</si>
  <si>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</si>
  <si>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</si>
  <si>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</si>
  <si>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</si>
  <si>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</si>
  <si>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</si>
  <si>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</si>
  <si>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</si>
  <si>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</si>
  <si>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</si>
  <si>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</si>
  <si>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</si>
  <si>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</si>
  <si>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</si>
  <si>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</si>
  <si>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</si>
  <si>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</si>
  <si>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</si>
  <si>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</si>
  <si>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</si>
  <si>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</si>
  <si>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</si>
  <si>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</si>
  <si>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</si>
  <si>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</si>
  <si>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</si>
  <si>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</si>
  <si>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</si>
  <si>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</si>
  <si>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</si>
  <si>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</si>
  <si>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</si>
  <si>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</si>
  <si>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</si>
  <si>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</si>
  <si>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</si>
  <si>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</si>
  <si>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</si>
  <si>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</si>
  <si>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</si>
  <si>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</si>
  <si>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</si>
  <si>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</si>
  <si>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</si>
  <si>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</si>
  <si>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</si>
  <si>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</si>
  <si>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</si>
  <si>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</si>
  <si>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</si>
  <si>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</si>
  <si>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</si>
  <si>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</si>
  <si>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</si>
  <si>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</si>
  <si>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</si>
  <si>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</si>
  <si>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</si>
  <si>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</si>
  <si>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</si>
  <si>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</si>
  <si>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</si>
  <si>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</si>
  <si>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</si>
  <si>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</si>
  <si>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</si>
  <si>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</si>
  <si>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</si>
  <si>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</si>
  <si>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</si>
  <si>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</si>
  <si>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</si>
  <si>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</si>
  <si>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</si>
  <si>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</si>
  <si>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</si>
  <si>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</si>
  <si>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</si>
  <si>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</si>
  <si>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</si>
  <si>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</si>
  <si>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</si>
  <si>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</si>
  <si>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</si>
  <si>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</si>
  <si>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</si>
  <si>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</si>
  <si>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</si>
  <si>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</si>
  <si>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</si>
  <si>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</si>
  <si>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</si>
  <si>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</si>
  <si>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</si>
  <si>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</si>
  <si>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</si>
  <si>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</si>
  <si>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</si>
  <si>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</si>
  <si>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</si>
  <si>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</si>
  <si>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</si>
  <si>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</si>
  <si>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</si>
  <si>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</si>
  <si>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</si>
  <si>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</si>
  <si>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</si>
  <si>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</si>
  <si>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</si>
  <si>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</si>
  <si>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</si>
  <si>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</si>
  <si>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</si>
  <si>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</si>
  <si>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</si>
  <si>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</si>
  <si>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</si>
  <si>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</si>
  <si>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</si>
  <si>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</si>
  <si>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</si>
  <si>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</si>
  <si>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</si>
  <si>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</si>
  <si>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</si>
  <si>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</si>
  <si>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</si>
  <si>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</si>
  <si>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</si>
  <si>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</si>
  <si>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</si>
  <si>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</si>
  <si>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</si>
  <si>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</si>
  <si>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</si>
  <si>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</si>
  <si>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</si>
  <si>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</si>
  <si>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</si>
  <si>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</si>
  <si>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</si>
  <si>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</si>
  <si>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</si>
  <si>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</si>
  <si>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</si>
  <si>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</si>
  <si>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</si>
  <si>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</si>
  <si>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</si>
  <si>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</si>
  <si>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</si>
  <si>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</si>
  <si>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</si>
  <si>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</si>
  <si>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</si>
  <si>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</si>
  <si>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</si>
  <si>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</si>
  <si>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</si>
  <si>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</si>
  <si>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</si>
  <si>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</si>
  <si>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</si>
  <si>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</si>
  <si>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</si>
  <si>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</si>
  <si>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</si>
  <si>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</si>
  <si>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</si>
  <si>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</si>
  <si>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</si>
  <si>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</si>
  <si>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</si>
  <si>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</si>
  <si>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</si>
  <si>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</si>
  <si>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</si>
  <si>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</si>
  <si>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</si>
  <si>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</si>
  <si>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</si>
  <si>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</si>
  <si>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</si>
  <si>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</si>
  <si>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</si>
  <si>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</si>
  <si>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</si>
  <si>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</si>
  <si>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</si>
  <si>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</si>
  <si>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</si>
  <si>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</si>
  <si>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</si>
  <si>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</si>
  <si>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</si>
  <si>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</si>
  <si>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</si>
  <si>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</si>
  <si>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</si>
  <si>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</si>
  <si>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</si>
  <si>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</si>
  <si>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</si>
  <si>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</si>
  <si>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</si>
  <si>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</si>
  <si>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</si>
  <si>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</si>
  <si>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</si>
  <si>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</si>
  <si>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</si>
  <si>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</si>
  <si>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</si>
  <si>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</si>
  <si>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</si>
  <si>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</si>
  <si>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</si>
  <si>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</si>
  <si>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</si>
  <si>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</si>
  <si>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</si>
  <si>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</si>
  <si>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</si>
  <si>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</si>
  <si>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</si>
  <si>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</si>
  <si>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</si>
  <si>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</si>
  <si>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</si>
  <si>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</si>
  <si>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</si>
  <si>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</si>
  <si>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</si>
  <si>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</si>
  <si>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</si>
  <si>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</si>
  <si>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</si>
  <si>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</si>
  <si>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</si>
  <si>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</si>
  <si>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</si>
  <si>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</si>
  <si>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</si>
  <si>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</si>
  <si>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</si>
  <si>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</si>
  <si>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</si>
  <si>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</si>
  <si>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</si>
  <si>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</si>
  <si>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</si>
  <si>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</si>
  <si>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</si>
  <si>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</si>
  <si>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</si>
  <si>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</si>
  <si>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</si>
  <si>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</si>
  <si>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</si>
  <si>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</si>
  <si>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</si>
  <si>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</si>
  <si>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</si>
  <si>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</si>
  <si>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</si>
  <si>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</si>
  <si>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</si>
  <si>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</si>
  <si>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</si>
  <si>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</si>
  <si>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</si>
  <si>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</si>
  <si>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</si>
  <si>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</si>
  <si>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</si>
  <si>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</si>
  <si>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</si>
  <si>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</si>
  <si>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</si>
  <si>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</si>
  <si>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</si>
  <si>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</si>
  <si>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</si>
  <si>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</si>
  <si>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</si>
  <si>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</si>
  <si>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</si>
  <si>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</si>
  <si>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</si>
  <si>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</si>
  <si>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</si>
  <si>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</si>
  <si>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</si>
  <si>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</si>
  <si>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</si>
  <si>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</si>
  <si>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</si>
  <si>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</si>
  <si>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</si>
  <si>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</si>
  <si>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</si>
  <si>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</si>
  <si>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</si>
  <si>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</si>
  <si>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</si>
  <si>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</si>
  <si>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</si>
  <si>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</si>
  <si>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</si>
  <si>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</si>
  <si>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</si>
  <si>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</si>
  <si>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</si>
  <si>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</si>
  <si>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</si>
  <si>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</si>
  <si>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</si>
  <si>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</si>
  <si>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</si>
  <si>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</si>
  <si>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</si>
  <si>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</si>
  <si>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</si>
  <si>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</si>
  <si>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</si>
  <si>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</si>
  <si>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</si>
  <si>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</si>
  <si>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</si>
  <si>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</si>
  <si>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</si>
  <si>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</si>
  <si>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</si>
  <si>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</si>
  <si>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</si>
  <si>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</si>
  <si>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</si>
  <si>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</si>
  <si>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</si>
  <si>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</si>
  <si>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</si>
  <si>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</si>
  <si>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</si>
  <si>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</si>
  <si>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</si>
  <si>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</si>
  <si>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</si>
  <si>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</si>
  <si>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</si>
  <si>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</si>
  <si>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</si>
  <si>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</si>
  <si>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</si>
  <si>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</si>
  <si>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</si>
  <si>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</si>
  <si>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</si>
  <si>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</si>
  <si>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</si>
  <si>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</si>
  <si>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</si>
  <si>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</si>
  <si>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</si>
  <si>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</si>
  <si>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</si>
  <si>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</si>
  <si>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</si>
  <si>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</si>
  <si>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</si>
  <si>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</si>
  <si>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</si>
  <si>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</si>
  <si>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</si>
  <si>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</si>
  <si>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</si>
  <si>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</si>
  <si>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</si>
  <si>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</si>
  <si>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</si>
  <si>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</si>
  <si>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</si>
  <si>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</si>
  <si>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</si>
  <si>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</si>
  <si>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</si>
  <si>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</si>
  <si>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</si>
  <si>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</si>
  <si>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</si>
  <si>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</si>
  <si>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</si>
  <si>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</si>
  <si>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</si>
  <si>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</si>
  <si>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</si>
  <si>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</si>
  <si>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</si>
  <si>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</si>
  <si>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</si>
  <si>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</si>
  <si>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</si>
  <si>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</si>
  <si>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</si>
  <si>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</si>
  <si>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</si>
  <si>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</si>
  <si>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</si>
  <si>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</si>
  <si>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</si>
  <si>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</si>
  <si>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</si>
  <si>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</si>
  <si>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</si>
  <si>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</si>
  <si>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</si>
  <si>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</si>
  <si>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</si>
  <si>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</si>
  <si>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</si>
  <si>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</si>
  <si>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</si>
  <si>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</si>
  <si>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</si>
  <si>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</si>
  <si>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</si>
  <si>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</si>
  <si>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</si>
  <si>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</si>
  <si>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</si>
  <si>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</si>
  <si>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</si>
  <si>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</si>
  <si>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</si>
  <si>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</si>
  <si>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</si>
  <si>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</si>
  <si>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</si>
  <si>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</si>
  <si>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</si>
  <si>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</si>
  <si>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</si>
  <si>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</si>
  <si>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</si>
  <si>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</si>
  <si>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</si>
  <si>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</si>
  <si>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</si>
  <si>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</si>
  <si>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</si>
  <si>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</si>
  <si>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</si>
  <si>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</si>
  <si>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</si>
  <si>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</si>
  <si>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</si>
  <si>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</si>
  <si>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</si>
  <si>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</si>
  <si>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</si>
  <si>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</si>
  <si>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</si>
  <si>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</si>
  <si>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</si>
  <si>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</si>
  <si>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</si>
  <si>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</si>
  <si>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</si>
  <si>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</si>
  <si>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</si>
  <si>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</si>
  <si>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</si>
  <si>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</si>
  <si>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</si>
  <si>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</si>
  <si>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</si>
  <si>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</si>
  <si>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</si>
  <si>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</si>
  <si>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</si>
  <si>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</si>
  <si>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</si>
  <si>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</si>
  <si>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</si>
  <si>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</si>
  <si>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</si>
  <si>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</si>
  <si>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</si>
  <si>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</si>
  <si>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</si>
  <si>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</si>
  <si>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</si>
  <si>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</si>
  <si>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</si>
  <si>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</si>
  <si>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</si>
  <si>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</si>
  <si>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</si>
  <si>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</si>
  <si>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</si>
  <si>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</si>
  <si>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</si>
  <si>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</si>
  <si>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</si>
  <si>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</si>
  <si>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</si>
  <si>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</si>
  <si>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</si>
  <si>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</si>
  <si>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</si>
  <si>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</si>
  <si>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</si>
  <si>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</si>
  <si>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</si>
  <si>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</si>
  <si>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</si>
  <si>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</si>
  <si>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</si>
  <si>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</si>
  <si>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</si>
  <si>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</si>
  <si>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</si>
  <si>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</si>
  <si>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</si>
  <si>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</si>
  <si>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</si>
  <si>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</si>
  <si>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</si>
  <si>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</si>
  <si>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</si>
  <si>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</si>
  <si>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</si>
  <si>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</si>
  <si>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</si>
  <si>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</si>
  <si>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</si>
  <si>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</si>
  <si>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</si>
  <si>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</si>
  <si>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</si>
  <si>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</si>
  <si>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</si>
  <si>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</si>
  <si>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</si>
  <si>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</si>
  <si>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</si>
  <si>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</si>
  <si>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</si>
  <si>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</si>
  <si>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</si>
  <si>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</si>
  <si>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</si>
  <si>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</si>
  <si>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</si>
  <si>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</si>
  <si>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</si>
  <si>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</si>
  <si>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</si>
  <si>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</si>
  <si>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</si>
  <si>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</si>
  <si>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</si>
  <si>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</si>
  <si>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</si>
  <si>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</si>
  <si>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</si>
  <si>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</si>
  <si>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</si>
  <si>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</si>
  <si>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</si>
  <si>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</si>
  <si>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</si>
  <si>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</si>
  <si>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</si>
  <si>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</si>
  <si>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</si>
  <si>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</si>
  <si>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</si>
  <si>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</si>
  <si>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</si>
  <si>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</si>
  <si>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</si>
  <si>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</si>
  <si>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</si>
  <si>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</si>
  <si>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</si>
  <si>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</si>
  <si>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</si>
  <si>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</si>
  <si>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</si>
  <si>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</si>
  <si>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</si>
  <si>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</si>
  <si>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</si>
  <si>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</si>
  <si>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</si>
  <si>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</si>
  <si>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</si>
  <si>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</si>
  <si>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</si>
  <si>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</si>
  <si>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</si>
  <si>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</si>
  <si>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</si>
  <si>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</si>
  <si>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</si>
  <si>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</si>
  <si>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</si>
  <si>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</si>
  <si>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</si>
  <si>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</si>
  <si>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</si>
  <si>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</si>
  <si>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</si>
  <si>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</si>
  <si>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</si>
  <si>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</si>
  <si>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</si>
  <si>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</si>
  <si>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</si>
  <si>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</si>
  <si>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</si>
  <si>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</si>
  <si>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</si>
  <si>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</si>
  <si>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</si>
  <si>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</si>
  <si>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</si>
  <si>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</si>
  <si>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</si>
  <si>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</si>
  <si>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</si>
  <si>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</si>
  <si>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</si>
  <si>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</si>
  <si>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</si>
  <si>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</si>
  <si>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</si>
  <si>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</si>
  <si>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</si>
  <si>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</si>
  <si>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</si>
  <si>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</si>
  <si>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</si>
  <si>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</si>
  <si>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</si>
  <si>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</si>
  <si>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</si>
  <si>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</si>
  <si>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</si>
  <si>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</si>
  <si>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</si>
  <si>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</si>
  <si>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</si>
  <si>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</si>
  <si>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</si>
  <si>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</si>
  <si>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</si>
  <si>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</si>
  <si>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</si>
  <si>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</si>
  <si>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</si>
  <si>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</si>
  <si>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</si>
  <si>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</si>
  <si>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</si>
  <si>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</si>
  <si>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</si>
  <si>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</si>
  <si>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</si>
  <si>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</si>
  <si>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</si>
  <si>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</si>
  <si>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</si>
  <si>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</si>
  <si>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</si>
  <si>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</si>
  <si>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</si>
  <si>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</si>
  <si>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</si>
  <si>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</si>
  <si>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</si>
  <si>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</si>
  <si>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</si>
  <si>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</si>
  <si>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</si>
  <si>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</si>
  <si>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</si>
  <si>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</si>
  <si>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</si>
  <si>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</si>
  <si>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</si>
  <si>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</si>
  <si>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</si>
  <si>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</si>
  <si>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</si>
  <si>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</si>
  <si>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</si>
  <si>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</si>
  <si>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</si>
  <si>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</si>
  <si>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</si>
  <si>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</si>
  <si>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</si>
  <si>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</si>
  <si>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</si>
  <si>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</si>
  <si>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</si>
  <si>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</si>
  <si>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</si>
  <si>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</si>
  <si>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</si>
  <si>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</si>
  <si>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</si>
  <si>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</si>
  <si>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</si>
  <si>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</si>
  <si>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</si>
  <si>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</si>
  <si>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</si>
  <si>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</si>
  <si>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</si>
  <si>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</si>
  <si>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</si>
  <si>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</si>
  <si>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</si>
  <si>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</si>
  <si>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</si>
  <si>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</si>
  <si>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</si>
  <si>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</si>
  <si>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</si>
  <si>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</si>
  <si>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</si>
  <si>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</si>
  <si>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</si>
  <si>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</si>
  <si>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</si>
  <si>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</si>
  <si>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</si>
  <si>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</si>
  <si>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</si>
  <si>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</si>
  <si>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</si>
  <si>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</si>
  <si>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</si>
  <si>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</si>
  <si>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</si>
  <si>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</si>
  <si>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</si>
  <si>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</si>
  <si>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</si>
  <si>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</si>
  <si>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</si>
  <si>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</si>
  <si>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</si>
  <si>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</si>
  <si>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</si>
  <si>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</si>
  <si>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</si>
  <si>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</si>
  <si>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</si>
  <si>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</si>
  <si>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</si>
  <si>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</si>
  <si>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</si>
  <si>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</si>
  <si>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</si>
  <si>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</si>
  <si>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</si>
  <si>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</si>
  <si>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</si>
  <si>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</si>
  <si>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</si>
  <si>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</si>
  <si>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</si>
  <si>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</si>
  <si>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</si>
  <si>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</si>
  <si>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</si>
  <si>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</si>
  <si>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</si>
  <si>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</si>
  <si>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</si>
  <si>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</si>
  <si>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</si>
  <si>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</si>
  <si>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</si>
  <si>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</si>
  <si>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</si>
  <si>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</si>
  <si>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</si>
  <si>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</si>
  <si>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</si>
  <si>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</si>
  <si>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</si>
  <si>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</si>
  <si>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</si>
  <si>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</si>
  <si>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</si>
  <si>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</si>
  <si>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</si>
  <si>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</si>
  <si>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</si>
  <si>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</si>
  <si>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</si>
  <si>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</si>
  <si>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</si>
  <si>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</si>
  <si>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</si>
  <si>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</si>
  <si>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</si>
  <si>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</si>
  <si>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</si>
  <si>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</si>
  <si>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</si>
  <si>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</si>
  <si>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</si>
  <si>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</si>
  <si>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</si>
  <si>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</si>
  <si>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</si>
  <si>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</si>
  <si>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</si>
  <si>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</si>
  <si>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</si>
  <si>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</si>
  <si>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</si>
  <si>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</si>
  <si>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</si>
  <si>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</si>
  <si>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</si>
  <si>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</si>
  <si>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</si>
  <si>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</si>
  <si>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</si>
  <si>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</si>
  <si>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</si>
  <si>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</si>
  <si>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</si>
  <si>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</si>
  <si>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</si>
  <si>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</si>
  <si>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</si>
  <si>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</si>
  <si>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</si>
  <si>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</si>
  <si>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</si>
  <si>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</si>
  <si>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</si>
  <si>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</si>
  <si>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</si>
  <si>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</si>
  <si>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</si>
  <si>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</si>
  <si>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</si>
  <si>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</si>
  <si>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</si>
  <si>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</si>
  <si>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</si>
  <si>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</si>
  <si>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</si>
  <si>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</si>
  <si>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</si>
  <si>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</si>
  <si>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</si>
  <si>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</si>
  <si>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</si>
  <si>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</si>
  <si>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Talla 39</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</si>
  <si>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</si>
  <si>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</si>
  <si>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</si>
  <si>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</si>
  <si>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</si>
  <si>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</si>
  <si>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</si>
  <si>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</si>
  <si>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</si>
  <si>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</si>
  <si>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</si>
  <si>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</si>
  <si>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</si>
  <si>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</si>
  <si>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</si>
  <si>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</si>
  <si>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</si>
  <si>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</si>
  <si>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</si>
  <si>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</si>
  <si>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</si>
  <si>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</si>
  <si>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</si>
  <si>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</si>
  <si>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</si>
  <si>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</si>
  <si>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</si>
  <si>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</si>
  <si>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</si>
  <si>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</si>
  <si>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</si>
  <si>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</si>
  <si>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</si>
  <si>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</si>
  <si>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</si>
  <si>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</si>
  <si>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</si>
  <si>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</si>
  <si>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</si>
  <si>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</si>
  <si>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</si>
  <si>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</si>
  <si>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</si>
  <si>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</si>
  <si>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</si>
  <si>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</si>
  <si>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</si>
  <si>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</si>
  <si>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</si>
  <si>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</si>
  <si>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</si>
  <si>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</si>
  <si>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</si>
  <si>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</si>
  <si>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</si>
  <si>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</si>
  <si>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</si>
  <si>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</si>
  <si>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</si>
  <si>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</si>
  <si>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</si>
  <si>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</si>
  <si>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</si>
  <si>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</si>
  <si>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</si>
  <si>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</si>
  <si>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</si>
  <si>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</si>
  <si>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</si>
  <si>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</si>
  <si>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</si>
  <si>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</si>
  <si>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</si>
  <si>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</si>
  <si>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</si>
  <si>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</si>
  <si>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</si>
  <si>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</si>
  <si>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</si>
  <si>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</si>
  <si>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</si>
  <si>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</si>
  <si>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</si>
  <si>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</si>
  <si>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</si>
  <si>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</si>
  <si>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</si>
  <si>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</si>
  <si>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</si>
  <si>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</si>
  <si>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</si>
  <si>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</si>
  <si>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</si>
  <si>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</si>
  <si>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</si>
  <si>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</si>
  <si>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</si>
  <si>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</si>
  <si>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</si>
  <si>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</si>
  <si>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</si>
  <si>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</si>
  <si>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</si>
  <si>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</si>
  <si>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</si>
  <si>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</si>
  <si>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</si>
  <si>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</si>
  <si>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</si>
  <si>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</si>
  <si>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</si>
  <si>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</si>
  <si>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</si>
  <si>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</si>
  <si>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</si>
  <si>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</si>
  <si>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</si>
  <si>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</si>
  <si>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</si>
  <si>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</si>
  <si>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</si>
  <si>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</si>
  <si>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</si>
  <si>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</si>
  <si>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</si>
  <si>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</si>
  <si>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</si>
  <si>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</si>
  <si>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</si>
  <si>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</si>
  <si>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</si>
  <si>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</si>
  <si>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</si>
  <si>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</si>
  <si>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</si>
  <si>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</si>
  <si>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</si>
  <si>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</si>
  <si>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</si>
  <si>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</si>
  <si>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</si>
  <si>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</si>
  <si>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</si>
  <si>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</si>
  <si>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</si>
  <si>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</si>
  <si>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</si>
  <si>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</si>
  <si>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</si>
  <si>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</si>
  <si>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</si>
  <si>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</si>
  <si>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</si>
  <si>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</si>
  <si>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</si>
  <si>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</si>
  <si>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</si>
  <si>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</si>
  <si>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</si>
  <si>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</si>
  <si>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</si>
  <si>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</si>
  <si>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</si>
  <si>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</si>
  <si>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</si>
  <si>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</si>
  <si>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</si>
  <si>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</si>
  <si>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</si>
  <si>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</si>
  <si>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</si>
  <si>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</si>
  <si>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</si>
  <si>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</si>
  <si>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</si>
  <si>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</si>
  <si>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</si>
  <si>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</si>
  <si>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</si>
  <si>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</si>
  <si>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</si>
  <si>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</si>
  <si>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</si>
  <si>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</si>
  <si>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</si>
  <si>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</si>
  <si>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</si>
  <si>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</si>
  <si>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</si>
  <si>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</si>
  <si>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</si>
  <si>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</si>
  <si>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</si>
  <si>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</si>
  <si>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</si>
  <si>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</si>
  <si>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</si>
  <si>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</si>
  <si>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</si>
  <si>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</si>
  <si>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</si>
  <si>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</si>
  <si>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</si>
  <si>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</si>
  <si>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</si>
  <si>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</si>
  <si>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</si>
  <si>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</si>
  <si>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</si>
  <si>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</si>
  <si>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</si>
  <si>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</si>
  <si>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</si>
  <si>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</si>
  <si>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</si>
  <si>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</si>
  <si>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</si>
  <si>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</si>
  <si>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</si>
  <si>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</si>
  <si>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</si>
  <si>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</si>
  <si>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</si>
  <si>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</si>
  <si>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</si>
  <si>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</si>
  <si>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</si>
  <si>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</si>
  <si>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</si>
  <si>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</si>
  <si>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</si>
  <si>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</si>
  <si>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</si>
  <si>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</si>
  <si>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</si>
  <si>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</si>
  <si>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</si>
  <si>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</si>
  <si>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</si>
  <si>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</si>
  <si>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</si>
  <si>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</si>
  <si>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</si>
  <si>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</si>
  <si>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</si>
  <si>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</si>
  <si>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</si>
  <si>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</si>
  <si>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</si>
  <si>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</si>
  <si>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</si>
  <si>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</si>
  <si>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</si>
  <si>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</si>
  <si>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</si>
  <si>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</si>
  <si>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</si>
  <si>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</si>
  <si>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</si>
  <si>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</si>
  <si>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</si>
  <si>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</si>
  <si>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</si>
  <si>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</si>
  <si>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</si>
  <si>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</si>
  <si>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</si>
  <si>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</si>
  <si>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</si>
  <si>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</si>
  <si>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</si>
  <si>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</si>
  <si>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</si>
  <si>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</si>
  <si>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</si>
  <si>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</si>
  <si>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</si>
  <si>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</si>
  <si>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</si>
  <si>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</si>
  <si>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</si>
  <si>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</si>
  <si>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</si>
  <si>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</si>
  <si>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</si>
  <si>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</si>
  <si>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</si>
  <si>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</si>
  <si>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</si>
  <si>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</si>
  <si>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</si>
  <si>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</si>
  <si>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</si>
  <si>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</si>
  <si>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</si>
  <si>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</si>
  <si>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</si>
  <si>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</si>
  <si>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</si>
  <si>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</si>
  <si>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</si>
  <si>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</si>
  <si>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</si>
  <si>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</si>
  <si>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</si>
  <si>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</si>
  <si>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</si>
  <si>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</si>
  <si>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</si>
  <si>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</si>
  <si>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</si>
  <si>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</si>
  <si>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</si>
  <si>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</si>
  <si>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</si>
  <si>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</si>
  <si>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</si>
  <si>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</si>
  <si>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</si>
  <si>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</si>
  <si>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</si>
  <si>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</si>
  <si>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</si>
  <si>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</si>
  <si>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</si>
  <si>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</si>
  <si>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</si>
  <si>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</si>
  <si>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</si>
  <si>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</si>
  <si>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</si>
  <si>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</si>
  <si>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</si>
  <si>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</si>
  <si>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</si>
  <si>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</si>
  <si>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</si>
  <si>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</si>
  <si>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</si>
  <si>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</si>
  <si>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</si>
  <si>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</si>
  <si>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</si>
  <si>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</si>
  <si>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</si>
  <si>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</si>
  <si>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</si>
  <si>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</si>
  <si>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</si>
  <si>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</si>
  <si>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</si>
  <si>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</si>
  <si>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</si>
  <si>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</si>
  <si>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</si>
  <si>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</si>
  <si>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</si>
  <si>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</si>
  <si>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</si>
  <si>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</si>
  <si>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</si>
  <si>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</si>
  <si>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</si>
  <si>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</si>
  <si>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</si>
  <si>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</si>
  <si>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</si>
  <si>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</si>
  <si>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</si>
  <si>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</si>
  <si>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</si>
  <si>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</si>
  <si>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</si>
  <si>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</si>
  <si>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</si>
  <si>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</si>
  <si>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</si>
  <si>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</si>
  <si>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</si>
  <si>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</si>
  <si>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</si>
  <si>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</si>
  <si>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</si>
  <si>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</si>
  <si>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</si>
  <si>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</si>
  <si>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</si>
  <si>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</si>
  <si>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</si>
  <si>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</si>
  <si>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</si>
  <si>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</si>
  <si>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</si>
  <si>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</si>
  <si>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</si>
  <si>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</si>
  <si>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</si>
  <si>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</si>
  <si>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</si>
  <si>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</si>
  <si>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</si>
  <si>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</si>
  <si>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</si>
  <si>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</si>
  <si>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</si>
  <si>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</si>
  <si>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</si>
  <si>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</si>
  <si>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</si>
  <si>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</si>
  <si>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</si>
  <si>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</si>
  <si>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</si>
  <si>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</si>
  <si>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</si>
  <si>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</si>
  <si>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</si>
  <si>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</si>
  <si>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</si>
  <si>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</si>
  <si>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</si>
  <si>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</si>
  <si>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</si>
  <si>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</si>
  <si>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</si>
  <si>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</si>
  <si>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</si>
  <si>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</si>
  <si>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</si>
  <si>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</si>
  <si>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</si>
  <si>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</si>
  <si>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</si>
  <si>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</si>
  <si>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</si>
  <si>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</si>
  <si>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</si>
  <si>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</si>
  <si>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</si>
  <si>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</si>
  <si>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</si>
  <si>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</si>
  <si>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</si>
  <si>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</si>
  <si>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</si>
  <si>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</si>
  <si>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</si>
  <si>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</si>
  <si>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</si>
  <si>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</si>
  <si>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</si>
  <si>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</si>
  <si>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</si>
  <si>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</si>
  <si>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</si>
  <si>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</si>
  <si>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</si>
  <si>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</si>
  <si>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</si>
  <si>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</si>
  <si>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</si>
  <si>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</si>
  <si>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</si>
  <si>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</si>
  <si>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</si>
  <si>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</si>
  <si>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</si>
  <si>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</si>
  <si>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</si>
  <si>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</si>
  <si>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</si>
  <si>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</si>
  <si>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</si>
  <si>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</si>
  <si>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</si>
  <si>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</si>
  <si>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</si>
  <si>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</si>
  <si>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</si>
  <si>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</si>
  <si>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</si>
  <si>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</si>
  <si>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</si>
  <si>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</si>
  <si>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</si>
  <si>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</si>
  <si>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</si>
  <si>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</si>
  <si>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</si>
  <si>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40-41</t>
  </si>
  <si>
    <t>BU0670</t>
  </si>
  <si>
    <t>Talla 36-37</t>
  </si>
  <si>
    <t>BU06701</t>
  </si>
  <si>
    <t>Talla 38-39</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</si>
  <si>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</si>
  <si>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</si>
  <si>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</si>
  <si>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</si>
  <si>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</si>
  <si>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</si>
  <si>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</si>
  <si>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</si>
  <si>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</si>
  <si>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</si>
  <si>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</si>
  <si>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</si>
  <si>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</si>
  <si>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</si>
  <si>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</si>
  <si>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</si>
  <si>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</si>
  <si>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</si>
  <si>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</si>
  <si>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</si>
  <si>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</si>
  <si>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</si>
  <si>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</si>
  <si>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</si>
  <si>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</si>
  <si>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</si>
  <si>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</si>
  <si>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</si>
  <si>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</si>
  <si>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</si>
  <si>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</si>
  <si>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</si>
  <si>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</si>
  <si>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</si>
  <si>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</si>
  <si>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</si>
  <si>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</si>
  <si>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</si>
  <si>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</si>
  <si>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</si>
  <si>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</si>
  <si>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</si>
  <si>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</si>
  <si>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</si>
  <si>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</si>
  <si>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</si>
  <si>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</si>
  <si>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</si>
  <si>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</si>
  <si>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</si>
  <si>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</si>
  <si>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</si>
  <si>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</si>
  <si>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</si>
  <si>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</si>
  <si>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</si>
  <si>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</si>
  <si>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</si>
  <si>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</si>
  <si>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</si>
  <si>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</si>
  <si>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</si>
  <si>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</si>
  <si>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</si>
  <si>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</si>
  <si>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</si>
  <si>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</si>
  <si>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</si>
  <si>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</si>
  <si>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</si>
  <si>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</si>
  <si>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</si>
  <si>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</si>
  <si>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</si>
  <si>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</si>
  <si>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</si>
  <si>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</si>
  <si>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</si>
  <si>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</si>
  <si>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</si>
  <si>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</si>
  <si>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</si>
  <si>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</si>
  <si>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</si>
  <si>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</si>
  <si>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</si>
  <si>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</si>
  <si>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</si>
  <si>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</si>
  <si>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</si>
  <si>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</si>
  <si>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</si>
  <si>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</si>
  <si>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</si>
  <si>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</si>
  <si>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</si>
  <si>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</si>
  <si>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</si>
  <si>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</si>
  <si>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</si>
  <si>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</si>
  <si>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</si>
  <si>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</si>
  <si>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</si>
  <si>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</si>
  <si>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</si>
  <si>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</si>
  <si>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</si>
  <si>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</si>
  <si>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</si>
  <si>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</si>
  <si>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</si>
  <si>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</si>
  <si>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</si>
  <si>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</si>
  <si>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</si>
  <si>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</si>
  <si>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</si>
  <si>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</si>
  <si>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</si>
  <si>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</si>
  <si>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</si>
  <si>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</si>
  <si>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</si>
  <si>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</si>
  <si>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</si>
  <si>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</si>
  <si>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</si>
  <si>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</si>
  <si>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</si>
  <si>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</si>
  <si>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</si>
  <si>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</si>
  <si>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</si>
  <si>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</si>
  <si>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</si>
  <si>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</si>
  <si>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</si>
  <si>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</si>
  <si>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</si>
  <si>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</si>
  <si>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</si>
  <si>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</si>
  <si>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</si>
  <si>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</si>
  <si>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</si>
  <si>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</si>
  <si>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</si>
  <si>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</si>
  <si>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</si>
  <si>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</si>
  <si>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</si>
  <si>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</si>
  <si>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</si>
  <si>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</si>
  <si>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</si>
  <si>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</si>
  <si>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</si>
  <si>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</si>
  <si>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</si>
  <si>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</si>
  <si>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</si>
  <si>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</si>
  <si>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</si>
  <si>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</si>
  <si>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</si>
  <si>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</si>
  <si>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</si>
  <si>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</si>
  <si>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</si>
  <si>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</si>
  <si>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</si>
  <si>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</si>
  <si>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</si>
  <si>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</si>
  <si>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</si>
  <si>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</si>
  <si>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</si>
  <si>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</si>
  <si>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</si>
  <si>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</si>
  <si>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</si>
  <si>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</si>
  <si>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</si>
  <si>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</si>
  <si>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</si>
  <si>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</si>
  <si>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</si>
  <si>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</si>
  <si>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</si>
  <si>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</si>
  <si>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</si>
  <si>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</si>
  <si>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</si>
  <si>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</si>
  <si>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</si>
  <si>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</si>
  <si>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</si>
  <si>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</si>
  <si>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</si>
  <si>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</si>
  <si>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</si>
  <si>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</si>
  <si>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</si>
  <si>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</si>
  <si>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</si>
  <si>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</si>
  <si>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</si>
  <si>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</si>
  <si>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</si>
  <si>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</si>
  <si>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</si>
  <si>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</si>
  <si>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</si>
  <si>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</si>
  <si>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</si>
  <si>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</si>
  <si>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</si>
  <si>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</si>
  <si>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</si>
  <si>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</si>
  <si>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</si>
  <si>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</si>
  <si>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</si>
  <si>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</si>
  <si>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</si>
  <si>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</si>
  <si>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</si>
  <si>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</si>
  <si>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</si>
  <si>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</si>
  <si>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</si>
  <si>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</si>
  <si>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</si>
  <si>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</si>
  <si>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</si>
  <si>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</si>
  <si>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</si>
  <si>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</si>
  <si>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</si>
  <si>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</si>
  <si>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</si>
  <si>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</si>
  <si>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</si>
  <si>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</si>
  <si>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</si>
  <si>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</si>
  <si>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</si>
  <si>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</si>
  <si>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</si>
  <si>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</si>
  <si>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</si>
  <si>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</si>
  <si>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</si>
  <si>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</si>
  <si>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</si>
  <si>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</si>
  <si>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</si>
  <si>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</si>
  <si>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</si>
  <si>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</si>
  <si>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</si>
  <si>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</si>
  <si>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</si>
  <si>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</si>
  <si>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</si>
  <si>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</si>
  <si>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</si>
  <si>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</si>
  <si>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</si>
  <si>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</si>
  <si>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</si>
  <si>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</si>
  <si>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</si>
  <si>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</si>
  <si>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</si>
  <si>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</si>
  <si>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</si>
  <si>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</si>
  <si>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</si>
  <si>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</si>
  <si>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</si>
  <si>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</si>
  <si>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</si>
  <si>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</si>
  <si>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</si>
  <si>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</si>
  <si>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</si>
  <si>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</si>
  <si>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</si>
  <si>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</si>
  <si>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</si>
  <si>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</si>
  <si>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</si>
  <si>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</si>
  <si>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</si>
  <si>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</si>
  <si>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</si>
  <si>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</si>
  <si>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</si>
  <si>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</si>
  <si>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</si>
  <si>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</si>
  <si>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</si>
  <si>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</si>
  <si>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</si>
  <si>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</si>
  <si>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</si>
  <si>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</si>
  <si>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</si>
  <si>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</si>
  <si>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</si>
  <si>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</si>
  <si>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</si>
  <si>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</si>
  <si>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</si>
  <si>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</si>
  <si>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</si>
  <si>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</si>
  <si>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</si>
  <si>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</si>
  <si>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</si>
  <si>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</si>
  <si>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</si>
  <si>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</si>
  <si>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</si>
  <si>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</si>
  <si>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</si>
  <si>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</si>
  <si>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</si>
  <si>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</si>
  <si>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</si>
  <si>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</si>
  <si>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</si>
  <si>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</si>
  <si>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</si>
  <si>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</si>
  <si>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</si>
  <si>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</si>
  <si>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</si>
  <si>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</si>
  <si>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</si>
  <si>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</si>
  <si>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</si>
  <si>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</si>
  <si>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</si>
  <si>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</si>
  <si>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</si>
  <si>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</si>
  <si>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</si>
  <si>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</si>
  <si>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</si>
  <si>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</si>
  <si>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</si>
  <si>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</si>
  <si>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</si>
  <si>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</si>
  <si>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</si>
  <si>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</si>
  <si>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</si>
  <si>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</si>
  <si>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</si>
  <si>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</si>
  <si>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</si>
  <si>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</si>
  <si>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</si>
  <si>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</si>
  <si>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</si>
  <si>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</si>
  <si>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</si>
  <si>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</si>
  <si>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</si>
  <si>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</si>
  <si>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</si>
  <si>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</si>
  <si>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</si>
  <si>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</si>
  <si>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</si>
  <si>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</si>
  <si>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</si>
  <si>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</si>
  <si>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</si>
  <si>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</si>
  <si>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</si>
  <si>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</si>
  <si>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</si>
  <si>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</si>
  <si>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</si>
  <si>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</si>
  <si>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</si>
  <si>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</si>
  <si>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</si>
  <si>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</si>
  <si>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</si>
  <si>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</si>
  <si>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</si>
  <si>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</si>
  <si>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</si>
  <si>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</si>
  <si>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</si>
  <si>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</si>
  <si>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</si>
  <si>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</si>
  <si>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</si>
  <si>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</si>
  <si>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</si>
  <si>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</si>
  <si>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</si>
  <si>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</si>
  <si>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</si>
  <si>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</si>
  <si>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</si>
  <si>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</si>
  <si>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</si>
  <si>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</si>
  <si>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</si>
  <si>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</si>
  <si>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</si>
  <si>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</si>
  <si>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</si>
  <si>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</si>
  <si>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</si>
  <si>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</si>
  <si>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</si>
  <si>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</si>
  <si>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</si>
  <si>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</si>
  <si>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</si>
  <si>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</si>
  <si>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</si>
  <si>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</si>
  <si>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</si>
  <si>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</si>
  <si>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</si>
  <si>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</si>
  <si>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</si>
  <si>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</si>
  <si>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</si>
  <si>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</si>
  <si>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</si>
  <si>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</si>
  <si>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</si>
  <si>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</si>
  <si>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</si>
  <si>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</si>
  <si>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</si>
  <si>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</si>
  <si>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</si>
  <si>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</si>
  <si>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</si>
  <si>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</si>
  <si>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</si>
  <si>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</si>
  <si>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</si>
  <si>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</si>
  <si>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</si>
  <si>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</si>
  <si>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</si>
  <si>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</si>
  <si>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</si>
  <si>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</si>
  <si>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</si>
  <si>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</si>
  <si>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</si>
  <si>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</si>
  <si>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</si>
  <si>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</si>
  <si>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</si>
  <si>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</si>
  <si>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</si>
  <si>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</si>
  <si>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</si>
  <si>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</si>
  <si>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</si>
  <si>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</si>
  <si>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</si>
  <si>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</si>
  <si>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</si>
  <si>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</si>
  <si>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</si>
  <si>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</si>
  <si>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</si>
  <si>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</si>
  <si>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</si>
  <si>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</si>
  <si>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</si>
  <si>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</si>
  <si>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</si>
  <si>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</si>
  <si>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</si>
  <si>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</si>
  <si>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</si>
  <si>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</si>
  <si>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</si>
  <si>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</si>
  <si>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</si>
  <si>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</si>
  <si>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</si>
  <si>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</si>
  <si>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</si>
  <si>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</si>
  <si>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</si>
  <si>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</si>
  <si>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</si>
  <si>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</si>
  <si>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</si>
  <si>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</si>
  <si>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</si>
  <si>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</si>
  <si>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</si>
  <si>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</si>
  <si>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</si>
  <si>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</si>
  <si>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</si>
  <si>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</si>
  <si>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</si>
  <si>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</si>
  <si>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</si>
  <si>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</si>
  <si>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</si>
  <si>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</si>
  <si>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</si>
  <si>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</si>
  <si>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</si>
  <si>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</si>
  <si>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</si>
  <si>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</si>
  <si>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</si>
  <si>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</si>
  <si>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</si>
  <si>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</si>
  <si>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</si>
  <si>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</si>
  <si>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</si>
  <si>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</si>
  <si>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</si>
  <si>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</si>
  <si>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</si>
  <si>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</si>
  <si>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</si>
  <si>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</si>
  <si>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</si>
  <si>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</si>
  <si>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</si>
  <si>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</si>
  <si>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</si>
  <si>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</si>
  <si>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</si>
  <si>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</si>
  <si>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</si>
  <si>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</si>
  <si>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</si>
  <si>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</si>
  <si>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</si>
  <si>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</si>
  <si>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</si>
  <si>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</si>
  <si>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</si>
  <si>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</si>
  <si>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</si>
  <si>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</si>
  <si>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</si>
  <si>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</si>
  <si>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</si>
  <si>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</si>
  <si>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</si>
  <si>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</si>
  <si>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</si>
  <si>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</si>
  <si>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</si>
  <si>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</si>
  <si>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</si>
  <si>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</si>
  <si>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</si>
  <si>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</si>
  <si>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</si>
  <si>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</si>
  <si>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</si>
  <si>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</si>
  <si>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</si>
  <si>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</si>
  <si>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</si>
  <si>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</si>
  <si>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</si>
  <si>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</si>
  <si>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</si>
  <si>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</si>
  <si>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</si>
  <si>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</si>
  <si>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</si>
  <si>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</si>
  <si>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</si>
  <si>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</si>
  <si>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</si>
  <si>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</si>
  <si>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</si>
  <si>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</si>
  <si>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</si>
  <si>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</si>
  <si>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</si>
  <si>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</si>
  <si>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</si>
  <si>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</si>
  <si>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</si>
  <si>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</si>
  <si>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</si>
  <si>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</si>
  <si>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</si>
  <si>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</si>
  <si>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</si>
  <si>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</si>
  <si>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</si>
  <si>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</si>
  <si>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</si>
  <si>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</si>
  <si>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</si>
  <si>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</si>
  <si>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</si>
  <si>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</si>
  <si>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</si>
  <si>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</si>
  <si>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</si>
  <si>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</si>
  <si>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</si>
  <si>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</si>
  <si>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</si>
  <si>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</si>
  <si>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</si>
  <si>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</si>
  <si>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</si>
  <si>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</si>
  <si>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</si>
  <si>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</si>
  <si>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</si>
  <si>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</si>
  <si>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</si>
  <si>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</si>
  <si>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</si>
  <si>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</si>
  <si>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</si>
  <si>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</si>
  <si>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</si>
  <si>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</si>
  <si>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</si>
  <si>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</si>
  <si>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</si>
  <si>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</si>
  <si>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</si>
  <si>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</si>
  <si>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</si>
  <si>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</si>
  <si>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</si>
  <si>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</si>
  <si>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</si>
  <si>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</si>
  <si>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</si>
  <si>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</si>
  <si>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</si>
  <si>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</si>
  <si>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</si>
  <si>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</si>
  <si>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</si>
  <si>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</si>
  <si>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</si>
  <si>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</si>
  <si>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</si>
  <si>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</si>
  <si>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</si>
  <si>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</si>
  <si>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</si>
  <si>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</si>
  <si>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</si>
  <si>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</si>
  <si>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</si>
  <si>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</si>
  <si>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</si>
  <si>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</si>
  <si>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</si>
  <si>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</si>
  <si>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</si>
  <si>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</si>
  <si>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</si>
  <si>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</si>
  <si>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</si>
  <si>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</si>
  <si>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</si>
  <si>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</si>
  <si>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</si>
  <si>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</si>
  <si>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</si>
  <si>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</si>
  <si>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</si>
  <si>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</si>
  <si>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</si>
  <si>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</si>
  <si>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</si>
  <si>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</si>
  <si>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</si>
  <si>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</si>
  <si>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</si>
  <si>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</si>
  <si>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</si>
  <si>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</si>
  <si>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</si>
  <si>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</si>
  <si>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</si>
  <si>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</si>
  <si>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</si>
  <si>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</si>
  <si>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</si>
  <si>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</si>
  <si>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</si>
  <si>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</si>
  <si>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</si>
  <si>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</si>
  <si>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</si>
  <si>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</si>
  <si>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</si>
  <si>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</si>
  <si>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</si>
  <si>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</si>
  <si>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</si>
  <si>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</si>
  <si>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</si>
  <si>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</si>
  <si>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</si>
  <si>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</si>
  <si>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</si>
  <si>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</si>
  <si>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</si>
  <si>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</si>
  <si>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</si>
  <si>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</si>
  <si>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</si>
  <si>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</si>
  <si>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</si>
  <si>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</si>
  <si>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</si>
  <si>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</si>
  <si>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</si>
  <si>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</si>
  <si>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</si>
  <si>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</si>
  <si>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</si>
  <si>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</si>
  <si>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</si>
  <si>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</si>
  <si>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</si>
  <si>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</si>
  <si>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</si>
  <si>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</si>
  <si>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</si>
  <si>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</si>
  <si>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</si>
  <si>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</si>
  <si>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</si>
  <si>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</si>
  <si>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</si>
  <si>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</si>
  <si>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</si>
  <si>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</si>
  <si>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</si>
  <si>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</si>
  <si>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</si>
  <si>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</si>
  <si>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</si>
  <si>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</si>
  <si>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</si>
  <si>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</si>
  <si>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</si>
  <si>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</si>
  <si>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</si>
  <si>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</si>
  <si>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</si>
  <si>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</si>
  <si>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</si>
  <si>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</si>
  <si>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</si>
  <si>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</si>
  <si>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</si>
  <si>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</si>
  <si>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</si>
  <si>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</si>
  <si>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</si>
  <si>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</si>
  <si>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</si>
  <si>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</si>
  <si>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</si>
  <si>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</si>
  <si>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</si>
  <si>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</si>
  <si>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</si>
  <si>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</si>
  <si>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</si>
  <si>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</si>
  <si>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</si>
  <si>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</si>
  <si>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</si>
  <si>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</si>
  <si>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</si>
  <si>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</si>
  <si>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</si>
  <si>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</si>
  <si>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</si>
  <si>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</si>
  <si>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</si>
  <si>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</si>
  <si>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</si>
  <si>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</si>
  <si>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</si>
  <si>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</si>
  <si>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</si>
  <si>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</si>
  <si>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</si>
  <si>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</si>
  <si>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</si>
  <si>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</si>
  <si>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</si>
  <si>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</si>
  <si>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</si>
  <si>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</si>
  <si>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</si>
  <si>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</si>
  <si>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</si>
  <si>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</si>
  <si>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</si>
  <si>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</si>
  <si>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</si>
  <si>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</si>
  <si>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</si>
  <si>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</si>
  <si>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</si>
  <si>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</si>
  <si>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</si>
  <si>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</si>
  <si>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</si>
  <si>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</si>
  <si>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</si>
  <si>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</si>
  <si>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</si>
  <si>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</si>
  <si>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</si>
  <si>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</si>
  <si>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</si>
  <si>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</si>
  <si>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</si>
  <si>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</si>
  <si>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</si>
  <si>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</si>
  <si>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</si>
  <si>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</si>
  <si>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</si>
  <si>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</si>
  <si>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</si>
  <si>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</si>
  <si>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</si>
  <si>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</si>
  <si>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</si>
  <si>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</si>
  <si>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</si>
  <si>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</si>
  <si>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</si>
  <si>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</si>
  <si>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</si>
  <si>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</si>
  <si>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</si>
  <si>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</si>
  <si>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</si>
  <si>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</si>
  <si>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</si>
  <si>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</si>
  <si>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</si>
  <si>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</si>
  <si>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</si>
  <si>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</si>
  <si>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</si>
  <si>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</si>
  <si>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</si>
  <si>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</si>
  <si>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</si>
  <si>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</si>
  <si>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</si>
  <si>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</si>
  <si>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</si>
  <si>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</si>
  <si>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</si>
  <si>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</si>
  <si>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</si>
  <si>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</si>
  <si>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</si>
  <si>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</si>
  <si>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</si>
  <si>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</si>
  <si>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</si>
  <si>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</si>
  <si>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</si>
  <si>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</si>
  <si>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</si>
  <si>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</si>
  <si>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</si>
  <si>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</si>
  <si>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</si>
  <si>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</si>
  <si>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</si>
  <si>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</si>
  <si>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</si>
  <si>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</si>
  <si>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</si>
  <si>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</si>
  <si>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</si>
  <si>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</si>
  <si>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</si>
  <si>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</si>
  <si>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</si>
  <si>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</si>
  <si>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</si>
  <si>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</si>
  <si>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</si>
  <si>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</si>
  <si>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</si>
  <si>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</si>
  <si>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</si>
  <si>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</si>
  <si>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</si>
  <si>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</si>
  <si>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</si>
  <si>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</si>
  <si>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</si>
  <si>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</si>
  <si>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</si>
  <si>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</si>
  <si>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</si>
  <si>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</si>
  <si>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</si>
  <si>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</si>
  <si>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</si>
  <si>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</si>
  <si>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</si>
  <si>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</si>
  <si>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</si>
  <si>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</si>
  <si>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</si>
  <si>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</si>
  <si>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</si>
  <si>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</si>
  <si>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</si>
  <si>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</si>
  <si>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</si>
  <si>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</si>
  <si>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</si>
  <si>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</si>
  <si>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</si>
  <si>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</si>
  <si>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</si>
  <si>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</si>
  <si>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</si>
  <si>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</si>
  <si>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</si>
  <si>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</si>
  <si>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</si>
  <si>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</si>
  <si>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</si>
  <si>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</si>
  <si>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</si>
  <si>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</si>
  <si>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</si>
  <si>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</si>
  <si>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</si>
  <si>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</si>
  <si>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</si>
  <si>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</si>
  <si>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</si>
  <si>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</si>
  <si>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</si>
  <si>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</si>
  <si>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</si>
  <si>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</si>
  <si>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</si>
  <si>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</si>
  <si>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</si>
  <si>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</si>
  <si>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</si>
  <si>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</si>
  <si>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</si>
  <si>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</si>
  <si>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</si>
  <si>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</si>
  <si>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</si>
  <si>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</si>
  <si>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</si>
  <si>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</si>
  <si>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</si>
  <si>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</si>
  <si>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</si>
  <si>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</si>
  <si>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</si>
  <si>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</si>
  <si>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</si>
  <si>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</si>
  <si>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</si>
  <si>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</si>
  <si>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</si>
  <si>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</si>
  <si>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</si>
  <si>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</si>
  <si>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</si>
  <si>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</si>
  <si>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</si>
  <si>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</si>
  <si>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</si>
  <si>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</si>
  <si>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</si>
  <si>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</si>
  <si>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</si>
  <si>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</si>
  <si>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</si>
  <si>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</si>
  <si>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</si>
  <si>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</si>
  <si>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</si>
  <si>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</si>
  <si>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</si>
  <si>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</si>
  <si>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</si>
  <si>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</si>
  <si>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</si>
  <si>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</si>
  <si>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</si>
  <si>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</si>
  <si>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</si>
  <si>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</si>
  <si>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</si>
  <si>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</si>
  <si>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</si>
  <si>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</si>
  <si>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</si>
  <si>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</si>
  <si>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</si>
  <si>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</si>
  <si>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</si>
  <si>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</si>
  <si>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</si>
  <si>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</si>
  <si>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</si>
  <si>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</si>
  <si>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</si>
  <si>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</si>
  <si>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</si>
  <si>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</si>
  <si>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</si>
  <si>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</si>
  <si>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</si>
  <si>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</si>
  <si>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</si>
  <si>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</si>
  <si>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</si>
  <si>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</si>
  <si>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</si>
  <si>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</si>
  <si>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</si>
  <si>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</si>
  <si>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</si>
  <si>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</si>
  <si>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</si>
  <si>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</si>
  <si>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</si>
  <si>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</si>
  <si>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</si>
  <si>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</si>
  <si>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</si>
  <si>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</si>
  <si>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</si>
  <si>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</si>
  <si>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</si>
  <si>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</si>
  <si>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</si>
  <si>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</si>
  <si>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</si>
  <si>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</si>
  <si>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</si>
  <si>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</si>
  <si>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</si>
  <si>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</si>
  <si>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</si>
  <si>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</si>
  <si>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</si>
  <si>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</si>
  <si>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</si>
  <si>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</si>
  <si>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</si>
  <si>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</si>
  <si>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</si>
  <si>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</si>
  <si>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</si>
  <si>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</si>
  <si>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</si>
  <si>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</si>
  <si>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</si>
  <si>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</si>
  <si>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</si>
  <si>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</si>
  <si>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</si>
  <si>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</si>
  <si>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</si>
  <si>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</si>
  <si>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</si>
  <si>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Victoria´s Secret (Original) Amber Romance</t>
  </si>
  <si>
    <t>BU044761</t>
  </si>
  <si>
    <t xml:space="preserve"> Splash de Victoria Secret (Original) Strawberries &amp; Champagne</t>
  </si>
  <si>
    <t>Pieza 1</t>
  </si>
  <si>
    <t>BU04477</t>
  </si>
  <si>
    <t xml:space="preserve"> Crema de Victoria´s Secret (Original) Strawberries &amp; Champagne</t>
  </si>
  <si>
    <t>BU04478</t>
  </si>
  <si>
    <t>Splash de Victoria Secret (Original) Pomegranate &amp; Lotus</t>
  </si>
  <si>
    <t>Piezas 1</t>
  </si>
  <si>
    <t>BU044791</t>
  </si>
  <si>
    <t>Crema de Victoria´s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</si>
  <si>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</si>
  <si>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</si>
  <si>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</si>
  <si>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</si>
  <si>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</si>
  <si>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</si>
  <si>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</si>
  <si>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</si>
  <si>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</si>
  <si>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</si>
  <si>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</si>
  <si>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</si>
  <si>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</si>
  <si>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</si>
  <si>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</si>
  <si>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</si>
  <si>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</si>
  <si>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</si>
  <si>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</si>
  <si>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</si>
  <si>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</si>
  <si>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</si>
  <si>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</si>
  <si>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</si>
  <si>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</si>
  <si>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</si>
  <si>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</si>
  <si>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</si>
  <si>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</si>
  <si>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</si>
  <si>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</si>
  <si>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</si>
  <si>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</si>
  <si>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</si>
  <si>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</si>
  <si>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</si>
  <si>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</si>
  <si>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</si>
  <si>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</si>
  <si>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</si>
  <si>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</si>
  <si>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</si>
  <si>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</si>
  <si>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</si>
  <si>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</si>
  <si>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</si>
  <si>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</si>
  <si>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</si>
  <si>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</si>
  <si>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</si>
  <si>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</si>
  <si>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</si>
  <si>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</si>
  <si>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</si>
  <si>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</si>
  <si>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</si>
  <si>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</si>
  <si>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</si>
  <si>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</si>
  <si>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</si>
  <si>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</si>
  <si>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</si>
  <si>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</si>
  <si>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</si>
  <si>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</si>
  <si>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</si>
  <si>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</si>
  <si>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</si>
  <si>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</si>
  <si>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</si>
  <si>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</si>
  <si>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</si>
  <si>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</si>
  <si>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</si>
  <si>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</si>
  <si>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38</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</si>
  <si>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</si>
  <si>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</si>
  <si>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</si>
  <si>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</si>
  <si>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</si>
  <si>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</si>
  <si>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</si>
  <si>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</si>
  <si>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</si>
  <si>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</si>
  <si>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</si>
  <si>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</si>
  <si>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</si>
  <si>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</si>
  <si>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</si>
  <si>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</si>
  <si>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</si>
  <si>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</si>
  <si>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</si>
  <si>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</si>
  <si>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</si>
  <si>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</si>
  <si>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</si>
  <si>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</si>
  <si>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</si>
  <si>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</si>
  <si>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</si>
  <si>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</si>
  <si>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</si>
  <si>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</si>
  <si>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</si>
  <si>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</si>
  <si>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</si>
  <si>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</si>
  <si>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</si>
  <si>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</si>
  <si>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</si>
  <si>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</si>
  <si>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</si>
  <si>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</si>
  <si>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</si>
  <si>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</si>
  <si>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</si>
  <si>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</si>
  <si>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</si>
  <si>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</si>
  <si>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</si>
  <si>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</si>
  <si>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</si>
  <si>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</si>
  <si>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</si>
  <si>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</si>
  <si>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</si>
  <si>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</si>
  <si>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</si>
  <si>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</si>
  <si>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</si>
  <si>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</si>
  <si>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</si>
  <si>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</si>
  <si>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</si>
  <si>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</si>
  <si>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</si>
  <si>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</si>
  <si>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</si>
  <si>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</si>
  <si>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</si>
  <si>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</si>
  <si>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</si>
  <si>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</si>
  <si>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</si>
  <si>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</si>
  <si>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</si>
  <si>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</si>
  <si>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</si>
  <si>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</si>
  <si>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</si>
  <si>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</si>
  <si>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</si>
  <si>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</si>
  <si>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</si>
  <si>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</si>
  <si>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</si>
  <si>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</si>
  <si>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</si>
  <si>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</si>
  <si>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</si>
  <si>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</si>
  <si>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</si>
  <si>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</si>
  <si>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</si>
  <si>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</si>
  <si>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</si>
  <si>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</si>
  <si>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</si>
  <si>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</si>
  <si>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</si>
  <si>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</si>
  <si>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</si>
  <si>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</si>
  <si>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</si>
  <si>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</si>
  <si>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</si>
  <si>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</si>
  <si>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</si>
  <si>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</si>
  <si>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</si>
  <si>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</si>
  <si>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</si>
  <si>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</si>
  <si>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</si>
  <si>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</si>
  <si>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</si>
  <si>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</si>
  <si>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</si>
  <si>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</si>
  <si>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</si>
  <si>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</si>
  <si>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</si>
  <si>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</si>
  <si>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</si>
  <si>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</si>
  <si>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</si>
  <si>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</si>
  <si>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</si>
  <si>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</si>
  <si>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</si>
  <si>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</si>
  <si>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</si>
  <si>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</si>
  <si>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</si>
  <si>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</si>
  <si>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</si>
  <si>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</si>
  <si>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</si>
  <si>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</si>
  <si>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</si>
  <si>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</si>
  <si>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</si>
  <si>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</si>
  <si>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</si>
  <si>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</si>
  <si>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</si>
  <si>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</si>
  <si>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</si>
  <si>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</si>
  <si>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</si>
  <si>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</si>
  <si>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</si>
  <si>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</si>
  <si>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</si>
  <si>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</si>
  <si>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</si>
  <si>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</si>
  <si>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</si>
  <si>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</si>
  <si>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</si>
  <si>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</si>
  <si>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</si>
  <si>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</si>
  <si>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</si>
  <si>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</si>
  <si>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</si>
  <si>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</si>
  <si>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</si>
  <si>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</si>
  <si>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</si>
  <si>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</si>
  <si>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</si>
  <si>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</si>
  <si>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</si>
  <si>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</si>
  <si>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</si>
  <si>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</si>
  <si>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</si>
  <si>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</si>
  <si>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</si>
  <si>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</si>
  <si>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</si>
  <si>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</si>
  <si>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</si>
  <si>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</si>
  <si>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</si>
  <si>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</si>
  <si>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</si>
  <si>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</si>
  <si>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</si>
  <si>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</si>
  <si>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</si>
  <si>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</si>
  <si>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</si>
  <si>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</si>
  <si>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</si>
  <si>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</si>
  <si>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</si>
  <si>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</si>
  <si>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</si>
  <si>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</si>
  <si>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</si>
  <si>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</si>
  <si>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</si>
  <si>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</si>
  <si>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</si>
  <si>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</si>
  <si>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</si>
  <si>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</si>
  <si>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</si>
  <si>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</si>
  <si>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</si>
  <si>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</si>
  <si>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</si>
  <si>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</si>
  <si>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</si>
  <si>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</si>
  <si>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</si>
  <si>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</si>
  <si>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</si>
  <si>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</si>
  <si>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</si>
  <si>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</si>
  <si>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</si>
  <si>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</si>
  <si>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</si>
  <si>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</si>
  <si>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</si>
  <si>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</si>
  <si>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</si>
  <si>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</si>
  <si>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</si>
  <si>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</si>
  <si>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</si>
  <si>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</si>
  <si>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</si>
  <si>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</si>
  <si>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</si>
  <si>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</si>
  <si>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</si>
  <si>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</si>
  <si>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</si>
  <si>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</si>
  <si>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</si>
  <si>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</si>
  <si>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</si>
  <si>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</si>
  <si>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</si>
  <si>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</si>
  <si>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</si>
  <si>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</si>
  <si>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</si>
  <si>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</si>
  <si>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</si>
  <si>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</si>
  <si>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</si>
  <si>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</si>
  <si>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</si>
  <si>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</si>
  <si>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</si>
  <si>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</si>
  <si>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</si>
  <si>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</si>
  <si>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</si>
  <si>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</si>
  <si>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</si>
  <si>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</si>
  <si>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</si>
  <si>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</si>
  <si>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</si>
  <si>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</si>
  <si>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</si>
  <si>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</si>
  <si>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</si>
  <si>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</si>
  <si>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</si>
  <si>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</si>
  <si>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</si>
  <si>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</si>
  <si>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</si>
  <si>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</si>
  <si>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</si>
  <si>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</si>
  <si>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</si>
  <si>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</si>
  <si>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</si>
  <si>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</si>
  <si>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</si>
  <si>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</si>
  <si>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</si>
  <si>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</si>
  <si>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</si>
  <si>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</si>
  <si>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</si>
  <si>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</si>
  <si>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</si>
  <si>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</si>
  <si>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</si>
  <si>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</si>
  <si>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</si>
  <si>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</si>
  <si>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</si>
  <si>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</si>
  <si>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</si>
  <si>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</si>
  <si>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</si>
  <si>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</si>
  <si>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</si>
  <si>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</si>
  <si>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</si>
  <si>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</si>
  <si>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</si>
  <si>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</si>
  <si>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</si>
  <si>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</si>
  <si>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</si>
  <si>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</si>
  <si>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</si>
  <si>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</si>
  <si>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</si>
  <si>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</si>
  <si>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</si>
  <si>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</si>
  <si>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</si>
  <si>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</si>
  <si>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</si>
  <si>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</si>
  <si>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</si>
  <si>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</si>
  <si>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</si>
  <si>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</si>
  <si>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</si>
  <si>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</si>
  <si>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</si>
  <si>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</si>
  <si>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</si>
  <si>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</si>
  <si>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</si>
  <si>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</si>
  <si>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</si>
  <si>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</si>
  <si>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</si>
  <si>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</si>
  <si>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</si>
  <si>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</si>
  <si>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</si>
  <si>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</si>
  <si>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</si>
  <si>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</si>
  <si>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</si>
  <si>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</si>
  <si>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</si>
  <si>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</si>
  <si>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</si>
  <si>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</si>
  <si>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</si>
  <si>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</si>
  <si>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</si>
  <si>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</si>
  <si>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</si>
  <si>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</si>
  <si>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</si>
  <si>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</si>
  <si>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</si>
  <si>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</si>
  <si>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</si>
  <si>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</si>
  <si>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</si>
  <si>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</si>
  <si>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</si>
  <si>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</si>
  <si>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</si>
  <si>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</si>
  <si>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</si>
  <si>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</si>
  <si>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</si>
  <si>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</si>
  <si>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</si>
  <si>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</si>
  <si>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</si>
  <si>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</si>
  <si>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</si>
  <si>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</si>
  <si>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</si>
  <si>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</si>
  <si>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</si>
  <si>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</si>
  <si>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</si>
  <si>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</si>
  <si>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</si>
  <si>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</si>
  <si>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</si>
  <si>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</si>
  <si>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</si>
  <si>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</si>
  <si>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</si>
  <si>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</si>
  <si>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</si>
  <si>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</si>
  <si>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</si>
  <si>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</si>
  <si>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</si>
  <si>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</si>
  <si>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</si>
  <si>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</si>
  <si>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</si>
  <si>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</si>
  <si>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</si>
  <si>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</si>
  <si>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</si>
  <si>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</si>
  <si>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</si>
  <si>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</si>
  <si>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</si>
  <si>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</si>
  <si>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</si>
  <si>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</si>
  <si>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</si>
  <si>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</si>
  <si>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</si>
  <si>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</si>
  <si>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</si>
  <si>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</si>
  <si>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</si>
  <si>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</si>
  <si>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</si>
  <si>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</si>
  <si>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</si>
  <si>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</si>
  <si>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</si>
  <si>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</si>
  <si>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</si>
  <si>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</si>
  <si>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</si>
  <si>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</si>
  <si>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</si>
  <si>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</si>
  <si>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</si>
  <si>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</si>
  <si>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</si>
  <si>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</si>
  <si>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</si>
  <si>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</si>
  <si>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</si>
  <si>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</si>
  <si>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</si>
  <si>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</si>
  <si>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</si>
  <si>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</si>
  <si>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</si>
  <si>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</si>
  <si>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</si>
  <si>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</si>
  <si>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</si>
  <si>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</si>
  <si>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</si>
  <si>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</si>
  <si>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</si>
  <si>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</si>
  <si>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</si>
  <si>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</si>
  <si>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</si>
  <si>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</si>
  <si>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</si>
  <si>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</si>
  <si>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</si>
  <si>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</si>
  <si>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</si>
  <si>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</si>
  <si>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</si>
  <si>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</si>
  <si>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</si>
  <si>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</si>
  <si>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</si>
  <si>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</si>
  <si>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</si>
  <si>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</si>
  <si>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</si>
  <si>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</si>
  <si>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</si>
  <si>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</si>
  <si>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</si>
  <si>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</si>
  <si>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</si>
  <si>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</si>
  <si>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</si>
  <si>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</si>
  <si>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</si>
  <si>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</si>
  <si>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</si>
  <si>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</si>
  <si>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</si>
  <si>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</si>
  <si>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</si>
  <si>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</si>
  <si>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</si>
  <si>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</si>
  <si>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</si>
  <si>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</si>
  <si>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</si>
  <si>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</si>
  <si>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</si>
  <si>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</si>
  <si>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</si>
  <si>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</si>
  <si>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</si>
  <si>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</si>
  <si>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</si>
  <si>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</si>
  <si>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</si>
  <si>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</si>
  <si>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</si>
  <si>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</si>
  <si>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</si>
  <si>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</si>
  <si>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</si>
  <si>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</si>
  <si>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</si>
  <si>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</si>
  <si>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</si>
  <si>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</si>
  <si>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</si>
  <si>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</si>
  <si>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</si>
  <si>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</si>
  <si>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</si>
  <si>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</si>
  <si>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</si>
  <si>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</si>
  <si>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</si>
  <si>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</si>
  <si>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</si>
  <si>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</si>
  <si>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</si>
  <si>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</si>
  <si>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</si>
  <si>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</si>
  <si>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</si>
  <si>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</si>
  <si>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</si>
  <si>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</si>
  <si>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</si>
  <si>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</si>
  <si>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</si>
  <si>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</si>
  <si>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</si>
  <si>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</si>
  <si>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</si>
  <si>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</si>
  <si>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</si>
  <si>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</si>
  <si>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</si>
  <si>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</si>
  <si>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</si>
  <si>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</si>
  <si>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</si>
  <si>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</si>
  <si>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</si>
  <si>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</si>
  <si>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</si>
  <si>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</si>
  <si>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</si>
  <si>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</si>
  <si>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</si>
  <si>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</si>
  <si>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</si>
  <si>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</si>
  <si>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</si>
  <si>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</si>
  <si>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</si>
  <si>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</si>
  <si>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</si>
  <si>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</si>
  <si>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</si>
  <si>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</si>
  <si>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</si>
  <si>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</si>
  <si>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</si>
  <si>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</si>
  <si>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</si>
  <si>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</si>
  <si>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</si>
  <si>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</si>
  <si>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</si>
  <si>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</si>
  <si>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</si>
  <si>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</si>
  <si>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</si>
  <si>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</si>
  <si>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</si>
  <si>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</si>
  <si>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</si>
  <si>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</si>
  <si>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</si>
  <si>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</si>
  <si>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</si>
  <si>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</si>
  <si>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</si>
  <si>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</si>
  <si>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</si>
  <si>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</si>
  <si>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</si>
  <si>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</si>
  <si>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</si>
  <si>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</si>
  <si>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</si>
  <si>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</si>
  <si>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</si>
  <si>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</si>
  <si>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</si>
  <si>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</si>
  <si>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</si>
  <si>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</si>
  <si>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</si>
  <si>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</si>
  <si>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</si>
  <si>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</si>
  <si>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</si>
  <si>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</si>
  <si>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</si>
  <si>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</si>
  <si>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</si>
  <si>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</si>
  <si>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</si>
  <si>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</si>
  <si>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</si>
  <si>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</si>
  <si>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</si>
  <si>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</si>
  <si>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</si>
  <si>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</si>
  <si>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</si>
  <si>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</si>
  <si>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</si>
  <si>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</si>
  <si>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</si>
  <si>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</si>
  <si>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</si>
  <si>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</si>
  <si>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</si>
  <si>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</si>
  <si>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</si>
  <si>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</si>
  <si>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</si>
  <si>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</si>
  <si>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</si>
  <si>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</si>
  <si>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</si>
  <si>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</si>
  <si>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</si>
  <si>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</si>
  <si>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</si>
  <si>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</si>
  <si>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</si>
  <si>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</si>
  <si>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</si>
  <si>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</si>
  <si>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</si>
  <si>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</si>
  <si>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</si>
  <si>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</si>
  <si>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</si>
  <si>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</si>
  <si>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</si>
  <si>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</si>
  <si>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</si>
  <si>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</si>
  <si>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</si>
  <si>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</si>
  <si>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</si>
  <si>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</si>
  <si>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</si>
  <si>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</si>
  <si>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</si>
  <si>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</si>
  <si>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</si>
  <si>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</si>
  <si>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</si>
  <si>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</si>
  <si>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</si>
  <si>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</si>
  <si>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</si>
  <si>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</si>
  <si>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</si>
  <si>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</si>
  <si>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</si>
  <si>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</si>
  <si>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</si>
  <si>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</si>
  <si>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</si>
  <si>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</si>
  <si>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</si>
  <si>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</si>
  <si>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</si>
  <si>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</si>
  <si>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</si>
  <si>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</si>
  <si>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</si>
  <si>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</si>
  <si>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</si>
  <si>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</si>
  <si>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</si>
  <si>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</si>
  <si>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</si>
  <si>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</si>
  <si>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</si>
  <si>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</si>
  <si>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</si>
  <si>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</si>
  <si>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</si>
  <si>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</si>
  <si>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</si>
  <si>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</si>
  <si>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</si>
  <si>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</si>
  <si>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</si>
  <si>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</si>
  <si>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</si>
  <si>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</si>
  <si>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</si>
  <si>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</si>
  <si>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</si>
  <si>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</si>
  <si>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</si>
  <si>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</si>
  <si>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</si>
  <si>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</si>
  <si>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</si>
  <si>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</si>
  <si>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</si>
  <si>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</si>
  <si>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</si>
  <si>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</si>
  <si>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</si>
  <si>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</si>
  <si>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</si>
  <si>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</si>
  <si>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</si>
  <si>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</si>
  <si>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</si>
  <si>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</si>
  <si>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</si>
  <si>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</si>
  <si>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</si>
  <si>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</si>
  <si>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</si>
  <si>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</si>
  <si>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</si>
  <si>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</si>
  <si>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</si>
  <si>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</si>
  <si>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</si>
  <si>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</si>
  <si>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</si>
  <si>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</si>
  <si>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</si>
  <si>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</si>
  <si>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</si>
  <si>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</si>
  <si>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</si>
  <si>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</si>
  <si>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</si>
  <si>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</si>
  <si>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</si>
  <si>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</si>
  <si>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</si>
  <si>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</si>
  <si>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</si>
  <si>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</si>
  <si>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</si>
  <si>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</si>
  <si>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</si>
  <si>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</si>
  <si>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</si>
  <si>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</si>
  <si>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</si>
  <si>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</si>
  <si>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</si>
  <si>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</si>
  <si>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</si>
  <si>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</si>
  <si>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</si>
  <si>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</si>
  <si>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</si>
  <si>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</si>
  <si>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</si>
  <si>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</si>
  <si>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</si>
  <si>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</si>
  <si>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</si>
  <si>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</si>
  <si>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</si>
  <si>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</si>
  <si>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</si>
  <si>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</si>
  <si>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</si>
  <si>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</si>
  <si>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</si>
  <si>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</si>
  <si>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oversize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</si>
  <si>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</si>
  <si>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</si>
  <si>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</si>
  <si>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</si>
  <si>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</si>
  <si>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</si>
  <si>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</si>
  <si>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</si>
  <si>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</si>
  <si>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</si>
  <si>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</si>
  <si>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</si>
  <si>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</si>
  <si>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</si>
  <si>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</si>
  <si>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</si>
  <si>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</si>
  <si>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</si>
  <si>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</si>
  <si>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</si>
  <si>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</si>
  <si>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</si>
  <si>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</si>
  <si>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</si>
  <si>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</si>
  <si>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</si>
  <si>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</si>
  <si>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</si>
  <si>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</si>
  <si>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</si>
  <si>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</si>
  <si>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</si>
  <si>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</si>
  <si>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</si>
  <si>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Sudadera negra holgada de hombre H&amp;M</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</si>
  <si>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</si>
  <si>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</si>
  <si>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</si>
  <si>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</si>
  <si>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</si>
  <si>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</si>
  <si>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</si>
  <si>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</si>
  <si>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</si>
  <si>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</si>
  <si>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</si>
  <si>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</si>
  <si>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</si>
  <si>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</si>
  <si>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</si>
  <si>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</si>
  <si>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</si>
  <si>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</si>
  <si>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</si>
  <si>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</si>
  <si>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</si>
  <si>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</si>
  <si>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</si>
  <si>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</si>
  <si>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</si>
  <si>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</si>
  <si>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</si>
  <si>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</si>
  <si>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</si>
  <si>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</si>
  <si>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</si>
  <si>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</si>
  <si>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</si>
  <si>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</si>
  <si>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</si>
  <si>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</si>
  <si>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</si>
  <si>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</si>
  <si>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</si>
  <si>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</si>
  <si>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</si>
  <si>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</si>
  <si>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</si>
  <si>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</si>
  <si>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</si>
  <si>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</si>
  <si>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</si>
  <si>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</si>
  <si>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</si>
  <si>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</si>
  <si>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</si>
  <si>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lavado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</si>
  <si>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</si>
  <si>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</si>
  <si>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</si>
  <si>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</si>
  <si>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</si>
  <si>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</si>
  <si>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</si>
  <si>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</si>
  <si>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</si>
  <si>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</si>
  <si>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holgado con estampado Kodak H&amp;M</t>
  </si>
  <si>
    <t>Talla Xl</t>
  </si>
  <si>
    <t>YILHM0253</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</si>
  <si>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</si>
  <si>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</si>
  <si>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</si>
  <si>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</si>
  <si>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</si>
  <si>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</si>
  <si>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</si>
  <si>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</si>
  <si>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</si>
  <si>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</si>
  <si>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</si>
  <si>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YILHM0267</t>
  </si>
  <si>
    <t>YILHM0259</t>
  </si>
  <si>
    <t>Pulóver holgado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</si>
  <si>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</si>
  <si>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</si>
  <si>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</si>
  <si>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</si>
  <si>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</si>
  <si>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</si>
  <si>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</si>
  <si>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</si>
  <si>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</si>
  <si>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</si>
  <si>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</si>
  <si>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</si>
  <si>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</si>
  <si>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</si>
  <si>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</si>
  <si>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</si>
  <si>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</si>
  <si>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</si>
  <si>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</si>
  <si>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</si>
  <si>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</si>
  <si>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</si>
  <si>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</si>
  <si>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</si>
  <si>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</si>
  <si>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</si>
  <si>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</si>
  <si>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</si>
  <si>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</si>
  <si>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</si>
  <si>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</si>
  <si>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</si>
  <si>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</si>
  <si>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</si>
  <si>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Pantalones cortos negros de algodón H&amp;M</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</si>
  <si>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</si>
  <si>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</si>
  <si>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</si>
  <si>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</si>
  <si>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</si>
  <si>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</si>
  <si>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</si>
  <si>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</si>
  <si>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</si>
  <si>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</si>
  <si>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</si>
  <si>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</si>
  <si>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</si>
  <si>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</si>
  <si>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</si>
  <si>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</si>
  <si>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</si>
  <si>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</si>
  <si>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</si>
  <si>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</si>
  <si>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</si>
  <si>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</si>
  <si>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</si>
  <si>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</si>
  <si>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</si>
  <si>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</si>
  <si>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</si>
  <si>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</si>
  <si>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</si>
  <si>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</si>
  <si>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</si>
  <si>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</si>
  <si>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Pulóver holgada de hombre gis oscuro H&amp;M</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</si>
  <si>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</si>
  <si>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</si>
  <si>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</si>
  <si>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</si>
  <si>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</si>
  <si>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</si>
  <si>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</si>
  <si>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</si>
  <si>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</si>
  <si>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</si>
  <si>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</si>
  <si>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</si>
  <si>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</si>
  <si>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</si>
  <si>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</si>
  <si>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</si>
  <si>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</si>
  <si>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</si>
  <si>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</si>
  <si>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</si>
  <si>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</si>
  <si>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</si>
  <si>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</si>
  <si>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</si>
  <si>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</si>
  <si>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</si>
  <si>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</si>
  <si>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</si>
  <si>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</si>
  <si>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</si>
  <si>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</si>
  <si>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</si>
  <si>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</si>
  <si>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</si>
  <si>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</si>
  <si>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</si>
  <si>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</si>
  <si>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</si>
  <si>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</si>
  <si>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</si>
  <si>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</si>
  <si>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</si>
  <si>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</si>
  <si>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 (pago colab damian)</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</si>
  <si>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</si>
  <si>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</si>
  <si>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</si>
  <si>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</si>
  <si>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</si>
  <si>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</si>
  <si>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</si>
  <si>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</si>
  <si>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</si>
  <si>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</si>
  <si>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</si>
  <si>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</si>
  <si>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</si>
  <si>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</si>
  <si>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</si>
  <si>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</si>
  <si>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</si>
  <si>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</si>
  <si>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</si>
  <si>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YILHM0332</t>
  </si>
  <si>
    <t>Cardigan corto de manga larga y botones delanteros negro</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</si>
  <si>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</si>
  <si>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</si>
  <si>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</si>
  <si>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</si>
  <si>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</si>
  <si>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</si>
  <si>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</si>
  <si>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</si>
  <si>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</si>
  <si>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</si>
  <si>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</si>
  <si>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</si>
  <si>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</si>
  <si>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</si>
  <si>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</si>
  <si>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</si>
  <si>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</si>
  <si>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rojo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</si>
  <si>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</si>
  <si>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</si>
  <si>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</si>
  <si>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</si>
  <si>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</si>
  <si>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</si>
  <si>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</si>
  <si>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</si>
  <si>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</si>
  <si>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</si>
  <si>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</si>
  <si>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</si>
  <si>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</si>
  <si>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</si>
  <si>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</si>
  <si>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</si>
  <si>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</si>
  <si>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</si>
  <si>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</si>
  <si>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</si>
  <si>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</si>
  <si>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</si>
  <si>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</si>
  <si>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</si>
  <si>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</si>
  <si>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</si>
  <si>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</si>
  <si>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</si>
  <si>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</si>
  <si>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</si>
  <si>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</si>
  <si>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</si>
  <si>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</si>
  <si>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</si>
  <si>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</si>
  <si>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</si>
  <si>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</si>
  <si>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</si>
  <si>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</si>
  <si>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</si>
  <si>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</si>
  <si>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</si>
  <si>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</si>
  <si>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</si>
  <si>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</si>
  <si>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</si>
  <si>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</si>
  <si>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</si>
  <si>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</si>
  <si>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</si>
  <si>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</si>
  <si>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</si>
  <si>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</si>
  <si>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</si>
  <si>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</si>
  <si>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</si>
  <si>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</si>
  <si>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</si>
  <si>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</si>
  <si>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</si>
  <si>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</si>
  <si>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</si>
  <si>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</si>
  <si>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</si>
  <si>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</si>
  <si>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</si>
  <si>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</si>
  <si>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</si>
  <si>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</si>
  <si>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</si>
  <si>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</si>
  <si>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</si>
  <si>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</si>
  <si>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</si>
  <si>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</si>
  <si>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</si>
  <si>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</si>
  <si>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YILHM0406</t>
  </si>
  <si>
    <t xml:space="preserve">Bolso ratán de listas negras </t>
  </si>
  <si>
    <t>envío mami Diciembre</t>
  </si>
  <si>
    <t>YILHM0407</t>
  </si>
  <si>
    <t>Bolso ratán de listas blancas</t>
  </si>
  <si>
    <t>YILHM0408</t>
  </si>
  <si>
    <t>Bolso carmelita cuadrado de rafia con zíper</t>
  </si>
  <si>
    <t>YILHM0409</t>
  </si>
  <si>
    <t>Bolso carmelita redondo de rafia con zíper</t>
  </si>
  <si>
    <t>YILHM0410</t>
  </si>
  <si>
    <t xml:space="preserve">Bolso de rafia Chantillí </t>
  </si>
  <si>
    <t>YILHM0411</t>
  </si>
  <si>
    <t>Bolso grande de rafia con zíper y adorno de charm</t>
  </si>
  <si>
    <t>YILHM0412</t>
  </si>
  <si>
    <t>Bolso grande de textura de cocodrilo con neceser</t>
  </si>
  <si>
    <t>YILHM0414</t>
  </si>
  <si>
    <t>Sandalias mule crema con detalle de nudo</t>
  </si>
  <si>
    <t>Talla 3_36</t>
  </si>
  <si>
    <t>YILHM0415</t>
  </si>
  <si>
    <t xml:space="preserve">Botas negras ajustadas de zíper </t>
  </si>
  <si>
    <t>YILHM0416</t>
  </si>
  <si>
    <t>Talla 4_37</t>
  </si>
  <si>
    <t>YILHM0417</t>
  </si>
  <si>
    <t>Talla 5_38</t>
  </si>
  <si>
    <t>YILHM0418</t>
  </si>
  <si>
    <t>Talla 7_40</t>
  </si>
  <si>
    <t>YILHM0419</t>
  </si>
  <si>
    <t>Talla 8_41</t>
  </si>
  <si>
    <t>YILHM0420</t>
  </si>
  <si>
    <t>Sandalias en tendencia y de gran comodidad Oliva (talla reducida)</t>
  </si>
  <si>
    <t>YILHM0421</t>
  </si>
  <si>
    <t>YILHM0422</t>
  </si>
  <si>
    <t>Talla 6_39</t>
  </si>
  <si>
    <t>YILHM0423</t>
  </si>
  <si>
    <t>YILHM0424</t>
  </si>
  <si>
    <t>YILHM0425</t>
  </si>
  <si>
    <t>Sandalias en tendencia y de gran comodidad Negro (talla reducida)</t>
  </si>
  <si>
    <t>YILHM0426</t>
  </si>
  <si>
    <t>YILHM0427</t>
  </si>
  <si>
    <t>Plataforma negra en tendencia (talla reducida)</t>
  </si>
  <si>
    <t>YILHM0428</t>
  </si>
  <si>
    <t>YILHM0429</t>
  </si>
  <si>
    <t>Plataforma en bloque de color</t>
  </si>
  <si>
    <t>YILHM0430</t>
  </si>
  <si>
    <t>YILHM0431</t>
  </si>
  <si>
    <t>YILHM0432</t>
  </si>
  <si>
    <t>YILHM0433</t>
  </si>
  <si>
    <t>Pullover blanco Hot Stuff</t>
  </si>
  <si>
    <t>YILHM0434</t>
  </si>
  <si>
    <t>YILHM0435</t>
  </si>
  <si>
    <t>YILHM0436</t>
  </si>
  <si>
    <t>YILHM0437</t>
  </si>
  <si>
    <t>Vestido pullover acanalado Oliva (Victoria´s Secret)</t>
  </si>
  <si>
    <t>YILHM0438</t>
  </si>
  <si>
    <t>Vestido pullover acanalado Crema (Victoria´s Secret)</t>
  </si>
  <si>
    <t>YILHM0439</t>
  </si>
  <si>
    <t>YILHM0440</t>
  </si>
  <si>
    <t>YILHM0441</t>
  </si>
  <si>
    <t>Vestido pullover acanalado Gris (Victoria´s Secret)</t>
  </si>
  <si>
    <t>YILHM0442</t>
  </si>
  <si>
    <t>Vestido pullover acanalado Rosa (Victoria´s Secret)</t>
  </si>
  <si>
    <t>YILHM0443</t>
  </si>
  <si>
    <t>YILHM0444</t>
  </si>
  <si>
    <t>YILHM0445</t>
  </si>
  <si>
    <t>Skort deportivo algodón (Victoria´s Secret)</t>
  </si>
  <si>
    <t>YILHM0446</t>
  </si>
  <si>
    <t>Vestido Polo Azul (Victoria´s Secret)</t>
  </si>
  <si>
    <t>YILHM0447</t>
  </si>
  <si>
    <t>YILHM0448</t>
  </si>
  <si>
    <t>YILHM0449</t>
  </si>
  <si>
    <t>YILHM0450</t>
  </si>
  <si>
    <t>YILHM0451</t>
  </si>
  <si>
    <t>Pijama de pantalón largo de algodón Rosa (Victoria´s Secret)</t>
  </si>
  <si>
    <t>YILHM0452</t>
  </si>
  <si>
    <t>YILHM0453</t>
  </si>
  <si>
    <t>YILHM0454</t>
  </si>
  <si>
    <t>YILHM0455</t>
  </si>
  <si>
    <t>Pijama de pantalón largo de algodón Negro (Victoria´s Secret)</t>
  </si>
  <si>
    <t>YILHM0456</t>
  </si>
  <si>
    <t>YILHM0457</t>
  </si>
  <si>
    <t>Pijama de pantalón corto Negro de algodón (Victoria´s Secret)</t>
  </si>
  <si>
    <t>YILHM0458</t>
  </si>
  <si>
    <t>YILHM0459</t>
  </si>
  <si>
    <t>YILHM0460</t>
  </si>
  <si>
    <t>YILHM0461</t>
  </si>
  <si>
    <t>YILHM0463</t>
  </si>
  <si>
    <t>Angel New York Eau de Parfum</t>
  </si>
  <si>
    <t>Tamaño 50ml</t>
  </si>
  <si>
    <t>YILHM0464</t>
  </si>
  <si>
    <t>Mochilas de Lona de gran calidad con porta laptop Marca Victoria´s Secret Gris</t>
  </si>
  <si>
    <t>YILHM0465</t>
  </si>
  <si>
    <t>Mochilas de Lona de gran calidad con porta laptop Marca Victoria´s Secret Rosa</t>
  </si>
  <si>
    <t>YILHM0466</t>
  </si>
  <si>
    <t>Mochilas de Lona de gran calidad con porta laptop Marca Victoria´s Secret Negra</t>
  </si>
  <si>
    <t>YILHM0467</t>
  </si>
  <si>
    <t>Mochilas de Lona de gran calidad con porta laptop Marca Victoria´s Secret Azul</t>
  </si>
  <si>
    <t>YILHM0468</t>
  </si>
  <si>
    <t>Tease Heartbreaker Eau de Parfum</t>
  </si>
  <si>
    <t>YILHM0469</t>
  </si>
  <si>
    <t>Vestido negro largo con escote profundo y diseño calado con adorno metálico</t>
  </si>
  <si>
    <t>YILHM0470</t>
  </si>
  <si>
    <t>YILHM0471</t>
  </si>
  <si>
    <t>YILHM0472</t>
  </si>
  <si>
    <t>Calzado rojo elegante de punta fina</t>
  </si>
  <si>
    <t>YILHM0473</t>
  </si>
  <si>
    <t>YILHM0474</t>
  </si>
  <si>
    <t>YILHM0475</t>
  </si>
  <si>
    <t>Colonia Green Vibran Breeze (Victoria´s Secret)</t>
  </si>
  <si>
    <t>Tamaño 250</t>
  </si>
  <si>
    <t>YILHM0476</t>
  </si>
  <si>
    <t>Crema Green Vibran Breeze (Victoria´s Secret)</t>
  </si>
  <si>
    <t>YILHM0477</t>
  </si>
  <si>
    <t>Colonia Pure Seduction (Victoria´s Secret)</t>
  </si>
  <si>
    <t>YILHM0478</t>
  </si>
  <si>
    <t>Crema Pure Seduction (Victoria´s Secret)</t>
  </si>
  <si>
    <t>YILHM0479</t>
  </si>
  <si>
    <t>Crema Velvet Petals (Victoria´s Secret)</t>
  </si>
  <si>
    <t>YILHM0480</t>
  </si>
  <si>
    <t>Colonia Velvet Petals (Victoria´s Secret)</t>
  </si>
  <si>
    <t>YILHM0481</t>
  </si>
  <si>
    <t>Colonia Love Spell  (Victoria´s Secret)</t>
  </si>
  <si>
    <t>YILHM0482</t>
  </si>
  <si>
    <t>Crema Love Spell  (Victoria´s Secret)</t>
  </si>
  <si>
    <t>YILHM0483</t>
  </si>
  <si>
    <t>Crema Bare Vanilla  (Victoria´s Secret)</t>
  </si>
  <si>
    <t>YILHM0484</t>
  </si>
  <si>
    <t>Colonia Bare Vanilla  (Victoria´s Secret)</t>
  </si>
  <si>
    <t>YILHM0485</t>
  </si>
  <si>
    <t>Limpiador facial para todo tipo de piel de Leche de Coco y Rosas (Victoria´s Secret)</t>
  </si>
  <si>
    <t>Tamaño 220</t>
  </si>
  <si>
    <t>YILHM0486</t>
  </si>
  <si>
    <t>Sandalias Blancas mule de tacón bajo cuadrado</t>
  </si>
  <si>
    <t>YILHM0487</t>
  </si>
  <si>
    <t>Hoodie con capucho hologada beige claro de hombre H&amp;M</t>
  </si>
  <si>
    <t>YILHM0488</t>
  </si>
  <si>
    <t>Sudadera holgada beige claro de hombre H&amp;M</t>
  </si>
  <si>
    <t>YILHM0489</t>
  </si>
  <si>
    <t>YILHM0490</t>
  </si>
  <si>
    <t>Jogger deportivo de ajuste regular gris melange de hombre H&amp;M</t>
  </si>
  <si>
    <t>YILHM0491</t>
  </si>
  <si>
    <t>Jogger deportivo de ajuste regular azul marino de hombre H&amp;M</t>
  </si>
  <si>
    <t>YILHM0493</t>
  </si>
  <si>
    <t>Pantalones deportivos de mujer beige claro H&amp;M</t>
  </si>
  <si>
    <t>YILHM0494</t>
  </si>
  <si>
    <t xml:space="preserve">Jogger de pierna ancha gris melange de mujer H&amp;M </t>
  </si>
  <si>
    <t>YILHM0495</t>
  </si>
  <si>
    <t>Jogger deportivo de ajuste regular negro de mujer H&amp;M</t>
  </si>
  <si>
    <t>YILHM0496</t>
  </si>
  <si>
    <t xml:space="preserve">Jogger de pierna ancha negro de mujer H&amp;M </t>
  </si>
  <si>
    <t>YILHM0497</t>
  </si>
  <si>
    <t>Jogger de pierna ancha negro con bolsillo trasero de mujer H&amp;M</t>
  </si>
  <si>
    <t>YILHM0498</t>
  </si>
  <si>
    <t>Jogger deportivo de ajuste regular blanco H&amp;M(sin foto)</t>
  </si>
  <si>
    <t>YILHM0500</t>
  </si>
  <si>
    <t>Hoodie con capucho hologada negro de hombre H&amp;M</t>
  </si>
  <si>
    <t>YILHM0501</t>
  </si>
  <si>
    <t>Polo de gofrado de ajuste perfecto crema de hombre H&amp;M</t>
  </si>
  <si>
    <t>YILHM0502</t>
  </si>
  <si>
    <t>Enguatada con estampado de gofrados y ajuste slim beige de hombre H&amp;M</t>
  </si>
  <si>
    <t>YILHM0503</t>
  </si>
  <si>
    <t>Enguatada con estampado de gofrados y ajuste slim negro de hombre H&amp;M</t>
  </si>
  <si>
    <t>YILHM0504</t>
  </si>
  <si>
    <t>Enguatada con estampado de gofrados y ajuste slim gris de hombre H&amp;M</t>
  </si>
  <si>
    <t>YILHM0505</t>
  </si>
  <si>
    <t xml:space="preserve">Hoodie con cremallera beige claro de mujer H&amp;M </t>
  </si>
  <si>
    <t>YILHM0506</t>
  </si>
  <si>
    <t xml:space="preserve">Sudadera holgada beige claro de hombre H&amp;M </t>
  </si>
  <si>
    <t>YILHM0507</t>
  </si>
  <si>
    <t>Jeans mom de tiro alto y pierna delgada azul oscuro de mujer H&amp;M</t>
  </si>
  <si>
    <t>YILHM0508</t>
  </si>
  <si>
    <t>Sudadera holgada Thermolite negro H&amp;M</t>
  </si>
  <si>
    <t>YILHM0509</t>
  </si>
  <si>
    <t>YILHM0510</t>
  </si>
  <si>
    <t>Polo de algodón de ajuste regular con cremallera beige de hombre H&amp;M</t>
  </si>
  <si>
    <t>YILHM0511</t>
  </si>
  <si>
    <t>Suéter de punto de ajuste regular crema de hombre H&amp;M</t>
  </si>
  <si>
    <t>YILHM0512</t>
  </si>
  <si>
    <t>Sudadera bordada crema de hombre H&amp;M</t>
  </si>
  <si>
    <t>YILHM0513</t>
  </si>
  <si>
    <t>Hoodie con capucha rosa topo de mujer H&amp;M</t>
  </si>
  <si>
    <t>YILHM0514</t>
  </si>
  <si>
    <t>Hoodie con capucha gris oscuro de mujer H&amp;M (sin foto)</t>
  </si>
  <si>
    <t>YILHM0515</t>
  </si>
  <si>
    <t>Suéter de cuello alto de punto fino y ajuste slim blanco de hombre H&amp;M</t>
  </si>
  <si>
    <t>YILHM0517</t>
  </si>
  <si>
    <t xml:space="preserve">Falda de gasa plisada negro de mujer H&amp;M </t>
  </si>
  <si>
    <t>YILHM0518</t>
  </si>
  <si>
    <t>Suéter de cuello alto negro de mujer H&amp;M</t>
  </si>
  <si>
    <t>YILHM0519</t>
  </si>
  <si>
    <t>Enguatada de punto fino gris melange de mujer H&amp;M</t>
  </si>
  <si>
    <t>YILHM0520</t>
  </si>
  <si>
    <t>YILHM0521</t>
  </si>
  <si>
    <t>Camisa de mezcla modal negro de hombre H&amp;M</t>
  </si>
  <si>
    <t>YILHM0522</t>
  </si>
  <si>
    <t>Camisa ajustada de hombre H&amp;M</t>
  </si>
  <si>
    <t>YILHM0523</t>
  </si>
  <si>
    <t>Suéter de cuello alto de brillos negro de mujer H&amp;M</t>
  </si>
  <si>
    <t>YILHM0524</t>
  </si>
  <si>
    <t>Jeans de tiro alto con pierna ajustada de mujer H&amp;M</t>
  </si>
  <si>
    <t>YILHM0525</t>
  </si>
  <si>
    <t>Body tanga con escote redondo negro de mujer H&amp;M</t>
  </si>
  <si>
    <t>YILHM0526</t>
  </si>
  <si>
    <t>Pantalón cargo ajustado negro de hombre H&amp;M (Baby)</t>
  </si>
  <si>
    <t>YILHM0527</t>
  </si>
  <si>
    <t>Enguatada MOVE negro de mujer H&amp;M (sin etiqueta)</t>
  </si>
  <si>
    <t>YILHM0528</t>
  </si>
  <si>
    <t>Top de hombros descubiertos negro de mujer H&amp;M</t>
  </si>
  <si>
    <t>YILHM0529</t>
  </si>
  <si>
    <t>Camisa slim fit negro de hombre H&amp;M</t>
  </si>
  <si>
    <t>YILHM0530</t>
  </si>
  <si>
    <t>YILHM0531</t>
  </si>
  <si>
    <t>Camisa elástica de ajuste perfecto de hombre H&amp;M</t>
  </si>
  <si>
    <t>YILHM0532</t>
  </si>
  <si>
    <t>Enguatada de ajuste regular negro de hombre H&amp;M</t>
  </si>
  <si>
    <t>YILHM0533</t>
  </si>
  <si>
    <t>Camisa slim fit blanca de hombre H&amp;M</t>
  </si>
  <si>
    <t>YILHM0534</t>
  </si>
  <si>
    <t>Camisa de mezcla de algodón blanco de mujer H&amp;M</t>
  </si>
  <si>
    <t>YILHM0535</t>
  </si>
  <si>
    <t>YILHM0536</t>
  </si>
  <si>
    <t>YILHM0537</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</si>
  <si>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</si>
  <si>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</si>
  <si>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</si>
  <si>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</si>
  <si>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</si>
  <si>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</si>
  <si>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</si>
  <si>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</si>
  <si>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</si>
  <si>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</si>
  <si>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</si>
  <si>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</si>
  <si>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</si>
  <si>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</si>
  <si>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</si>
  <si>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</si>
  <si>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</si>
  <si>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</si>
  <si>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</si>
  <si>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</si>
  <si>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</si>
  <si>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</si>
  <si>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</si>
  <si>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</si>
  <si>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</si>
  <si>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</si>
  <si>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</si>
  <si>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</si>
  <si>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</si>
  <si>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</si>
  <si>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</si>
  <si>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</si>
  <si>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</si>
  <si>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</si>
  <si>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</si>
  <si>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</si>
  <si>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</si>
  <si>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</si>
  <si>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</si>
  <si>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</si>
  <si>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</si>
  <si>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</si>
  <si>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</si>
  <si>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</si>
  <si>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</si>
  <si>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</si>
  <si>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</si>
  <si>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</si>
  <si>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</si>
  <si>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</si>
  <si>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</si>
  <si>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</si>
  <si>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</si>
  <si>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</si>
  <si>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</si>
  <si>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</si>
  <si>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</si>
  <si>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</si>
  <si>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</si>
  <si>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</si>
  <si>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</si>
  <si>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</si>
  <si>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</si>
  <si>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</si>
  <si>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</si>
  <si>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</si>
  <si>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</si>
  <si>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</si>
  <si>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</si>
  <si>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</si>
  <si>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</si>
  <si>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</si>
  <si>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</si>
  <si>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</si>
  <si>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</si>
  <si>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</si>
  <si>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</si>
  <si>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</si>
  <si>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</si>
  <si>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</si>
  <si>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</si>
  <si>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</si>
  <si>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</si>
  <si>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</si>
  <si>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</si>
  <si>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</si>
  <si>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</si>
  <si>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</si>
  <si>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</si>
  <si>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</si>
  <si>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</si>
  <si>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</si>
  <si>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</si>
  <si>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</si>
  <si>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</si>
  <si>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</si>
  <si>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</si>
  <si>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</si>
  <si>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</si>
  <si>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</si>
  <si>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</si>
  <si>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</si>
  <si>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</si>
  <si>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</si>
  <si>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</si>
  <si>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</si>
  <si>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</si>
  <si>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</si>
  <si>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</si>
  <si>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</si>
  <si>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</si>
  <si>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</si>
  <si>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</si>
  <si>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</si>
  <si>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</si>
  <si>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</si>
  <si>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</si>
  <si>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</si>
  <si>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</si>
  <si>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</si>
  <si>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</si>
  <si>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</si>
  <si>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</si>
  <si>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</si>
  <si>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</si>
  <si>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</si>
  <si>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</si>
  <si>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</si>
  <si>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</si>
  <si>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</si>
  <si>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</si>
  <si>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</si>
  <si>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</si>
  <si>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</si>
  <si>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</si>
  <si>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</si>
  <si>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</si>
  <si>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</si>
  <si>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</si>
  <si>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</si>
  <si>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</si>
  <si>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</si>
  <si>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</si>
  <si>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</si>
  <si>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</si>
  <si>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</si>
  <si>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</si>
  <si>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</si>
  <si>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</si>
  <si>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</si>
  <si>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</si>
  <si>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</si>
  <si>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</si>
  <si>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</si>
  <si>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</si>
  <si>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</si>
  <si>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</si>
  <si>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</si>
  <si>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</si>
  <si>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</si>
  <si>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</si>
  <si>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</si>
  <si>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</si>
  <si>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</si>
  <si>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</si>
  <si>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</si>
  <si>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</si>
  <si>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</si>
  <si>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</si>
  <si>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</si>
  <si>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</si>
  <si>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</si>
  <si>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</si>
  <si>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</si>
  <si>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</si>
  <si>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</si>
  <si>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</si>
  <si>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</si>
  <si>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</si>
  <si>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</si>
  <si>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</si>
  <si>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</si>
  <si>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</si>
  <si>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</si>
  <si>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</si>
  <si>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</si>
  <si>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</si>
  <si>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</si>
  <si>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</si>
  <si>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</si>
  <si>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</si>
  <si>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</si>
  <si>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</si>
  <si>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</si>
  <si>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</si>
  <si>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</si>
  <si>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</si>
  <si>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</si>
  <si>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</si>
  <si>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</si>
  <si>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</si>
  <si>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</si>
  <si>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</si>
  <si>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</si>
  <si>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</si>
  <si>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</si>
  <si>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</si>
  <si>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</si>
  <si>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</si>
  <si>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</si>
  <si>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</si>
  <si>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</si>
  <si>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</si>
  <si>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</si>
  <si>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</si>
  <si>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</si>
  <si>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</si>
  <si>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</si>
  <si>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</si>
  <si>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</si>
  <si>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</si>
  <si>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</si>
  <si>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</si>
  <si>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</si>
  <si>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</si>
  <si>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</si>
  <si>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</si>
  <si>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</si>
  <si>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</si>
  <si>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</si>
  <si>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</si>
  <si>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</si>
  <si>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</si>
  <si>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</si>
  <si>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</si>
  <si>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</si>
  <si>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</si>
  <si>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</si>
  <si>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</si>
  <si>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</si>
  <si>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</si>
  <si>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</si>
  <si>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</si>
  <si>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</si>
  <si>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</si>
  <si>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</si>
  <si>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</si>
  <si>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</si>
  <si>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</si>
  <si>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</si>
  <si>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</si>
  <si>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</si>
  <si>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</si>
  <si>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</si>
  <si>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</si>
  <si>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</si>
  <si>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</si>
  <si>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</si>
  <si>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</si>
  <si>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</si>
  <si>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</si>
  <si>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</si>
  <si>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</si>
  <si>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</si>
  <si>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</si>
  <si>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</si>
  <si>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</si>
  <si>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</si>
  <si>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</si>
  <si>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</si>
  <si>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</si>
  <si>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</si>
  <si>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</si>
  <si>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</si>
  <si>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</si>
  <si>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</si>
  <si>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</si>
  <si>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</si>
  <si>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</si>
  <si>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</si>
  <si>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</si>
  <si>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</si>
  <si>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</si>
  <si>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</si>
  <si>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</si>
  <si>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</si>
  <si>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</si>
  <si>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</si>
  <si>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</si>
  <si>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</si>
  <si>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</si>
  <si>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</si>
  <si>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</si>
  <si>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</si>
  <si>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</si>
  <si>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</si>
  <si>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</si>
  <si>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</si>
  <si>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</si>
  <si>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</si>
  <si>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</si>
  <si>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</si>
  <si>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</si>
  <si>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</si>
  <si>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</si>
  <si>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</si>
  <si>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</si>
  <si>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</si>
  <si>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</si>
  <si>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</si>
  <si>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</si>
  <si>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</si>
  <si>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</si>
  <si>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</si>
  <si>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</si>
  <si>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</si>
  <si>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</si>
  <si>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</si>
  <si>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</si>
  <si>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</si>
  <si>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</si>
  <si>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</si>
  <si>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</si>
  <si>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</si>
  <si>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</si>
  <si>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</si>
  <si>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</si>
  <si>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</si>
  <si>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</si>
  <si>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</si>
  <si>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</si>
  <si>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</si>
  <si>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</si>
  <si>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</si>
  <si>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</si>
  <si>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</si>
  <si>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</si>
  <si>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</si>
  <si>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</si>
  <si>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</si>
  <si>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</si>
  <si>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</si>
  <si>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</si>
  <si>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</si>
  <si>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</si>
  <si>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</si>
  <si>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</si>
  <si>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</si>
  <si>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</si>
  <si>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</si>
  <si>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</si>
  <si>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</si>
  <si>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</si>
  <si>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</si>
  <si>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</si>
  <si>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</si>
  <si>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</si>
  <si>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</si>
  <si>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</si>
  <si>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</si>
  <si>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</si>
  <si>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</si>
  <si>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</si>
  <si>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</si>
  <si>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</si>
  <si>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</si>
  <si>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</si>
  <si>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</si>
  <si>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</si>
  <si>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</si>
  <si>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</si>
  <si>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</si>
  <si>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</si>
  <si>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</si>
  <si>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</si>
  <si>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</si>
  <si>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</si>
  <si>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</si>
  <si>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</si>
  <si>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</si>
  <si>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</si>
  <si>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</si>
  <si>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</si>
  <si>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</si>
  <si>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</si>
  <si>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</si>
  <si>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</si>
  <si>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</si>
  <si>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</si>
  <si>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</si>
  <si>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</si>
  <si>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</si>
  <si>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</si>
  <si>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</si>
  <si>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</si>
  <si>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</si>
  <si>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</si>
  <si>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</si>
  <si>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</si>
  <si>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</si>
  <si>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</si>
  <si>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</si>
  <si>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</si>
  <si>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</si>
  <si>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</si>
  <si>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</si>
  <si>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</si>
  <si>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</si>
  <si>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</si>
  <si>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</si>
  <si>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</si>
  <si>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</si>
  <si>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</si>
  <si>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</si>
  <si>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</si>
  <si>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</si>
  <si>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</si>
  <si>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</si>
  <si>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</si>
  <si>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</si>
  <si>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</si>
  <si>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</si>
  <si>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</si>
  <si>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</si>
  <si>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</si>
  <si>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</si>
  <si>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</si>
  <si>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</si>
  <si>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</si>
  <si>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</si>
  <si>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</si>
  <si>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</si>
  <si>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</si>
  <si>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</si>
  <si>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</si>
  <si>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</si>
  <si>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</si>
  <si>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</si>
  <si>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</si>
  <si>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</si>
  <si>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</si>
  <si>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</si>
  <si>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</si>
  <si>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</si>
  <si>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</si>
  <si>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</si>
  <si>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</si>
  <si>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</si>
  <si>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</si>
  <si>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</si>
  <si>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</si>
  <si>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</si>
  <si>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</si>
  <si>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</si>
  <si>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</si>
  <si>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</si>
  <si>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</si>
  <si>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</si>
  <si>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</si>
  <si>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</si>
  <si>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</si>
  <si>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</si>
  <si>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</si>
  <si>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</si>
  <si>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</si>
  <si>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</si>
  <si>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</si>
  <si>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</si>
  <si>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</si>
  <si>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</si>
  <si>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</si>
  <si>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</si>
  <si>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</si>
  <si>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</si>
  <si>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</si>
  <si>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</si>
  <si>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</si>
  <si>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</si>
  <si>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</si>
  <si>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</si>
  <si>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</si>
  <si>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</si>
  <si>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</si>
  <si>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</si>
  <si>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</si>
  <si>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</si>
  <si>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</si>
  <si>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</si>
  <si>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</si>
  <si>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</si>
  <si>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</si>
  <si>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</si>
  <si>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</si>
  <si>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</si>
  <si>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</si>
  <si>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</si>
  <si>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</si>
  <si>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</si>
  <si>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</si>
  <si>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</si>
  <si>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</si>
  <si>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</si>
  <si>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</si>
  <si>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</si>
  <si>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</si>
  <si>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</si>
  <si>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</si>
  <si>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</si>
  <si>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</si>
  <si>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</si>
  <si>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</si>
  <si>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</si>
  <si>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</si>
  <si>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</si>
  <si>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</si>
  <si>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</si>
  <si>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</si>
  <si>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</si>
  <si>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</si>
  <si>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</si>
  <si>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</si>
  <si>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</si>
  <si>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</si>
  <si>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</si>
  <si>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</si>
  <si>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</si>
  <si>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</si>
  <si>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</si>
  <si>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</si>
  <si>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</si>
  <si>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</si>
  <si>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</si>
  <si>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</si>
  <si>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</si>
  <si>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</si>
  <si>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</si>
  <si>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</si>
  <si>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</si>
  <si>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</si>
  <si>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</si>
  <si>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</si>
  <si>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</si>
  <si>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</si>
  <si>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</si>
  <si>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</si>
  <si>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</si>
  <si>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</si>
  <si>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</si>
  <si>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</si>
  <si>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</si>
  <si>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</si>
  <si>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</si>
  <si>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</si>
  <si>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</si>
  <si>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</si>
  <si>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</si>
  <si>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</si>
  <si>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</si>
  <si>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</si>
  <si>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</si>
  <si>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</si>
  <si>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</si>
  <si>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</si>
  <si>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</si>
  <si>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</si>
  <si>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</si>
  <si>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</si>
  <si>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</si>
  <si>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</si>
  <si>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</si>
  <si>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</si>
  <si>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</si>
  <si>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</si>
  <si>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</si>
  <si>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</si>
  <si>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</si>
  <si>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</si>
  <si>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</si>
  <si>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</si>
  <si>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</si>
  <si>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</si>
  <si>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</si>
  <si>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</si>
  <si>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</si>
  <si>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</si>
  <si>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</si>
  <si>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</si>
  <si>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</si>
  <si>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</si>
  <si>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</si>
  <si>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</si>
  <si>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</si>
  <si>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</si>
  <si>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</si>
  <si>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</si>
  <si>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</si>
  <si>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</si>
  <si>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</si>
  <si>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</si>
  <si>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</si>
  <si>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</si>
  <si>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</si>
  <si>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</si>
  <si>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</si>
  <si>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</si>
  <si>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</si>
  <si>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</si>
  <si>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</si>
  <si>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</si>
  <si>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</si>
  <si>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</si>
  <si>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</si>
  <si>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</si>
  <si>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</si>
  <si>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</si>
  <si>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</si>
  <si>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</si>
  <si>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</si>
  <si>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</si>
  <si>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</si>
  <si>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</si>
  <si>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</si>
  <si>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</si>
  <si>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</si>
  <si>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</si>
  <si>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</si>
  <si>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</si>
  <si>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</si>
  <si>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</si>
  <si>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</si>
  <si>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</si>
  <si>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</si>
  <si>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</si>
  <si>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</si>
  <si>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</si>
  <si>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</si>
  <si>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</si>
  <si>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</si>
  <si>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</si>
  <si>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</si>
  <si>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</si>
  <si>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</si>
  <si>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</si>
  <si>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</si>
  <si>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</si>
  <si>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</si>
  <si>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</si>
  <si>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</si>
  <si>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</si>
  <si>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</si>
  <si>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</si>
  <si>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</si>
  <si>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</si>
  <si>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</si>
  <si>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</si>
  <si>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</si>
  <si>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</si>
  <si>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</si>
  <si>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</si>
  <si>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</si>
  <si>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</si>
  <si>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</si>
  <si>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</si>
  <si>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</si>
  <si>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</si>
  <si>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</si>
  <si>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</si>
  <si>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</si>
  <si>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</si>
  <si>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</si>
  <si>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</si>
  <si>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</si>
  <si>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</si>
  <si>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</si>
  <si>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</si>
  <si>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</si>
  <si>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</si>
  <si>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</si>
  <si>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</si>
  <si>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</si>
  <si>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</si>
  <si>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</si>
  <si>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</si>
  <si>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</si>
  <si>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</si>
  <si>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</si>
  <si>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</si>
  <si>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</si>
  <si>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</si>
  <si>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</si>
  <si>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</si>
  <si>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</si>
  <si>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</si>
  <si>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</si>
  <si>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</si>
  <si>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</si>
  <si>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</si>
  <si>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</si>
  <si>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</si>
  <si>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</si>
  <si>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</si>
  <si>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</si>
  <si>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</si>
  <si>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</si>
  <si>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</si>
  <si>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</si>
  <si>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</si>
  <si>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</si>
  <si>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</si>
  <si>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</si>
  <si>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</si>
  <si>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</si>
  <si>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</si>
  <si>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</si>
  <si>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</si>
  <si>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</si>
  <si>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</si>
  <si>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</si>
  <si>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</si>
  <si>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</si>
  <si>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</si>
  <si>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</si>
  <si>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</si>
  <si>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</si>
  <si>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</si>
  <si>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</si>
  <si>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</si>
  <si>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</si>
  <si>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</si>
  <si>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</si>
  <si>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</si>
  <si>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</si>
  <si>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</si>
  <si>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</si>
  <si>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</si>
  <si>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</si>
  <si>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</si>
  <si>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</si>
  <si>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</si>
  <si>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</si>
  <si>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</si>
  <si>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</si>
  <si>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</si>
  <si>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</si>
  <si>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</si>
  <si>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</si>
  <si>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</si>
  <si>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</si>
  <si>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</si>
  <si>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</si>
  <si>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</si>
  <si>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</si>
  <si>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</si>
  <si>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</si>
  <si>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</si>
  <si>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</si>
  <si>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</si>
  <si>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</si>
  <si>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</si>
  <si>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</si>
  <si>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</si>
  <si>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</si>
  <si>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</si>
  <si>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</si>
  <si>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</si>
  <si>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</si>
  <si>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</si>
  <si>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</si>
  <si>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</si>
  <si>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</si>
  <si>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</si>
  <si>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</si>
  <si>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</si>
  <si>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</si>
  <si>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</si>
  <si>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</si>
  <si>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</si>
  <si>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</si>
  <si>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</si>
  <si>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</si>
  <si>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</si>
  <si>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</si>
  <si>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</si>
  <si>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</si>
  <si>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</si>
  <si>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</si>
  <si>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</si>
  <si>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</si>
  <si>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</si>
  <si>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</si>
  <si>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</si>
  <si>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</si>
  <si>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</si>
  <si>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</si>
  <si>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</si>
  <si>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</si>
  <si>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</si>
  <si>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</si>
  <si>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</si>
  <si>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</si>
  <si>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</si>
  <si>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</si>
  <si>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</si>
  <si>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</si>
  <si>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</si>
  <si>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</si>
  <si>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</si>
  <si>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</si>
  <si>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</si>
  <si>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</si>
  <si>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</si>
  <si>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</si>
  <si>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</si>
  <si>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</si>
  <si>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</si>
  <si>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</si>
  <si>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</si>
  <si>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</si>
  <si>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</si>
  <si>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</si>
  <si>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</si>
  <si>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</si>
  <si>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</si>
  <si>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</si>
  <si>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</si>
  <si>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</si>
  <si>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</si>
  <si>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</si>
  <si>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</si>
  <si>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</si>
  <si>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</si>
  <si>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</si>
  <si>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</si>
  <si>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</si>
  <si>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</si>
  <si>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</si>
  <si>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</si>
  <si>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</si>
  <si>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</si>
  <si>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</si>
  <si>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</si>
  <si>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</si>
  <si>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</si>
  <si>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</si>
  <si>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</si>
  <si>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</si>
  <si>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</si>
  <si>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</si>
  <si>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</si>
  <si>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</si>
  <si>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</si>
  <si>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</si>
  <si>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</si>
  <si>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</si>
  <si>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</si>
  <si>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</si>
  <si>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</si>
  <si>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</si>
  <si>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</si>
  <si>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</si>
  <si>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</si>
  <si>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</si>
  <si>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</si>
  <si>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</si>
  <si>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</si>
  <si>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</si>
  <si>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</si>
  <si>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</si>
  <si>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</si>
  <si>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</si>
  <si>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</si>
  <si>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</si>
  <si>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</si>
  <si>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</si>
  <si>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</si>
  <si>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</si>
  <si>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</si>
  <si>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</si>
  <si>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</si>
  <si>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</si>
  <si>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</si>
  <si>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</si>
  <si>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</si>
  <si>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</si>
  <si>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</si>
  <si>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</si>
  <si>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</si>
  <si>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</si>
  <si>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</si>
  <si>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</si>
  <si>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</si>
  <si>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</si>
  <si>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</si>
  <si>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</si>
  <si>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</si>
  <si>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</si>
  <si>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</si>
  <si>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</si>
  <si>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</si>
  <si>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</si>
  <si>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</si>
  <si>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</si>
  <si>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</si>
  <si>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</si>
  <si>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</si>
  <si>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</si>
  <si>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</si>
  <si>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</si>
  <si>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</si>
  <si>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</si>
  <si>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</si>
  <si>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</si>
  <si>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</si>
  <si>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</si>
  <si>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</si>
  <si>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</si>
  <si>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</si>
  <si>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</si>
  <si>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</si>
  <si>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</si>
  <si>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</si>
  <si>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</si>
  <si>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</si>
  <si>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</si>
  <si>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</si>
  <si>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</si>
  <si>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</si>
  <si>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</si>
  <si>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</si>
  <si>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</si>
  <si>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</si>
  <si>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</si>
  <si>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</si>
  <si>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</si>
  <si>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</si>
  <si>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</si>
  <si>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</si>
  <si>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</si>
  <si>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</si>
  <si>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</si>
  <si>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</si>
  <si>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</si>
  <si>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</si>
  <si>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</si>
  <si>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</si>
  <si>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</si>
  <si>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</si>
  <si>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</si>
  <si>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</si>
  <si>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</si>
  <si>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</si>
  <si>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</si>
  <si>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</si>
  <si>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</si>
  <si>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</si>
  <si>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</si>
  <si>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</si>
  <si>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</si>
  <si>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</si>
  <si>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</si>
  <si>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</si>
  <si>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</si>
  <si>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</si>
  <si>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</si>
  <si>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</si>
  <si>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</si>
  <si>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</si>
  <si>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</si>
  <si>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</si>
  <si>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</si>
  <si>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</si>
  <si>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</si>
  <si>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</si>
  <si>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</si>
  <si>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</si>
  <si>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</si>
  <si>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</si>
  <si>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</si>
  <si>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</si>
  <si>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</si>
  <si>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</si>
  <si>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</si>
  <si>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</si>
  <si>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</si>
  <si>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</si>
  <si>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</si>
  <si>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</si>
  <si>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</si>
  <si>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</si>
  <si>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</si>
  <si>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</si>
  <si>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</si>
  <si>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</si>
  <si>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</si>
  <si>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</si>
  <si>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</si>
  <si>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</si>
  <si>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</si>
  <si>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</si>
  <si>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</si>
  <si>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</si>
  <si>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</si>
  <si>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</si>
  <si>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</si>
  <si>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</si>
  <si>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</si>
  <si>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</si>
  <si>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</si>
  <si>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</si>
  <si>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</si>
  <si>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</si>
  <si>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</si>
  <si>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</si>
  <si>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</si>
  <si>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</si>
  <si>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</si>
  <si>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</si>
  <si>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</si>
  <si>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</si>
  <si>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</si>
  <si>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</si>
  <si>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</si>
  <si>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</si>
  <si>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</si>
  <si>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</si>
  <si>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</si>
  <si>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</si>
  <si>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</si>
  <si>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00395BU043668</t>
  </si>
  <si>
    <t>00396BU0435961</t>
  </si>
  <si>
    <t>Yeni</t>
  </si>
  <si>
    <t>00397YILHM0052</t>
  </si>
  <si>
    <t>00398BU06785</t>
  </si>
  <si>
    <t>00398BU043545</t>
  </si>
  <si>
    <t>Vendido por mí</t>
  </si>
  <si>
    <t>00399YILHM0059</t>
  </si>
  <si>
    <t>00400BU043667</t>
  </si>
  <si>
    <t>00401BU043577</t>
  </si>
  <si>
    <t>00402UB0126</t>
  </si>
  <si>
    <t>00403BU043682</t>
  </si>
  <si>
    <t>00403BU043672</t>
  </si>
  <si>
    <t>00403BU043693</t>
  </si>
  <si>
    <t>00403BU043630</t>
  </si>
  <si>
    <t>Asignar nombre del Gestor</t>
  </si>
  <si>
    <t>00404BU043676</t>
  </si>
  <si>
    <t>Defectuosas</t>
  </si>
  <si>
    <t>00405BU043533</t>
  </si>
  <si>
    <t>00406BU043511</t>
  </si>
  <si>
    <t>00407BU04387</t>
  </si>
  <si>
    <t>00407BU06551</t>
  </si>
  <si>
    <t>Lo vendi yo</t>
  </si>
  <si>
    <t>00408YILHM0162</t>
  </si>
  <si>
    <t>Yesy
[2024-12-05 11:15:44 -0600</t>
  </si>
  <si>
    <t>00409YILHM0190</t>
  </si>
  <si>
    <t>00409YILHM0228</t>
  </si>
  <si>
    <t>00409YILHM0164</t>
  </si>
  <si>
    <t>00410YILHM0172</t>
  </si>
  <si>
    <t>00410YILHM0201</t>
  </si>
  <si>
    <t>00411BU043497</t>
  </si>
  <si>
    <t>Jacquelin</t>
  </si>
  <si>
    <t>00412BU043484</t>
  </si>
  <si>
    <t>00412BU043483</t>
  </si>
  <si>
    <t>00412YILHM0203</t>
  </si>
  <si>
    <t>00412BU043485</t>
  </si>
  <si>
    <t>00412YILHM0088</t>
  </si>
  <si>
    <t>Este pantalón lo vende Yesy que es el de la factura de los dos pantalones y el Top marrón que no son yo dos marrón. Si no este pantalón en 15 pesos en vez de 30</t>
  </si>
  <si>
    <t>00413YILHM0188</t>
  </si>
  <si>
    <t>Baby 
También se vendió un pantalon de los nuevos jogger con parte de abajo ajustable talla L $40.00
Hay que agregarlo a las ventas y a la comisión</t>
  </si>
  <si>
    <t>00414YILHM0083</t>
  </si>
  <si>
    <t>00414YILHM0194</t>
  </si>
  <si>
    <t>00414YILHM0008</t>
  </si>
  <si>
    <t>00414YILHM0015</t>
  </si>
  <si>
    <t>00414BU04321</t>
  </si>
  <si>
    <t>00414YILHM0185</t>
  </si>
  <si>
    <t>00414YILHM0183</t>
  </si>
  <si>
    <t>00415YILHM0226</t>
  </si>
  <si>
    <t>00416BU0594</t>
  </si>
  <si>
    <t>00416YILHM0223</t>
  </si>
  <si>
    <t>00417BU043670</t>
  </si>
  <si>
    <t>Yudi venta noviembre</t>
  </si>
  <si>
    <t>00418BU043678</t>
  </si>
  <si>
    <t>00419YILHM0218</t>
  </si>
  <si>
    <t>00420BU043609</t>
  </si>
  <si>
    <t>Jaquelin</t>
  </si>
  <si>
    <t>00421YILHM0193</t>
  </si>
  <si>
    <t>00422BU04419</t>
  </si>
  <si>
    <t>00422YILHM0073</t>
  </si>
  <si>
    <t>00422BU043525</t>
  </si>
  <si>
    <t>00423BU0734</t>
  </si>
  <si>
    <t>Vendido por mi</t>
  </si>
  <si>
    <t>00424YILHM0168</t>
  </si>
  <si>
    <t>00424HAW0002</t>
  </si>
  <si>
    <t>Yudi
El Top de acuerdo tortuga se vendió en 20, ventas total $80</t>
  </si>
  <si>
    <t>00425YILHM0112</t>
  </si>
  <si>
    <t>00425BU0538</t>
  </si>
  <si>
    <t>00425BU04338</t>
  </si>
  <si>
    <t>00426BU043588</t>
  </si>
  <si>
    <t>Baby
Estos tres productos mas 8 de las cosas nuevas de H&amp;M de hombre
Total de la factura 262 usd (porque se aplicó 10% de descuento)</t>
  </si>
  <si>
    <t>00427BU043633</t>
  </si>
  <si>
    <t>00427YILHM0066</t>
  </si>
  <si>
    <t>00427YILHM0018</t>
  </si>
  <si>
    <t>00428YILHM0065</t>
  </si>
  <si>
    <t>00428YILHM0115</t>
  </si>
  <si>
    <t>00429BU043569</t>
  </si>
  <si>
    <t>00429BU043545</t>
  </si>
  <si>
    <t>00430YILHM0170</t>
  </si>
  <si>
    <t>00430YILHM0214</t>
  </si>
  <si>
    <t>00431BU043518</t>
  </si>
  <si>
    <t>00432YILHM0224</t>
  </si>
  <si>
    <t>00432BU0539</t>
  </si>
  <si>
    <t>00433YILHM0067</t>
  </si>
  <si>
    <t>00433YILHM0055</t>
  </si>
  <si>
    <t>00433YILHM0214</t>
  </si>
  <si>
    <t>00434BU043630</t>
  </si>
  <si>
    <t>00435BU043496</t>
  </si>
  <si>
    <t>00435BU043560</t>
  </si>
  <si>
    <t>00436BU0321</t>
  </si>
  <si>
    <t>Kira se quedó con estas y con una de rayas grises de mujer talla L($18)</t>
  </si>
  <si>
    <t>00437YILHM0202</t>
  </si>
  <si>
    <t>00437YILHM0206</t>
  </si>
  <si>
    <t>00437YILHM0161</t>
  </si>
  <si>
    <t>00438BU043681</t>
  </si>
  <si>
    <t>00439BU043610</t>
  </si>
  <si>
    <t>00440BU043611</t>
  </si>
  <si>
    <t>00441BU043556</t>
  </si>
  <si>
    <t>00441BU043606</t>
  </si>
  <si>
    <t>00442BU043597</t>
  </si>
  <si>
    <t>00443UB0192</t>
  </si>
  <si>
    <t>00444BU0727</t>
  </si>
  <si>
    <t>00445YILHM0232</t>
  </si>
  <si>
    <t>00446YILHM0339</t>
  </si>
  <si>
    <t>00447YILHM0332</t>
  </si>
  <si>
    <t>00448YILHM0333</t>
  </si>
  <si>
    <t>00449BU043545</t>
  </si>
  <si>
    <t>00449BU06793</t>
  </si>
  <si>
    <t>00450YILHM0333</t>
  </si>
  <si>
    <t>00451YILHM0329</t>
  </si>
  <si>
    <t>00452YILHM0323</t>
  </si>
  <si>
    <t>00452YILHM0327</t>
  </si>
  <si>
    <t>00453YILHM0411</t>
  </si>
  <si>
    <t>00454YILHM0208</t>
  </si>
  <si>
    <t>00455YILHM0328</t>
  </si>
  <si>
    <t>00456BU06806</t>
  </si>
  <si>
    <t>00457YILHM0329</t>
  </si>
  <si>
    <t>00458YILHM0418</t>
  </si>
  <si>
    <t>00459YILHM0230</t>
  </si>
  <si>
    <t>00459YILHM0150</t>
  </si>
  <si>
    <t>00460YILHM0329</t>
  </si>
  <si>
    <t>00461YILHM0428</t>
  </si>
  <si>
    <t>00462YILHM0418</t>
  </si>
  <si>
    <t>00463YILHM0411</t>
  </si>
  <si>
    <t>00464YILHM0332</t>
  </si>
  <si>
    <t>00464YILHM0426</t>
  </si>
  <si>
    <t>00465YILHM0409</t>
  </si>
  <si>
    <t>00466YILHM0411</t>
  </si>
  <si>
    <t>00467YILHM0442</t>
  </si>
  <si>
    <t>00467YILHM0437</t>
  </si>
  <si>
    <t>00467YILHM0438</t>
  </si>
  <si>
    <t>00468YILHM0407</t>
  </si>
  <si>
    <t>00469YILHM0430</t>
  </si>
  <si>
    <t>00470YILHM0411</t>
  </si>
  <si>
    <t>00471YILHM0406</t>
  </si>
  <si>
    <t>00472YILHM0334</t>
  </si>
  <si>
    <t>00473BU06805</t>
  </si>
  <si>
    <t>00474BU04346</t>
  </si>
  <si>
    <t>00474BU064412</t>
  </si>
  <si>
    <t>00474YILHM0435</t>
  </si>
  <si>
    <t>00474BU04381</t>
  </si>
  <si>
    <t>00474YILHM0327</t>
  </si>
  <si>
    <t>00475YILHM0418</t>
  </si>
  <si>
    <t>00476BU043519</t>
  </si>
  <si>
    <t>00477YILHM0415</t>
  </si>
  <si>
    <t>00478YILHM0407</t>
  </si>
  <si>
    <t>00479YILHM0410</t>
  </si>
  <si>
    <t>00480YILHM0407</t>
  </si>
  <si>
    <t>00480YILHM0410</t>
  </si>
  <si>
    <t>00481UB0101</t>
  </si>
  <si>
    <t>00482BU043606</t>
  </si>
  <si>
    <t>00483BU068184</t>
  </si>
  <si>
    <t>00483BU04453</t>
  </si>
  <si>
    <t>00483BU043607</t>
  </si>
  <si>
    <t>00484YILHM0406</t>
  </si>
  <si>
    <t>00485YILHM0427</t>
  </si>
  <si>
    <t>00486YILHM0431</t>
  </si>
  <si>
    <t>00487YILHM0410</t>
  </si>
  <si>
    <t>00488YILHM0196</t>
  </si>
  <si>
    <t>00489YILHM0428</t>
  </si>
  <si>
    <t>00490YILHM0408</t>
  </si>
  <si>
    <t>00491YILHM0336</t>
  </si>
  <si>
    <t>00492YILHM0322</t>
  </si>
  <si>
    <t>00492BU04437</t>
  </si>
  <si>
    <t>00492YILHM0326</t>
  </si>
  <si>
    <t>00492BU043615</t>
  </si>
  <si>
    <t>00493YILHM0430</t>
  </si>
  <si>
    <t>00494YILHM0426</t>
  </si>
  <si>
    <t>00495YILHM0406</t>
  </si>
  <si>
    <t>Claudia mas vendida sandalia de velcro $30</t>
  </si>
  <si>
    <t>00496YILHM0421</t>
  </si>
  <si>
    <t>00497YILHM0420</t>
  </si>
  <si>
    <t>00498YILHM0417</t>
  </si>
  <si>
    <t>00498YILHM0326</t>
  </si>
  <si>
    <t>00498YILHM0325</t>
  </si>
  <si>
    <t>00499YILHM0427</t>
  </si>
  <si>
    <t>00500YILHM0407</t>
  </si>
  <si>
    <t>00501YILHM0451</t>
  </si>
  <si>
    <t>00502BU043683</t>
  </si>
  <si>
    <t>00503BU043565</t>
  </si>
  <si>
    <t>00504YILHM0409</t>
  </si>
  <si>
    <t>00505YILHM0423</t>
  </si>
  <si>
    <t>00506YILHM0432</t>
  </si>
  <si>
    <t>00507YILHM0417</t>
  </si>
  <si>
    <t>00508YILHM0419</t>
  </si>
  <si>
    <t>00509YILHM0423</t>
  </si>
  <si>
    <t>00510YILHM0343</t>
  </si>
  <si>
    <t>00511YILHM0330</t>
  </si>
  <si>
    <t>00512YILHM0430</t>
  </si>
  <si>
    <t>00513YILHM0408</t>
  </si>
  <si>
    <t>00514YILHM0426</t>
  </si>
  <si>
    <t>00514YILHM0338</t>
  </si>
  <si>
    <t>00515BU0565</t>
  </si>
  <si>
    <t>00516UB0247</t>
  </si>
  <si>
    <t>00516YILHM0420</t>
  </si>
  <si>
    <t>00517YILHM0330</t>
  </si>
  <si>
    <t>00517YILHM0417</t>
  </si>
  <si>
    <t>00518YILHM0325</t>
  </si>
  <si>
    <t>00519YILHM0429</t>
  </si>
  <si>
    <t>00520YILHM0431</t>
  </si>
  <si>
    <t>00521YILHM0299</t>
  </si>
  <si>
    <t>00522YILHM0344</t>
  </si>
  <si>
    <t>00523YILHM0419</t>
  </si>
  <si>
    <t>00524YILHM0353</t>
  </si>
  <si>
    <t>00524YILHM0407</t>
  </si>
  <si>
    <t>00524YILHM0349</t>
  </si>
  <si>
    <t>00524YILHM0348</t>
  </si>
  <si>
    <t>00524YILHM0354</t>
  </si>
  <si>
    <t>00524YILHM0369</t>
  </si>
  <si>
    <t>00524YILHM0359</t>
  </si>
  <si>
    <t>00524YILHM0364</t>
  </si>
  <si>
    <t>00525YILHM0416</t>
  </si>
  <si>
    <t>00526YILHM0422</t>
  </si>
  <si>
    <t>00527YILHM0434</t>
  </si>
  <si>
    <t>00527YILHM0215</t>
  </si>
  <si>
    <t>00528YILHM0260</t>
  </si>
  <si>
    <t>00529YILHM0309</t>
  </si>
  <si>
    <t>00530YILHM0328</t>
  </si>
  <si>
    <t>00531YILHM0239</t>
  </si>
  <si>
    <t>00532YILHM0480</t>
  </si>
  <si>
    <t>00533YILHM0018</t>
  </si>
  <si>
    <t>00534YILHM0339</t>
  </si>
  <si>
    <t>00535YILHM0340</t>
  </si>
  <si>
    <t>00536YILHM0428</t>
  </si>
  <si>
    <t>00537YILHM0410</t>
  </si>
  <si>
    <t>00538YILHM0431</t>
  </si>
  <si>
    <t>00538YILHM0406</t>
  </si>
  <si>
    <t>00539BU043649</t>
  </si>
  <si>
    <t>00540YILHM0331</t>
  </si>
  <si>
    <t>00541YILHM0338</t>
  </si>
  <si>
    <t>00541BU043683</t>
  </si>
  <si>
    <t>00542YILHM0412</t>
  </si>
  <si>
    <t>00543YILHM0416</t>
  </si>
  <si>
    <t xml:space="preserve">Michelle </t>
  </si>
  <si>
    <t>00544YILHM0470</t>
  </si>
  <si>
    <t>00545YILHM0340</t>
  </si>
  <si>
    <t>No se vendio</t>
  </si>
  <si>
    <t>00546YILHM0416</t>
  </si>
  <si>
    <t>00547YILHM0237</t>
  </si>
  <si>
    <t>00548YILHM0156</t>
  </si>
  <si>
    <t>00549YILHM0339</t>
  </si>
  <si>
    <t>00550BU04434</t>
  </si>
  <si>
    <t>00551YILHM0408</t>
  </si>
  <si>
    <t>00552YILHM0408</t>
  </si>
  <si>
    <t>00553YILHM0344</t>
  </si>
  <si>
    <t>00554YILHM0213</t>
  </si>
  <si>
    <t>00554YILHM0002</t>
  </si>
  <si>
    <t>00555YILHM0412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</si>
</sst>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_);[Red]\(0.00\)"/>
    <numFmt numFmtId="166" formatCode="&quot;$&quot;#,##0.0"/>
    <numFmt numFmtId="167" formatCode="[$-409]d\-mmm;@"/>
    <numFmt numFmtId="168" formatCode="dd\-mmm"/>
    <numFmt numFmtId="170" formatCode="_-&quot;$&quot;* #,##0.00_-;\-&quot;$&quot;* #,##0.00_-;_-&quot;$&quot;* &quot;-&quot;??_-;_-@_-"/>
    <numFmt numFmtId="173" formatCode="&quot;$&quot;#,##0.00"/>
  </numFmts>
  <fonts count="22">
    <font>
      <sz val="1"/>
      <color indexed="8"/>
      <name val="Helvetica Neue"/>
      <charset val="134"/>
    </font>
    <font>
      <sz val="10"/>
      <color theme="1"/>
      <name val="Helvetica Neue"/>
      <family val="2"/>
    </font>
    <font>
      <sz val="10"/>
      <color indexed="8"/>
      <name val="Helvetica Neue"/>
      <family val="2"/>
    </font>
    <font>
      <sz val="9"/>
      <color indexed="8"/>
      <name val="Helvetica Neue"/>
      <family val="2"/>
    </font>
    <font>
      <b/>
      <sz val="10"/>
      <color theme="0"/>
      <name val="Helvetica Neue"/>
      <family val="2"/>
    </font>
    <font>
      <sz val="9"/>
      <color rgb="FF000000"/>
      <name val="Helvetica Neue"/>
      <family val="2"/>
    </font>
    <font>
      <sz val="9"/>
      <color indexed="8"/>
      <name val="Helvetica Neue"/>
      <family val="2"/>
      <scheme val="major"/>
    </font>
    <font>
      <sz val="12"/>
      <color indexed="8"/>
      <name val="Helvetica Neue (Body)"/>
      <charset val="134"/>
    </font>
    <font>
      <sz val="10"/>
      <color indexed="8"/>
      <name val="Helvetica Neue"/>
      <family val="2"/>
      <scheme val="major"/>
    </font>
    <font>
      <b/>
      <sz val="10"/>
      <color indexed="8"/>
      <name val="Helvetica Neue"/>
      <family val="2"/>
      <scheme val="minor"/>
    </font>
    <font>
      <b/>
      <sz val="12"/>
      <color theme="2" tint="-0.89989928891872917"/>
      <name val="Helvetica Neue (Body)"/>
      <charset val="134"/>
    </font>
    <font>
      <b/>
      <sz val="10"/>
      <color rgb="FF000000"/>
      <name val="Helvetica Neue"/>
      <family val="2"/>
      <scheme val="major"/>
    </font>
    <font>
      <sz val="10"/>
      <color rgb="FF000000"/>
      <name val="Helvetica Neue"/>
      <family val="2"/>
      <scheme val="major"/>
    </font>
    <font>
      <u/>
      <sz val="10"/>
      <color indexed="8"/>
      <name val="Helvetica Neue"/>
      <family val="2"/>
      <scheme val="major"/>
    </font>
    <font>
      <sz val="10"/>
      <color theme="1"/>
      <name val="Helvetica Neue"/>
      <family val="2"/>
      <scheme val="major"/>
    </font>
    <font>
      <sz val="12"/>
      <color theme="1"/>
      <name val="Helvetica Neue"/>
      <family val="2"/>
      <scheme val="minor"/>
    </font>
    <font>
      <sz val="8.25"/>
      <color rgb="FF000000"/>
      <name val="Menlo"/>
      <family val="2"/>
    </font>
    <font>
      <sz val="11"/>
      <color rgb="FF222222"/>
      <name val="Helvetica Neue"/>
      <family val="2"/>
      <scheme val="minor"/>
    </font>
    <font>
      <sz val="11"/>
      <color theme="1"/>
      <name val="Helvetica Neue"/>
      <family val="2"/>
      <scheme val="minor"/>
    </font>
    <font>
      <b/>
      <sz val="10"/>
      <color indexed="8"/>
      <name val="Helvetica Neue"/>
      <family val="2"/>
      <scheme val="major"/>
    </font>
    <font>
      <b/>
      <sz val="10"/>
      <color theme="0"/>
      <name val="Helvetica Neue (Headings)"/>
      <charset val="134"/>
    </font>
    <font>
      <sz val="1"/>
      <color indexed="8"/>
      <name val="Helvetica Neue"/>
      <family val="2"/>
    </font>
  </fonts>
  <fills count="18">
    <fill>
      <patternFill patternType="none"/>
    </fill>
    <fill>
      <patternFill patternType="gray125"/>
    </fill>
    <fill>
      <patternFill patternType="solid">
        <fgColor theme="6" tint="-0.249977111117893"/>
        <bgColor indexed="64"/>
      </patternFill>
    </fill>
    <fill>
      <patternFill patternType="solid">
        <fgColor theme="7" tint="0.39988402966399123"/>
        <bgColor indexed="64"/>
      </patternFill>
    </fill>
    <fill>
      <patternFill patternType="solid">
        <fgColor theme="8"/>
        <bgColor indexed="64"/>
      </patternFill>
    </fill>
    <fill>
      <patternFill patternType="solid">
        <fgColor theme="6" tint="0.39988402966399123"/>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89013336588644"/>
        <bgColor indexed="64"/>
      </patternFill>
    </fill>
    <fill>
      <patternFill patternType="solid">
        <fgColor rgb="FFFFFF00"/>
        <bgColor indexed="64"/>
      </patternFill>
    </fill>
    <fill>
      <patternFill patternType="solid">
        <fgColor rgb="FFFFFFFF"/>
        <bgColor rgb="FF000000"/>
      </patternFill>
    </fill>
    <fill>
      <patternFill patternType="solid">
        <fgColor theme="4" tint="0.79989013336588644"/>
        <bgColor theme="4" tint="0.79989013336588644"/>
      </patternFill>
    </fill>
    <fill>
      <patternFill patternType="solid">
        <fgColor theme="5" tint="0.79992065187536243"/>
        <bgColor theme="5" tint="0.79992065187536243"/>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s>
  <borders count="17">
    <border>
      <left/>
      <right/>
      <top/>
      <bottom/>
      <diagonal/>
    </border>
    <border>
      <left style="thin">
        <color theme="3" tint="0.79989013336588644"/>
      </left>
      <right style="thin">
        <color theme="3" tint="0.79989013336588644"/>
      </right>
      <top style="thin">
        <color theme="3" tint="0.79989013336588644"/>
      </top>
      <bottom style="thin">
        <color theme="3" tint="0.79989013336588644"/>
      </bottom>
      <diagonal/>
    </border>
    <border>
      <left style="thin">
        <color theme="3" tint="0.79985961485641044"/>
      </left>
      <right style="thin">
        <color theme="3" tint="0.79985961485641044"/>
      </right>
      <top style="thin">
        <color theme="3" tint="0.79985961485641044"/>
      </top>
      <bottom style="thin">
        <color theme="3" tint="0.79985961485641044"/>
      </bottom>
      <diagonal/>
    </border>
    <border>
      <left/>
      <right/>
      <top style="thin">
        <color theme="3" tint="0.79989013336588644"/>
      </top>
      <bottom style="thin">
        <color theme="3" tint="0.79989013336588644"/>
      </bottom>
      <diagonal/>
    </border>
    <border>
      <left/>
      <right style="thin">
        <color theme="3" tint="0.79989013336588644"/>
      </right>
      <top style="thin">
        <color theme="3" tint="0.79989013336588644"/>
      </top>
      <bottom style="thin">
        <color theme="3" tint="0.79989013336588644"/>
      </bottom>
      <diagonal/>
    </border>
    <border>
      <left style="thin">
        <color theme="3" tint="0.79989013336588644"/>
      </left>
      <right style="thin">
        <color theme="3" tint="0.79989013336588644"/>
      </right>
      <top/>
      <bottom style="thin">
        <color theme="3" tint="0.79989013336588644"/>
      </bottom>
      <diagonal/>
    </border>
    <border>
      <left style="thin">
        <color theme="3" tint="0.79989013336588644"/>
      </left>
      <right style="thin">
        <color theme="3" tint="0.79989013336588644"/>
      </right>
      <top style="thin">
        <color theme="3" tint="0.79989013336588644"/>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499984740745262"/>
      </left>
      <right style="thin">
        <color theme="0" tint="-0.499984740745262"/>
      </right>
      <top/>
      <bottom style="thin">
        <color theme="0" tint="-0.499984740745262"/>
      </bottom>
      <diagonal/>
    </border>
    <border>
      <left style="thin">
        <color theme="0" tint="-4.9989318521683403E-2"/>
      </left>
      <right style="thin">
        <color theme="0" tint="-4.9989318521683403E-2"/>
      </right>
      <top/>
      <bottom/>
      <diagonal/>
    </border>
    <border>
      <left/>
      <right style="thin">
        <color theme="0" tint="-4.9989318521683403E-2"/>
      </right>
      <top/>
      <bottom style="thin">
        <color theme="0" tint="-4.9989318521683403E-2"/>
      </bottom>
      <diagonal/>
    </border>
    <border>
      <left/>
      <right style="thin">
        <color theme="0" tint="-4.9989318521683403E-2"/>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4.9989318521683403E-2"/>
      </left>
      <right style="thin">
        <color theme="0" tint="-4.9989318521683403E-2"/>
      </right>
      <top style="thin">
        <color theme="5"/>
      </top>
      <bottom style="thin">
        <color theme="5"/>
      </bottom>
      <diagonal/>
    </border>
  </borders>
  <cellStyleXfs count="4">
    <xf numFmtId="0" fontId="0" fillId="0" borderId="0">
      <alignment vertical="top" wrapText="1"/>
    </xf>
    <xf numFmtId="0" fontId="15" fillId="0" borderId="0"/>
    <xf numFmtId="170" fontId="15" fillId="0" borderId="0"/>
    <xf numFmtId="0" fontId="2" fillId="0" borderId="0">
      <alignment vertical="top" wrapText="1"/>
    </xf>
  </cellStyleXfs>
  <cellXfs count="130">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3" fontId="0" fillId="0" borderId="1" xfId="0" applyNumberFormat="1" applyBorder="1">
      <alignment vertical="top" wrapText="1"/>
    </xf>
    <xf numFmtId="0" fontId="1" fillId="5" borderId="1" xfId="0" applyFont="1" applyFill="1" applyBorder="1" applyAlignment="1">
      <alignment horizontal="center" vertical="top" wrapText="1"/>
    </xf>
    <xf numFmtId="0" fontId="2" fillId="2" borderId="1" xfId="0" applyFont="1" applyFill="1" applyBorder="1" applyAlignment="1">
      <alignment vertical="center" wrapText="1"/>
    </xf>
    <xf numFmtId="168" fontId="3" fillId="0" borderId="1" xfId="0" applyNumberFormat="1" applyFont="1" applyBorder="1" applyAlignment="1">
      <alignment vertical="top"/>
    </xf>
    <xf numFmtId="0" fontId="3" fillId="0" borderId="1" xfId="0" applyFont="1" applyBorder="1" applyAlignment="1">
      <alignment vertical="top"/>
    </xf>
    <xf numFmtId="173" fontId="2" fillId="2" borderId="1" xfId="0" applyNumberFormat="1" applyFont="1" applyFill="1" applyBorder="1" applyAlignment="1">
      <alignment vertical="center" wrapText="1"/>
    </xf>
    <xf numFmtId="173" fontId="3" fillId="0" borderId="1" xfId="0" applyNumberFormat="1" applyFont="1" applyBorder="1" applyAlignment="1">
      <alignment vertical="top"/>
    </xf>
    <xf numFmtId="0" fontId="4" fillId="6" borderId="1" xfId="0" applyFont="1" applyFill="1" applyBorder="1">
      <alignment vertical="top" wrapText="1"/>
    </xf>
    <xf numFmtId="173" fontId="0" fillId="6" borderId="1" xfId="0" applyNumberFormat="1" applyFill="1" applyBorder="1">
      <alignment vertical="top" wrapText="1"/>
    </xf>
    <xf numFmtId="173" fontId="3" fillId="0" borderId="5" xfId="0" applyNumberFormat="1" applyFont="1" applyBorder="1">
      <alignment vertical="top" wrapText="1"/>
    </xf>
    <xf numFmtId="173" fontId="3" fillId="0" borderId="1" xfId="0" applyNumberFormat="1" applyFont="1" applyBorder="1">
      <alignment vertical="top" wrapText="1"/>
    </xf>
    <xf numFmtId="168" fontId="3" fillId="3" borderId="1" xfId="0" applyNumberFormat="1" applyFont="1" applyFill="1" applyBorder="1" applyAlignment="1">
      <alignment vertical="top"/>
    </xf>
    <xf numFmtId="0" fontId="3" fillId="3" borderId="1" xfId="0" applyFont="1" applyFill="1" applyBorder="1" applyAlignment="1">
      <alignment vertical="top"/>
    </xf>
    <xf numFmtId="168" fontId="5" fillId="0" borderId="1" xfId="0" applyNumberFormat="1" applyFont="1" applyBorder="1" applyAlignment="1">
      <alignment vertical="top"/>
    </xf>
    <xf numFmtId="173" fontId="3" fillId="3" borderId="1" xfId="0" applyNumberFormat="1" applyFont="1" applyFill="1" applyBorder="1" applyAlignment="1">
      <alignment vertical="top"/>
    </xf>
    <xf numFmtId="173" fontId="5" fillId="7" borderId="1" xfId="0" applyNumberFormat="1" applyFont="1" applyFill="1" applyBorder="1" applyAlignment="1">
      <alignment vertical="top"/>
    </xf>
    <xf numFmtId="173" fontId="3" fillId="3" borderId="1" xfId="0" applyNumberFormat="1" applyFont="1" applyFill="1" applyBorder="1">
      <alignment vertical="top" wrapText="1"/>
    </xf>
    <xf numFmtId="0" fontId="3" fillId="8" borderId="1" xfId="0" applyFont="1" applyFill="1" applyBorder="1" applyAlignment="1">
      <alignment vertical="top"/>
    </xf>
    <xf numFmtId="173" fontId="5" fillId="0" borderId="1" xfId="0" applyNumberFormat="1" applyFont="1" applyBorder="1" applyAlignment="1">
      <alignment vertical="top"/>
    </xf>
    <xf numFmtId="168" fontId="3" fillId="9" borderId="1" xfId="0" applyNumberFormat="1" applyFont="1" applyFill="1" applyBorder="1" applyAlignment="1">
      <alignment vertical="top"/>
    </xf>
    <xf numFmtId="0" fontId="3" fillId="9" borderId="1" xfId="0" applyFont="1" applyFill="1" applyBorder="1" applyAlignment="1">
      <alignment vertical="top"/>
    </xf>
    <xf numFmtId="173" fontId="3" fillId="9" borderId="1" xfId="0" applyNumberFormat="1" applyFont="1" applyFill="1" applyBorder="1" applyAlignment="1">
      <alignment vertical="top"/>
    </xf>
    <xf numFmtId="168" fontId="3" fillId="0" borderId="1" xfId="0" applyNumberFormat="1" applyFont="1" applyBorder="1" applyAlignment="1">
      <alignment horizontal="right" vertical="top"/>
    </xf>
    <xf numFmtId="168" fontId="3" fillId="3" borderId="1" xfId="0" applyNumberFormat="1" applyFont="1" applyFill="1" applyBorder="1" applyAlignment="1">
      <alignment horizontal="right" vertical="top"/>
    </xf>
    <xf numFmtId="168" fontId="5" fillId="0" borderId="1" xfId="0" applyNumberFormat="1" applyFont="1" applyBorder="1" applyAlignment="1">
      <alignment horizontal="right" vertical="top"/>
    </xf>
    <xf numFmtId="168" fontId="3" fillId="9" borderId="1" xfId="0" applyNumberFormat="1" applyFont="1" applyFill="1" applyBorder="1" applyAlignment="1">
      <alignment horizontal="right" vertical="top"/>
    </xf>
    <xf numFmtId="168" fontId="5" fillId="4" borderId="1" xfId="0" applyNumberFormat="1" applyFont="1" applyFill="1" applyBorder="1" applyAlignment="1">
      <alignment horizontal="right" vertical="top"/>
    </xf>
    <xf numFmtId="0" fontId="3" fillId="4" borderId="1" xfId="0" applyFont="1" applyFill="1" applyBorder="1" applyAlignment="1">
      <alignment vertical="top"/>
    </xf>
    <xf numFmtId="173" fontId="6" fillId="3" borderId="1" xfId="0" applyNumberFormat="1" applyFont="1" applyFill="1" applyBorder="1" applyAlignment="1">
      <alignment vertical="top"/>
    </xf>
    <xf numFmtId="173" fontId="6" fillId="9" borderId="1" xfId="0" applyNumberFormat="1" applyFont="1" applyFill="1" applyBorder="1" applyAlignment="1">
      <alignment vertical="top"/>
    </xf>
    <xf numFmtId="173" fontId="3" fillId="4" borderId="1" xfId="0" applyNumberFormat="1" applyFont="1" applyFill="1" applyBorder="1" applyAlignment="1">
      <alignment vertical="top"/>
    </xf>
    <xf numFmtId="173" fontId="3" fillId="4" borderId="1" xfId="0" applyNumberFormat="1" applyFont="1" applyFill="1" applyBorder="1">
      <alignment vertical="top" wrapText="1"/>
    </xf>
    <xf numFmtId="168" fontId="3" fillId="6" borderId="1" xfId="0" applyNumberFormat="1" applyFont="1" applyFill="1" applyBorder="1" applyAlignment="1">
      <alignment vertical="top"/>
    </xf>
    <xf numFmtId="168" fontId="3" fillId="10" borderId="1" xfId="0" applyNumberFormat="1" applyFont="1" applyFill="1" applyBorder="1" applyAlignment="1">
      <alignment vertical="top"/>
    </xf>
    <xf numFmtId="0" fontId="3" fillId="6" borderId="1" xfId="0" applyFont="1" applyFill="1" applyBorder="1" applyAlignment="1">
      <alignment vertical="top"/>
    </xf>
    <xf numFmtId="168" fontId="3" fillId="6" borderId="1" xfId="0" applyNumberFormat="1" applyFont="1" applyFill="1" applyBorder="1" applyAlignment="1">
      <alignment horizontal="right" vertical="top"/>
    </xf>
    <xf numFmtId="168" fontId="3" fillId="10" borderId="1" xfId="0" applyNumberFormat="1" applyFont="1" applyFill="1" applyBorder="1" applyAlignment="1">
      <alignment horizontal="right" vertical="top"/>
    </xf>
    <xf numFmtId="173"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68" fontId="3" fillId="0" borderId="2" xfId="0" applyNumberFormat="1" applyFont="1" applyBorder="1" applyAlignment="1">
      <alignment vertical="top"/>
    </xf>
    <xf numFmtId="0" fontId="3" fillId="0" borderId="2" xfId="0" applyFont="1" applyBorder="1" applyAlignment="1">
      <alignment vertical="top"/>
    </xf>
    <xf numFmtId="173" fontId="3" fillId="0" borderId="2" xfId="0" applyNumberFormat="1" applyFont="1" applyBorder="1" applyAlignment="1">
      <alignment vertical="top"/>
    </xf>
    <xf numFmtId="0" fontId="3" fillId="0" borderId="0" xfId="0" applyFont="1">
      <alignment vertical="top" wrapText="1"/>
    </xf>
    <xf numFmtId="173" fontId="3" fillId="0" borderId="6" xfId="0" applyNumberFormat="1" applyFont="1" applyBorder="1">
      <alignment vertical="top" wrapText="1"/>
    </xf>
    <xf numFmtId="167" fontId="3" fillId="0" borderId="0" xfId="0" applyNumberFormat="1" applyFont="1">
      <alignment vertical="top" wrapText="1"/>
    </xf>
    <xf numFmtId="0" fontId="7" fillId="0" borderId="0" xfId="0" applyFont="1" applyAlignment="1">
      <alignment vertical="top"/>
    </xf>
    <xf numFmtId="173" fontId="8" fillId="0" borderId="7" xfId="0" applyNumberFormat="1" applyFont="1" applyBorder="1" applyAlignment="1">
      <alignment vertical="top"/>
    </xf>
    <xf numFmtId="173" fontId="8" fillId="0" borderId="8" xfId="0" applyNumberFormat="1" applyFont="1" applyBorder="1" applyAlignment="1">
      <alignment vertical="top"/>
    </xf>
    <xf numFmtId="173"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173" fontId="0" fillId="0" borderId="0" xfId="0" applyNumberFormat="1" applyAlignment="1">
      <alignment vertical="top"/>
    </xf>
    <xf numFmtId="166" fontId="0" fillId="0" borderId="0" xfId="0" applyNumberFormat="1" applyAlignment="1">
      <alignment vertical="top"/>
    </xf>
    <xf numFmtId="49" fontId="0" fillId="0" borderId="0" xfId="0" applyNumberFormat="1" applyAlignment="1">
      <alignment vertical="top"/>
    </xf>
    <xf numFmtId="173" fontId="10" fillId="3" borderId="9" xfId="0" applyNumberFormat="1" applyFont="1" applyFill="1" applyBorder="1" applyAlignment="1">
      <alignment horizontal="center" vertical="top" wrapText="1"/>
    </xf>
    <xf numFmtId="49" fontId="10" fillId="3" borderId="9" xfId="0" applyNumberFormat="1" applyFont="1" applyFill="1" applyBorder="1" applyAlignment="1">
      <alignment horizontal="center" vertical="top" wrapText="1"/>
    </xf>
    <xf numFmtId="49" fontId="10" fillId="3" borderId="9" xfId="0" applyNumberFormat="1" applyFont="1" applyFill="1" applyBorder="1" applyAlignment="1">
      <alignment horizontal="left" vertical="top" wrapText="1"/>
    </xf>
    <xf numFmtId="173" fontId="8" fillId="0" borderId="8" xfId="0" applyNumberFormat="1" applyFont="1" applyBorder="1" applyAlignment="1">
      <alignment horizontal="left" vertical="top"/>
    </xf>
    <xf numFmtId="173" fontId="8" fillId="0" borderId="7" xfId="0" applyNumberFormat="1" applyFont="1" applyBorder="1">
      <alignment vertical="top" wrapText="1"/>
    </xf>
    <xf numFmtId="173" fontId="8" fillId="0" borderId="8" xfId="0" applyNumberFormat="1" applyFont="1" applyBorder="1">
      <alignment vertical="top" wrapText="1"/>
    </xf>
    <xf numFmtId="173" fontId="10" fillId="3" borderId="9" xfId="0" applyNumberFormat="1" applyFont="1" applyFill="1" applyBorder="1" applyAlignment="1">
      <alignment horizontal="left" vertical="top" wrapText="1"/>
    </xf>
    <xf numFmtId="0" fontId="10" fillId="3" borderId="9" xfId="0" applyFont="1" applyFill="1" applyBorder="1" applyAlignment="1">
      <alignment horizontal="left" vertical="top" wrapText="1"/>
    </xf>
    <xf numFmtId="0" fontId="8" fillId="0" borderId="7" xfId="0" applyFont="1" applyBorder="1" applyAlignment="1">
      <alignment vertical="top"/>
    </xf>
    <xf numFmtId="0" fontId="8" fillId="0" borderId="8" xfId="0" applyFont="1" applyBorder="1" applyAlignment="1">
      <alignment vertical="top"/>
    </xf>
    <xf numFmtId="166" fontId="10" fillId="3" borderId="9" xfId="0" applyNumberFormat="1" applyFont="1" applyFill="1" applyBorder="1" applyAlignment="1">
      <alignment horizontal="left" vertical="top" wrapText="1"/>
    </xf>
    <xf numFmtId="0" fontId="8" fillId="0" borderId="8" xfId="0" applyFont="1" applyBorder="1" applyAlignment="1">
      <alignment horizontal="left" vertical="top"/>
    </xf>
    <xf numFmtId="173" fontId="11" fillId="0" borderId="8" xfId="0" applyNumberFormat="1" applyFont="1" applyBorder="1" applyAlignment="1">
      <alignment horizontal="left" vertical="top"/>
    </xf>
    <xf numFmtId="173" fontId="12" fillId="0" borderId="8" xfId="0" applyNumberFormat="1" applyFont="1" applyBorder="1" applyAlignment="1">
      <alignment horizontal="left" vertical="top"/>
    </xf>
    <xf numFmtId="173" fontId="8" fillId="0" borderId="10" xfId="0" applyNumberFormat="1" applyFont="1" applyBorder="1" applyAlignment="1">
      <alignment vertical="top"/>
    </xf>
    <xf numFmtId="173" fontId="8" fillId="0" borderId="10" xfId="0" applyNumberFormat="1" applyFont="1" applyBorder="1" applyAlignment="1">
      <alignment horizontal="left" vertical="top"/>
    </xf>
    <xf numFmtId="173" fontId="8" fillId="0" borderId="10" xfId="0" applyNumberFormat="1" applyFont="1" applyBorder="1">
      <alignment vertical="top" wrapText="1"/>
    </xf>
    <xf numFmtId="0" fontId="8" fillId="0" borderId="10" xfId="0" applyFont="1" applyBorder="1" applyAlignment="1">
      <alignment vertical="top"/>
    </xf>
    <xf numFmtId="173" fontId="12" fillId="0" borderId="7" xfId="0" applyNumberFormat="1" applyFont="1" applyBorder="1" applyAlignment="1">
      <alignment vertical="top"/>
    </xf>
    <xf numFmtId="173" fontId="12" fillId="0" borderId="10" xfId="0" applyNumberFormat="1" applyFont="1" applyBorder="1" applyAlignment="1">
      <alignment vertical="top"/>
    </xf>
    <xf numFmtId="173" fontId="13" fillId="0" borderId="10" xfId="0" applyNumberFormat="1" applyFont="1" applyBorder="1" applyAlignment="1">
      <alignment vertical="top"/>
    </xf>
    <xf numFmtId="173" fontId="8" fillId="0" borderId="11" xfId="0" applyNumberFormat="1" applyFont="1" applyBorder="1" applyAlignment="1">
      <alignment vertical="top"/>
    </xf>
    <xf numFmtId="173" fontId="8" fillId="12" borderId="10" xfId="0" applyNumberFormat="1" applyFont="1" applyFill="1" applyBorder="1" applyAlignment="1">
      <alignment vertical="top"/>
    </xf>
    <xf numFmtId="173" fontId="14" fillId="0" borderId="10" xfId="0" applyNumberFormat="1" applyFont="1" applyBorder="1" applyAlignment="1">
      <alignment vertical="top"/>
    </xf>
    <xf numFmtId="173" fontId="12" fillId="13" borderId="10" xfId="0" applyNumberFormat="1" applyFont="1" applyFill="1" applyBorder="1">
      <alignment vertical="top" wrapText="1"/>
    </xf>
    <xf numFmtId="173" fontId="12" fillId="13" borderId="10" xfId="0" applyNumberFormat="1" applyFont="1" applyFill="1" applyBorder="1" applyAlignment="1">
      <alignment vertical="top"/>
    </xf>
    <xf numFmtId="0" fontId="8" fillId="6" borderId="10" xfId="0" applyFont="1" applyFill="1" applyBorder="1" applyAlignment="1">
      <alignment vertical="top"/>
    </xf>
    <xf numFmtId="49" fontId="8" fillId="0" borderId="10" xfId="0" applyNumberFormat="1" applyFont="1" applyBorder="1" applyAlignment="1">
      <alignment vertical="top"/>
    </xf>
    <xf numFmtId="173" fontId="12" fillId="13" borderId="7" xfId="0" applyNumberFormat="1" applyFont="1" applyFill="1" applyBorder="1" applyAlignment="1">
      <alignment vertical="top"/>
    </xf>
    <xf numFmtId="0" fontId="8" fillId="6" borderId="7" xfId="0" applyFont="1" applyFill="1" applyBorder="1" applyAlignment="1">
      <alignment vertical="top"/>
    </xf>
    <xf numFmtId="49" fontId="8" fillId="0" borderId="7" xfId="0" applyNumberFormat="1" applyFont="1" applyBorder="1" applyAlignment="1">
      <alignment vertical="top"/>
    </xf>
    <xf numFmtId="173" fontId="8" fillId="12" borderId="7" xfId="0" applyNumberFormat="1" applyFont="1" applyFill="1" applyBorder="1" applyAlignment="1">
      <alignment vertical="top"/>
    </xf>
    <xf numFmtId="0" fontId="15" fillId="0" borderId="0" xfId="0" applyFont="1" applyAlignment="1">
      <alignment vertical="top"/>
    </xf>
    <xf numFmtId="173" fontId="12" fillId="13" borderId="7" xfId="0" applyNumberFormat="1" applyFont="1" applyFill="1" applyBorder="1">
      <alignment vertical="top" wrapText="1"/>
    </xf>
    <xf numFmtId="0" fontId="15" fillId="0" borderId="0" xfId="0" applyFont="1">
      <alignment vertical="top" wrapText="1"/>
    </xf>
    <xf numFmtId="173" fontId="8" fillId="0" borderId="12" xfId="0" applyNumberFormat="1" applyFont="1" applyBorder="1" applyAlignment="1">
      <alignment vertical="top"/>
    </xf>
    <xf numFmtId="0" fontId="16" fillId="0" borderId="0" xfId="0" applyFont="1">
      <alignment vertical="top" wrapText="1"/>
    </xf>
    <xf numFmtId="0" fontId="17" fillId="0" borderId="13" xfId="0" applyFont="1" applyBorder="1" applyAlignment="1">
      <alignment horizontal="left" vertical="top" wrapText="1"/>
    </xf>
    <xf numFmtId="0" fontId="17" fillId="0" borderId="14" xfId="0" applyFont="1" applyBorder="1" applyAlignment="1">
      <alignment horizontal="left" vertical="top" wrapText="1"/>
    </xf>
    <xf numFmtId="0" fontId="18" fillId="0" borderId="13" xfId="0" applyFont="1" applyBorder="1" applyAlignment="1">
      <alignment horizontal="left" vertical="top" wrapText="1"/>
    </xf>
    <xf numFmtId="0" fontId="18" fillId="0" borderId="14" xfId="0" applyFont="1" applyBorder="1" applyAlignment="1">
      <alignment horizontal="left" vertical="top" wrapText="1"/>
    </xf>
    <xf numFmtId="0" fontId="18" fillId="0" borderId="15" xfId="0" applyFont="1" applyBorder="1" applyAlignment="1">
      <alignment horizontal="left" vertical="top" wrapText="1"/>
    </xf>
    <xf numFmtId="0" fontId="18" fillId="0" borderId="0" xfId="0" applyFont="1" applyAlignment="1">
      <alignment vertical="top"/>
    </xf>
    <xf numFmtId="0" fontId="18" fillId="0" borderId="0" xfId="0" applyFont="1">
      <alignment vertical="top" wrapText="1"/>
    </xf>
    <xf numFmtId="0" fontId="18" fillId="0" borderId="15" xfId="0" applyFont="1" applyBorder="1">
      <alignment vertical="top" wrapText="1"/>
    </xf>
    <xf numFmtId="0" fontId="18" fillId="0" borderId="14" xfId="0" applyFont="1" applyBorder="1">
      <alignment vertical="top" wrapText="1"/>
    </xf>
    <xf numFmtId="164" fontId="18" fillId="0" borderId="14" xfId="0" applyNumberFormat="1" applyFont="1" applyBorder="1">
      <alignment vertical="top" wrapText="1"/>
    </xf>
    <xf numFmtId="164" fontId="18" fillId="0" borderId="14" xfId="0" applyNumberFormat="1" applyFont="1" applyBorder="1" applyAlignment="1">
      <alignment vertical="top"/>
    </xf>
    <xf numFmtId="164" fontId="18" fillId="0" borderId="15" xfId="0" applyNumberFormat="1" applyFont="1" applyBorder="1" applyAlignment="1">
      <alignment vertical="top"/>
    </xf>
    <xf numFmtId="164" fontId="18" fillId="0" borderId="0" xfId="0" applyNumberFormat="1" applyFont="1" applyAlignment="1">
      <alignment vertical="top"/>
    </xf>
    <xf numFmtId="173" fontId="14" fillId="14" borderId="16" xfId="0" applyNumberFormat="1" applyFont="1" applyFill="1" applyBorder="1" applyAlignment="1">
      <alignment vertical="top"/>
    </xf>
    <xf numFmtId="173" fontId="14" fillId="0" borderId="16" xfId="0" applyNumberFormat="1" applyFont="1" applyBorder="1" applyAlignment="1">
      <alignment vertical="top"/>
    </xf>
    <xf numFmtId="173" fontId="8" fillId="12" borderId="8" xfId="0" applyNumberFormat="1" applyFont="1" applyFill="1" applyBorder="1" applyAlignment="1">
      <alignment vertical="top"/>
    </xf>
    <xf numFmtId="173" fontId="14" fillId="0" borderId="8" xfId="0" applyNumberFormat="1" applyFont="1" applyBorder="1" applyAlignment="1">
      <alignment vertical="top"/>
    </xf>
    <xf numFmtId="0" fontId="15" fillId="0" borderId="8" xfId="0" applyFont="1" applyBorder="1" applyAlignment="1">
      <alignment vertical="top"/>
    </xf>
    <xf numFmtId="173" fontId="12" fillId="13" borderId="8" xfId="0" applyNumberFormat="1" applyFont="1" applyFill="1" applyBorder="1">
      <alignment vertical="top" wrapText="1"/>
    </xf>
    <xf numFmtId="0" fontId="8" fillId="6" borderId="8" xfId="0" applyFont="1" applyFill="1" applyBorder="1" applyAlignment="1">
      <alignment vertical="top"/>
    </xf>
    <xf numFmtId="49" fontId="8" fillId="0" borderId="8" xfId="0" applyNumberFormat="1" applyFont="1" applyBorder="1" applyAlignment="1">
      <alignment vertical="top"/>
    </xf>
    <xf numFmtId="0" fontId="15" fillId="4" borderId="0" xfId="0" applyFont="1" applyFill="1" applyAlignment="1"/>
    <xf numFmtId="173" fontId="12" fillId="13" borderId="8" xfId="0" applyNumberFormat="1" applyFont="1" applyFill="1" applyBorder="1" applyAlignment="1">
      <alignment vertical="top"/>
    </xf>
    <xf numFmtId="0" fontId="8" fillId="0" borderId="10" xfId="0" applyFont="1" applyBorder="1">
      <alignment vertical="top" wrapText="1"/>
    </xf>
    <xf numFmtId="173" fontId="19" fillId="15" borderId="8" xfId="0" applyNumberFormat="1" applyFont="1" applyFill="1" applyBorder="1" applyAlignment="1">
      <alignment horizontal="center" vertical="top" wrapText="1"/>
    </xf>
    <xf numFmtId="173" fontId="20" fillId="16" borderId="8" xfId="0" applyNumberFormat="1" applyFont="1" applyFill="1" applyBorder="1" applyAlignment="1">
      <alignment horizontal="center" vertical="top"/>
    </xf>
    <xf numFmtId="173" fontId="8" fillId="17" borderId="8" xfId="0" applyNumberFormat="1" applyFont="1" applyFill="1" applyBorder="1" applyAlignment="1">
      <alignment vertical="top"/>
    </xf>
    <xf numFmtId="173" fontId="12" fillId="0" borderId="8" xfId="0" applyNumberFormat="1" applyFont="1" applyBorder="1" applyAlignment="1">
      <alignment vertical="top"/>
    </xf>
    <xf numFmtId="49" fontId="8" fillId="17" borderId="8" xfId="0" applyNumberFormat="1" applyFont="1" applyFill="1" applyBorder="1" applyAlignment="1">
      <alignment vertical="top"/>
    </xf>
    <xf numFmtId="0" fontId="1" fillId="5" borderId="1" xfId="0" applyFont="1" applyFill="1" applyBorder="1" applyAlignment="1">
      <alignment horizontal="center" vertical="top" wrapText="1"/>
    </xf>
    <xf numFmtId="0" fontId="0" fillId="0" borderId="3" xfId="0" applyBorder="1" applyAlignment="1"/>
    <xf numFmtId="0" fontId="0" fillId="0" borderId="4" xfId="0" applyBorder="1" applyAlignment="1"/>
  </cellXfs>
  <cellStyles count="4">
    <cellStyle name="Currency 2" xfId="2" xr:uid="{00000000-0005-0000-0000-000002000000}"/>
    <cellStyle name="Normal" xfId="0" builtinId="0"/>
    <cellStyle name="Normal 2" xfId="1" xr:uid="{00000000-0005-0000-0000-000001000000}"/>
    <cellStyle name="Normal 3" xfId="3" xr:uid="{00000000-0005-0000-0000-000015000000}"/>
  </cellStyles>
  <dxfs count="107">
    <dxf>
      <font>
        <strike val="0"/>
        <sz val="9"/>
      </font>
      <numFmt numFmtId="173" formatCode="&quot;$&quot;#,##0.00"/>
      <border>
        <left style="thin">
          <color theme="3" tint="0.79989013336588644"/>
        </left>
        <right style="thin">
          <color theme="3" tint="0.79989013336588644"/>
        </right>
        <top style="thin">
          <color theme="3" tint="0.79989013336588644"/>
        </top>
        <bottom style="thin">
          <color theme="3" tint="0.79989013336588644"/>
        </bottom>
      </border>
    </dxf>
    <dxf>
      <font>
        <strike val="0"/>
        <sz val="9"/>
      </font>
      <numFmt numFmtId="173" formatCode="&quot;$&quot;#,##0.00"/>
      <border>
        <left style="thin">
          <color theme="3" tint="0.79989013336588644"/>
        </left>
        <right/>
        <top style="thin">
          <color theme="3" tint="0.79989013336588644"/>
        </top>
        <bottom style="thin">
          <color theme="3" tint="0.79989013336588644"/>
        </bottom>
      </border>
    </dxf>
    <dxf>
      <font>
        <strike val="0"/>
        <sz val="9"/>
      </font>
      <numFmt numFmtId="173" formatCode="&quot;$&quot;#,##0.00"/>
      <border>
        <left style="thin">
          <color theme="3" tint="0.79989013336588644"/>
        </left>
        <right style="thin">
          <color theme="3" tint="0.79989013336588644"/>
        </right>
        <top style="thin">
          <color theme="3" tint="0.79989013336588644"/>
        </top>
        <bottom style="thin">
          <color theme="3" tint="0.79989013336588644"/>
        </bottom>
      </border>
    </dxf>
    <dxf>
      <font>
        <strike val="0"/>
        <sz val="9"/>
      </font>
      <numFmt numFmtId="173" formatCode="&quot;$&quot;#,##0.00"/>
      <border>
        <left style="thin">
          <color theme="3" tint="0.79989013336588644"/>
        </left>
        <right style="thin">
          <color theme="3" tint="0.79989013336588644"/>
        </right>
        <top style="thin">
          <color theme="3" tint="0.79989013336588644"/>
        </top>
        <bottom style="thin">
          <color theme="3" tint="0.79989013336588644"/>
        </bottom>
      </border>
    </dxf>
    <dxf>
      <font>
        <strike val="0"/>
        <sz val="9"/>
      </font>
      <numFmt numFmtId="173" formatCode="&quot;$&quot;#,##0.00"/>
      <border>
        <left style="thin">
          <color theme="3" tint="0.79989013336588644"/>
        </left>
        <right style="thin">
          <color theme="3" tint="0.79989013336588644"/>
        </right>
        <top style="thin">
          <color theme="3" tint="0.79989013336588644"/>
        </top>
        <bottom style="thin">
          <color theme="3" tint="0.79989013336588644"/>
        </bottom>
      </border>
    </dxf>
    <dxf>
      <font>
        <strike val="0"/>
        <sz val="9"/>
      </font>
      <numFmt numFmtId="173" formatCode="&quot;$&quot;#,##0.00"/>
      <border>
        <left style="thin">
          <color theme="3" tint="0.79989013336588644"/>
        </left>
        <right style="thin">
          <color theme="3" tint="0.79989013336588644"/>
        </right>
        <top style="thin">
          <color theme="3" tint="0.79989013336588644"/>
        </top>
        <bottom style="thin">
          <color theme="3" tint="0.79989013336588644"/>
        </bottom>
      </border>
    </dxf>
    <dxf>
      <font>
        <strike val="0"/>
        <sz val="9"/>
      </font>
      <numFmt numFmtId="173" formatCode="&quot;$&quot;#,##0.00"/>
      <border>
        <left style="thin">
          <color theme="3" tint="0.79989013336588644"/>
        </left>
        <right style="thin">
          <color theme="3" tint="0.79989013336588644"/>
        </right>
        <top style="thin">
          <color theme="3" tint="0.79989013336588644"/>
        </top>
        <bottom style="thin">
          <color theme="3" tint="0.79989013336588644"/>
        </bottom>
      </border>
    </dxf>
    <dxf>
      <font>
        <strike val="0"/>
        <sz val="9"/>
      </font>
      <numFmt numFmtId="0" formatCode="General"/>
      <border>
        <left style="thin">
          <color theme="3" tint="0.79989013336588644"/>
        </left>
        <right style="thin">
          <color theme="3" tint="0.79989013336588644"/>
        </right>
        <top style="thin">
          <color theme="3" tint="0.79989013336588644"/>
        </top>
        <bottom style="thin">
          <color theme="3" tint="0.79989013336588644"/>
        </bottom>
      </border>
    </dxf>
    <dxf>
      <font>
        <strike val="0"/>
        <sz val="9"/>
      </font>
      <numFmt numFmtId="0" formatCode="General"/>
      <border>
        <left style="thin">
          <color theme="3" tint="0.79989013336588644"/>
        </left>
        <right style="thin">
          <color theme="3" tint="0.79989013336588644"/>
        </right>
        <top style="thin">
          <color theme="3" tint="0.79989013336588644"/>
        </top>
        <bottom style="thin">
          <color theme="3" tint="0.79989013336588644"/>
        </bottom>
      </border>
    </dxf>
    <dxf>
      <font>
        <strike val="0"/>
        <sz val="9"/>
      </font>
      <border>
        <left style="thin">
          <color theme="3" tint="0.79989013336588644"/>
        </left>
        <right style="thin">
          <color theme="3" tint="0.79989013336588644"/>
        </right>
        <top style="thin">
          <color theme="3" tint="0.79989013336588644"/>
        </top>
        <bottom style="thin">
          <color theme="3" tint="0.79989013336588644"/>
        </bottom>
      </border>
    </dxf>
    <dxf>
      <font>
        <strike val="0"/>
        <sz val="9"/>
      </font>
      <border>
        <left style="thin">
          <color theme="3" tint="0.79989013336588644"/>
        </left>
        <right style="thin">
          <color theme="3" tint="0.79989013336588644"/>
        </right>
        <top style="thin">
          <color theme="3" tint="0.79989013336588644"/>
        </top>
        <bottom style="thin">
          <color theme="3" tint="0.79989013336588644"/>
        </bottom>
      </border>
    </dxf>
    <dxf>
      <font>
        <strike val="0"/>
        <sz val="9"/>
      </font>
      <border>
        <left style="thin">
          <color theme="3" tint="0.79989013336588644"/>
        </left>
        <right style="thin">
          <color theme="3" tint="0.79989013336588644"/>
        </right>
        <top style="thin">
          <color theme="3" tint="0.79989013336588644"/>
        </top>
        <bottom style="thin">
          <color theme="3" tint="0.79989013336588644"/>
        </bottom>
      </border>
    </dxf>
    <dxf>
      <font>
        <strike val="0"/>
        <sz val="9"/>
      </font>
      <border>
        <left style="thin">
          <color theme="3" tint="0.79989013336588644"/>
        </left>
        <right style="thin">
          <color theme="3" tint="0.79989013336588644"/>
        </right>
        <top style="thin">
          <color theme="3" tint="0.79989013336588644"/>
        </top>
        <bottom style="thin">
          <color theme="3" tint="0.79989013336588644"/>
        </bottom>
      </border>
    </dxf>
    <dxf>
      <font>
        <strike val="0"/>
        <sz val="9"/>
      </font>
      <border>
        <left/>
        <right style="thin">
          <color theme="3" tint="0.79989013336588644"/>
        </right>
        <top style="thin">
          <color theme="3" tint="0.79989013336588644"/>
        </top>
        <bottom style="thin">
          <color theme="3" tint="0.79989013336588644"/>
        </bottom>
      </border>
    </dxf>
    <dxf>
      <fill>
        <patternFill patternType="solid">
          <bgColor theme="8" tint="0.39985351115451523"/>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ill>
        <patternFill patternType="solid">
          <bgColor theme="8" tint="0.39985351115451523"/>
        </patternFill>
      </fill>
    </dxf>
    <dxf>
      <font>
        <color rgb="FF9C5700"/>
      </font>
      <fill>
        <patternFill patternType="solid">
          <bgColor rgb="FFFFEB9C"/>
        </patternFill>
      </fill>
    </dxf>
    <dxf>
      <fill>
        <patternFill patternType="solid">
          <bgColor theme="8" tint="0.39985351115451523"/>
        </patternFill>
      </fill>
    </dxf>
    <dxf>
      <alignment vertical="top"/>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30" formatCode="@"/>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0" formatCode="General"/>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0" formatCode="General"/>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0" formatCode="General"/>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0" formatCode="General"/>
      <fill>
        <patternFill patternType="solid">
          <bgColor theme="0"/>
        </patternFill>
      </fill>
      <alignment vertical="top"/>
      <border>
        <left style="thin">
          <color theme="0" tint="-4.9989318521683403E-2"/>
        </left>
        <right style="thin">
          <color theme="0" tint="-4.9989318521683403E-2"/>
        </right>
        <top/>
        <bottom style="thin">
          <color theme="0" tint="-4.9989318521683403E-2"/>
        </bottom>
      </border>
    </dxf>
    <dxf>
      <font>
        <strike val="0"/>
        <sz val="10"/>
        <color rgb="FF000000"/>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rgb="FF000000"/>
        <name val="Helvetica Neue"/>
        <family val="2"/>
        <scheme val="none"/>
      </font>
      <numFmt numFmtId="173" formatCode="&quot;$&quot;#,##0.00"/>
      <fill>
        <patternFill patternType="solid">
          <fgColor theme="4" tint="0.79989013336588644"/>
          <bgColor theme="4" tint="0.79989013336588644"/>
        </patternFill>
      </fill>
      <alignment vertical="top"/>
      <border>
        <left style="thin">
          <color theme="0" tint="-4.9989318521683403E-2"/>
        </left>
        <right style="thin">
          <color theme="0" tint="-4.9989318521683403E-2"/>
        </right>
        <top/>
        <bottom style="thin">
          <color theme="0" tint="-4.9989318521683403E-2"/>
        </bottom>
      </border>
    </dxf>
    <dxf>
      <font>
        <strike val="0"/>
        <sz val="10"/>
        <color rgb="FF000000"/>
        <name val="Helvetica Neue"/>
        <family val="2"/>
        <scheme val="none"/>
      </font>
      <numFmt numFmtId="173" formatCode="&quot;$&quot;#,##0.00"/>
      <fill>
        <patternFill patternType="solid">
          <fgColor theme="4" tint="0.79989013336588644"/>
          <bgColor theme="4" tint="0.79989013336588644"/>
        </patternFill>
      </fill>
      <alignment vertical="top" wrapText="1"/>
      <border>
        <left style="thin">
          <color theme="0" tint="-4.9989318521683403E-2"/>
        </left>
        <right style="thin">
          <color theme="0" tint="-4.9989318521683403E-2"/>
        </right>
        <top/>
        <bottom style="thin">
          <color theme="0" tint="-4.9989318521683403E-2"/>
        </bottom>
      </border>
    </dxf>
    <dxf>
      <font>
        <strike val="0"/>
        <sz val="10"/>
        <color theme="1"/>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b/>
        <strike val="0"/>
        <sz val="10"/>
        <color rgb="FF000000"/>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fill>
        <patternFill patternType="solid">
          <fgColor rgb="FF000000"/>
          <bgColor rgb="FFFFFFFF"/>
        </patternFill>
      </fill>
      <alignment vertical="top"/>
      <border>
        <left style="thin">
          <color theme="0" tint="-4.9989318521683403E-2"/>
        </left>
        <right style="thin">
          <color theme="0" tint="-4.9989318521683403E-2"/>
        </right>
        <top/>
        <bottom style="thin">
          <color theme="0" tint="-4.9989318521683403E-2"/>
        </bottom>
      </border>
    </dxf>
    <dxf>
      <font>
        <strike val="0"/>
        <sz val="10"/>
        <color indexed="8"/>
        <name val="Helvetica Neue"/>
        <family val="2"/>
        <scheme val="none"/>
      </font>
      <numFmt numFmtId="173" formatCode="&quot;$&quot;#,##0.00"/>
      <alignment vertical="top"/>
      <border>
        <left style="thin">
          <color theme="0" tint="-4.9989318521683403E-2"/>
        </left>
        <right style="thin">
          <color theme="0" tint="-4.9989318521683403E-2"/>
        </right>
        <top/>
        <bottom style="thin">
          <color theme="0" tint="-4.9989318521683403E-2"/>
        </bottom>
      </border>
    </dxf>
    <dxf>
      <font>
        <color rgb="FF9C0006"/>
      </font>
    </dxf>
    <dxf>
      <font>
        <color rgb="FF9C0006"/>
      </font>
      <fill>
        <patternFill patternType="solid">
          <bgColor rgb="FFFFC7CE"/>
        </patternFill>
      </fill>
    </dxf>
    <dxf>
      <font>
        <color rgb="FF9C0006"/>
      </font>
      <fill>
        <patternFill patternType="solid">
          <bgColor rgb="FFFFC7CE"/>
        </patternFill>
      </fill>
    </dxf>
    <dxf>
      <fill>
        <patternFill patternType="solid">
          <bgColor theme="8" tint="0.39985351115451523"/>
        </patternFill>
      </fill>
    </dxf>
    <dxf>
      <font>
        <color rgb="FF9C5700"/>
      </font>
      <fill>
        <patternFill patternType="solid">
          <bgColor rgb="FFFFEB9C"/>
        </patternFill>
      </fill>
    </dxf>
    <dxf>
      <font>
        <color rgb="FF9C0006"/>
      </font>
      <fill>
        <patternFill patternType="solid">
          <bgColor rgb="FFFFC7CE"/>
        </patternFill>
      </fill>
    </dxf>
    <dxf>
      <fill>
        <patternFill patternType="solid">
          <bgColor theme="8" tint="0.39985351115451523"/>
        </patternFill>
      </fill>
    </dxf>
    <dxf>
      <font>
        <color rgb="FF9C0006"/>
      </font>
      <fill>
        <patternFill patternType="solid">
          <bgColor rgb="FFFFC7CE"/>
        </patternFill>
      </fill>
    </dxf>
    <dxf>
      <fill>
        <patternFill patternType="solid">
          <bgColor theme="8" tint="0.39985351115451523"/>
        </patternFill>
      </fill>
    </dxf>
    <dxf>
      <fill>
        <patternFill patternType="solid">
          <bgColor theme="8" tint="0.39985351115451523"/>
        </patternFill>
      </fill>
    </dxf>
    <dxf>
      <fill>
        <patternFill patternType="solid">
          <bgColor theme="8" tint="0.39985351115451523"/>
        </patternFill>
      </fill>
    </dxf>
    <dxf>
      <fill>
        <patternFill patternType="solid">
          <bgColor theme="8" tint="0.39985351115451523"/>
        </patternFill>
      </fill>
    </dxf>
    <dxf>
      <font>
        <color rgb="FF9C5700"/>
      </font>
      <fill>
        <patternFill patternType="solid">
          <bgColor rgb="FFFFEB9C"/>
        </patternFill>
      </fill>
    </dxf>
    <dxf>
      <fill>
        <patternFill patternType="solid">
          <bgColor theme="8" tint="0.39985351115451523"/>
        </patternFill>
      </fill>
    </dxf>
    <dxf>
      <font>
        <color rgb="FF9C5700"/>
      </font>
      <fill>
        <patternFill patternType="solid">
          <bgColor rgb="FFFFEB9C"/>
        </patternFill>
      </fill>
    </dxf>
    <dxf>
      <fill>
        <patternFill patternType="solid">
          <bgColor theme="8" tint="0.39985351115451523"/>
        </patternFill>
      </fill>
    </dxf>
    <dxf>
      <font>
        <color rgb="FF9C0006"/>
      </font>
      <fill>
        <patternFill patternType="solid">
          <bgColor rgb="FFFFC7CE"/>
        </patternFill>
      </fill>
    </dxf>
    <dxf>
      <fill>
        <patternFill patternType="solid">
          <bgColor theme="8" tint="0.39985351115451523"/>
        </patternFill>
      </fill>
    </dxf>
    <dxf>
      <fill>
        <patternFill patternType="solid">
          <bgColor theme="8" tint="0.39985351115451523"/>
        </patternFill>
      </fill>
    </dxf>
    <dxf>
      <fill>
        <patternFill patternType="solid">
          <bgColor theme="8" tint="0.39985351115451523"/>
        </patternFill>
      </fill>
    </dxf>
    <dxf>
      <font>
        <color rgb="FF9C5700"/>
      </font>
      <fill>
        <patternFill patternType="solid">
          <bgColor rgb="FFFFEB9C"/>
        </patternFill>
      </fill>
    </dxf>
    <dxf>
      <fill>
        <patternFill patternType="solid">
          <bgColor theme="8" tint="0.39985351115451523"/>
        </patternFill>
      </fill>
    </dxf>
    <dxf>
      <fill>
        <patternFill patternType="solid">
          <bgColor theme="8" tint="0.39985351115451523"/>
        </patternFill>
      </fill>
    </dxf>
    <dxf>
      <fill>
        <patternFill patternType="solid">
          <bgColor theme="8" tint="0.39985351115451523"/>
        </patternFill>
      </fill>
    </dxf>
    <dxf>
      <fill>
        <patternFill patternType="solid">
          <bgColor theme="8" tint="0.39985351115451523"/>
        </patternFill>
      </fill>
    </dxf>
    <dxf>
      <fill>
        <patternFill patternType="solid">
          <bgColor theme="8" tint="0.39985351115451523"/>
        </patternFill>
      </fill>
    </dxf>
    <dxf>
      <font>
        <color rgb="FF9C0006"/>
      </font>
      <fill>
        <patternFill patternType="solid">
          <bgColor rgb="FFFFC7CE"/>
        </patternFill>
      </fill>
    </dxf>
    <dxf>
      <fill>
        <patternFill patternType="solid">
          <bgColor theme="8" tint="0.39985351115451523"/>
        </patternFill>
      </fill>
    </dxf>
    <dxf>
      <fill>
        <patternFill patternType="solid">
          <bgColor theme="8" tint="0.39985351115451523"/>
        </patternFill>
      </fill>
    </dxf>
    <dxf>
      <fill>
        <patternFill patternType="solid">
          <bgColor theme="8" tint="0.39985351115451523"/>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color rgb="FF9C0006"/>
      </font>
      <fill>
        <patternFill patternType="solid">
          <bgColor rgb="FFFFC7CE"/>
        </patternFill>
      </fill>
    </dxf>
    <dxf>
      <fill>
        <patternFill patternType="solid">
          <bgColor theme="8" tint="0.39985351115451523"/>
        </patternFill>
      </fill>
    </dxf>
    <dxf>
      <fill>
        <patternFill patternType="solid">
          <bgColor theme="8" tint="0.39985351115451523"/>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8" tint="0.39985351115451523"/>
        </patternFill>
      </fill>
    </dxf>
    <dxf>
      <font>
        <color rgb="FF9C5700"/>
      </font>
      <fill>
        <patternFill patternType="solid">
          <bgColor rgb="FFFFEB9C"/>
        </patternFill>
      </fill>
    </dxf>
    <dxf>
      <fill>
        <patternFill patternType="solid">
          <bgColor theme="8" tint="0.39985351115451523"/>
        </patternFill>
      </fill>
    </dxf>
    <dxf>
      <fill>
        <patternFill patternType="solid">
          <bgColor theme="8" tint="0.39985351115451523"/>
        </patternFill>
      </fill>
    </dxf>
    <dxf>
      <font>
        <color rgb="FF9C0006"/>
      </font>
      <fill>
        <patternFill patternType="solid">
          <bgColor rgb="FFFFC7CE"/>
        </patternFill>
      </fill>
    </dxf>
    <dxf>
      <fill>
        <patternFill patternType="solid">
          <bgColor theme="8" tint="0.39985351115451523"/>
        </patternFill>
      </fill>
    </dxf>
    <dxf>
      <fill>
        <patternFill patternType="solid">
          <bgColor theme="8" tint="0.39985351115451523"/>
        </patternFill>
      </fill>
    </dxf>
    <dxf>
      <fill>
        <patternFill patternType="solid">
          <bgColor theme="8" tint="0.39985351115451523"/>
        </patternFill>
      </fill>
    </dxf>
    <dxf>
      <font>
        <color rgb="FF9C5700"/>
      </font>
      <fill>
        <patternFill patternType="solid">
          <bgColor rgb="FFFFEB9C"/>
        </patternFill>
      </fill>
    </dxf>
    <dxf>
      <fill>
        <patternFill patternType="solid">
          <bgColor theme="8" tint="0.39985351115451523"/>
        </patternFill>
      </fill>
    </dxf>
    <dxf>
      <fill>
        <patternFill patternType="solid">
          <bgColor theme="8" tint="0.39985351115451523"/>
        </patternFill>
      </fill>
    </dxf>
    <dxf>
      <fill>
        <patternFill patternType="solid">
          <bgColor theme="8" tint="0.39985351115451523"/>
        </patternFill>
      </fill>
    </dxf>
    <dxf>
      <fill>
        <patternFill patternType="solid">
          <bgColor theme="8" tint="0.39985351115451523"/>
        </patternFill>
      </fill>
    </dxf>
    <dxf>
      <fill>
        <patternFill patternType="solid">
          <bgColor theme="8" tint="0.39985351115451523"/>
        </patternFill>
      </fill>
    </dxf>
    <dxf>
      <fill>
        <patternFill patternType="solid">
          <bgColor theme="8" tint="0.39985351115451523"/>
        </patternFill>
      </fill>
    </dxf>
    <dxf>
      <fill>
        <patternFill patternType="solid">
          <bgColor theme="8" tint="0.39985351115451523"/>
        </patternFill>
      </fill>
    </dxf>
    <dxf>
      <font>
        <color rgb="FF9C5700"/>
      </font>
      <fill>
        <patternFill patternType="solid">
          <bgColor rgb="FFFFEB9C"/>
        </patternFill>
      </fill>
    </dxf>
    <dxf>
      <fill>
        <patternFill patternType="solid">
          <bgColor theme="8" tint="0.3998535111545152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theme" Target="theme/theme1.xml"/><Relationship Id="rId7"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10" Type="http://schemas.openxmlformats.org/officeDocument/2006/relationships/calcChain" Target="calcChain.xml"/><Relationship Id="rId4" Type="http://schemas.openxmlformats.org/officeDocument/2006/relationships/styles" Target="styles.xml"/><Relationship Id="rId9" Type="http://schemas.microsoft.com/office/2017/06/relationships/rdRichValueTypes" Target="richData/rdRichValueTypes.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fb t="e">#NAME?</fb>
    <v>4</v>
    <v>1</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OCK" displayName="STOCK" ref="A1:AD2152" totalsRowShown="0">
  <autoFilter ref="A1:AD2152" xr:uid="{00000000-0009-0000-0100-000001000000}"/>
  <tableColumns count="30">
    <tableColumn id="28" xr3:uid="{00000000-0010-0000-0000-00001C000000}" name="Code" dataDxfId="50"/>
    <tableColumn id="1" xr3:uid="{00000000-0010-0000-0000-000001000000}" name="Foto" dataDxfId="49"/>
    <tableColumn id="3" xr3:uid="{00000000-0010-0000-0000-000003000000}" name="Type" dataDxfId="48"/>
    <tableColumn id="4" xr3:uid="{00000000-0010-0000-0000-000004000000}" name="Category" dataDxfId="47"/>
    <tableColumn id="5" xr3:uid="{00000000-0010-0000-0000-000005000000}" name="Nombre del artículo" dataDxfId="46"/>
    <tableColumn id="6" xr3:uid="{00000000-0010-0000-0000-000006000000}" name="Talla" dataDxfId="45"/>
    <tableColumn id="7" xr3:uid="{00000000-0010-0000-0000-000007000000}" name="Brand" dataDxfId="44"/>
    <tableColumn id="12" xr3:uid="{00000000-0010-0000-0000-00000C000000}" name="Precio" dataDxfId="43"/>
    <tableColumn id="13" xr3:uid="{00000000-0010-0000-0000-00000D000000}" name="Pricing 1" dataDxfId="42"/>
    <tableColumn id="15" xr3:uid="{00000000-0010-0000-0000-00000F000000}" name="Entradas" dataDxfId="41"/>
    <tableColumn id="16" xr3:uid="{00000000-0010-0000-0000-000010000000}" name="Salidas" dataDxfId="40"/>
    <tableColumn id="17" xr3:uid="{00000000-0010-0000-0000-000011000000}" name="Stock Actual" dataDxfId="39"/>
    <tableColumn id="8" xr3:uid="{00000000-0010-0000-0000-000008000000}" name="Comisión 10%" dataDxfId="38"/>
    <tableColumn id="18" xr3:uid="{00000000-0010-0000-0000-000012000000}" name="Costo Unitario (MXN)" dataDxfId="37"/>
    <tableColumn id="19" xr3:uid="{00000000-0010-0000-0000-000013000000}" name="USD -&gt; MXN" dataDxfId="36"/>
    <tableColumn id="20" xr3:uid="{00000000-0010-0000-0000-000014000000}" name="Costo Unitario (USD)" dataDxfId="35"/>
    <tableColumn id="21" xr3:uid="{00000000-0010-0000-0000-000015000000}" name="Peso (g)" dataDxfId="34"/>
    <tableColumn id="22" xr3:uid="{00000000-0010-0000-0000-000016000000}" name="Precio Envío Kilogramo (USD)" dataDxfId="33"/>
    <tableColumn id="23" xr3:uid="{00000000-0010-0000-0000-000017000000}" name="Costo Envío (USD)" dataDxfId="32"/>
    <tableColumn id="25" xr3:uid="{00000000-0010-0000-0000-000019000000}" name="Costo total" dataDxfId="31"/>
    <tableColumn id="26" xr3:uid="{00000000-0010-0000-0000-00001A000000}" name="Precio Venta Ideal (x1.5)" dataDxfId="30"/>
    <tableColumn id="14" xr3:uid="{00000000-0010-0000-0000-00000E000000}" name="Precio Final" dataDxfId="29"/>
    <tableColumn id="27" xr3:uid="{00000000-0010-0000-0000-00001B000000}" name="Ganancia Unitaria" dataDxfId="28"/>
    <tableColumn id="9" xr3:uid="{00000000-0010-0000-0000-000009000000}" name="Ganancia x Cant Ventas" dataDxfId="27"/>
    <tableColumn id="2" xr3:uid="{00000000-0010-0000-0000-000002000000}" name="Detalles de la Compra" dataDxfId="26"/>
    <tableColumn id="11" xr3:uid="{00000000-0010-0000-0000-00000B000000}" name="Comisión Bazar 25%" dataDxfId="25"/>
    <tableColumn id="10" xr3:uid="{00000000-0010-0000-0000-00000A000000}" name="Gastos totales" dataDxfId="24"/>
    <tableColumn id="24" xr3:uid="{00000000-0010-0000-0000-000018000000}" name="Valor Stock Actual" dataDxfId="23"/>
    <tableColumn id="29" xr3:uid="{00000000-0010-0000-0000-00001D000000}" name="Precio Promocion" dataDxfId="22"/>
    <tableColumn id="30" xr3:uid="{00000000-0010-0000-0000-00001E000000}" name="Column1" dataDxfId="21"/>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NTAS" displayName="VENTAS" ref="A2:N2403" totalsRowShown="0">
  <autoFilter ref="A2:N2403" xr:uid="{00000000-0009-0000-0100-000002000000}">
    <filterColumn colId="0">
      <filters>
        <dateGroupItem year="2024" month="12" dateTimeGrouping="month"/>
      </filters>
    </filterColumn>
    <filterColumn colId="3">
      <filters>
        <filter val="Baby"/>
        <filter val="Baby_x000a__x000a_Estos tres productos mas 8 de las cosas nuevas de H&amp;M de hombre_x000a_Total de la factura 262 usd (porque se aplicó 10% de descuento)"/>
        <filter val="Baby _x000a_También se vendió un pantalon de los nuevos jogger con parte de abajo ajustable talla L $40.00_x000a_Hay que agregarlo a las ventas y a la comisión"/>
      </filters>
    </filterColumn>
  </autoFilter>
  <tableColumns count="14">
    <tableColumn id="10" xr3:uid="{00000000-0010-0000-0100-00000A000000}" name="Fecha" dataDxfId="13"/>
    <tableColumn id="1" xr3:uid="{00000000-0010-0000-0100-000001000000}" name="Detalle de compra" dataDxfId="12"/>
    <tableColumn id="2" xr3:uid="{00000000-0010-0000-0100-000002000000}" name="Nombre del Cliente" dataDxfId="11"/>
    <tableColumn id="16" xr3:uid="{00000000-0010-0000-0100-000010000000}" name="Nombre del Gestor" dataDxfId="10"/>
    <tableColumn id="3" xr3:uid="{00000000-0010-0000-0100-000003000000}" name="Código del producto Vendido" dataDxfId="9"/>
    <tableColumn id="4" xr3:uid="{00000000-0010-0000-0100-000004000000}" name="Descripcion" dataDxfId="8">
      <calculatedColumnFormula>IFERROR(VLOOKUP(VENTAS[[#This Row],[Código del producto Vendido]],STOCK[],5,FALSE),"-")</calculatedColumnFormula>
    </tableColumn>
    <tableColumn id="5" xr3:uid="{00000000-0010-0000-0100-000005000000}" name="Cantidad" dataDxfId="7"/>
    <tableColumn id="6" xr3:uid="{00000000-0010-0000-0100-000006000000}" name="Precio Venta" dataDxfId="6"/>
    <tableColumn id="9" xr3:uid="{00000000-0010-0000-0100-000009000000}" name="Total" dataDxfId="5">
      <calculatedColumnFormula>VENTAS[[#This Row],[Cantidad]]*VENTAS[[#This Row],[Precio Venta]]</calculatedColumnFormula>
    </tableColumn>
    <tableColumn id="17" xr3:uid="{00000000-0010-0000-0100-000011000000}" name="Comisión 10%" dataDxfId="4">
      <calculatedColumnFormula>IF(VENTAS[[#This Row],[Nombre del Gestor]]&gt;1,VENTAS[[#This Row],[Total]]*10%,0)</calculatedColumnFormula>
    </tableColumn>
    <tableColumn id="7" xr3:uid="{00000000-0010-0000-0100-000007000000}" name="Costo SIN Comision" dataDxfId="3">
      <calculatedColumnFormula>IFERROR(VLOOKUP(VENTAS[[#This Row],[Código del producto Vendido]],STOCK[],16,FALSE)*VENTAS[[#This Row],[Cantidad]]+VLOOKUP(VENTAS[[#This Row],[Código del producto Vendido]],STOCK[],19,FALSE)*VENTAS[[#This Row],[Cantidad]],VENTAS[[#This Row],[Total]])</calculatedColumnFormula>
    </tableColumn>
    <tableColumn id="8" xr3:uid="{00000000-0010-0000-0100-000008000000}" name="Ganancia" dataDxfId="2">
      <calculatedColumnFormula>VENTAS[[#This Row],[Total]]-VENTAS[[#This Row],[Comisión 10%]]-VENTAS[[#This Row],[Costo SIN Comision]]</calculatedColumnFormula>
    </tableColumn>
    <tableColumn id="11" xr3:uid="{00000000-0010-0000-0100-00000B000000}" name="Observaciones" dataDxfId="1"/>
    <tableColumn id="12" xr3:uid="{00000000-0010-0000-0100-00000C000000}" name="Column1" dataDxfId="0"/>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us.shein.com/SHEIN-EZwear-Solid-Wide-Leg-Dress-Pants-p-17027747.html" TargetMode="External"/><Relationship Id="rId3" Type="http://schemas.openxmlformats.org/officeDocument/2006/relationships/hyperlink" Target="https://us.shein.com/SHEIN-EZwear-Solid-Wide-Leg-Dress-Pants-p-17027747.html" TargetMode="External"/><Relationship Id="rId7" Type="http://schemas.openxmlformats.org/officeDocument/2006/relationships/hyperlink" Target="https://us.shein.com/SHEIN-EZwear-Solid-Wide-Leg-Dress-Pants-p-17027747.html" TargetMode="External"/><Relationship Id="rId2" Type="http://schemas.openxmlformats.org/officeDocument/2006/relationships/hyperlink" Target="https://us.shein.com/SHEIN-EZwear-Solid-Wide-Leg-Dress-Pants-p-17027747.html" TargetMode="External"/><Relationship Id="rId1" Type="http://schemas.openxmlformats.org/officeDocument/2006/relationships/hyperlink" Target="https://us.shein.com/SHEIN-EZwear-Solid-Wide-Leg-Dress-Pants-p-17027747.html" TargetMode="External"/><Relationship Id="rId6" Type="http://schemas.openxmlformats.org/officeDocument/2006/relationships/hyperlink" Target="https://us.shein.com/SHEIN-EZwear-Solid-Wide-Leg-Dress-Pants-p-17027747.html" TargetMode="External"/><Relationship Id="rId5" Type="http://schemas.openxmlformats.org/officeDocument/2006/relationships/hyperlink" Target="https://us.shein.com/SHEIN-EZwear-Solid-Wide-Leg-Dress-Pants-p-17027747.html" TargetMode="External"/><Relationship Id="rId4" Type="http://schemas.openxmlformats.org/officeDocument/2006/relationships/hyperlink" Target="https://us.shein.com/SHEIN-EZwear-Solid-Wide-Leg-Dress-Pants-p-17027747.html"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O2156"/>
  <sheetViews>
    <sheetView showGridLines="0" tabSelected="1" zoomScale="71" zoomScaleNormal="71" workbookViewId="0">
      <pane ySplit="1" topLeftCell="A2008" activePane="bottomLeft" state="frozen"/>
      <selection pane="bottomLeft" activeCell="A1956" sqref="A1956:X2015"/>
    </sheetView>
  </sheetViews>
  <sheetFormatPr baseColWidth="10" defaultColWidth="8" defaultRowHeight="20" customHeight="1"/>
  <cols>
    <col min="1" max="1" width="93" style="56" customWidth="1"/>
    <col min="2" max="3" width="68" style="56" customWidth="1"/>
    <col min="4" max="4" width="163" style="57" customWidth="1"/>
    <col min="5" max="5" width="255" customWidth="1"/>
    <col min="6" max="6" width="104" style="56" customWidth="1"/>
    <col min="7" max="7" width="3" style="56" hidden="1" customWidth="1"/>
    <col min="8" max="9" width="70" style="56" customWidth="1"/>
    <col min="10" max="10" width="59" style="56" customWidth="1"/>
    <col min="11" max="11" width="70" style="56" customWidth="1"/>
    <col min="12" max="12" width="71" style="56" customWidth="1"/>
    <col min="13" max="13" width="74" style="56" customWidth="1"/>
    <col min="14" max="14" width="74" style="56" hidden="1" customWidth="1"/>
    <col min="15" max="15" width="53" style="58" hidden="1" customWidth="1"/>
    <col min="16" max="16" width="72" style="58" customWidth="1"/>
    <col min="17" max="17" width="70" style="56" hidden="1" customWidth="1"/>
    <col min="18" max="18" width="106" style="56" hidden="1" customWidth="1"/>
    <col min="19" max="19" width="60" style="58" customWidth="1"/>
    <col min="20" max="20" width="70" style="58" customWidth="1"/>
    <col min="21" max="21" width="113" style="59" customWidth="1"/>
    <col min="22" max="22" width="52" style="58" customWidth="1"/>
    <col min="23" max="23" width="74" style="58" customWidth="1"/>
    <col min="24" max="24" width="76" style="58" customWidth="1"/>
    <col min="25" max="25" width="213" style="60" customWidth="1"/>
    <col min="26" max="26" width="76" style="56" customWidth="1"/>
    <col min="27" max="28" width="70" style="56" customWidth="1"/>
    <col min="29" max="29" width="64" style="56" customWidth="1"/>
    <col min="30" max="31" width="8" style="56" customWidth="1"/>
    <col min="32" max="16384" width="8" style="56"/>
  </cols>
  <sheetData>
    <row r="1" spans="1:41" s="52" customFormat="1" ht="55" customHeight="1">
      <c r="A1" s="61" t="s">
        <v>0</v>
      </c>
      <c r="B1" s="61" t="s">
        <v>1</v>
      </c>
      <c r="C1" s="62" t="s">
        <v>2</v>
      </c>
      <c r="D1" s="63" t="s">
        <v>3</v>
      </c>
      <c r="E1" s="63" t="s">
        <v>4</v>
      </c>
      <c r="F1" s="63" t="s">
        <v>5</v>
      </c>
      <c r="G1" s="63" t="s">
        <v>6</v>
      </c>
      <c r="H1" s="63" t="s">
        <v>7</v>
      </c>
      <c r="I1" s="67" t="s">
        <v>8</v>
      </c>
      <c r="J1" s="68" t="s">
        <v>9</v>
      </c>
      <c r="K1" s="68" t="s">
        <v>10</v>
      </c>
      <c r="L1" s="68" t="s">
        <v>11</v>
      </c>
      <c r="M1" s="63" t="s">
        <v>12</v>
      </c>
      <c r="N1" s="67" t="s">
        <v>13</v>
      </c>
      <c r="O1" s="67" t="s">
        <v>14</v>
      </c>
      <c r="P1" s="67" t="s">
        <v>15</v>
      </c>
      <c r="Q1" s="68" t="s">
        <v>16</v>
      </c>
      <c r="R1" s="67" t="s">
        <v>17</v>
      </c>
      <c r="S1" s="67" t="s">
        <v>18</v>
      </c>
      <c r="T1" s="67" t="s">
        <v>19</v>
      </c>
      <c r="U1" s="71" t="s">
        <v>20</v>
      </c>
      <c r="V1" s="67" t="s">
        <v>21</v>
      </c>
      <c r="W1" s="67" t="s">
        <v>22</v>
      </c>
      <c r="X1" s="67" t="s">
        <v>23</v>
      </c>
      <c r="Y1" s="63" t="s">
        <v>24</v>
      </c>
      <c r="Z1" s="67" t="s">
        <v>25</v>
      </c>
      <c r="AA1" s="67" t="s">
        <v>26</v>
      </c>
      <c r="AB1" s="67" t="s">
        <v>27</v>
      </c>
      <c r="AC1" s="67" t="s">
        <v>28</v>
      </c>
      <c r="AD1" s="52" t="s">
        <v>29</v>
      </c>
      <c r="AO1" s="52" t="s">
        <v>30</v>
      </c>
    </row>
    <row r="2" spans="1:41" s="53" customFormat="1" ht="50" customHeight="1">
      <c r="A2" s="53" t="s">
        <v>31</v>
      </c>
      <c r="B2" s="64"/>
      <c r="C2" s="53" t="s">
        <v>32</v>
      </c>
      <c r="D2" s="53" t="s">
        <v>33</v>
      </c>
      <c r="E2" s="65" t="s">
        <v>34</v>
      </c>
      <c r="F2" s="53" t="s">
        <v>35</v>
      </c>
      <c r="G2" s="53" t="s">
        <v>36</v>
      </c>
      <c r="H2" s="53">
        <f>STOCK[[#This Row],[Precio Final]]</f>
        <v>8</v>
      </c>
      <c r="I2" s="53">
        <f>STOCK[[#This Row],[Precio Venta Ideal (x1.5)]]</f>
        <v>7.7058333333333291</v>
      </c>
      <c r="J2" s="69">
        <v>15</v>
      </c>
      <c r="K2" s="69">
        <f>SUMIFS(VENTAS[Cantidad],VENTAS[Código del producto Vendido],STOCK[[#This Row],[Code]])</f>
        <v>13</v>
      </c>
      <c r="L2" s="69">
        <v>0</v>
      </c>
      <c r="M2" s="53">
        <f>STOCK[[#This Row],[Precio Final]]*10%</f>
        <v>0.8</v>
      </c>
      <c r="N2" s="53">
        <v>49</v>
      </c>
      <c r="O2" s="53">
        <v>18</v>
      </c>
      <c r="P2" s="53">
        <v>2.7222222222222201</v>
      </c>
      <c r="Q2" s="69">
        <v>95</v>
      </c>
      <c r="R2" s="53">
        <v>17</v>
      </c>
      <c r="S2" s="53">
        <f>STOCK[[#This Row],[Peso (g)]]*STOCK[[#This Row],[Precio Envío Kilogramo (USD)]]/1000</f>
        <v>1.615</v>
      </c>
      <c r="T2" s="53">
        <f>STOCK[[#This Row],[Costo Unitario (USD)]]+STOCK[[#This Row],[Costo Envío (USD)]]+STOCK[[#This Row],[Comisión 10%]]</f>
        <v>5.1372222222222197</v>
      </c>
      <c r="U2" s="53">
        <f>STOCK[[#This Row],[Costo total]]*1.5</f>
        <v>7.7058333333333291</v>
      </c>
      <c r="V2" s="53">
        <v>8</v>
      </c>
      <c r="W2" s="53">
        <f>STOCK[[#This Row],[Precio Final]]-STOCK[[#This Row],[Costo total]]</f>
        <v>2.8627777777777803</v>
      </c>
      <c r="X2" s="53">
        <f>STOCK[[#This Row],[Ganancia Unitaria]]*STOCK[[#This Row],[Salidas]]</f>
        <v>37.216111111111147</v>
      </c>
      <c r="AA2" s="53">
        <f>STOCK[[#This Row],[Costo total]]*STOCK[[#This Row],[Entradas]]</f>
        <v>77.058333333333294</v>
      </c>
      <c r="AB2" s="53">
        <f>STOCK[[#This Row],[Stock Actual]]*STOCK[[#This Row],[Costo total]]</f>
        <v>0</v>
      </c>
    </row>
    <row r="3" spans="1:41" s="54" customFormat="1" ht="50" customHeight="1">
      <c r="A3" s="54" t="s">
        <v>37</v>
      </c>
      <c r="B3" s="64"/>
      <c r="C3" s="54" t="s">
        <v>32</v>
      </c>
      <c r="D3" s="54" t="s">
        <v>38</v>
      </c>
      <c r="E3" s="66" t="s">
        <v>39</v>
      </c>
      <c r="F3" s="54" t="s">
        <v>40</v>
      </c>
      <c r="G3" s="54" t="s">
        <v>36</v>
      </c>
      <c r="H3" s="54">
        <f>STOCK[[#This Row],[Precio Final]]</f>
        <v>28</v>
      </c>
      <c r="I3" s="54">
        <f>STOCK[[#This Row],[Precio Venta Ideal (x1.5)]]</f>
        <v>31.756666666666646</v>
      </c>
      <c r="J3" s="70">
        <v>1</v>
      </c>
      <c r="K3" s="70">
        <f>SUMIFS(VENTAS[Cantidad],VENTAS[Código del producto Vendido],STOCK[[#This Row],[Code]])</f>
        <v>1</v>
      </c>
      <c r="L3" s="70">
        <f>STOCK[[#This Row],[Entradas]]-STOCK[[#This Row],[Salidas]]</f>
        <v>0</v>
      </c>
      <c r="M3" s="54">
        <f>STOCK[[#This Row],[Precio Final]]*10%</f>
        <v>2.8000000000000003</v>
      </c>
      <c r="N3" s="54">
        <v>245</v>
      </c>
      <c r="O3" s="54">
        <v>18</v>
      </c>
      <c r="P3" s="54">
        <v>13.6111111111111</v>
      </c>
      <c r="Q3" s="70">
        <v>280</v>
      </c>
      <c r="R3" s="54">
        <v>17</v>
      </c>
      <c r="S3" s="54">
        <f>STOCK[[#This Row],[Peso (g)]]*STOCK[[#This Row],[Precio Envío Kilogramo (USD)]]/1000</f>
        <v>4.76</v>
      </c>
      <c r="T3" s="53">
        <f>STOCK[[#This Row],[Costo Unitario (USD)]]+STOCK[[#This Row],[Costo Envío (USD)]]+STOCK[[#This Row],[Comisión 10%]]</f>
        <v>21.171111111111099</v>
      </c>
      <c r="U3" s="54">
        <f>STOCK[[#This Row],[Costo total]]*1.5</f>
        <v>31.756666666666646</v>
      </c>
      <c r="V3" s="54">
        <v>28</v>
      </c>
      <c r="W3" s="54">
        <f>STOCK[[#This Row],[Precio Final]]-STOCK[[#This Row],[Costo total]]</f>
        <v>6.8288888888889012</v>
      </c>
      <c r="X3" s="54">
        <f>STOCK[[#This Row],[Ganancia Unitaria]]*STOCK[[#This Row],[Salidas]]</f>
        <v>6.8288888888889012</v>
      </c>
      <c r="AA3" s="54">
        <f>STOCK[[#This Row],[Costo total]]*STOCK[[#This Row],[Entradas]]</f>
        <v>21.171111111111099</v>
      </c>
      <c r="AB3" s="54">
        <f>STOCK[[#This Row],[Stock Actual]]*STOCK[[#This Row],[Costo total]]</f>
        <v>0</v>
      </c>
    </row>
    <row r="4" spans="1:41" s="53" customFormat="1" ht="50" customHeight="1">
      <c r="A4" s="53" t="s">
        <v>41</v>
      </c>
      <c r="B4" s="64"/>
      <c r="C4" s="53" t="s">
        <v>32</v>
      </c>
      <c r="D4" s="53" t="s">
        <v>38</v>
      </c>
      <c r="E4" s="65" t="s">
        <v>39</v>
      </c>
      <c r="F4" s="53" t="s">
        <v>42</v>
      </c>
      <c r="G4" s="53" t="s">
        <v>36</v>
      </c>
      <c r="H4" s="53">
        <f>STOCK[[#This Row],[Precio Final]]</f>
        <v>28</v>
      </c>
      <c r="I4" s="53">
        <f>STOCK[[#This Row],[Precio Venta Ideal (x1.5)]]</f>
        <v>33.54166666666665</v>
      </c>
      <c r="J4" s="69">
        <v>3</v>
      </c>
      <c r="K4" s="69">
        <f>SUMIFS(VENTAS[Cantidad],VENTAS[Código del producto Vendido],STOCK[[#This Row],[Code]])</f>
        <v>3</v>
      </c>
      <c r="L4" s="69">
        <f>STOCK[[#This Row],[Entradas]]-STOCK[[#This Row],[Salidas]]</f>
        <v>0</v>
      </c>
      <c r="M4" s="53">
        <f>STOCK[[#This Row],[Precio Final]]*10%</f>
        <v>2.8000000000000003</v>
      </c>
      <c r="N4" s="53">
        <v>245</v>
      </c>
      <c r="O4" s="53">
        <v>18</v>
      </c>
      <c r="P4" s="53">
        <v>13.6111111111111</v>
      </c>
      <c r="Q4" s="69">
        <v>350</v>
      </c>
      <c r="R4" s="53">
        <v>17</v>
      </c>
      <c r="S4" s="53">
        <f>STOCK[[#This Row],[Peso (g)]]*STOCK[[#This Row],[Precio Envío Kilogramo (USD)]]/1000</f>
        <v>5.95</v>
      </c>
      <c r="T4" s="53">
        <f>STOCK[[#This Row],[Costo Unitario (USD)]]+STOCK[[#This Row],[Costo Envío (USD)]]+STOCK[[#This Row],[Comisión 10%]]</f>
        <v>22.3611111111111</v>
      </c>
      <c r="U4" s="53">
        <f>STOCK[[#This Row],[Costo total]]*1.5</f>
        <v>33.54166666666665</v>
      </c>
      <c r="V4" s="53">
        <v>28</v>
      </c>
      <c r="W4" s="53">
        <f>STOCK[[#This Row],[Precio Final]]-STOCK[[#This Row],[Costo total]]</f>
        <v>5.6388888888888999</v>
      </c>
      <c r="X4" s="53">
        <f>STOCK[[#This Row],[Ganancia Unitaria]]*STOCK[[#This Row],[Salidas]]</f>
        <v>16.9166666666667</v>
      </c>
      <c r="AA4" s="53">
        <f>STOCK[[#This Row],[Costo total]]*STOCK[[#This Row],[Entradas]]</f>
        <v>67.0833333333333</v>
      </c>
      <c r="AB4" s="53">
        <f>STOCK[[#This Row],[Stock Actual]]*STOCK[[#This Row],[Costo total]]</f>
        <v>0</v>
      </c>
    </row>
    <row r="5" spans="1:41" s="54" customFormat="1" ht="50" customHeight="1">
      <c r="A5" s="54" t="s">
        <v>43</v>
      </c>
      <c r="B5" s="64"/>
      <c r="C5" s="54" t="s">
        <v>32</v>
      </c>
      <c r="D5" s="54" t="s">
        <v>44</v>
      </c>
      <c r="E5" s="66" t="s">
        <v>45</v>
      </c>
      <c r="F5" s="54" t="s">
        <v>46</v>
      </c>
      <c r="G5" s="54" t="s">
        <v>36</v>
      </c>
      <c r="H5" s="54">
        <f>STOCK[[#This Row],[Precio Final]]</f>
        <v>30</v>
      </c>
      <c r="I5" s="54">
        <f>STOCK[[#This Row],[Precio Venta Ideal (x1.5)]]</f>
        <v>33.003333333333302</v>
      </c>
      <c r="J5" s="70">
        <v>1</v>
      </c>
      <c r="K5" s="70">
        <f>SUMIFS(VENTAS[Cantidad],VENTAS[Código del producto Vendido],STOCK[[#This Row],[Code]])</f>
        <v>1</v>
      </c>
      <c r="L5" s="70">
        <f>STOCK[[#This Row],[Entradas]]-STOCK[[#This Row],[Salidas]]</f>
        <v>0</v>
      </c>
      <c r="M5" s="54">
        <f>STOCK[[#This Row],[Precio Final]]*10%</f>
        <v>3</v>
      </c>
      <c r="N5" s="54">
        <v>238</v>
      </c>
      <c r="O5" s="54">
        <v>18</v>
      </c>
      <c r="P5" s="54">
        <v>13.2222222222222</v>
      </c>
      <c r="Q5" s="70">
        <v>340</v>
      </c>
      <c r="R5" s="54">
        <v>17</v>
      </c>
      <c r="S5" s="54">
        <f>STOCK[[#This Row],[Peso (g)]]*STOCK[[#This Row],[Precio Envío Kilogramo (USD)]]/1000</f>
        <v>5.78</v>
      </c>
      <c r="T5" s="53">
        <f>STOCK[[#This Row],[Costo Unitario (USD)]]+STOCK[[#This Row],[Costo Envío (USD)]]+STOCK[[#This Row],[Comisión 10%]]</f>
        <v>22.002222222222201</v>
      </c>
      <c r="U5" s="54">
        <f>STOCK[[#This Row],[Costo total]]*1.5</f>
        <v>33.003333333333302</v>
      </c>
      <c r="V5" s="54">
        <v>30</v>
      </c>
      <c r="W5" s="54">
        <f>STOCK[[#This Row],[Precio Final]]-STOCK[[#This Row],[Costo total]]</f>
        <v>7.9977777777777987</v>
      </c>
      <c r="X5" s="54">
        <f>STOCK[[#This Row],[Ganancia Unitaria]]*STOCK[[#This Row],[Salidas]]</f>
        <v>7.9977777777777987</v>
      </c>
      <c r="AA5" s="54">
        <f>STOCK[[#This Row],[Costo total]]*STOCK[[#This Row],[Entradas]]</f>
        <v>22.002222222222201</v>
      </c>
      <c r="AB5" s="54">
        <f>STOCK[[#This Row],[Stock Actual]]*STOCK[[#This Row],[Costo total]]</f>
        <v>0</v>
      </c>
    </row>
    <row r="6" spans="1:41" s="53" customFormat="1" ht="50" customHeight="1">
      <c r="A6" s="53" t="s">
        <v>47</v>
      </c>
      <c r="B6" s="64"/>
      <c r="C6" s="53" t="s">
        <v>32</v>
      </c>
      <c r="D6" s="53" t="s">
        <v>44</v>
      </c>
      <c r="E6" s="65" t="s">
        <v>48</v>
      </c>
      <c r="F6" s="53" t="s">
        <v>49</v>
      </c>
      <c r="G6" s="53" t="s">
        <v>36</v>
      </c>
      <c r="H6" s="53">
        <f>STOCK[[#This Row],[Precio Final]]</f>
        <v>30</v>
      </c>
      <c r="I6" s="53">
        <f>STOCK[[#This Row],[Precio Venta Ideal (x1.5)]]</f>
        <v>33.003333333333302</v>
      </c>
      <c r="J6" s="69">
        <v>1</v>
      </c>
      <c r="K6" s="69">
        <f>SUMIFS(VENTAS[Cantidad],VENTAS[Código del producto Vendido],STOCK[[#This Row],[Code]])</f>
        <v>1</v>
      </c>
      <c r="L6" s="69">
        <f>STOCK[[#This Row],[Entradas]]-STOCK[[#This Row],[Salidas]]</f>
        <v>0</v>
      </c>
      <c r="M6" s="53">
        <f>STOCK[[#This Row],[Precio Final]]*10%</f>
        <v>3</v>
      </c>
      <c r="N6" s="53">
        <v>238</v>
      </c>
      <c r="O6" s="53">
        <v>18</v>
      </c>
      <c r="P6" s="53">
        <v>13.2222222222222</v>
      </c>
      <c r="Q6" s="69">
        <v>340</v>
      </c>
      <c r="R6" s="53">
        <v>17</v>
      </c>
      <c r="S6" s="53">
        <f>STOCK[[#This Row],[Peso (g)]]*STOCK[[#This Row],[Precio Envío Kilogramo (USD)]]/1000</f>
        <v>5.78</v>
      </c>
      <c r="T6" s="53">
        <f>STOCK[[#This Row],[Costo Unitario (USD)]]+STOCK[[#This Row],[Costo Envío (USD)]]+STOCK[[#This Row],[Comisión 10%]]</f>
        <v>22.002222222222201</v>
      </c>
      <c r="U6" s="53">
        <f>STOCK[[#This Row],[Costo total]]*1.5</f>
        <v>33.003333333333302</v>
      </c>
      <c r="V6" s="53">
        <v>30</v>
      </c>
      <c r="W6" s="53">
        <f>STOCK[[#This Row],[Precio Final]]-STOCK[[#This Row],[Costo total]]</f>
        <v>7.9977777777777987</v>
      </c>
      <c r="X6" s="53">
        <f>STOCK[[#This Row],[Ganancia Unitaria]]*STOCK[[#This Row],[Salidas]]</f>
        <v>7.9977777777777987</v>
      </c>
      <c r="AA6" s="53">
        <f>STOCK[[#This Row],[Costo total]]*STOCK[[#This Row],[Entradas]]</f>
        <v>22.002222222222201</v>
      </c>
      <c r="AB6" s="53">
        <f>STOCK[[#This Row],[Stock Actual]]*STOCK[[#This Row],[Costo total]]</f>
        <v>0</v>
      </c>
    </row>
    <row r="7" spans="1:41" s="54" customFormat="1" ht="50" customHeight="1">
      <c r="A7" s="54" t="s">
        <v>50</v>
      </c>
      <c r="B7" s="64"/>
      <c r="C7" s="54" t="s">
        <v>32</v>
      </c>
      <c r="D7" s="54" t="s">
        <v>44</v>
      </c>
      <c r="E7" s="66" t="s">
        <v>48</v>
      </c>
      <c r="F7" s="54" t="s">
        <v>40</v>
      </c>
      <c r="G7" s="54" t="s">
        <v>36</v>
      </c>
      <c r="H7" s="54">
        <f>STOCK[[#This Row],[Precio Final]]</f>
        <v>30</v>
      </c>
      <c r="I7" s="54">
        <f>STOCK[[#This Row],[Precio Venta Ideal (x1.5)]]</f>
        <v>32.365833333333299</v>
      </c>
      <c r="J7" s="70">
        <v>1</v>
      </c>
      <c r="K7" s="70">
        <f>SUMIFS(VENTAS[Cantidad],VENTAS[Código del producto Vendido],STOCK[[#This Row],[Code]])</f>
        <v>1</v>
      </c>
      <c r="L7" s="70">
        <f>STOCK[[#This Row],[Entradas]]-STOCK[[#This Row],[Salidas]]</f>
        <v>0</v>
      </c>
      <c r="M7" s="54">
        <f>STOCK[[#This Row],[Precio Final]]*10%</f>
        <v>3</v>
      </c>
      <c r="N7" s="54">
        <v>238</v>
      </c>
      <c r="O7" s="54">
        <v>18</v>
      </c>
      <c r="P7" s="54">
        <v>13.2222222222222</v>
      </c>
      <c r="Q7" s="70">
        <v>315</v>
      </c>
      <c r="R7" s="54">
        <v>17</v>
      </c>
      <c r="S7" s="54">
        <f>STOCK[[#This Row],[Peso (g)]]*STOCK[[#This Row],[Precio Envío Kilogramo (USD)]]/1000</f>
        <v>5.3550000000000004</v>
      </c>
      <c r="T7" s="53">
        <f>STOCK[[#This Row],[Costo Unitario (USD)]]+STOCK[[#This Row],[Costo Envío (USD)]]+STOCK[[#This Row],[Comisión 10%]]</f>
        <v>21.577222222222201</v>
      </c>
      <c r="U7" s="54">
        <f>STOCK[[#This Row],[Costo total]]*1.5</f>
        <v>32.365833333333299</v>
      </c>
      <c r="V7" s="54">
        <v>30</v>
      </c>
      <c r="W7" s="54">
        <f>STOCK[[#This Row],[Precio Final]]-STOCK[[#This Row],[Costo total]]</f>
        <v>8.4227777777777995</v>
      </c>
      <c r="X7" s="54">
        <f>STOCK[[#This Row],[Ganancia Unitaria]]*STOCK[[#This Row],[Salidas]]</f>
        <v>8.4227777777777995</v>
      </c>
      <c r="AA7" s="54">
        <f>STOCK[[#This Row],[Costo total]]*STOCK[[#This Row],[Entradas]]</f>
        <v>21.577222222222201</v>
      </c>
      <c r="AB7" s="54">
        <f>STOCK[[#This Row],[Stock Actual]]*STOCK[[#This Row],[Costo total]]</f>
        <v>0</v>
      </c>
    </row>
    <row r="8" spans="1:41" s="53" customFormat="1" ht="50" customHeight="1">
      <c r="A8" s="53" t="s">
        <v>51</v>
      </c>
      <c r="B8" s="64"/>
      <c r="C8" s="53" t="s">
        <v>32</v>
      </c>
      <c r="D8" s="53" t="s">
        <v>38</v>
      </c>
      <c r="E8" s="65" t="s">
        <v>52</v>
      </c>
      <c r="F8" s="53" t="s">
        <v>40</v>
      </c>
      <c r="G8" s="53" t="s">
        <v>36</v>
      </c>
      <c r="H8" s="53">
        <f>STOCK[[#This Row],[Precio Final]]</f>
        <v>15</v>
      </c>
      <c r="I8" s="53">
        <f>STOCK[[#This Row],[Precio Venta Ideal (x1.5)]]</f>
        <v>17.344999999999995</v>
      </c>
      <c r="J8" s="69">
        <v>2</v>
      </c>
      <c r="K8" s="69">
        <f>SUMIFS(VENTAS[Cantidad],VENTAS[Código del producto Vendido],STOCK[[#This Row],[Code]])</f>
        <v>2</v>
      </c>
      <c r="L8" s="69">
        <f>STOCK[[#This Row],[Entradas]]-STOCK[[#This Row],[Salidas]]</f>
        <v>0</v>
      </c>
      <c r="M8" s="53">
        <f>STOCK[[#This Row],[Precio Final]]*10%</f>
        <v>1.5</v>
      </c>
      <c r="N8" s="53">
        <v>123</v>
      </c>
      <c r="O8" s="53">
        <v>18</v>
      </c>
      <c r="P8" s="53">
        <v>6.8333333333333304</v>
      </c>
      <c r="Q8" s="69">
        <v>190</v>
      </c>
      <c r="R8" s="53">
        <v>17</v>
      </c>
      <c r="S8" s="53">
        <f>STOCK[[#This Row],[Peso (g)]]*STOCK[[#This Row],[Precio Envío Kilogramo (USD)]]/1000</f>
        <v>3.23</v>
      </c>
      <c r="T8" s="53">
        <f>STOCK[[#This Row],[Costo Unitario (USD)]]+STOCK[[#This Row],[Costo Envío (USD)]]+STOCK[[#This Row],[Comisión 10%]]</f>
        <v>11.563333333333331</v>
      </c>
      <c r="U8" s="53">
        <f>STOCK[[#This Row],[Costo total]]*1.5</f>
        <v>17.344999999999995</v>
      </c>
      <c r="V8" s="53">
        <v>15</v>
      </c>
      <c r="W8" s="53">
        <f>STOCK[[#This Row],[Precio Final]]-STOCK[[#This Row],[Costo total]]</f>
        <v>3.4366666666666692</v>
      </c>
      <c r="X8" s="53">
        <f>STOCK[[#This Row],[Ganancia Unitaria]]*STOCK[[#This Row],[Salidas]]</f>
        <v>6.8733333333333384</v>
      </c>
      <c r="Y8" s="53" t="s">
        <v>53</v>
      </c>
      <c r="AA8" s="53">
        <f>STOCK[[#This Row],[Costo total]]*STOCK[[#This Row],[Entradas]]</f>
        <v>23.126666666666662</v>
      </c>
      <c r="AB8" s="53">
        <f>STOCK[[#This Row],[Stock Actual]]*STOCK[[#This Row],[Costo total]]</f>
        <v>0</v>
      </c>
    </row>
    <row r="9" spans="1:41" s="54" customFormat="1" ht="50" customHeight="1">
      <c r="A9" s="54" t="s">
        <v>54</v>
      </c>
      <c r="B9" s="64"/>
      <c r="C9" s="54" t="s">
        <v>32</v>
      </c>
      <c r="D9" s="54" t="s">
        <v>38</v>
      </c>
      <c r="E9" s="66" t="s">
        <v>55</v>
      </c>
      <c r="F9" s="54" t="s">
        <v>49</v>
      </c>
      <c r="G9" s="54" t="s">
        <v>36</v>
      </c>
      <c r="H9" s="54">
        <f>STOCK[[#This Row],[Precio Final]]</f>
        <v>15</v>
      </c>
      <c r="I9" s="54">
        <f>STOCK[[#This Row],[Precio Venta Ideal (x1.5)]]</f>
        <v>17.344999999999995</v>
      </c>
      <c r="J9" s="70">
        <v>2</v>
      </c>
      <c r="K9" s="70">
        <f>SUMIFS(VENTAS[Cantidad],VENTAS[Código del producto Vendido],STOCK[[#This Row],[Code]])</f>
        <v>2</v>
      </c>
      <c r="L9" s="70">
        <f>STOCK[[#This Row],[Entradas]]-STOCK[[#This Row],[Salidas]]</f>
        <v>0</v>
      </c>
      <c r="M9" s="54">
        <f>STOCK[[#This Row],[Precio Final]]*10%</f>
        <v>1.5</v>
      </c>
      <c r="N9" s="54">
        <v>123</v>
      </c>
      <c r="O9" s="54">
        <v>18</v>
      </c>
      <c r="P9" s="54">
        <v>6.8333333333333304</v>
      </c>
      <c r="Q9" s="70">
        <v>190</v>
      </c>
      <c r="R9" s="54">
        <v>17</v>
      </c>
      <c r="S9" s="54">
        <f>STOCK[[#This Row],[Peso (g)]]*STOCK[[#This Row],[Precio Envío Kilogramo (USD)]]/1000</f>
        <v>3.23</v>
      </c>
      <c r="T9" s="53">
        <f>STOCK[[#This Row],[Costo Unitario (USD)]]+STOCK[[#This Row],[Costo Envío (USD)]]+STOCK[[#This Row],[Comisión 10%]]</f>
        <v>11.563333333333331</v>
      </c>
      <c r="U9" s="54">
        <f>STOCK[[#This Row],[Costo total]]*1.5</f>
        <v>17.344999999999995</v>
      </c>
      <c r="V9" s="54">
        <v>15</v>
      </c>
      <c r="W9" s="54">
        <f>STOCK[[#This Row],[Precio Final]]-STOCK[[#This Row],[Costo total]]</f>
        <v>3.4366666666666692</v>
      </c>
      <c r="X9" s="54">
        <f>STOCK[[#This Row],[Ganancia Unitaria]]*STOCK[[#This Row],[Salidas]]</f>
        <v>6.8733333333333384</v>
      </c>
      <c r="AA9" s="54">
        <f>STOCK[[#This Row],[Costo total]]*STOCK[[#This Row],[Entradas]]</f>
        <v>23.126666666666662</v>
      </c>
      <c r="AB9" s="54">
        <f>STOCK[[#This Row],[Stock Actual]]*STOCK[[#This Row],[Costo total]]</f>
        <v>0</v>
      </c>
    </row>
    <row r="10" spans="1:41" s="53" customFormat="1" ht="50" customHeight="1">
      <c r="A10" s="53" t="s">
        <v>56</v>
      </c>
      <c r="B10" s="64"/>
      <c r="C10" s="53" t="s">
        <v>32</v>
      </c>
      <c r="D10" s="53" t="s">
        <v>38</v>
      </c>
      <c r="E10" s="65" t="s">
        <v>57</v>
      </c>
      <c r="F10" s="53" t="s">
        <v>46</v>
      </c>
      <c r="G10" s="53" t="s">
        <v>36</v>
      </c>
      <c r="H10" s="53">
        <f>STOCK[[#This Row],[Precio Final]]</f>
        <v>15</v>
      </c>
      <c r="I10" s="53">
        <f>STOCK[[#This Row],[Precio Venta Ideal (x1.5)]]</f>
        <v>17.344999999999995</v>
      </c>
      <c r="J10" s="69">
        <v>2</v>
      </c>
      <c r="K10" s="69">
        <f>SUMIFS(VENTAS[Cantidad],VENTAS[Código del producto Vendido],STOCK[[#This Row],[Code]])</f>
        <v>2</v>
      </c>
      <c r="L10" s="69">
        <f>STOCK[[#This Row],[Entradas]]-STOCK[[#This Row],[Salidas]]</f>
        <v>0</v>
      </c>
      <c r="M10" s="53">
        <f>STOCK[[#This Row],[Precio Final]]*10%</f>
        <v>1.5</v>
      </c>
      <c r="N10" s="53">
        <v>123</v>
      </c>
      <c r="O10" s="53">
        <v>18</v>
      </c>
      <c r="P10" s="53">
        <v>6.8333333333333304</v>
      </c>
      <c r="Q10" s="69">
        <v>190</v>
      </c>
      <c r="R10" s="53">
        <v>17</v>
      </c>
      <c r="S10" s="53">
        <f>STOCK[[#This Row],[Peso (g)]]*STOCK[[#This Row],[Precio Envío Kilogramo (USD)]]/1000</f>
        <v>3.23</v>
      </c>
      <c r="T10" s="53">
        <f>STOCK[[#This Row],[Costo Unitario (USD)]]+STOCK[[#This Row],[Costo Envío (USD)]]+STOCK[[#This Row],[Comisión 10%]]</f>
        <v>11.563333333333331</v>
      </c>
      <c r="U10" s="53">
        <f>STOCK[[#This Row],[Costo total]]*1.5</f>
        <v>17.344999999999995</v>
      </c>
      <c r="V10" s="53">
        <v>15</v>
      </c>
      <c r="W10" s="53">
        <f>STOCK[[#This Row],[Precio Final]]-STOCK[[#This Row],[Costo total]]</f>
        <v>3.4366666666666692</v>
      </c>
      <c r="X10" s="53">
        <f>STOCK[[#This Row],[Ganancia Unitaria]]*STOCK[[#This Row],[Salidas]]</f>
        <v>6.8733333333333384</v>
      </c>
      <c r="AA10" s="53">
        <f>STOCK[[#This Row],[Costo total]]*STOCK[[#This Row],[Entradas]]</f>
        <v>23.126666666666662</v>
      </c>
      <c r="AB10" s="53">
        <f>STOCK[[#This Row],[Stock Actual]]*STOCK[[#This Row],[Costo total]]</f>
        <v>0</v>
      </c>
    </row>
    <row r="11" spans="1:41" s="54" customFormat="1" ht="50" customHeight="1">
      <c r="A11" s="54" t="s">
        <v>58</v>
      </c>
      <c r="B11" s="64"/>
      <c r="C11" s="54" t="s">
        <v>32</v>
      </c>
      <c r="D11" s="54" t="s">
        <v>38</v>
      </c>
      <c r="E11" s="66" t="s">
        <v>59</v>
      </c>
      <c r="F11" s="54" t="s">
        <v>46</v>
      </c>
      <c r="G11" s="54" t="s">
        <v>36</v>
      </c>
      <c r="H11" s="54">
        <f>STOCK[[#This Row],[Precio Final]]</f>
        <v>28</v>
      </c>
      <c r="I11" s="54">
        <f>STOCK[[#This Row],[Precio Venta Ideal (x1.5)]]</f>
        <v>28.075000000000053</v>
      </c>
      <c r="J11" s="70">
        <v>1</v>
      </c>
      <c r="K11" s="70">
        <f>SUMIFS(VENTAS[Cantidad],VENTAS[Código del producto Vendido],STOCK[[#This Row],[Code]])</f>
        <v>1</v>
      </c>
      <c r="L11" s="70">
        <f>STOCK[[#This Row],[Entradas]]-STOCK[[#This Row],[Salidas]]</f>
        <v>0</v>
      </c>
      <c r="M11" s="54">
        <f>STOCK[[#This Row],[Precio Final]]*10%</f>
        <v>2.8000000000000003</v>
      </c>
      <c r="N11" s="54">
        <v>210</v>
      </c>
      <c r="O11" s="54">
        <v>18</v>
      </c>
      <c r="P11" s="54">
        <v>11.6666666666667</v>
      </c>
      <c r="Q11" s="70">
        <v>250</v>
      </c>
      <c r="R11" s="54">
        <v>17</v>
      </c>
      <c r="S11" s="54">
        <f>STOCK[[#This Row],[Peso (g)]]*STOCK[[#This Row],[Precio Envío Kilogramo (USD)]]/1000</f>
        <v>4.25</v>
      </c>
      <c r="T11" s="53">
        <f>STOCK[[#This Row],[Costo Unitario (USD)]]+STOCK[[#This Row],[Costo Envío (USD)]]+STOCK[[#This Row],[Comisión 10%]]</f>
        <v>18.716666666666701</v>
      </c>
      <c r="U11" s="54">
        <f>STOCK[[#This Row],[Costo total]]*1.5</f>
        <v>28.075000000000053</v>
      </c>
      <c r="V11" s="54">
        <v>28</v>
      </c>
      <c r="W11" s="54">
        <f>STOCK[[#This Row],[Precio Final]]-STOCK[[#This Row],[Costo total]]</f>
        <v>9.2833333333332995</v>
      </c>
      <c r="X11" s="54">
        <f>STOCK[[#This Row],[Ganancia Unitaria]]*STOCK[[#This Row],[Salidas]]</f>
        <v>9.2833333333332995</v>
      </c>
      <c r="AA11" s="54">
        <f>STOCK[[#This Row],[Costo total]]*STOCK[[#This Row],[Entradas]]</f>
        <v>18.716666666666701</v>
      </c>
      <c r="AB11" s="54">
        <f>STOCK[[#This Row],[Stock Actual]]*STOCK[[#This Row],[Costo total]]</f>
        <v>0</v>
      </c>
    </row>
    <row r="12" spans="1:41" s="53" customFormat="1" ht="50" customHeight="1">
      <c r="A12" s="53" t="s">
        <v>60</v>
      </c>
      <c r="B12" s="64"/>
      <c r="C12" s="53" t="s">
        <v>32</v>
      </c>
      <c r="D12" s="53" t="s">
        <v>38</v>
      </c>
      <c r="E12" s="65" t="s">
        <v>61</v>
      </c>
      <c r="F12" s="53" t="s">
        <v>62</v>
      </c>
      <c r="G12" s="53" t="s">
        <v>36</v>
      </c>
      <c r="H12" s="53">
        <f>STOCK[[#This Row],[Precio Final]]</f>
        <v>25</v>
      </c>
      <c r="I12" s="53">
        <f>STOCK[[#This Row],[Precio Venta Ideal (x1.5)]]</f>
        <v>25.4925</v>
      </c>
      <c r="J12" s="69">
        <v>2</v>
      </c>
      <c r="K12" s="69">
        <f>SUMIFS(VENTAS[Cantidad],VENTAS[Código del producto Vendido],STOCK[[#This Row],[Code]])</f>
        <v>2</v>
      </c>
      <c r="L12" s="69">
        <f>STOCK[[#This Row],[Entradas]]-STOCK[[#This Row],[Salidas]]</f>
        <v>0</v>
      </c>
      <c r="M12" s="53">
        <f>STOCK[[#This Row],[Precio Final]]*10%</f>
        <v>2.5</v>
      </c>
      <c r="N12" s="53">
        <v>189</v>
      </c>
      <c r="O12" s="53">
        <v>18</v>
      </c>
      <c r="P12" s="53">
        <v>10.5</v>
      </c>
      <c r="Q12" s="69">
        <v>235</v>
      </c>
      <c r="R12" s="53">
        <v>17</v>
      </c>
      <c r="S12" s="53">
        <f>STOCK[[#This Row],[Peso (g)]]*STOCK[[#This Row],[Precio Envío Kilogramo (USD)]]/1000</f>
        <v>3.9950000000000001</v>
      </c>
      <c r="T12" s="53">
        <f>STOCK[[#This Row],[Costo Unitario (USD)]]+STOCK[[#This Row],[Costo Envío (USD)]]+STOCK[[#This Row],[Comisión 10%]]</f>
        <v>16.995000000000001</v>
      </c>
      <c r="U12" s="53">
        <f>STOCK[[#This Row],[Costo total]]*1.5</f>
        <v>25.4925</v>
      </c>
      <c r="V12" s="53">
        <v>25</v>
      </c>
      <c r="W12" s="53">
        <f>STOCK[[#This Row],[Precio Final]]-STOCK[[#This Row],[Costo total]]</f>
        <v>8.004999999999999</v>
      </c>
      <c r="X12" s="53">
        <f>STOCK[[#This Row],[Ganancia Unitaria]]*STOCK[[#This Row],[Salidas]]</f>
        <v>16.009999999999998</v>
      </c>
      <c r="AA12" s="53">
        <f>STOCK[[#This Row],[Costo total]]*STOCK[[#This Row],[Entradas]]</f>
        <v>33.99</v>
      </c>
      <c r="AB12" s="53">
        <f>STOCK[[#This Row],[Stock Actual]]*STOCK[[#This Row],[Costo total]]</f>
        <v>0</v>
      </c>
    </row>
    <row r="13" spans="1:41" s="54" customFormat="1" ht="50" customHeight="1">
      <c r="A13" s="54" t="s">
        <v>63</v>
      </c>
      <c r="B13" s="64"/>
      <c r="C13" s="54" t="s">
        <v>32</v>
      </c>
      <c r="D13" s="54" t="s">
        <v>38</v>
      </c>
      <c r="E13" s="66" t="s">
        <v>61</v>
      </c>
      <c r="F13" s="54" t="s">
        <v>49</v>
      </c>
      <c r="G13" s="54" t="s">
        <v>36</v>
      </c>
      <c r="H13" s="54">
        <f>STOCK[[#This Row],[Precio Final]]</f>
        <v>22</v>
      </c>
      <c r="I13" s="54">
        <f>STOCK[[#This Row],[Precio Venta Ideal (x1.5)]]</f>
        <v>25.0425</v>
      </c>
      <c r="J13" s="70">
        <v>2</v>
      </c>
      <c r="K13" s="70">
        <f>SUMIFS(VENTAS[Cantidad],VENTAS[Código del producto Vendido],STOCK[[#This Row],[Code]])</f>
        <v>2</v>
      </c>
      <c r="L13" s="70">
        <f>STOCK[[#This Row],[Entradas]]-STOCK[[#This Row],[Salidas]]</f>
        <v>0</v>
      </c>
      <c r="M13" s="54">
        <f>STOCK[[#This Row],[Precio Final]]*10%</f>
        <v>2.2000000000000002</v>
      </c>
      <c r="N13" s="54">
        <v>189</v>
      </c>
      <c r="O13" s="54">
        <v>18</v>
      </c>
      <c r="P13" s="54">
        <v>10.5</v>
      </c>
      <c r="Q13" s="70">
        <v>235</v>
      </c>
      <c r="R13" s="54">
        <v>17</v>
      </c>
      <c r="S13" s="54">
        <f>STOCK[[#This Row],[Peso (g)]]*STOCK[[#This Row],[Precio Envío Kilogramo (USD)]]/1000</f>
        <v>3.9950000000000001</v>
      </c>
      <c r="T13" s="53">
        <f>STOCK[[#This Row],[Costo Unitario (USD)]]+STOCK[[#This Row],[Costo Envío (USD)]]+STOCK[[#This Row],[Comisión 10%]]</f>
        <v>16.695</v>
      </c>
      <c r="U13" s="54">
        <f>STOCK[[#This Row],[Costo total]]*1.5</f>
        <v>25.0425</v>
      </c>
      <c r="V13" s="54">
        <v>22</v>
      </c>
      <c r="W13" s="54">
        <f>STOCK[[#This Row],[Precio Final]]-STOCK[[#This Row],[Costo total]]</f>
        <v>5.3049999999999997</v>
      </c>
      <c r="X13" s="54">
        <f>STOCK[[#This Row],[Ganancia Unitaria]]*STOCK[[#This Row],[Salidas]]</f>
        <v>10.61</v>
      </c>
      <c r="AA13" s="54">
        <f>STOCK[[#This Row],[Costo total]]*STOCK[[#This Row],[Entradas]]</f>
        <v>33.39</v>
      </c>
      <c r="AB13" s="54">
        <f>STOCK[[#This Row],[Stock Actual]]*STOCK[[#This Row],[Costo total]]</f>
        <v>0</v>
      </c>
    </row>
    <row r="14" spans="1:41" s="53" customFormat="1" ht="50" customHeight="1">
      <c r="A14" s="53" t="s">
        <v>64</v>
      </c>
      <c r="B14" s="64"/>
      <c r="C14" s="53" t="s">
        <v>32</v>
      </c>
      <c r="D14" s="53" t="s">
        <v>38</v>
      </c>
      <c r="E14" s="65" t="s">
        <v>65</v>
      </c>
      <c r="F14" s="53" t="s">
        <v>62</v>
      </c>
      <c r="G14" s="53" t="s">
        <v>36</v>
      </c>
      <c r="H14" s="53">
        <f>STOCK[[#This Row],[Precio Final]]</f>
        <v>17</v>
      </c>
      <c r="I14" s="53">
        <f>STOCK[[#This Row],[Precio Venta Ideal (x1.5)]]</f>
        <v>21.145000000000007</v>
      </c>
      <c r="J14" s="69">
        <v>1</v>
      </c>
      <c r="K14" s="69">
        <f>SUMIFS(VENTAS[Cantidad],VENTAS[Código del producto Vendido],STOCK[[#This Row],[Code]])</f>
        <v>1</v>
      </c>
      <c r="L14" s="69">
        <f>STOCK[[#This Row],[Entradas]]-STOCK[[#This Row],[Salidas]]</f>
        <v>0</v>
      </c>
      <c r="M14" s="53">
        <f>STOCK[[#This Row],[Precio Final]]*10%</f>
        <v>1.7000000000000002</v>
      </c>
      <c r="N14" s="53">
        <v>165</v>
      </c>
      <c r="O14" s="53">
        <v>18</v>
      </c>
      <c r="P14" s="53">
        <v>9.1666666666666696</v>
      </c>
      <c r="Q14" s="69">
        <v>190</v>
      </c>
      <c r="R14" s="53">
        <v>17</v>
      </c>
      <c r="S14" s="53">
        <f>STOCK[[#This Row],[Peso (g)]]*STOCK[[#This Row],[Precio Envío Kilogramo (USD)]]/1000</f>
        <v>3.23</v>
      </c>
      <c r="T14" s="53">
        <f>STOCK[[#This Row],[Costo Unitario (USD)]]+STOCK[[#This Row],[Costo Envío (USD)]]+STOCK[[#This Row],[Comisión 10%]]</f>
        <v>14.096666666666671</v>
      </c>
      <c r="U14" s="53">
        <f>STOCK[[#This Row],[Costo total]]*1.5</f>
        <v>21.145000000000007</v>
      </c>
      <c r="V14" s="53">
        <v>17</v>
      </c>
      <c r="W14" s="53">
        <f>STOCK[[#This Row],[Precio Final]]-STOCK[[#This Row],[Costo total]]</f>
        <v>2.9033333333333289</v>
      </c>
      <c r="X14" s="53">
        <f>STOCK[[#This Row],[Ganancia Unitaria]]*STOCK[[#This Row],[Salidas]]</f>
        <v>2.9033333333333289</v>
      </c>
      <c r="AA14" s="53">
        <f>STOCK[[#This Row],[Costo total]]*STOCK[[#This Row],[Entradas]]</f>
        <v>14.096666666666671</v>
      </c>
      <c r="AB14" s="53">
        <f>STOCK[[#This Row],[Stock Actual]]*STOCK[[#This Row],[Costo total]]</f>
        <v>0</v>
      </c>
    </row>
    <row r="15" spans="1:41" s="54" customFormat="1" ht="50" customHeight="1">
      <c r="A15" s="54" t="s">
        <v>66</v>
      </c>
      <c r="B15" s="64"/>
      <c r="C15" s="54" t="s">
        <v>32</v>
      </c>
      <c r="D15" s="54" t="s">
        <v>38</v>
      </c>
      <c r="E15" s="66" t="s">
        <v>67</v>
      </c>
      <c r="F15" s="54" t="s">
        <v>62</v>
      </c>
      <c r="G15" s="54" t="s">
        <v>36</v>
      </c>
      <c r="H15" s="54">
        <f>STOCK[[#This Row],[Precio Final]]</f>
        <v>22</v>
      </c>
      <c r="I15" s="54">
        <f>STOCK[[#This Row],[Precio Venta Ideal (x1.5)]]</f>
        <v>21.257500000000007</v>
      </c>
      <c r="J15" s="70">
        <v>1</v>
      </c>
      <c r="K15" s="70">
        <f>SUMIFS(VENTAS[Cantidad],VENTAS[Código del producto Vendido],STOCK[[#This Row],[Code]])</f>
        <v>1</v>
      </c>
      <c r="L15" s="70">
        <f>STOCK[[#This Row],[Entradas]]-STOCK[[#This Row],[Salidas]]</f>
        <v>0</v>
      </c>
      <c r="M15" s="54">
        <f>STOCK[[#This Row],[Precio Final]]*10%</f>
        <v>2.2000000000000002</v>
      </c>
      <c r="N15" s="54">
        <v>165</v>
      </c>
      <c r="O15" s="54">
        <v>18</v>
      </c>
      <c r="P15" s="54">
        <v>9.1666666666666696</v>
      </c>
      <c r="Q15" s="70">
        <v>165</v>
      </c>
      <c r="R15" s="54">
        <v>17</v>
      </c>
      <c r="S15" s="54">
        <f>STOCK[[#This Row],[Peso (g)]]*STOCK[[#This Row],[Precio Envío Kilogramo (USD)]]/1000</f>
        <v>2.8050000000000002</v>
      </c>
      <c r="T15" s="53">
        <f>STOCK[[#This Row],[Costo Unitario (USD)]]+STOCK[[#This Row],[Costo Envío (USD)]]+STOCK[[#This Row],[Comisión 10%]]</f>
        <v>14.17166666666667</v>
      </c>
      <c r="U15" s="54">
        <f>STOCK[[#This Row],[Costo total]]*1.5</f>
        <v>21.257500000000007</v>
      </c>
      <c r="V15" s="54">
        <v>22</v>
      </c>
      <c r="W15" s="54">
        <f>STOCK[[#This Row],[Precio Final]]-STOCK[[#This Row],[Costo total]]</f>
        <v>7.8283333333333296</v>
      </c>
      <c r="X15" s="54">
        <f>STOCK[[#This Row],[Ganancia Unitaria]]*STOCK[[#This Row],[Salidas]]</f>
        <v>7.8283333333333296</v>
      </c>
      <c r="AA15" s="54">
        <f>STOCK[[#This Row],[Costo total]]*STOCK[[#This Row],[Entradas]]</f>
        <v>14.17166666666667</v>
      </c>
      <c r="AB15" s="54">
        <f>STOCK[[#This Row],[Stock Actual]]*STOCK[[#This Row],[Costo total]]</f>
        <v>0</v>
      </c>
    </row>
    <row r="16" spans="1:41" s="53" customFormat="1" ht="50" customHeight="1">
      <c r="A16" s="53" t="s">
        <v>68</v>
      </c>
      <c r="B16" s="64"/>
      <c r="C16" s="53" t="s">
        <v>32</v>
      </c>
      <c r="D16" s="53" t="s">
        <v>38</v>
      </c>
      <c r="E16" s="65" t="s">
        <v>69</v>
      </c>
      <c r="F16" s="53" t="s">
        <v>49</v>
      </c>
      <c r="G16" s="53" t="s">
        <v>36</v>
      </c>
      <c r="H16" s="53">
        <f>STOCK[[#This Row],[Precio Final]]</f>
        <v>18</v>
      </c>
      <c r="I16" s="53">
        <f>STOCK[[#This Row],[Precio Venta Ideal (x1.5)]]</f>
        <v>21.162499999999994</v>
      </c>
      <c r="J16" s="69">
        <v>1</v>
      </c>
      <c r="K16" s="69">
        <f>SUMIFS(VENTAS[Cantidad],VENTAS[Código del producto Vendido],STOCK[[#This Row],[Code]])</f>
        <v>1</v>
      </c>
      <c r="L16" s="69">
        <f>STOCK[[#This Row],[Entradas]]-STOCK[[#This Row],[Salidas]]</f>
        <v>0</v>
      </c>
      <c r="M16" s="53">
        <f>STOCK[[#This Row],[Precio Final]]*10%</f>
        <v>1.8</v>
      </c>
      <c r="N16" s="53">
        <v>168</v>
      </c>
      <c r="O16" s="53">
        <v>18</v>
      </c>
      <c r="P16" s="53">
        <v>9.3333333333333304</v>
      </c>
      <c r="Q16" s="69">
        <v>175</v>
      </c>
      <c r="R16" s="53">
        <v>17</v>
      </c>
      <c r="S16" s="53">
        <f>STOCK[[#This Row],[Peso (g)]]*STOCK[[#This Row],[Precio Envío Kilogramo (USD)]]/1000</f>
        <v>2.9750000000000001</v>
      </c>
      <c r="T16" s="53">
        <f>STOCK[[#This Row],[Costo Unitario (USD)]]+STOCK[[#This Row],[Costo Envío (USD)]]+STOCK[[#This Row],[Comisión 10%]]</f>
        <v>14.108333333333331</v>
      </c>
      <c r="U16" s="53">
        <f>STOCK[[#This Row],[Costo total]]*1.5</f>
        <v>21.162499999999994</v>
      </c>
      <c r="V16" s="53">
        <v>18</v>
      </c>
      <c r="W16" s="53">
        <f>STOCK[[#This Row],[Precio Final]]-STOCK[[#This Row],[Costo total]]</f>
        <v>3.8916666666666693</v>
      </c>
      <c r="X16" s="53">
        <f>STOCK[[#This Row],[Ganancia Unitaria]]*STOCK[[#This Row],[Salidas]]</f>
        <v>3.8916666666666693</v>
      </c>
      <c r="AA16" s="53">
        <f>STOCK[[#This Row],[Costo total]]*STOCK[[#This Row],[Entradas]]</f>
        <v>14.108333333333331</v>
      </c>
      <c r="AB16" s="53">
        <f>STOCK[[#This Row],[Stock Actual]]*STOCK[[#This Row],[Costo total]]</f>
        <v>0</v>
      </c>
    </row>
    <row r="17" spans="1:28" s="54" customFormat="1" ht="50" customHeight="1">
      <c r="A17" s="54" t="s">
        <v>70</v>
      </c>
      <c r="B17" s="64"/>
      <c r="C17" s="54" t="s">
        <v>32</v>
      </c>
      <c r="D17" s="54" t="s">
        <v>38</v>
      </c>
      <c r="E17" s="66" t="s">
        <v>69</v>
      </c>
      <c r="F17" s="54" t="s">
        <v>40</v>
      </c>
      <c r="G17" s="54" t="s">
        <v>36</v>
      </c>
      <c r="H17" s="54">
        <f>STOCK[[#This Row],[Precio Final]]</f>
        <v>18</v>
      </c>
      <c r="I17" s="54">
        <f>STOCK[[#This Row],[Precio Venta Ideal (x1.5)]]</f>
        <v>21.162499999999994</v>
      </c>
      <c r="J17" s="70">
        <v>1</v>
      </c>
      <c r="K17" s="70">
        <f>SUMIFS(VENTAS[Cantidad],VENTAS[Código del producto Vendido],STOCK[[#This Row],[Code]])</f>
        <v>1</v>
      </c>
      <c r="L17" s="70">
        <f>STOCK[[#This Row],[Entradas]]-STOCK[[#This Row],[Salidas]]</f>
        <v>0</v>
      </c>
      <c r="M17" s="54">
        <f>STOCK[[#This Row],[Precio Final]]*10%</f>
        <v>1.8</v>
      </c>
      <c r="N17" s="54">
        <v>168</v>
      </c>
      <c r="O17" s="54">
        <v>18</v>
      </c>
      <c r="P17" s="54">
        <v>9.3333333333333304</v>
      </c>
      <c r="Q17" s="70">
        <v>175</v>
      </c>
      <c r="R17" s="54">
        <v>17</v>
      </c>
      <c r="S17" s="54">
        <f>STOCK[[#This Row],[Peso (g)]]*STOCK[[#This Row],[Precio Envío Kilogramo (USD)]]/1000</f>
        <v>2.9750000000000001</v>
      </c>
      <c r="T17" s="53">
        <f>STOCK[[#This Row],[Costo Unitario (USD)]]+STOCK[[#This Row],[Costo Envío (USD)]]+STOCK[[#This Row],[Comisión 10%]]</f>
        <v>14.108333333333331</v>
      </c>
      <c r="U17" s="54">
        <f>STOCK[[#This Row],[Costo total]]*1.5</f>
        <v>21.162499999999994</v>
      </c>
      <c r="V17" s="54">
        <v>18</v>
      </c>
      <c r="W17" s="54">
        <f>STOCK[[#This Row],[Precio Final]]-STOCK[[#This Row],[Costo total]]</f>
        <v>3.8916666666666693</v>
      </c>
      <c r="X17" s="54">
        <f>STOCK[[#This Row],[Ganancia Unitaria]]*STOCK[[#This Row],[Salidas]]</f>
        <v>3.8916666666666693</v>
      </c>
      <c r="AA17" s="54">
        <f>STOCK[[#This Row],[Costo total]]*STOCK[[#This Row],[Entradas]]</f>
        <v>14.108333333333331</v>
      </c>
      <c r="AB17" s="54">
        <f>STOCK[[#This Row],[Stock Actual]]*STOCK[[#This Row],[Costo total]]</f>
        <v>0</v>
      </c>
    </row>
    <row r="18" spans="1:28" s="53" customFormat="1" ht="50" customHeight="1">
      <c r="A18" s="53" t="s">
        <v>71</v>
      </c>
      <c r="B18" s="64"/>
      <c r="C18" s="53" t="s">
        <v>32</v>
      </c>
      <c r="D18" s="53" t="s">
        <v>38</v>
      </c>
      <c r="E18" s="65" t="s">
        <v>72</v>
      </c>
      <c r="F18" s="53" t="s">
        <v>62</v>
      </c>
      <c r="G18" s="53" t="s">
        <v>36</v>
      </c>
      <c r="H18" s="53">
        <f>STOCK[[#This Row],[Precio Final]]</f>
        <v>25</v>
      </c>
      <c r="I18" s="53">
        <f>STOCK[[#This Row],[Precio Venta Ideal (x1.5)]]</f>
        <v>27.276666666666603</v>
      </c>
      <c r="J18" s="69">
        <v>1</v>
      </c>
      <c r="K18" s="69">
        <f>SUMIFS(VENTAS[Cantidad],VENTAS[Código del producto Vendido],STOCK[[#This Row],[Code]])</f>
        <v>1</v>
      </c>
      <c r="L18" s="69">
        <f>STOCK[[#This Row],[Entradas]]-STOCK[[#This Row],[Salidas]]</f>
        <v>0</v>
      </c>
      <c r="M18" s="53">
        <f>STOCK[[#This Row],[Precio Final]]*10%</f>
        <v>2.5</v>
      </c>
      <c r="N18" s="53">
        <v>215</v>
      </c>
      <c r="O18" s="53">
        <v>18</v>
      </c>
      <c r="P18" s="53">
        <v>11.9444444444444</v>
      </c>
      <c r="Q18" s="69">
        <v>220</v>
      </c>
      <c r="R18" s="53">
        <v>17</v>
      </c>
      <c r="S18" s="53">
        <f>STOCK[[#This Row],[Peso (g)]]*STOCK[[#This Row],[Precio Envío Kilogramo (USD)]]/1000</f>
        <v>3.74</v>
      </c>
      <c r="T18" s="53">
        <f>STOCK[[#This Row],[Costo Unitario (USD)]]+STOCK[[#This Row],[Costo Envío (USD)]]+STOCK[[#This Row],[Comisión 10%]]</f>
        <v>18.184444444444402</v>
      </c>
      <c r="U18" s="53">
        <f>STOCK[[#This Row],[Costo total]]*1.5</f>
        <v>27.276666666666603</v>
      </c>
      <c r="V18" s="53">
        <v>25</v>
      </c>
      <c r="W18" s="53">
        <f>STOCK[[#This Row],[Precio Final]]-STOCK[[#This Row],[Costo total]]</f>
        <v>6.8155555555555978</v>
      </c>
      <c r="X18" s="53">
        <f>STOCK[[#This Row],[Ganancia Unitaria]]*STOCK[[#This Row],[Salidas]]</f>
        <v>6.8155555555555978</v>
      </c>
      <c r="AA18" s="53">
        <f>STOCK[[#This Row],[Costo total]]*STOCK[[#This Row],[Entradas]]</f>
        <v>18.184444444444402</v>
      </c>
      <c r="AB18" s="53">
        <f>STOCK[[#This Row],[Stock Actual]]*STOCK[[#This Row],[Costo total]]</f>
        <v>0</v>
      </c>
    </row>
    <row r="19" spans="1:28" s="54" customFormat="1" ht="50" customHeight="1">
      <c r="A19" s="54" t="s">
        <v>73</v>
      </c>
      <c r="B19" s="64"/>
      <c r="C19" s="54" t="s">
        <v>32</v>
      </c>
      <c r="D19" s="54" t="s">
        <v>38</v>
      </c>
      <c r="E19" s="66" t="s">
        <v>74</v>
      </c>
      <c r="F19" s="54" t="s">
        <v>42</v>
      </c>
      <c r="G19" s="54" t="s">
        <v>36</v>
      </c>
      <c r="H19" s="54">
        <f>STOCK[[#This Row],[Precio Final]]</f>
        <v>25</v>
      </c>
      <c r="I19" s="54">
        <f>STOCK[[#This Row],[Precio Venta Ideal (x1.5)]]</f>
        <v>33.508333333333347</v>
      </c>
      <c r="J19" s="70">
        <v>1</v>
      </c>
      <c r="K19" s="70">
        <f>SUMIFS(VENTAS[Cantidad],VENTAS[Código del producto Vendido],STOCK[[#This Row],[Code]])</f>
        <v>1</v>
      </c>
      <c r="L19" s="70">
        <f>STOCK[[#This Row],[Entradas]]-STOCK[[#This Row],[Salidas]]</f>
        <v>0</v>
      </c>
      <c r="M19" s="54">
        <f>STOCK[[#This Row],[Precio Final]]*10%</f>
        <v>2.5</v>
      </c>
      <c r="N19" s="54">
        <v>250</v>
      </c>
      <c r="O19" s="54">
        <v>18</v>
      </c>
      <c r="P19" s="54">
        <v>13.8888888888889</v>
      </c>
      <c r="Q19" s="70">
        <v>350</v>
      </c>
      <c r="R19" s="54">
        <v>17</v>
      </c>
      <c r="S19" s="54">
        <f>STOCK[[#This Row],[Peso (g)]]*STOCK[[#This Row],[Precio Envío Kilogramo (USD)]]/1000</f>
        <v>5.95</v>
      </c>
      <c r="T19" s="53">
        <f>STOCK[[#This Row],[Costo Unitario (USD)]]+STOCK[[#This Row],[Costo Envío (USD)]]+STOCK[[#This Row],[Comisión 10%]]</f>
        <v>22.338888888888899</v>
      </c>
      <c r="U19" s="54">
        <f>STOCK[[#This Row],[Costo total]]*1.5</f>
        <v>33.508333333333347</v>
      </c>
      <c r="V19" s="54">
        <v>25</v>
      </c>
      <c r="W19" s="54">
        <f>STOCK[[#This Row],[Precio Final]]-STOCK[[#This Row],[Costo total]]</f>
        <v>2.6611111111111008</v>
      </c>
      <c r="X19" s="54">
        <f>STOCK[[#This Row],[Ganancia Unitaria]]*STOCK[[#This Row],[Salidas]]</f>
        <v>2.6611111111111008</v>
      </c>
      <c r="AA19" s="54">
        <f>STOCK[[#This Row],[Costo total]]*STOCK[[#This Row],[Entradas]]</f>
        <v>22.338888888888899</v>
      </c>
      <c r="AB19" s="54">
        <f>STOCK[[#This Row],[Stock Actual]]*STOCK[[#This Row],[Costo total]]</f>
        <v>0</v>
      </c>
    </row>
    <row r="20" spans="1:28" s="53" customFormat="1" ht="50" customHeight="1">
      <c r="A20" s="53" t="s">
        <v>75</v>
      </c>
      <c r="B20" s="64"/>
      <c r="C20" s="53" t="s">
        <v>32</v>
      </c>
      <c r="D20" s="53" t="s">
        <v>38</v>
      </c>
      <c r="E20" s="65" t="s">
        <v>76</v>
      </c>
      <c r="F20" s="53" t="s">
        <v>42</v>
      </c>
      <c r="G20" s="53" t="s">
        <v>36</v>
      </c>
      <c r="H20" s="53">
        <f>STOCK[[#This Row],[Precio Final]]</f>
        <v>28</v>
      </c>
      <c r="I20" s="53">
        <f>STOCK[[#This Row],[Precio Venta Ideal (x1.5)]]</f>
        <v>31.280833333333348</v>
      </c>
      <c r="J20" s="69">
        <v>2</v>
      </c>
      <c r="K20" s="69">
        <f>SUMIFS(VENTAS[Cantidad],VENTAS[Código del producto Vendido],STOCK[[#This Row],[Code]])</f>
        <v>2</v>
      </c>
      <c r="L20" s="69">
        <f>STOCK[[#This Row],[Entradas]]-STOCK[[#This Row],[Salidas]]</f>
        <v>0</v>
      </c>
      <c r="M20" s="53">
        <f>STOCK[[#This Row],[Precio Final]]*10%</f>
        <v>2.8000000000000003</v>
      </c>
      <c r="N20" s="53">
        <v>250</v>
      </c>
      <c r="O20" s="53">
        <v>18</v>
      </c>
      <c r="P20" s="53">
        <v>13.8888888888889</v>
      </c>
      <c r="Q20" s="69">
        <v>245</v>
      </c>
      <c r="R20" s="53">
        <v>17</v>
      </c>
      <c r="S20" s="53">
        <f>STOCK[[#This Row],[Peso (g)]]*STOCK[[#This Row],[Precio Envío Kilogramo (USD)]]/1000</f>
        <v>4.165</v>
      </c>
      <c r="T20" s="53">
        <f>STOCK[[#This Row],[Costo Unitario (USD)]]+STOCK[[#This Row],[Costo Envío (USD)]]+STOCK[[#This Row],[Comisión 10%]]</f>
        <v>20.8538888888889</v>
      </c>
      <c r="U20" s="53">
        <f>STOCK[[#This Row],[Costo total]]*1.5</f>
        <v>31.280833333333348</v>
      </c>
      <c r="V20" s="53">
        <v>28</v>
      </c>
      <c r="W20" s="53">
        <f>STOCK[[#This Row],[Precio Final]]-STOCK[[#This Row],[Costo total]]</f>
        <v>7.1461111111111002</v>
      </c>
      <c r="X20" s="53">
        <f>STOCK[[#This Row],[Ganancia Unitaria]]*STOCK[[#This Row],[Salidas]]</f>
        <v>14.2922222222222</v>
      </c>
      <c r="AA20" s="53">
        <f>STOCK[[#This Row],[Costo total]]*STOCK[[#This Row],[Entradas]]</f>
        <v>41.7077777777778</v>
      </c>
      <c r="AB20" s="53">
        <f>STOCK[[#This Row],[Stock Actual]]*STOCK[[#This Row],[Costo total]]</f>
        <v>0</v>
      </c>
    </row>
    <row r="21" spans="1:28" s="54" customFormat="1" ht="50" customHeight="1">
      <c r="A21" s="54" t="s">
        <v>77</v>
      </c>
      <c r="B21" s="64"/>
      <c r="C21" s="54" t="s">
        <v>32</v>
      </c>
      <c r="D21" s="54" t="s">
        <v>38</v>
      </c>
      <c r="E21" s="66" t="s">
        <v>78</v>
      </c>
      <c r="F21" s="54" t="s">
        <v>40</v>
      </c>
      <c r="G21" s="54" t="s">
        <v>36</v>
      </c>
      <c r="H21" s="54">
        <f>STOCK[[#This Row],[Precio Final]]</f>
        <v>15</v>
      </c>
      <c r="I21" s="54">
        <f>STOCK[[#This Row],[Precio Venta Ideal (x1.5)]]</f>
        <v>16.290833333333339</v>
      </c>
      <c r="J21" s="70">
        <v>2</v>
      </c>
      <c r="K21" s="70">
        <f>SUMIFS(VENTAS[Cantidad],VENTAS[Código del producto Vendido],STOCK[[#This Row],[Code]])</f>
        <v>2</v>
      </c>
      <c r="L21" s="70">
        <f>STOCK[[#This Row],[Entradas]]-STOCK[[#This Row],[Salidas]]</f>
        <v>0</v>
      </c>
      <c r="M21" s="54">
        <f>STOCK[[#This Row],[Precio Final]]*10%</f>
        <v>1.5</v>
      </c>
      <c r="N21" s="54">
        <v>118</v>
      </c>
      <c r="O21" s="54">
        <v>18</v>
      </c>
      <c r="P21" s="54">
        <v>6.5555555555555598</v>
      </c>
      <c r="Q21" s="70">
        <v>165</v>
      </c>
      <c r="R21" s="54">
        <v>17</v>
      </c>
      <c r="S21" s="54">
        <f>STOCK[[#This Row],[Peso (g)]]*STOCK[[#This Row],[Precio Envío Kilogramo (USD)]]/1000</f>
        <v>2.8050000000000002</v>
      </c>
      <c r="T21" s="53">
        <f>STOCK[[#This Row],[Costo Unitario (USD)]]+STOCK[[#This Row],[Costo Envío (USD)]]+STOCK[[#This Row],[Comisión 10%]]</f>
        <v>10.86055555555556</v>
      </c>
      <c r="U21" s="54">
        <f>STOCK[[#This Row],[Costo total]]*1.5</f>
        <v>16.290833333333339</v>
      </c>
      <c r="V21" s="54">
        <v>15</v>
      </c>
      <c r="W21" s="54">
        <f>STOCK[[#This Row],[Precio Final]]-STOCK[[#This Row],[Costo total]]</f>
        <v>4.1394444444444396</v>
      </c>
      <c r="X21" s="54">
        <f>STOCK[[#This Row],[Ganancia Unitaria]]*STOCK[[#This Row],[Salidas]]</f>
        <v>8.2788888888888792</v>
      </c>
      <c r="AA21" s="54">
        <f>STOCK[[#This Row],[Costo total]]*STOCK[[#This Row],[Entradas]]</f>
        <v>21.721111111111121</v>
      </c>
      <c r="AB21" s="54">
        <f>STOCK[[#This Row],[Stock Actual]]*STOCK[[#This Row],[Costo total]]</f>
        <v>0</v>
      </c>
    </row>
    <row r="22" spans="1:28" s="53" customFormat="1" ht="50" customHeight="1">
      <c r="A22" s="53" t="s">
        <v>79</v>
      </c>
      <c r="B22" s="64"/>
      <c r="C22" s="53" t="s">
        <v>32</v>
      </c>
      <c r="D22" s="53" t="s">
        <v>38</v>
      </c>
      <c r="E22" s="65" t="s">
        <v>80</v>
      </c>
      <c r="F22" s="53" t="s">
        <v>42</v>
      </c>
      <c r="G22" s="53" t="s">
        <v>36</v>
      </c>
      <c r="H22" s="53">
        <f>STOCK[[#This Row],[Precio Final]]</f>
        <v>22</v>
      </c>
      <c r="I22" s="53">
        <f>STOCK[[#This Row],[Precio Venta Ideal (x1.5)]]</f>
        <v>25.424999999999997</v>
      </c>
      <c r="J22" s="69">
        <v>1</v>
      </c>
      <c r="K22" s="69">
        <f>SUMIFS(VENTAS[Cantidad],VENTAS[Código del producto Vendido],STOCK[[#This Row],[Code]])</f>
        <v>1</v>
      </c>
      <c r="L22" s="69">
        <f>STOCK[[#This Row],[Entradas]]-STOCK[[#This Row],[Salidas]]</f>
        <v>0</v>
      </c>
      <c r="M22" s="53">
        <f>STOCK[[#This Row],[Precio Final]]*10%</f>
        <v>2.2000000000000002</v>
      </c>
      <c r="N22" s="53">
        <v>189</v>
      </c>
      <c r="O22" s="53">
        <v>18</v>
      </c>
      <c r="P22" s="53">
        <v>10.5</v>
      </c>
      <c r="Q22" s="69">
        <v>250</v>
      </c>
      <c r="R22" s="53">
        <v>17</v>
      </c>
      <c r="S22" s="53">
        <f>STOCK[[#This Row],[Peso (g)]]*STOCK[[#This Row],[Precio Envío Kilogramo (USD)]]/1000</f>
        <v>4.25</v>
      </c>
      <c r="T22" s="53">
        <f>STOCK[[#This Row],[Costo Unitario (USD)]]+STOCK[[#This Row],[Costo Envío (USD)]]+STOCK[[#This Row],[Comisión 10%]]</f>
        <v>16.95</v>
      </c>
      <c r="U22" s="53">
        <f>STOCK[[#This Row],[Costo total]]*1.5</f>
        <v>25.424999999999997</v>
      </c>
      <c r="V22" s="53">
        <v>22</v>
      </c>
      <c r="W22" s="53">
        <f>STOCK[[#This Row],[Precio Final]]-STOCK[[#This Row],[Costo total]]</f>
        <v>5.0500000000000007</v>
      </c>
      <c r="X22" s="53">
        <f>STOCK[[#This Row],[Ganancia Unitaria]]*STOCK[[#This Row],[Salidas]]</f>
        <v>5.0500000000000007</v>
      </c>
      <c r="AA22" s="53">
        <f>STOCK[[#This Row],[Costo total]]*STOCK[[#This Row],[Entradas]]</f>
        <v>16.95</v>
      </c>
      <c r="AB22" s="53">
        <f>STOCK[[#This Row],[Stock Actual]]*STOCK[[#This Row],[Costo total]]</f>
        <v>0</v>
      </c>
    </row>
    <row r="23" spans="1:28" s="54" customFormat="1" ht="50" customHeight="1">
      <c r="A23" s="54" t="s">
        <v>81</v>
      </c>
      <c r="B23" s="64"/>
      <c r="C23" s="54" t="s">
        <v>32</v>
      </c>
      <c r="D23" s="54" t="s">
        <v>82</v>
      </c>
      <c r="E23" s="66" t="s">
        <v>78</v>
      </c>
      <c r="F23" s="54" t="s">
        <v>83</v>
      </c>
      <c r="G23" s="54" t="s">
        <v>36</v>
      </c>
      <c r="H23" s="54">
        <f>STOCK[[#This Row],[Precio Final]]</f>
        <v>15</v>
      </c>
      <c r="I23" s="54">
        <f>STOCK[[#This Row],[Precio Venta Ideal (x1.5)]]</f>
        <v>17.183333333333337</v>
      </c>
      <c r="J23" s="70">
        <v>2</v>
      </c>
      <c r="K23" s="70">
        <f>SUMIFS(VENTAS[Cantidad],VENTAS[Código del producto Vendido],STOCK[[#This Row],[Code]])</f>
        <v>2</v>
      </c>
      <c r="L23" s="70">
        <f>STOCK[[#This Row],[Entradas]]-STOCK[[#This Row],[Salidas]]</f>
        <v>0</v>
      </c>
      <c r="M23" s="54">
        <f>STOCK[[#This Row],[Precio Final]]*10%</f>
        <v>1.5</v>
      </c>
      <c r="N23" s="54">
        <v>118</v>
      </c>
      <c r="O23" s="54">
        <v>18</v>
      </c>
      <c r="P23" s="54">
        <v>6.5555555555555598</v>
      </c>
      <c r="Q23" s="70">
        <v>200</v>
      </c>
      <c r="R23" s="54">
        <v>17</v>
      </c>
      <c r="S23" s="54">
        <f>STOCK[[#This Row],[Peso (g)]]*STOCK[[#This Row],[Precio Envío Kilogramo (USD)]]/1000</f>
        <v>3.4</v>
      </c>
      <c r="T23" s="53">
        <f>STOCK[[#This Row],[Costo Unitario (USD)]]+STOCK[[#This Row],[Costo Envío (USD)]]+STOCK[[#This Row],[Comisión 10%]]</f>
        <v>11.455555555555559</v>
      </c>
      <c r="U23" s="54">
        <f>STOCK[[#This Row],[Costo total]]*1.5</f>
        <v>17.183333333333337</v>
      </c>
      <c r="V23" s="54">
        <v>15</v>
      </c>
      <c r="W23" s="54">
        <f>STOCK[[#This Row],[Precio Final]]-STOCK[[#This Row],[Costo total]]</f>
        <v>3.5444444444444407</v>
      </c>
      <c r="X23" s="54">
        <f>STOCK[[#This Row],[Ganancia Unitaria]]*STOCK[[#This Row],[Salidas]]</f>
        <v>7.0888888888888815</v>
      </c>
      <c r="AA23" s="54">
        <f>STOCK[[#This Row],[Costo total]]*STOCK[[#This Row],[Entradas]]</f>
        <v>22.911111111111119</v>
      </c>
      <c r="AB23" s="54">
        <f>STOCK[[#This Row],[Stock Actual]]*STOCK[[#This Row],[Costo total]]</f>
        <v>0</v>
      </c>
    </row>
    <row r="24" spans="1:28" s="53" customFormat="1" ht="50" customHeight="1">
      <c r="A24" s="53" t="s">
        <v>84</v>
      </c>
      <c r="B24" s="64"/>
      <c r="C24" s="53" t="s">
        <v>32</v>
      </c>
      <c r="D24" s="53" t="s">
        <v>38</v>
      </c>
      <c r="E24" s="65" t="s">
        <v>85</v>
      </c>
      <c r="F24" s="53" t="s">
        <v>42</v>
      </c>
      <c r="G24" s="53" t="s">
        <v>36</v>
      </c>
      <c r="H24" s="53">
        <f>STOCK[[#This Row],[Precio Final]]</f>
        <v>15</v>
      </c>
      <c r="I24" s="53">
        <f>STOCK[[#This Row],[Precio Venta Ideal (x1.5)]]</f>
        <v>22.247500000000006</v>
      </c>
      <c r="J24" s="69">
        <v>1</v>
      </c>
      <c r="K24" s="69">
        <f>SUMIFS(VENTAS[Cantidad],VENTAS[Código del producto Vendido],STOCK[[#This Row],[Code]])</f>
        <v>1</v>
      </c>
      <c r="L24" s="69">
        <f>STOCK[[#This Row],[Entradas]]-STOCK[[#This Row],[Salidas]]</f>
        <v>0</v>
      </c>
      <c r="M24" s="53">
        <f>STOCK[[#This Row],[Precio Final]]*10%</f>
        <v>1.5</v>
      </c>
      <c r="N24" s="53">
        <v>165</v>
      </c>
      <c r="O24" s="53">
        <v>18</v>
      </c>
      <c r="P24" s="53">
        <v>9.1666666666666696</v>
      </c>
      <c r="Q24" s="69">
        <v>245</v>
      </c>
      <c r="R24" s="53">
        <v>17</v>
      </c>
      <c r="S24" s="53">
        <f>STOCK[[#This Row],[Peso (g)]]*STOCK[[#This Row],[Precio Envío Kilogramo (USD)]]/1000</f>
        <v>4.165</v>
      </c>
      <c r="T24" s="53">
        <f>STOCK[[#This Row],[Costo Unitario (USD)]]+STOCK[[#This Row],[Costo Envío (USD)]]+STOCK[[#This Row],[Comisión 10%]]</f>
        <v>14.831666666666671</v>
      </c>
      <c r="U24" s="53">
        <f>STOCK[[#This Row],[Costo total]]*1.5</f>
        <v>22.247500000000006</v>
      </c>
      <c r="V24" s="53">
        <v>15</v>
      </c>
      <c r="W24" s="53">
        <f>STOCK[[#This Row],[Precio Final]]-STOCK[[#This Row],[Costo total]]</f>
        <v>0.16833333333332945</v>
      </c>
      <c r="X24" s="53">
        <f>STOCK[[#This Row],[Ganancia Unitaria]]*STOCK[[#This Row],[Salidas]]</f>
        <v>0.16833333333332945</v>
      </c>
      <c r="AA24" s="53">
        <f>STOCK[[#This Row],[Costo total]]*STOCK[[#This Row],[Entradas]]</f>
        <v>14.831666666666671</v>
      </c>
      <c r="AB24" s="53">
        <f>STOCK[[#This Row],[Stock Actual]]*STOCK[[#This Row],[Costo total]]</f>
        <v>0</v>
      </c>
    </row>
    <row r="25" spans="1:28" s="54" customFormat="1" ht="50" customHeight="1">
      <c r="A25" s="54" t="s">
        <v>86</v>
      </c>
      <c r="B25" s="64"/>
      <c r="C25" s="54" t="s">
        <v>32</v>
      </c>
      <c r="D25" s="54" t="s">
        <v>38</v>
      </c>
      <c r="E25" s="66" t="s">
        <v>87</v>
      </c>
      <c r="F25" s="54" t="s">
        <v>88</v>
      </c>
      <c r="G25" s="54" t="s">
        <v>36</v>
      </c>
      <c r="H25" s="54">
        <f>STOCK[[#This Row],[Precio Final]]</f>
        <v>18</v>
      </c>
      <c r="I25" s="54">
        <f>STOCK[[#This Row],[Precio Venta Ideal (x1.5)]]</f>
        <v>21.74583333333333</v>
      </c>
      <c r="J25" s="70">
        <v>1</v>
      </c>
      <c r="K25" s="70">
        <f>SUMIFS(VENTAS[Cantidad],VENTAS[Código del producto Vendido],STOCK[[#This Row],[Code]])</f>
        <v>1</v>
      </c>
      <c r="L25" s="70">
        <f>STOCK[[#This Row],[Entradas]]-STOCK[[#This Row],[Salidas]]</f>
        <v>0</v>
      </c>
      <c r="M25" s="54">
        <f>STOCK[[#This Row],[Precio Final]]*10%</f>
        <v>1.8</v>
      </c>
      <c r="N25" s="54">
        <v>175</v>
      </c>
      <c r="O25" s="54">
        <v>18</v>
      </c>
      <c r="P25" s="54">
        <v>9.7222222222222197</v>
      </c>
      <c r="Q25" s="70">
        <v>175</v>
      </c>
      <c r="R25" s="54">
        <v>17</v>
      </c>
      <c r="S25" s="54">
        <f>STOCK[[#This Row],[Peso (g)]]*STOCK[[#This Row],[Precio Envío Kilogramo (USD)]]/1000</f>
        <v>2.9750000000000001</v>
      </c>
      <c r="T25" s="53">
        <f>STOCK[[#This Row],[Costo Unitario (USD)]]+STOCK[[#This Row],[Costo Envío (USD)]]+STOCK[[#This Row],[Comisión 10%]]</f>
        <v>14.49722222222222</v>
      </c>
      <c r="U25" s="54">
        <f>STOCK[[#This Row],[Costo total]]*1.5</f>
        <v>21.74583333333333</v>
      </c>
      <c r="V25" s="54">
        <v>18</v>
      </c>
      <c r="W25" s="54">
        <f>STOCK[[#This Row],[Precio Final]]-STOCK[[#This Row],[Costo total]]</f>
        <v>3.50277777777778</v>
      </c>
      <c r="X25" s="54">
        <f>STOCK[[#This Row],[Ganancia Unitaria]]*STOCK[[#This Row],[Salidas]]</f>
        <v>3.50277777777778</v>
      </c>
      <c r="AA25" s="54">
        <f>STOCK[[#This Row],[Costo total]]*STOCK[[#This Row],[Entradas]]</f>
        <v>14.49722222222222</v>
      </c>
      <c r="AB25" s="54">
        <f>STOCK[[#This Row],[Stock Actual]]*STOCK[[#This Row],[Costo total]]</f>
        <v>0</v>
      </c>
    </row>
    <row r="26" spans="1:28" s="53" customFormat="1" ht="50" customHeight="1">
      <c r="A26" s="53" t="s">
        <v>89</v>
      </c>
      <c r="B26" s="64"/>
      <c r="C26" s="53" t="s">
        <v>32</v>
      </c>
      <c r="D26" s="53" t="s">
        <v>38</v>
      </c>
      <c r="E26" s="65" t="s">
        <v>69</v>
      </c>
      <c r="F26" s="53" t="s">
        <v>40</v>
      </c>
      <c r="G26" s="53" t="s">
        <v>36</v>
      </c>
      <c r="H26" s="53">
        <f>STOCK[[#This Row],[Precio Final]]</f>
        <v>18</v>
      </c>
      <c r="I26" s="53">
        <f>STOCK[[#This Row],[Precio Venta Ideal (x1.5)]]</f>
        <v>21.74583333333333</v>
      </c>
      <c r="J26" s="69">
        <v>1</v>
      </c>
      <c r="K26" s="69">
        <f>SUMIFS(VENTAS[Cantidad],VENTAS[Código del producto Vendido],STOCK[[#This Row],[Code]])</f>
        <v>1</v>
      </c>
      <c r="L26" s="69">
        <f>STOCK[[#This Row],[Entradas]]-STOCK[[#This Row],[Salidas]]</f>
        <v>0</v>
      </c>
      <c r="M26" s="53">
        <f>STOCK[[#This Row],[Precio Final]]*10%</f>
        <v>1.8</v>
      </c>
      <c r="N26" s="53">
        <v>175</v>
      </c>
      <c r="O26" s="53">
        <v>18</v>
      </c>
      <c r="P26" s="53">
        <v>9.7222222222222197</v>
      </c>
      <c r="Q26" s="69">
        <v>175</v>
      </c>
      <c r="R26" s="53">
        <v>17</v>
      </c>
      <c r="S26" s="53">
        <f>STOCK[[#This Row],[Peso (g)]]*STOCK[[#This Row],[Precio Envío Kilogramo (USD)]]/1000</f>
        <v>2.9750000000000001</v>
      </c>
      <c r="T26" s="53">
        <f>STOCK[[#This Row],[Costo Unitario (USD)]]+STOCK[[#This Row],[Costo Envío (USD)]]+STOCK[[#This Row],[Comisión 10%]]</f>
        <v>14.49722222222222</v>
      </c>
      <c r="U26" s="53">
        <f>STOCK[[#This Row],[Costo total]]*1.5</f>
        <v>21.74583333333333</v>
      </c>
      <c r="V26" s="53">
        <v>18</v>
      </c>
      <c r="W26" s="53">
        <f>STOCK[[#This Row],[Precio Final]]-STOCK[[#This Row],[Costo total]]</f>
        <v>3.50277777777778</v>
      </c>
      <c r="X26" s="53">
        <f>STOCK[[#This Row],[Ganancia Unitaria]]*STOCK[[#This Row],[Salidas]]</f>
        <v>3.50277777777778</v>
      </c>
      <c r="AA26" s="53">
        <f>STOCK[[#This Row],[Costo total]]*STOCK[[#This Row],[Entradas]]</f>
        <v>14.49722222222222</v>
      </c>
      <c r="AB26" s="53">
        <f>STOCK[[#This Row],[Stock Actual]]*STOCK[[#This Row],[Costo total]]</f>
        <v>0</v>
      </c>
    </row>
    <row r="27" spans="1:28" s="54" customFormat="1" ht="50" customHeight="1">
      <c r="A27" s="54" t="s">
        <v>90</v>
      </c>
      <c r="B27" s="64"/>
      <c r="C27" s="54" t="s">
        <v>32</v>
      </c>
      <c r="D27" s="54" t="s">
        <v>38</v>
      </c>
      <c r="E27" s="66" t="s">
        <v>91</v>
      </c>
      <c r="F27" s="54" t="s">
        <v>92</v>
      </c>
      <c r="G27" s="54" t="s">
        <v>36</v>
      </c>
      <c r="H27" s="54">
        <f>STOCK[[#This Row],[Precio Final]]</f>
        <v>28</v>
      </c>
      <c r="I27" s="54">
        <f>STOCK[[#This Row],[Precio Venta Ideal (x1.5)]]</f>
        <v>35.820833333333397</v>
      </c>
      <c r="J27" s="70">
        <v>1</v>
      </c>
      <c r="K27" s="70">
        <f>SUMIFS(VENTAS[Cantidad],VENTAS[Código del producto Vendido],STOCK[[#This Row],[Code]])</f>
        <v>1</v>
      </c>
      <c r="L27" s="70">
        <f>STOCK[[#This Row],[Entradas]]-STOCK[[#This Row],[Salidas]]</f>
        <v>0</v>
      </c>
      <c r="M27" s="54">
        <f>STOCK[[#This Row],[Precio Final]]*10%</f>
        <v>2.8000000000000003</v>
      </c>
      <c r="N27" s="54">
        <v>280</v>
      </c>
      <c r="O27" s="54">
        <v>18</v>
      </c>
      <c r="P27" s="54">
        <v>15.5555555555556</v>
      </c>
      <c r="Q27" s="70">
        <v>325</v>
      </c>
      <c r="R27" s="54">
        <v>17</v>
      </c>
      <c r="S27" s="54">
        <f>STOCK[[#This Row],[Peso (g)]]*STOCK[[#This Row],[Precio Envío Kilogramo (USD)]]/1000</f>
        <v>5.5250000000000004</v>
      </c>
      <c r="T27" s="53">
        <f>STOCK[[#This Row],[Costo Unitario (USD)]]+STOCK[[#This Row],[Costo Envío (USD)]]+STOCK[[#This Row],[Comisión 10%]]</f>
        <v>23.880555555555599</v>
      </c>
      <c r="U27" s="54">
        <f>STOCK[[#This Row],[Costo total]]*1.5</f>
        <v>35.820833333333397</v>
      </c>
      <c r="V27" s="54">
        <v>28</v>
      </c>
      <c r="W27" s="54">
        <f>STOCK[[#This Row],[Precio Final]]-STOCK[[#This Row],[Costo total]]</f>
        <v>4.1194444444444009</v>
      </c>
      <c r="X27" s="54">
        <f>STOCK[[#This Row],[Ganancia Unitaria]]*STOCK[[#This Row],[Salidas]]</f>
        <v>4.1194444444444009</v>
      </c>
      <c r="AA27" s="54">
        <f>STOCK[[#This Row],[Costo total]]*STOCK[[#This Row],[Entradas]]</f>
        <v>23.880555555555599</v>
      </c>
      <c r="AB27" s="54">
        <f>STOCK[[#This Row],[Stock Actual]]*STOCK[[#This Row],[Costo total]]</f>
        <v>0</v>
      </c>
    </row>
    <row r="28" spans="1:28" s="53" customFormat="1" ht="50" customHeight="1">
      <c r="A28" s="53" t="s">
        <v>93</v>
      </c>
      <c r="B28" s="64"/>
      <c r="C28" s="53" t="s">
        <v>32</v>
      </c>
      <c r="D28" s="53" t="s">
        <v>38</v>
      </c>
      <c r="E28" s="65" t="s">
        <v>94</v>
      </c>
      <c r="F28" s="53" t="s">
        <v>49</v>
      </c>
      <c r="G28" s="53" t="s">
        <v>36</v>
      </c>
      <c r="H28" s="53">
        <f>STOCK[[#This Row],[Precio Final]]</f>
        <v>22</v>
      </c>
      <c r="I28" s="53">
        <f>STOCK[[#This Row],[Precio Venta Ideal (x1.5)]]</f>
        <v>24.39499999999995</v>
      </c>
      <c r="J28" s="69">
        <v>1</v>
      </c>
      <c r="K28" s="69">
        <f>SUMIFS(VENTAS[Cantidad],VENTAS[Código del producto Vendido],STOCK[[#This Row],[Code]])</f>
        <v>1</v>
      </c>
      <c r="L28" s="69">
        <f>STOCK[[#This Row],[Entradas]]-STOCK[[#This Row],[Salidas]]</f>
        <v>0</v>
      </c>
      <c r="M28" s="53">
        <f>STOCK[[#This Row],[Precio Final]]*10%</f>
        <v>2.2000000000000002</v>
      </c>
      <c r="N28" s="53">
        <v>195</v>
      </c>
      <c r="O28" s="53">
        <v>18</v>
      </c>
      <c r="P28" s="53">
        <v>10.8333333333333</v>
      </c>
      <c r="Q28" s="69">
        <v>190</v>
      </c>
      <c r="R28" s="53">
        <v>17</v>
      </c>
      <c r="S28" s="53">
        <f>STOCK[[#This Row],[Peso (g)]]*STOCK[[#This Row],[Precio Envío Kilogramo (USD)]]/1000</f>
        <v>3.23</v>
      </c>
      <c r="T28" s="53">
        <f>STOCK[[#This Row],[Costo Unitario (USD)]]+STOCK[[#This Row],[Costo Envío (USD)]]+STOCK[[#This Row],[Comisión 10%]]</f>
        <v>16.2633333333333</v>
      </c>
      <c r="U28" s="53">
        <f>STOCK[[#This Row],[Costo total]]*1.5</f>
        <v>24.39499999999995</v>
      </c>
      <c r="V28" s="53">
        <v>22</v>
      </c>
      <c r="W28" s="53">
        <f>STOCK[[#This Row],[Precio Final]]-STOCK[[#This Row],[Costo total]]</f>
        <v>5.7366666666667001</v>
      </c>
      <c r="X28" s="53">
        <f>STOCK[[#This Row],[Ganancia Unitaria]]*STOCK[[#This Row],[Salidas]]</f>
        <v>5.7366666666667001</v>
      </c>
      <c r="AA28" s="53">
        <f>STOCK[[#This Row],[Costo total]]*STOCK[[#This Row],[Entradas]]</f>
        <v>16.2633333333333</v>
      </c>
      <c r="AB28" s="53">
        <f>STOCK[[#This Row],[Stock Actual]]*STOCK[[#This Row],[Costo total]]</f>
        <v>0</v>
      </c>
    </row>
    <row r="29" spans="1:28" s="54" customFormat="1" ht="50" customHeight="1">
      <c r="A29" s="54" t="s">
        <v>95</v>
      </c>
      <c r="B29" s="64"/>
      <c r="C29" s="54" t="s">
        <v>32</v>
      </c>
      <c r="D29" s="54" t="s">
        <v>38</v>
      </c>
      <c r="E29" s="66" t="s">
        <v>96</v>
      </c>
      <c r="F29" s="54" t="s">
        <v>46</v>
      </c>
      <c r="G29" s="54" t="s">
        <v>36</v>
      </c>
      <c r="H29" s="54">
        <f>STOCK[[#This Row],[Precio Final]]</f>
        <v>25</v>
      </c>
      <c r="I29" s="54">
        <f>STOCK[[#This Row],[Precio Venta Ideal (x1.5)]]</f>
        <v>25.389166666666647</v>
      </c>
      <c r="J29" s="70">
        <v>1</v>
      </c>
      <c r="K29" s="70">
        <f>SUMIFS(VENTAS[Cantidad],VENTAS[Código del producto Vendido],STOCK[[#This Row],[Code]])</f>
        <v>1</v>
      </c>
      <c r="L29" s="70">
        <f>STOCK[[#This Row],[Entradas]]-STOCK[[#This Row],[Salidas]]</f>
        <v>0</v>
      </c>
      <c r="M29" s="54">
        <f>STOCK[[#This Row],[Precio Final]]*10%</f>
        <v>2.5</v>
      </c>
      <c r="N29" s="54">
        <v>200</v>
      </c>
      <c r="O29" s="54">
        <v>18</v>
      </c>
      <c r="P29" s="54">
        <v>11.1111111111111</v>
      </c>
      <c r="Q29" s="70">
        <v>195</v>
      </c>
      <c r="R29" s="54">
        <v>17</v>
      </c>
      <c r="S29" s="54">
        <f>STOCK[[#This Row],[Peso (g)]]*STOCK[[#This Row],[Precio Envío Kilogramo (USD)]]/1000</f>
        <v>3.3149999999999999</v>
      </c>
      <c r="T29" s="53">
        <f>STOCK[[#This Row],[Costo Unitario (USD)]]+STOCK[[#This Row],[Costo Envío (USD)]]+STOCK[[#This Row],[Comisión 10%]]</f>
        <v>16.926111111111098</v>
      </c>
      <c r="U29" s="54">
        <f>STOCK[[#This Row],[Costo total]]*1.5</f>
        <v>25.389166666666647</v>
      </c>
      <c r="V29" s="54">
        <v>25</v>
      </c>
      <c r="W29" s="54">
        <f>STOCK[[#This Row],[Precio Final]]-STOCK[[#This Row],[Costo total]]</f>
        <v>8.0738888888889022</v>
      </c>
      <c r="X29" s="54">
        <f>STOCK[[#This Row],[Ganancia Unitaria]]*STOCK[[#This Row],[Salidas]]</f>
        <v>8.0738888888889022</v>
      </c>
      <c r="AA29" s="54">
        <f>STOCK[[#This Row],[Costo total]]*STOCK[[#This Row],[Entradas]]</f>
        <v>16.926111111111098</v>
      </c>
      <c r="AB29" s="54">
        <f>STOCK[[#This Row],[Stock Actual]]*STOCK[[#This Row],[Costo total]]</f>
        <v>0</v>
      </c>
    </row>
    <row r="30" spans="1:28" s="53" customFormat="1" ht="50" customHeight="1">
      <c r="A30" s="53" t="s">
        <v>97</v>
      </c>
      <c r="B30" s="64"/>
      <c r="C30" s="53" t="s">
        <v>32</v>
      </c>
      <c r="D30" s="53" t="s">
        <v>38</v>
      </c>
      <c r="E30" s="65" t="s">
        <v>98</v>
      </c>
      <c r="F30" s="53" t="s">
        <v>62</v>
      </c>
      <c r="G30" s="53" t="s">
        <v>36</v>
      </c>
      <c r="H30" s="53">
        <f>STOCK[[#This Row],[Precio Final]]</f>
        <v>25</v>
      </c>
      <c r="I30" s="53">
        <f>STOCK[[#This Row],[Precio Venta Ideal (x1.5)]]</f>
        <v>26.443333333333353</v>
      </c>
      <c r="J30" s="69">
        <v>1</v>
      </c>
      <c r="K30" s="69">
        <f>SUMIFS(VENTAS[Cantidad],VENTAS[Código del producto Vendido],STOCK[[#This Row],[Code]])</f>
        <v>1</v>
      </c>
      <c r="L30" s="69">
        <f>STOCK[[#This Row],[Entradas]]-STOCK[[#This Row],[Salidas]]</f>
        <v>0</v>
      </c>
      <c r="M30" s="53">
        <f>STOCK[[#This Row],[Precio Final]]*10%</f>
        <v>2.5</v>
      </c>
      <c r="N30" s="53">
        <v>205</v>
      </c>
      <c r="O30" s="53">
        <v>18</v>
      </c>
      <c r="P30" s="53">
        <v>11.3888888888889</v>
      </c>
      <c r="Q30" s="69">
        <v>220</v>
      </c>
      <c r="R30" s="53">
        <v>17</v>
      </c>
      <c r="S30" s="53">
        <f>STOCK[[#This Row],[Peso (g)]]*STOCK[[#This Row],[Precio Envío Kilogramo (USD)]]/1000</f>
        <v>3.74</v>
      </c>
      <c r="T30" s="53">
        <f>STOCK[[#This Row],[Costo Unitario (USD)]]+STOCK[[#This Row],[Costo Envío (USD)]]+STOCK[[#This Row],[Comisión 10%]]</f>
        <v>17.628888888888902</v>
      </c>
      <c r="U30" s="53">
        <f>STOCK[[#This Row],[Costo total]]*1.5</f>
        <v>26.443333333333353</v>
      </c>
      <c r="V30" s="53">
        <v>25</v>
      </c>
      <c r="W30" s="53">
        <f>STOCK[[#This Row],[Precio Final]]-STOCK[[#This Row],[Costo total]]</f>
        <v>7.3711111111110981</v>
      </c>
      <c r="X30" s="53">
        <f>STOCK[[#This Row],[Ganancia Unitaria]]*STOCK[[#This Row],[Salidas]]</f>
        <v>7.3711111111110981</v>
      </c>
      <c r="AA30" s="53">
        <f>STOCK[[#This Row],[Costo total]]*STOCK[[#This Row],[Entradas]]</f>
        <v>17.628888888888902</v>
      </c>
      <c r="AB30" s="53">
        <f>STOCK[[#This Row],[Stock Actual]]*STOCK[[#This Row],[Costo total]]</f>
        <v>0</v>
      </c>
    </row>
    <row r="31" spans="1:28" s="54" customFormat="1" ht="50" customHeight="1">
      <c r="A31" s="54" t="s">
        <v>99</v>
      </c>
      <c r="B31" s="64"/>
      <c r="C31" s="54" t="s">
        <v>32</v>
      </c>
      <c r="D31" s="54" t="s">
        <v>38</v>
      </c>
      <c r="E31" s="66" t="s">
        <v>100</v>
      </c>
      <c r="F31" s="54" t="s">
        <v>49</v>
      </c>
      <c r="G31" s="54" t="s">
        <v>36</v>
      </c>
      <c r="H31" s="54">
        <f>STOCK[[#This Row],[Precio Final]]</f>
        <v>25</v>
      </c>
      <c r="I31" s="54">
        <f>STOCK[[#This Row],[Precio Venta Ideal (x1.5)]]</f>
        <v>27.718333333333348</v>
      </c>
      <c r="J31" s="70">
        <v>3</v>
      </c>
      <c r="K31" s="70">
        <f>SUMIFS(VENTAS[Cantidad],VENTAS[Código del producto Vendido],STOCK[[#This Row],[Code]])</f>
        <v>3</v>
      </c>
      <c r="L31" s="70">
        <f>STOCK[[#This Row],[Entradas]]-STOCK[[#This Row],[Salidas]]</f>
        <v>0</v>
      </c>
      <c r="M31" s="54">
        <f>STOCK[[#This Row],[Precio Final]]*10%</f>
        <v>2.5</v>
      </c>
      <c r="N31" s="54">
        <v>205</v>
      </c>
      <c r="O31" s="54">
        <v>18</v>
      </c>
      <c r="P31" s="54">
        <v>11.3888888888889</v>
      </c>
      <c r="Q31" s="70">
        <v>270</v>
      </c>
      <c r="R31" s="54">
        <v>17</v>
      </c>
      <c r="S31" s="54">
        <f>STOCK[[#This Row],[Peso (g)]]*STOCK[[#This Row],[Precio Envío Kilogramo (USD)]]/1000</f>
        <v>4.59</v>
      </c>
      <c r="T31" s="53">
        <f>STOCK[[#This Row],[Costo Unitario (USD)]]+STOCK[[#This Row],[Costo Envío (USD)]]+STOCK[[#This Row],[Comisión 10%]]</f>
        <v>18.4788888888889</v>
      </c>
      <c r="U31" s="54">
        <f>STOCK[[#This Row],[Costo total]]*1.5</f>
        <v>27.718333333333348</v>
      </c>
      <c r="V31" s="54">
        <v>25</v>
      </c>
      <c r="W31" s="54">
        <f>STOCK[[#This Row],[Precio Final]]-STOCK[[#This Row],[Costo total]]</f>
        <v>6.5211111111111002</v>
      </c>
      <c r="X31" s="54">
        <f>STOCK[[#This Row],[Ganancia Unitaria]]*STOCK[[#This Row],[Salidas]]</f>
        <v>19.563333333333301</v>
      </c>
      <c r="AA31" s="54">
        <f>STOCK[[#This Row],[Costo total]]*STOCK[[#This Row],[Entradas]]</f>
        <v>55.436666666666696</v>
      </c>
      <c r="AB31" s="54">
        <f>STOCK[[#This Row],[Stock Actual]]*STOCK[[#This Row],[Costo total]]</f>
        <v>0</v>
      </c>
    </row>
    <row r="32" spans="1:28" s="53" customFormat="1" ht="50" customHeight="1">
      <c r="A32" s="53" t="s">
        <v>101</v>
      </c>
      <c r="B32" s="64"/>
      <c r="C32" s="53" t="s">
        <v>32</v>
      </c>
      <c r="D32" s="53" t="s">
        <v>38</v>
      </c>
      <c r="E32" s="65" t="s">
        <v>100</v>
      </c>
      <c r="F32" s="53" t="s">
        <v>46</v>
      </c>
      <c r="G32" s="53" t="s">
        <v>36</v>
      </c>
      <c r="H32" s="53">
        <f>STOCK[[#This Row],[Precio Final]]</f>
        <v>25</v>
      </c>
      <c r="I32" s="53">
        <f>STOCK[[#This Row],[Precio Venta Ideal (x1.5)]]</f>
        <v>27.718333333333348</v>
      </c>
      <c r="J32" s="69">
        <v>1</v>
      </c>
      <c r="K32" s="69">
        <f>SUMIFS(VENTAS[Cantidad],VENTAS[Código del producto Vendido],STOCK[[#This Row],[Code]])</f>
        <v>1</v>
      </c>
      <c r="L32" s="69">
        <f>STOCK[[#This Row],[Entradas]]-STOCK[[#This Row],[Salidas]]</f>
        <v>0</v>
      </c>
      <c r="M32" s="53">
        <f>STOCK[[#This Row],[Precio Final]]*10%</f>
        <v>2.5</v>
      </c>
      <c r="N32" s="53">
        <v>205</v>
      </c>
      <c r="O32" s="53">
        <v>18</v>
      </c>
      <c r="P32" s="53">
        <v>11.3888888888889</v>
      </c>
      <c r="Q32" s="69">
        <v>270</v>
      </c>
      <c r="R32" s="53">
        <v>17</v>
      </c>
      <c r="S32" s="53">
        <f>STOCK[[#This Row],[Peso (g)]]*STOCK[[#This Row],[Precio Envío Kilogramo (USD)]]/1000</f>
        <v>4.59</v>
      </c>
      <c r="T32" s="53">
        <f>STOCK[[#This Row],[Costo Unitario (USD)]]+STOCK[[#This Row],[Costo Envío (USD)]]+STOCK[[#This Row],[Comisión 10%]]</f>
        <v>18.4788888888889</v>
      </c>
      <c r="U32" s="53">
        <f>STOCK[[#This Row],[Costo total]]*1.5</f>
        <v>27.718333333333348</v>
      </c>
      <c r="V32" s="53">
        <v>25</v>
      </c>
      <c r="W32" s="53">
        <f>STOCK[[#This Row],[Precio Final]]-STOCK[[#This Row],[Costo total]]</f>
        <v>6.5211111111111002</v>
      </c>
      <c r="X32" s="53">
        <f>STOCK[[#This Row],[Ganancia Unitaria]]*STOCK[[#This Row],[Salidas]]</f>
        <v>6.5211111111111002</v>
      </c>
      <c r="AA32" s="53">
        <f>STOCK[[#This Row],[Costo total]]*STOCK[[#This Row],[Entradas]]</f>
        <v>18.4788888888889</v>
      </c>
      <c r="AB32" s="53">
        <f>STOCK[[#This Row],[Stock Actual]]*STOCK[[#This Row],[Costo total]]</f>
        <v>0</v>
      </c>
    </row>
    <row r="33" spans="1:29" s="54" customFormat="1" ht="50" customHeight="1">
      <c r="A33" s="54" t="s">
        <v>102</v>
      </c>
      <c r="B33" s="64"/>
      <c r="C33" s="54" t="s">
        <v>32</v>
      </c>
      <c r="D33" s="54" t="s">
        <v>103</v>
      </c>
      <c r="E33" s="66" t="s">
        <v>78</v>
      </c>
      <c r="F33" s="54" t="s">
        <v>88</v>
      </c>
      <c r="G33" s="54" t="s">
        <v>36</v>
      </c>
      <c r="H33" s="54">
        <f>STOCK[[#This Row],[Precio Final]]</f>
        <v>15</v>
      </c>
      <c r="I33" s="54">
        <f>STOCK[[#This Row],[Precio Venta Ideal (x1.5)]]</f>
        <v>16.928333333333338</v>
      </c>
      <c r="J33" s="70">
        <v>4</v>
      </c>
      <c r="K33" s="70">
        <f>SUMIFS(VENTAS[Cantidad],VENTAS[Código del producto Vendido],STOCK[[#This Row],[Code]])</f>
        <v>4</v>
      </c>
      <c r="L33" s="70">
        <f>STOCK[[#This Row],[Entradas]]-STOCK[[#This Row],[Salidas]]</f>
        <v>0</v>
      </c>
      <c r="M33" s="54">
        <f>STOCK[[#This Row],[Precio Final]]*10%</f>
        <v>1.5</v>
      </c>
      <c r="N33" s="54">
        <v>118</v>
      </c>
      <c r="O33" s="54">
        <v>18</v>
      </c>
      <c r="P33" s="54">
        <v>6.5555555555555598</v>
      </c>
      <c r="Q33" s="70">
        <v>190</v>
      </c>
      <c r="R33" s="54">
        <v>17</v>
      </c>
      <c r="S33" s="54">
        <f>STOCK[[#This Row],[Peso (g)]]*STOCK[[#This Row],[Precio Envío Kilogramo (USD)]]/1000</f>
        <v>3.23</v>
      </c>
      <c r="T33" s="53">
        <f>STOCK[[#This Row],[Costo Unitario (USD)]]+STOCK[[#This Row],[Costo Envío (USD)]]+STOCK[[#This Row],[Comisión 10%]]</f>
        <v>11.285555555555559</v>
      </c>
      <c r="U33" s="54">
        <f>STOCK[[#This Row],[Costo total]]*1.5</f>
        <v>16.928333333333338</v>
      </c>
      <c r="V33" s="54">
        <v>15</v>
      </c>
      <c r="W33" s="54">
        <f>STOCK[[#This Row],[Precio Final]]-STOCK[[#This Row],[Costo total]]</f>
        <v>3.7144444444444407</v>
      </c>
      <c r="X33" s="54">
        <f>STOCK[[#This Row],[Ganancia Unitaria]]*STOCK[[#This Row],[Salidas]]</f>
        <v>14.857777777777763</v>
      </c>
      <c r="AA33" s="54">
        <f>STOCK[[#This Row],[Costo total]]*STOCK[[#This Row],[Entradas]]</f>
        <v>45.142222222222237</v>
      </c>
      <c r="AB33" s="54">
        <f>STOCK[[#This Row],[Stock Actual]]*STOCK[[#This Row],[Costo total]]</f>
        <v>0</v>
      </c>
    </row>
    <row r="34" spans="1:29" s="53" customFormat="1" ht="50" customHeight="1">
      <c r="A34" s="53" t="s">
        <v>104</v>
      </c>
      <c r="B34" s="64"/>
      <c r="C34" s="53" t="s">
        <v>32</v>
      </c>
      <c r="D34" s="53" t="s">
        <v>38</v>
      </c>
      <c r="E34" s="65" t="s">
        <v>105</v>
      </c>
      <c r="F34" s="53" t="s">
        <v>49</v>
      </c>
      <c r="G34" s="53" t="s">
        <v>36</v>
      </c>
      <c r="H34" s="53">
        <f>STOCK[[#This Row],[Precio Final]]</f>
        <v>22</v>
      </c>
      <c r="I34" s="53">
        <f>STOCK[[#This Row],[Precio Venta Ideal (x1.5)]]</f>
        <v>25.542499999999951</v>
      </c>
      <c r="J34" s="69">
        <v>1</v>
      </c>
      <c r="K34" s="69">
        <f>SUMIFS(VENTAS[Cantidad],VENTAS[Código del producto Vendido],STOCK[[#This Row],[Code]])</f>
        <v>1</v>
      </c>
      <c r="L34" s="69">
        <f>STOCK[[#This Row],[Entradas]]-STOCK[[#This Row],[Salidas]]</f>
        <v>0</v>
      </c>
      <c r="M34" s="53">
        <f>STOCK[[#This Row],[Precio Final]]*10%</f>
        <v>2.2000000000000002</v>
      </c>
      <c r="N34" s="53">
        <v>195</v>
      </c>
      <c r="O34" s="53">
        <v>18</v>
      </c>
      <c r="P34" s="53">
        <v>10.8333333333333</v>
      </c>
      <c r="Q34" s="69">
        <v>235</v>
      </c>
      <c r="R34" s="53">
        <v>17</v>
      </c>
      <c r="S34" s="53">
        <f>STOCK[[#This Row],[Peso (g)]]*STOCK[[#This Row],[Precio Envío Kilogramo (USD)]]/1000</f>
        <v>3.9950000000000001</v>
      </c>
      <c r="T34" s="53">
        <f>STOCK[[#This Row],[Costo Unitario (USD)]]+STOCK[[#This Row],[Costo Envío (USD)]]+STOCK[[#This Row],[Comisión 10%]]</f>
        <v>17.0283333333333</v>
      </c>
      <c r="U34" s="53">
        <f>STOCK[[#This Row],[Costo total]]*1.5</f>
        <v>25.542499999999951</v>
      </c>
      <c r="V34" s="53">
        <v>22</v>
      </c>
      <c r="W34" s="53">
        <f>STOCK[[#This Row],[Precio Final]]-STOCK[[#This Row],[Costo total]]</f>
        <v>4.9716666666666995</v>
      </c>
      <c r="X34" s="53">
        <f>STOCK[[#This Row],[Ganancia Unitaria]]*STOCK[[#This Row],[Salidas]]</f>
        <v>4.9716666666666995</v>
      </c>
      <c r="AA34" s="53">
        <f>STOCK[[#This Row],[Costo total]]*STOCK[[#This Row],[Entradas]]</f>
        <v>17.0283333333333</v>
      </c>
      <c r="AB34" s="53">
        <f>STOCK[[#This Row],[Stock Actual]]*STOCK[[#This Row],[Costo total]]</f>
        <v>0</v>
      </c>
    </row>
    <row r="35" spans="1:29" s="54" customFormat="1" ht="50" customHeight="1">
      <c r="A35" s="54" t="s">
        <v>106</v>
      </c>
      <c r="B35" s="64"/>
      <c r="C35" s="54" t="s">
        <v>32</v>
      </c>
      <c r="D35" s="54" t="s">
        <v>38</v>
      </c>
      <c r="E35" s="66" t="s">
        <v>69</v>
      </c>
      <c r="F35" s="54" t="s">
        <v>49</v>
      </c>
      <c r="G35" s="54" t="s">
        <v>36</v>
      </c>
      <c r="H35" s="54">
        <f>STOCK[[#This Row],[Precio Final]]</f>
        <v>18</v>
      </c>
      <c r="I35" s="54">
        <f>STOCK[[#This Row],[Precio Venta Ideal (x1.5)]]</f>
        <v>21.329166666666659</v>
      </c>
      <c r="J35" s="70">
        <v>1</v>
      </c>
      <c r="K35" s="70">
        <f>SUMIFS(VENTAS[Cantidad],VENTAS[Código del producto Vendido],STOCK[[#This Row],[Code]])</f>
        <v>1</v>
      </c>
      <c r="L35" s="70">
        <f>STOCK[[#This Row],[Entradas]]-STOCK[[#This Row],[Salidas]]</f>
        <v>0</v>
      </c>
      <c r="M35" s="54">
        <f>STOCK[[#This Row],[Precio Final]]*10%</f>
        <v>1.8</v>
      </c>
      <c r="N35" s="54">
        <v>170</v>
      </c>
      <c r="O35" s="54">
        <v>18</v>
      </c>
      <c r="P35" s="54">
        <v>9.4444444444444393</v>
      </c>
      <c r="Q35" s="70">
        <v>175</v>
      </c>
      <c r="R35" s="54">
        <v>17</v>
      </c>
      <c r="S35" s="54">
        <f>STOCK[[#This Row],[Peso (g)]]*STOCK[[#This Row],[Precio Envío Kilogramo (USD)]]/1000</f>
        <v>2.9750000000000001</v>
      </c>
      <c r="T35" s="53">
        <f>STOCK[[#This Row],[Costo Unitario (USD)]]+STOCK[[#This Row],[Costo Envío (USD)]]+STOCK[[#This Row],[Comisión 10%]]</f>
        <v>14.21944444444444</v>
      </c>
      <c r="U35" s="54">
        <f>STOCK[[#This Row],[Costo total]]*1.5</f>
        <v>21.329166666666659</v>
      </c>
      <c r="V35" s="54">
        <v>18</v>
      </c>
      <c r="W35" s="54">
        <f>STOCK[[#This Row],[Precio Final]]-STOCK[[#This Row],[Costo total]]</f>
        <v>3.7805555555555603</v>
      </c>
      <c r="X35" s="54">
        <f>STOCK[[#This Row],[Ganancia Unitaria]]*STOCK[[#This Row],[Salidas]]</f>
        <v>3.7805555555555603</v>
      </c>
      <c r="AA35" s="54">
        <f>STOCK[[#This Row],[Costo total]]*STOCK[[#This Row],[Entradas]]</f>
        <v>14.21944444444444</v>
      </c>
      <c r="AB35" s="54">
        <f>STOCK[[#This Row],[Stock Actual]]*STOCK[[#This Row],[Costo total]]</f>
        <v>0</v>
      </c>
    </row>
    <row r="36" spans="1:29" s="53" customFormat="1" ht="50" customHeight="1">
      <c r="A36" s="53" t="s">
        <v>107</v>
      </c>
      <c r="B36" s="64"/>
      <c r="C36" s="53" t="s">
        <v>32</v>
      </c>
      <c r="D36" s="53" t="s">
        <v>33</v>
      </c>
      <c r="E36" s="65" t="s">
        <v>108</v>
      </c>
      <c r="F36" s="53" t="s">
        <v>40</v>
      </c>
      <c r="G36" s="53" t="s">
        <v>36</v>
      </c>
      <c r="H36" s="53">
        <f>STOCK[[#This Row],[Precio Final]]</f>
        <v>20</v>
      </c>
      <c r="I36" s="53">
        <f>STOCK[[#This Row],[Precio Venta Ideal (x1.5)]]</f>
        <v>21.629166666666659</v>
      </c>
      <c r="J36" s="69">
        <v>2</v>
      </c>
      <c r="K36" s="69">
        <f>SUMIFS(VENTAS[Cantidad],VENTAS[Código del producto Vendido],STOCK[[#This Row],[Code]])</f>
        <v>1</v>
      </c>
      <c r="L36" s="69">
        <f>STOCK[[#This Row],[Entradas]]-STOCK[[#This Row],[Salidas]]</f>
        <v>1</v>
      </c>
      <c r="M36" s="53">
        <f>STOCK[[#This Row],[Precio Final]]*10%</f>
        <v>2</v>
      </c>
      <c r="N36" s="53">
        <v>170</v>
      </c>
      <c r="O36" s="53">
        <v>18</v>
      </c>
      <c r="P36" s="53">
        <v>9.4444444444444393</v>
      </c>
      <c r="Q36" s="69">
        <v>175</v>
      </c>
      <c r="R36" s="53">
        <v>17</v>
      </c>
      <c r="S36" s="53">
        <f>STOCK[[#This Row],[Peso (g)]]*STOCK[[#This Row],[Precio Envío Kilogramo (USD)]]/1000</f>
        <v>2.9750000000000001</v>
      </c>
      <c r="T36" s="53">
        <f>STOCK[[#This Row],[Costo Unitario (USD)]]+STOCK[[#This Row],[Costo Envío (USD)]]+STOCK[[#This Row],[Comisión 10%]]</f>
        <v>14.419444444444439</v>
      </c>
      <c r="U36" s="53">
        <f>STOCK[[#This Row],[Costo total]]*1.5</f>
        <v>21.629166666666659</v>
      </c>
      <c r="V36" s="53">
        <v>20</v>
      </c>
      <c r="W36" s="53">
        <f>STOCK[[#This Row],[Precio Final]]-STOCK[[#This Row],[Costo total]]</f>
        <v>5.580555555555561</v>
      </c>
      <c r="X36" s="53">
        <f>STOCK[[#This Row],[Ganancia Unitaria]]*STOCK[[#This Row],[Salidas]]</f>
        <v>5.580555555555561</v>
      </c>
      <c r="AA36" s="53">
        <f>STOCK[[#This Row],[Costo total]]*STOCK[[#This Row],[Entradas]]</f>
        <v>28.838888888888878</v>
      </c>
      <c r="AB36" s="53">
        <f>STOCK[[#This Row],[Stock Actual]]*STOCK[[#This Row],[Costo total]]</f>
        <v>14.419444444444439</v>
      </c>
      <c r="AC36" s="53">
        <v>18</v>
      </c>
    </row>
    <row r="37" spans="1:29" s="54" customFormat="1" ht="50" customHeight="1">
      <c r="A37" s="54" t="s">
        <v>109</v>
      </c>
      <c r="B37" s="64"/>
      <c r="C37" s="54" t="s">
        <v>32</v>
      </c>
      <c r="D37" s="54" t="s">
        <v>38</v>
      </c>
      <c r="E37" s="66" t="s">
        <v>110</v>
      </c>
      <c r="F37" s="54" t="s">
        <v>62</v>
      </c>
      <c r="G37" s="54" t="s">
        <v>36</v>
      </c>
      <c r="H37" s="54">
        <f>STOCK[[#This Row],[Precio Final]]</f>
        <v>25</v>
      </c>
      <c r="I37" s="54">
        <f>STOCK[[#This Row],[Precio Venta Ideal (x1.5)]]</f>
        <v>31.468333333333348</v>
      </c>
      <c r="J37" s="70">
        <v>1</v>
      </c>
      <c r="K37" s="70">
        <f>SUMIFS(VENTAS[Cantidad],VENTAS[Código del producto Vendido],STOCK[[#This Row],[Code]])</f>
        <v>1</v>
      </c>
      <c r="L37" s="70">
        <f>STOCK[[#This Row],[Entradas]]-STOCK[[#This Row],[Salidas]]</f>
        <v>0</v>
      </c>
      <c r="M37" s="54">
        <f>STOCK[[#This Row],[Precio Final]]*10%</f>
        <v>2.5</v>
      </c>
      <c r="N37" s="54">
        <v>250</v>
      </c>
      <c r="O37" s="54">
        <v>18</v>
      </c>
      <c r="P37" s="54">
        <v>13.8888888888889</v>
      </c>
      <c r="Q37" s="70">
        <v>270</v>
      </c>
      <c r="R37" s="54">
        <v>17</v>
      </c>
      <c r="S37" s="54">
        <f>STOCK[[#This Row],[Peso (g)]]*STOCK[[#This Row],[Precio Envío Kilogramo (USD)]]/1000</f>
        <v>4.59</v>
      </c>
      <c r="T37" s="53">
        <f>STOCK[[#This Row],[Costo Unitario (USD)]]+STOCK[[#This Row],[Costo Envío (USD)]]+STOCK[[#This Row],[Comisión 10%]]</f>
        <v>20.9788888888889</v>
      </c>
      <c r="U37" s="54">
        <f>STOCK[[#This Row],[Costo total]]*1.5</f>
        <v>31.468333333333348</v>
      </c>
      <c r="V37" s="54">
        <v>25</v>
      </c>
      <c r="W37" s="54">
        <f>STOCK[[#This Row],[Precio Final]]-STOCK[[#This Row],[Costo total]]</f>
        <v>4.0211111111111002</v>
      </c>
      <c r="X37" s="54">
        <f>STOCK[[#This Row],[Ganancia Unitaria]]*STOCK[[#This Row],[Salidas]]</f>
        <v>4.0211111111111002</v>
      </c>
      <c r="AA37" s="54">
        <f>STOCK[[#This Row],[Costo total]]*STOCK[[#This Row],[Entradas]]</f>
        <v>20.9788888888889</v>
      </c>
      <c r="AB37" s="54">
        <f>STOCK[[#This Row],[Stock Actual]]*STOCK[[#This Row],[Costo total]]</f>
        <v>0</v>
      </c>
    </row>
    <row r="38" spans="1:29" s="53" customFormat="1" ht="50" customHeight="1">
      <c r="A38" s="53" t="s">
        <v>111</v>
      </c>
      <c r="B38" s="64"/>
      <c r="C38" s="53" t="s">
        <v>32</v>
      </c>
      <c r="D38" s="53" t="s">
        <v>82</v>
      </c>
      <c r="E38" s="65" t="s">
        <v>112</v>
      </c>
      <c r="F38" s="53" t="s">
        <v>83</v>
      </c>
      <c r="G38" s="53" t="s">
        <v>36</v>
      </c>
      <c r="H38" s="53">
        <f>STOCK[[#This Row],[Precio Final]]</f>
        <v>25</v>
      </c>
      <c r="I38" s="53">
        <f>STOCK[[#This Row],[Precio Venta Ideal (x1.5)]]</f>
        <v>32.488333333333351</v>
      </c>
      <c r="J38" s="69">
        <v>2</v>
      </c>
      <c r="K38" s="69">
        <f>SUMIFS(VENTAS[Cantidad],VENTAS[Código del producto Vendido],STOCK[[#This Row],[Code]])</f>
        <v>2</v>
      </c>
      <c r="L38" s="69">
        <f>STOCK[[#This Row],[Entradas]]-STOCK[[#This Row],[Salidas]]</f>
        <v>0</v>
      </c>
      <c r="M38" s="53">
        <f>STOCK[[#This Row],[Precio Final]]*10%</f>
        <v>2.5</v>
      </c>
      <c r="N38" s="53">
        <v>250</v>
      </c>
      <c r="O38" s="53">
        <v>18</v>
      </c>
      <c r="P38" s="53">
        <v>13.8888888888889</v>
      </c>
      <c r="Q38" s="69">
        <v>310</v>
      </c>
      <c r="R38" s="53">
        <v>17</v>
      </c>
      <c r="S38" s="53">
        <f>STOCK[[#This Row],[Peso (g)]]*STOCK[[#This Row],[Precio Envío Kilogramo (USD)]]/1000</f>
        <v>5.27</v>
      </c>
      <c r="T38" s="53">
        <f>STOCK[[#This Row],[Costo Unitario (USD)]]+STOCK[[#This Row],[Costo Envío (USD)]]+STOCK[[#This Row],[Comisión 10%]]</f>
        <v>21.6588888888889</v>
      </c>
      <c r="U38" s="53">
        <f>STOCK[[#This Row],[Costo total]]*1.5</f>
        <v>32.488333333333351</v>
      </c>
      <c r="V38" s="53">
        <v>25</v>
      </c>
      <c r="W38" s="53">
        <f>STOCK[[#This Row],[Precio Final]]-STOCK[[#This Row],[Costo total]]</f>
        <v>3.3411111111111005</v>
      </c>
      <c r="X38" s="53">
        <f>STOCK[[#This Row],[Ganancia Unitaria]]*STOCK[[#This Row],[Salidas]]</f>
        <v>6.682222222222201</v>
      </c>
      <c r="AA38" s="53">
        <f>STOCK[[#This Row],[Costo total]]*STOCK[[#This Row],[Entradas]]</f>
        <v>43.317777777777799</v>
      </c>
      <c r="AB38" s="53">
        <f>STOCK[[#This Row],[Stock Actual]]*STOCK[[#This Row],[Costo total]]</f>
        <v>0</v>
      </c>
    </row>
    <row r="39" spans="1:29" s="54" customFormat="1" ht="50" customHeight="1">
      <c r="A39" s="54" t="s">
        <v>113</v>
      </c>
      <c r="B39" s="64"/>
      <c r="C39" s="54" t="s">
        <v>32</v>
      </c>
      <c r="D39" s="54" t="s">
        <v>38</v>
      </c>
      <c r="E39" s="66" t="s">
        <v>39</v>
      </c>
      <c r="F39" s="54" t="s">
        <v>62</v>
      </c>
      <c r="G39" s="54" t="s">
        <v>36</v>
      </c>
      <c r="H39" s="54">
        <f>STOCK[[#This Row],[Precio Final]]</f>
        <v>28</v>
      </c>
      <c r="I39" s="54">
        <f>STOCK[[#This Row],[Precio Venta Ideal (x1.5)]]</f>
        <v>32.300833333333351</v>
      </c>
      <c r="J39" s="70">
        <v>1</v>
      </c>
      <c r="K39" s="70">
        <f>SUMIFS(VENTAS[Cantidad],VENTAS[Código del producto Vendido],STOCK[[#This Row],[Code]])</f>
        <v>1</v>
      </c>
      <c r="L39" s="70">
        <f>STOCK[[#This Row],[Entradas]]-STOCK[[#This Row],[Salidas]]</f>
        <v>0</v>
      </c>
      <c r="M39" s="54">
        <f>STOCK[[#This Row],[Precio Final]]*10%</f>
        <v>2.8000000000000003</v>
      </c>
      <c r="N39" s="54">
        <v>250</v>
      </c>
      <c r="O39" s="54">
        <v>18</v>
      </c>
      <c r="P39" s="54">
        <v>13.8888888888889</v>
      </c>
      <c r="Q39" s="70">
        <v>285</v>
      </c>
      <c r="R39" s="54">
        <v>17</v>
      </c>
      <c r="S39" s="54">
        <f>STOCK[[#This Row],[Peso (g)]]*STOCK[[#This Row],[Precio Envío Kilogramo (USD)]]/1000</f>
        <v>4.8449999999999998</v>
      </c>
      <c r="T39" s="53">
        <f>STOCK[[#This Row],[Costo Unitario (USD)]]+STOCK[[#This Row],[Costo Envío (USD)]]+STOCK[[#This Row],[Comisión 10%]]</f>
        <v>21.5338888888889</v>
      </c>
      <c r="U39" s="54">
        <f>STOCK[[#This Row],[Costo total]]*1.5</f>
        <v>32.300833333333351</v>
      </c>
      <c r="V39" s="54">
        <v>28</v>
      </c>
      <c r="W39" s="54">
        <f>STOCK[[#This Row],[Precio Final]]-STOCK[[#This Row],[Costo total]]</f>
        <v>6.4661111111111005</v>
      </c>
      <c r="X39" s="54">
        <f>STOCK[[#This Row],[Ganancia Unitaria]]*STOCK[[#This Row],[Salidas]]</f>
        <v>6.4661111111111005</v>
      </c>
      <c r="AA39" s="54">
        <f>STOCK[[#This Row],[Costo total]]*STOCK[[#This Row],[Entradas]]</f>
        <v>21.5338888888889</v>
      </c>
      <c r="AB39" s="54">
        <f>STOCK[[#This Row],[Stock Actual]]*STOCK[[#This Row],[Costo total]]</f>
        <v>0</v>
      </c>
    </row>
    <row r="40" spans="1:29" s="53" customFormat="1" ht="50" customHeight="1">
      <c r="A40" s="53" t="s">
        <v>114</v>
      </c>
      <c r="B40" s="64"/>
      <c r="C40" s="53" t="s">
        <v>32</v>
      </c>
      <c r="D40" s="53" t="s">
        <v>38</v>
      </c>
      <c r="E40" s="65" t="s">
        <v>115</v>
      </c>
      <c r="F40" s="53" t="s">
        <v>49</v>
      </c>
      <c r="G40" s="53" t="s">
        <v>36</v>
      </c>
      <c r="H40" s="53">
        <f>STOCK[[#This Row],[Precio Final]]</f>
        <v>25</v>
      </c>
      <c r="I40" s="53">
        <f>STOCK[[#This Row],[Precio Venta Ideal (x1.5)]]</f>
        <v>24.810833333333399</v>
      </c>
      <c r="J40" s="69">
        <v>1</v>
      </c>
      <c r="K40" s="69">
        <f>SUMIFS(VENTAS[Cantidad],VENTAS[Código del producto Vendido],STOCK[[#This Row],[Code]])</f>
        <v>1</v>
      </c>
      <c r="L40" s="69">
        <f>STOCK[[#This Row],[Entradas]]-STOCK[[#This Row],[Salidas]]</f>
        <v>0</v>
      </c>
      <c r="M40" s="53">
        <f>STOCK[[#This Row],[Precio Final]]*10%</f>
        <v>2.5</v>
      </c>
      <c r="N40" s="53">
        <v>190</v>
      </c>
      <c r="O40" s="53">
        <v>18</v>
      </c>
      <c r="P40" s="53">
        <v>10.5555555555556</v>
      </c>
      <c r="Q40" s="69">
        <v>205</v>
      </c>
      <c r="R40" s="53">
        <v>17</v>
      </c>
      <c r="S40" s="53">
        <f>STOCK[[#This Row],[Peso (g)]]*STOCK[[#This Row],[Precio Envío Kilogramo (USD)]]/1000</f>
        <v>3.4849999999999999</v>
      </c>
      <c r="T40" s="53">
        <f>STOCK[[#This Row],[Costo Unitario (USD)]]+STOCK[[#This Row],[Costo Envío (USD)]]+STOCK[[#This Row],[Comisión 10%]]</f>
        <v>16.540555555555599</v>
      </c>
      <c r="U40" s="53">
        <f>STOCK[[#This Row],[Costo total]]*1.5</f>
        <v>24.810833333333399</v>
      </c>
      <c r="V40" s="53">
        <v>25</v>
      </c>
      <c r="W40" s="53">
        <f>STOCK[[#This Row],[Precio Final]]-STOCK[[#This Row],[Costo total]]</f>
        <v>8.4594444444444008</v>
      </c>
      <c r="X40" s="53">
        <f>STOCK[[#This Row],[Ganancia Unitaria]]*STOCK[[#This Row],[Salidas]]</f>
        <v>8.4594444444444008</v>
      </c>
      <c r="AA40" s="53">
        <f>STOCK[[#This Row],[Costo total]]*STOCK[[#This Row],[Entradas]]</f>
        <v>16.540555555555599</v>
      </c>
      <c r="AB40" s="53">
        <f>STOCK[[#This Row],[Stock Actual]]*STOCK[[#This Row],[Costo total]]</f>
        <v>0</v>
      </c>
    </row>
    <row r="41" spans="1:29" s="54" customFormat="1" ht="50" customHeight="1">
      <c r="A41" s="54" t="s">
        <v>116</v>
      </c>
      <c r="B41" s="64"/>
      <c r="C41" s="54" t="s">
        <v>32</v>
      </c>
      <c r="D41" s="54" t="s">
        <v>38</v>
      </c>
      <c r="E41" s="66" t="s">
        <v>80</v>
      </c>
      <c r="F41" s="54" t="s">
        <v>49</v>
      </c>
      <c r="G41" s="54" t="s">
        <v>36</v>
      </c>
      <c r="H41" s="54">
        <f>STOCK[[#This Row],[Precio Final]]</f>
        <v>22</v>
      </c>
      <c r="I41" s="54">
        <f>STOCK[[#This Row],[Precio Venta Ideal (x1.5)]]</f>
        <v>25.1258333333334</v>
      </c>
      <c r="J41" s="70">
        <v>1</v>
      </c>
      <c r="K41" s="70">
        <f>SUMIFS(VENTAS[Cantidad],VENTAS[Código del producto Vendido],STOCK[[#This Row],[Code]])</f>
        <v>1</v>
      </c>
      <c r="L41" s="70">
        <f>STOCK[[#This Row],[Entradas]]-STOCK[[#This Row],[Salidas]]</f>
        <v>0</v>
      </c>
      <c r="M41" s="54">
        <f>STOCK[[#This Row],[Precio Final]]*10%</f>
        <v>2.2000000000000002</v>
      </c>
      <c r="N41" s="54">
        <v>190</v>
      </c>
      <c r="O41" s="54">
        <v>18</v>
      </c>
      <c r="P41" s="54">
        <v>10.5555555555556</v>
      </c>
      <c r="Q41" s="70">
        <v>235</v>
      </c>
      <c r="R41" s="54">
        <v>17</v>
      </c>
      <c r="S41" s="54">
        <f>STOCK[[#This Row],[Peso (g)]]*STOCK[[#This Row],[Precio Envío Kilogramo (USD)]]/1000</f>
        <v>3.9950000000000001</v>
      </c>
      <c r="T41" s="53">
        <f>STOCK[[#This Row],[Costo Unitario (USD)]]+STOCK[[#This Row],[Costo Envío (USD)]]+STOCK[[#This Row],[Comisión 10%]]</f>
        <v>16.7505555555556</v>
      </c>
      <c r="U41" s="54">
        <f>STOCK[[#This Row],[Costo total]]*1.5</f>
        <v>25.1258333333334</v>
      </c>
      <c r="V41" s="54">
        <v>22</v>
      </c>
      <c r="W41" s="54">
        <f>STOCK[[#This Row],[Precio Final]]-STOCK[[#This Row],[Costo total]]</f>
        <v>5.2494444444443999</v>
      </c>
      <c r="X41" s="54">
        <f>STOCK[[#This Row],[Ganancia Unitaria]]*STOCK[[#This Row],[Salidas]]</f>
        <v>5.2494444444443999</v>
      </c>
      <c r="AA41" s="54">
        <f>STOCK[[#This Row],[Costo total]]*STOCK[[#This Row],[Entradas]]</f>
        <v>16.7505555555556</v>
      </c>
      <c r="AB41" s="54">
        <f>STOCK[[#This Row],[Stock Actual]]*STOCK[[#This Row],[Costo total]]</f>
        <v>0</v>
      </c>
    </row>
    <row r="42" spans="1:29" s="53" customFormat="1" ht="50" customHeight="1">
      <c r="A42" s="53" t="s">
        <v>117</v>
      </c>
      <c r="B42" s="64"/>
      <c r="C42" s="53" t="s">
        <v>32</v>
      </c>
      <c r="D42" s="53" t="s">
        <v>38</v>
      </c>
      <c r="E42" s="65" t="s">
        <v>74</v>
      </c>
      <c r="F42" s="53" t="s">
        <v>49</v>
      </c>
      <c r="G42" s="53" t="s">
        <v>36</v>
      </c>
      <c r="H42" s="53">
        <f>STOCK[[#This Row],[Precio Final]]</f>
        <v>25</v>
      </c>
      <c r="I42" s="53">
        <f>STOCK[[#This Row],[Precio Venta Ideal (x1.5)]]</f>
        <v>30.796666666666653</v>
      </c>
      <c r="J42" s="69">
        <v>1</v>
      </c>
      <c r="K42" s="69">
        <f>SUMIFS(VENTAS[Cantidad],VENTAS[Código del producto Vendido],STOCK[[#This Row],[Code]])</f>
        <v>1</v>
      </c>
      <c r="L42" s="69">
        <f>STOCK[[#This Row],[Entradas]]-STOCK[[#This Row],[Salidas]]</f>
        <v>0</v>
      </c>
      <c r="M42" s="53">
        <f>STOCK[[#This Row],[Precio Final]]*10%</f>
        <v>2.5</v>
      </c>
      <c r="N42" s="53">
        <v>245</v>
      </c>
      <c r="O42" s="53">
        <v>18</v>
      </c>
      <c r="P42" s="53">
        <v>13.6111111111111</v>
      </c>
      <c r="Q42" s="69">
        <v>260</v>
      </c>
      <c r="R42" s="53">
        <v>17</v>
      </c>
      <c r="S42" s="53">
        <f>STOCK[[#This Row],[Peso (g)]]*STOCK[[#This Row],[Precio Envío Kilogramo (USD)]]/1000</f>
        <v>4.42</v>
      </c>
      <c r="T42" s="53">
        <f>STOCK[[#This Row],[Costo Unitario (USD)]]+STOCK[[#This Row],[Costo Envío (USD)]]+STOCK[[#This Row],[Comisión 10%]]</f>
        <v>20.531111111111102</v>
      </c>
      <c r="U42" s="53">
        <f>STOCK[[#This Row],[Costo total]]*1.5</f>
        <v>30.796666666666653</v>
      </c>
      <c r="V42" s="53">
        <v>25</v>
      </c>
      <c r="W42" s="53">
        <f>STOCK[[#This Row],[Precio Final]]-STOCK[[#This Row],[Costo total]]</f>
        <v>4.4688888888888982</v>
      </c>
      <c r="X42" s="53">
        <f>STOCK[[#This Row],[Ganancia Unitaria]]*STOCK[[#This Row],[Salidas]]</f>
        <v>4.4688888888888982</v>
      </c>
      <c r="AA42" s="53">
        <f>STOCK[[#This Row],[Costo total]]*STOCK[[#This Row],[Entradas]]</f>
        <v>20.531111111111102</v>
      </c>
      <c r="AB42" s="53">
        <f>STOCK[[#This Row],[Stock Actual]]*STOCK[[#This Row],[Costo total]]</f>
        <v>0</v>
      </c>
    </row>
    <row r="43" spans="1:29" s="54" customFormat="1" ht="50" customHeight="1">
      <c r="A43" s="54" t="s">
        <v>118</v>
      </c>
      <c r="B43" s="64"/>
      <c r="C43" s="54" t="s">
        <v>32</v>
      </c>
      <c r="D43" s="54" t="s">
        <v>38</v>
      </c>
      <c r="E43" s="66" t="s">
        <v>119</v>
      </c>
      <c r="F43" s="54" t="s">
        <v>62</v>
      </c>
      <c r="G43" s="54" t="s">
        <v>36</v>
      </c>
      <c r="H43" s="54">
        <f>STOCK[[#This Row],[Precio Final]]</f>
        <v>25</v>
      </c>
      <c r="I43" s="54">
        <f>STOCK[[#This Row],[Precio Venta Ideal (x1.5)]]</f>
        <v>28.781666666666702</v>
      </c>
      <c r="J43" s="70">
        <v>1</v>
      </c>
      <c r="K43" s="70">
        <f>SUMIFS(VENTAS[Cantidad],VENTAS[Código del producto Vendido],STOCK[[#This Row],[Code]])</f>
        <v>1</v>
      </c>
      <c r="L43" s="70">
        <f>STOCK[[#This Row],[Entradas]]-STOCK[[#This Row],[Salidas]]</f>
        <v>0</v>
      </c>
      <c r="M43" s="54">
        <f>STOCK[[#This Row],[Precio Final]]*10%</f>
        <v>2.5</v>
      </c>
      <c r="N43" s="54">
        <v>230</v>
      </c>
      <c r="O43" s="54">
        <v>18</v>
      </c>
      <c r="P43" s="54">
        <v>12.7777777777778</v>
      </c>
      <c r="Q43" s="70">
        <v>230</v>
      </c>
      <c r="R43" s="54">
        <v>17</v>
      </c>
      <c r="S43" s="54">
        <f>STOCK[[#This Row],[Peso (g)]]*STOCK[[#This Row],[Precio Envío Kilogramo (USD)]]/1000</f>
        <v>3.91</v>
      </c>
      <c r="T43" s="53">
        <f>STOCK[[#This Row],[Costo Unitario (USD)]]+STOCK[[#This Row],[Costo Envío (USD)]]+STOCK[[#This Row],[Comisión 10%]]</f>
        <v>19.1877777777778</v>
      </c>
      <c r="U43" s="54">
        <f>STOCK[[#This Row],[Costo total]]*1.5</f>
        <v>28.781666666666702</v>
      </c>
      <c r="V43" s="54">
        <v>25</v>
      </c>
      <c r="W43" s="54">
        <f>STOCK[[#This Row],[Precio Final]]-STOCK[[#This Row],[Costo total]]</f>
        <v>5.8122222222222</v>
      </c>
      <c r="X43" s="54">
        <f>STOCK[[#This Row],[Ganancia Unitaria]]*STOCK[[#This Row],[Salidas]]</f>
        <v>5.8122222222222</v>
      </c>
      <c r="AA43" s="54">
        <f>STOCK[[#This Row],[Costo total]]*STOCK[[#This Row],[Entradas]]</f>
        <v>19.1877777777778</v>
      </c>
      <c r="AB43" s="54">
        <f>STOCK[[#This Row],[Stock Actual]]*STOCK[[#This Row],[Costo total]]</f>
        <v>0</v>
      </c>
    </row>
    <row r="44" spans="1:29" s="53" customFormat="1" ht="50" customHeight="1">
      <c r="A44" s="53" t="s">
        <v>120</v>
      </c>
      <c r="B44" s="64"/>
      <c r="C44" s="53" t="s">
        <v>32</v>
      </c>
      <c r="D44" s="53" t="s">
        <v>38</v>
      </c>
      <c r="E44" s="65" t="s">
        <v>121</v>
      </c>
      <c r="F44" s="53" t="s">
        <v>62</v>
      </c>
      <c r="G44" s="53" t="s">
        <v>36</v>
      </c>
      <c r="H44" s="53">
        <f>STOCK[[#This Row],[Precio Final]]</f>
        <v>25</v>
      </c>
      <c r="I44" s="53">
        <f>STOCK[[#This Row],[Precio Venta Ideal (x1.5)]]</f>
        <v>28.9091666666667</v>
      </c>
      <c r="J44" s="69">
        <v>2</v>
      </c>
      <c r="K44" s="69">
        <f>SUMIFS(VENTAS[Cantidad],VENTAS[Código del producto Vendido],STOCK[[#This Row],[Code]])</f>
        <v>2</v>
      </c>
      <c r="L44" s="69">
        <f>STOCK[[#This Row],[Entradas]]-STOCK[[#This Row],[Salidas]]</f>
        <v>0</v>
      </c>
      <c r="M44" s="53">
        <f>STOCK[[#This Row],[Precio Final]]*10%</f>
        <v>2.5</v>
      </c>
      <c r="N44" s="53">
        <v>230</v>
      </c>
      <c r="O44" s="53">
        <v>18</v>
      </c>
      <c r="P44" s="53">
        <v>12.7777777777778</v>
      </c>
      <c r="Q44" s="69">
        <v>235</v>
      </c>
      <c r="R44" s="53">
        <v>17</v>
      </c>
      <c r="S44" s="53">
        <f>STOCK[[#This Row],[Peso (g)]]*STOCK[[#This Row],[Precio Envío Kilogramo (USD)]]/1000</f>
        <v>3.9950000000000001</v>
      </c>
      <c r="T44" s="53">
        <f>STOCK[[#This Row],[Costo Unitario (USD)]]+STOCK[[#This Row],[Costo Envío (USD)]]+STOCK[[#This Row],[Comisión 10%]]</f>
        <v>19.272777777777801</v>
      </c>
      <c r="U44" s="53">
        <f>STOCK[[#This Row],[Costo total]]*1.5</f>
        <v>28.9091666666667</v>
      </c>
      <c r="V44" s="53">
        <v>25</v>
      </c>
      <c r="W44" s="53">
        <f>STOCK[[#This Row],[Precio Final]]-STOCK[[#This Row],[Costo total]]</f>
        <v>5.7272222222221991</v>
      </c>
      <c r="X44" s="53">
        <f>STOCK[[#This Row],[Ganancia Unitaria]]*STOCK[[#This Row],[Salidas]]</f>
        <v>11.454444444444398</v>
      </c>
      <c r="AA44" s="53">
        <f>STOCK[[#This Row],[Costo total]]*STOCK[[#This Row],[Entradas]]</f>
        <v>38.545555555555602</v>
      </c>
      <c r="AB44" s="53">
        <f>STOCK[[#This Row],[Stock Actual]]*STOCK[[#This Row],[Costo total]]</f>
        <v>0</v>
      </c>
    </row>
    <row r="45" spans="1:29" s="54" customFormat="1" ht="50" customHeight="1">
      <c r="A45" s="54" t="s">
        <v>122</v>
      </c>
      <c r="B45" s="64"/>
      <c r="C45" s="54" t="s">
        <v>32</v>
      </c>
      <c r="D45" s="54" t="s">
        <v>38</v>
      </c>
      <c r="E45" s="66" t="s">
        <v>123</v>
      </c>
      <c r="F45" s="54" t="s">
        <v>62</v>
      </c>
      <c r="G45" s="54" t="s">
        <v>36</v>
      </c>
      <c r="H45" s="54">
        <f>STOCK[[#This Row],[Precio Final]]</f>
        <v>25</v>
      </c>
      <c r="I45" s="54">
        <f>STOCK[[#This Row],[Precio Venta Ideal (x1.5)]]</f>
        <v>25.516666666666648</v>
      </c>
      <c r="J45" s="70">
        <v>1</v>
      </c>
      <c r="K45" s="70">
        <f>SUMIFS(VENTAS[Cantidad],VENTAS[Código del producto Vendido],STOCK[[#This Row],[Code]])</f>
        <v>1</v>
      </c>
      <c r="L45" s="70">
        <f>STOCK[[#This Row],[Entradas]]-STOCK[[#This Row],[Salidas]]</f>
        <v>0</v>
      </c>
      <c r="M45" s="54">
        <f>STOCK[[#This Row],[Precio Final]]*10%</f>
        <v>2.5</v>
      </c>
      <c r="N45" s="54">
        <v>200</v>
      </c>
      <c r="O45" s="54">
        <v>18</v>
      </c>
      <c r="P45" s="54">
        <v>11.1111111111111</v>
      </c>
      <c r="Q45" s="70">
        <v>200</v>
      </c>
      <c r="R45" s="54">
        <v>17</v>
      </c>
      <c r="S45" s="54">
        <f>STOCK[[#This Row],[Peso (g)]]*STOCK[[#This Row],[Precio Envío Kilogramo (USD)]]/1000</f>
        <v>3.4</v>
      </c>
      <c r="T45" s="53">
        <f>STOCK[[#This Row],[Costo Unitario (USD)]]+STOCK[[#This Row],[Costo Envío (USD)]]+STOCK[[#This Row],[Comisión 10%]]</f>
        <v>17.011111111111099</v>
      </c>
      <c r="U45" s="54">
        <f>STOCK[[#This Row],[Costo total]]*1.5</f>
        <v>25.516666666666648</v>
      </c>
      <c r="V45" s="54">
        <v>25</v>
      </c>
      <c r="W45" s="54">
        <f>STOCK[[#This Row],[Precio Final]]-STOCK[[#This Row],[Costo total]]</f>
        <v>7.9888888888889014</v>
      </c>
      <c r="X45" s="54">
        <f>STOCK[[#This Row],[Ganancia Unitaria]]*STOCK[[#This Row],[Salidas]]</f>
        <v>7.9888888888889014</v>
      </c>
      <c r="AA45" s="54">
        <f>STOCK[[#This Row],[Costo total]]*STOCK[[#This Row],[Entradas]]</f>
        <v>17.011111111111099</v>
      </c>
      <c r="AB45" s="54">
        <f>STOCK[[#This Row],[Stock Actual]]*STOCK[[#This Row],[Costo total]]</f>
        <v>0</v>
      </c>
    </row>
    <row r="46" spans="1:29" s="53" customFormat="1" ht="50" customHeight="1">
      <c r="A46" s="53" t="s">
        <v>124</v>
      </c>
      <c r="B46" s="64"/>
      <c r="C46" s="53" t="s">
        <v>32</v>
      </c>
      <c r="D46" s="53" t="s">
        <v>125</v>
      </c>
      <c r="E46" s="65" t="s">
        <v>126</v>
      </c>
      <c r="F46" s="53" t="s">
        <v>127</v>
      </c>
      <c r="G46" s="53" t="s">
        <v>36</v>
      </c>
      <c r="H46" s="53">
        <f>STOCK[[#This Row],[Precio Final]]</f>
        <v>20</v>
      </c>
      <c r="I46" s="53">
        <f>STOCK[[#This Row],[Precio Venta Ideal (x1.5)]]</f>
        <v>22.266666666666659</v>
      </c>
      <c r="J46" s="69">
        <v>1</v>
      </c>
      <c r="K46" s="69">
        <f>SUMIFS(VENTAS[Cantidad],VENTAS[Código del producto Vendido],STOCK[[#This Row],[Code]])</f>
        <v>1</v>
      </c>
      <c r="L46" s="69">
        <f>STOCK[[#This Row],[Entradas]]-STOCK[[#This Row],[Salidas]]</f>
        <v>0</v>
      </c>
      <c r="M46" s="53">
        <f>STOCK[[#This Row],[Precio Final]]*10%</f>
        <v>2</v>
      </c>
      <c r="N46" s="53">
        <v>170</v>
      </c>
      <c r="O46" s="53">
        <v>18</v>
      </c>
      <c r="P46" s="53">
        <v>9.4444444444444393</v>
      </c>
      <c r="Q46" s="69">
        <v>200</v>
      </c>
      <c r="R46" s="53">
        <v>17</v>
      </c>
      <c r="S46" s="53">
        <f>STOCK[[#This Row],[Peso (g)]]*STOCK[[#This Row],[Precio Envío Kilogramo (USD)]]/1000</f>
        <v>3.4</v>
      </c>
      <c r="T46" s="53">
        <f>STOCK[[#This Row],[Costo Unitario (USD)]]+STOCK[[#This Row],[Costo Envío (USD)]]+STOCK[[#This Row],[Comisión 10%]]</f>
        <v>14.84444444444444</v>
      </c>
      <c r="U46" s="53">
        <f>STOCK[[#This Row],[Costo total]]*1.5</f>
        <v>22.266666666666659</v>
      </c>
      <c r="V46" s="53">
        <v>20</v>
      </c>
      <c r="W46" s="53">
        <f>STOCK[[#This Row],[Precio Final]]-STOCK[[#This Row],[Costo total]]</f>
        <v>5.1555555555555603</v>
      </c>
      <c r="X46" s="53">
        <f>STOCK[[#This Row],[Ganancia Unitaria]]*STOCK[[#This Row],[Salidas]]</f>
        <v>5.1555555555555603</v>
      </c>
      <c r="AA46" s="53">
        <f>STOCK[[#This Row],[Costo total]]*STOCK[[#This Row],[Entradas]]</f>
        <v>14.84444444444444</v>
      </c>
      <c r="AB46" s="53">
        <f>STOCK[[#This Row],[Stock Actual]]*STOCK[[#This Row],[Costo total]]</f>
        <v>0</v>
      </c>
    </row>
    <row r="47" spans="1:29" s="54" customFormat="1" ht="50" customHeight="1">
      <c r="A47" s="54" t="s">
        <v>128</v>
      </c>
      <c r="B47" s="64"/>
      <c r="C47" s="54" t="s">
        <v>32</v>
      </c>
      <c r="D47" s="54" t="s">
        <v>125</v>
      </c>
      <c r="E47" s="66" t="s">
        <v>129</v>
      </c>
      <c r="F47" s="54" t="s">
        <v>130</v>
      </c>
      <c r="G47" s="54" t="s">
        <v>36</v>
      </c>
      <c r="H47" s="54">
        <f>STOCK[[#This Row],[Precio Final]]</f>
        <v>20</v>
      </c>
      <c r="I47" s="54">
        <f>STOCK[[#This Row],[Precio Venta Ideal (x1.5)]]</f>
        <v>25.149166666666652</v>
      </c>
      <c r="J47" s="70">
        <v>1</v>
      </c>
      <c r="K47" s="70">
        <f>SUMIFS(VENTAS[Cantidad],VENTAS[Código del producto Vendido],STOCK[[#This Row],[Code]])</f>
        <v>1</v>
      </c>
      <c r="L47" s="70">
        <f>STOCK[[#This Row],[Entradas]]-STOCK[[#This Row],[Salidas]]</f>
        <v>0</v>
      </c>
      <c r="M47" s="54">
        <f>STOCK[[#This Row],[Precio Final]]*10%</f>
        <v>2</v>
      </c>
      <c r="N47" s="54">
        <v>200</v>
      </c>
      <c r="O47" s="54">
        <v>18</v>
      </c>
      <c r="P47" s="54">
        <v>11.1111111111111</v>
      </c>
      <c r="Q47" s="70">
        <v>215</v>
      </c>
      <c r="R47" s="54">
        <v>17</v>
      </c>
      <c r="S47" s="54">
        <f>STOCK[[#This Row],[Peso (g)]]*STOCK[[#This Row],[Precio Envío Kilogramo (USD)]]/1000</f>
        <v>3.6549999999999998</v>
      </c>
      <c r="T47" s="53">
        <f>STOCK[[#This Row],[Costo Unitario (USD)]]+STOCK[[#This Row],[Costo Envío (USD)]]+STOCK[[#This Row],[Comisión 10%]]</f>
        <v>16.766111111111101</v>
      </c>
      <c r="U47" s="54">
        <f>STOCK[[#This Row],[Costo total]]*1.5</f>
        <v>25.149166666666652</v>
      </c>
      <c r="V47" s="54">
        <v>20</v>
      </c>
      <c r="W47" s="54">
        <f>STOCK[[#This Row],[Precio Final]]-STOCK[[#This Row],[Costo total]]</f>
        <v>3.2338888888888988</v>
      </c>
      <c r="X47" s="54">
        <f>STOCK[[#This Row],[Ganancia Unitaria]]*STOCK[[#This Row],[Salidas]]</f>
        <v>3.2338888888888988</v>
      </c>
      <c r="AA47" s="54">
        <f>STOCK[[#This Row],[Costo total]]*STOCK[[#This Row],[Entradas]]</f>
        <v>16.766111111111101</v>
      </c>
      <c r="AB47" s="54">
        <f>STOCK[[#This Row],[Stock Actual]]*STOCK[[#This Row],[Costo total]]</f>
        <v>0</v>
      </c>
    </row>
    <row r="48" spans="1:29" s="53" customFormat="1" ht="50" customHeight="1">
      <c r="A48" s="53" t="s">
        <v>131</v>
      </c>
      <c r="B48" s="64"/>
      <c r="C48" s="53" t="s">
        <v>32</v>
      </c>
      <c r="D48" s="53" t="s">
        <v>132</v>
      </c>
      <c r="E48" s="65" t="s">
        <v>133</v>
      </c>
      <c r="F48" s="53" t="s">
        <v>134</v>
      </c>
      <c r="G48" s="53" t="s">
        <v>36</v>
      </c>
      <c r="H48" s="53">
        <f>STOCK[[#This Row],[Precio Final]]</f>
        <v>18</v>
      </c>
      <c r="I48" s="53">
        <f>STOCK[[#This Row],[Precio Venta Ideal (x1.5)]]</f>
        <v>19.348333333333336</v>
      </c>
      <c r="J48" s="69">
        <v>1</v>
      </c>
      <c r="K48" s="69">
        <f>SUMIFS(VENTAS[Cantidad],VENTAS[Código del producto Vendido],STOCK[[#This Row],[Code]])</f>
        <v>1</v>
      </c>
      <c r="L48" s="69">
        <f>STOCK[[#This Row],[Entradas]]-STOCK[[#This Row],[Salidas]]</f>
        <v>0</v>
      </c>
      <c r="M48" s="53">
        <f>STOCK[[#This Row],[Precio Final]]*10%</f>
        <v>1.8</v>
      </c>
      <c r="N48" s="53">
        <v>160</v>
      </c>
      <c r="O48" s="53">
        <v>18</v>
      </c>
      <c r="P48" s="53">
        <v>8.8888888888888893</v>
      </c>
      <c r="Q48" s="69">
        <v>130</v>
      </c>
      <c r="R48" s="53">
        <v>17</v>
      </c>
      <c r="S48" s="53">
        <f>STOCK[[#This Row],[Peso (g)]]*STOCK[[#This Row],[Precio Envío Kilogramo (USD)]]/1000</f>
        <v>2.21</v>
      </c>
      <c r="T48" s="53">
        <f>STOCK[[#This Row],[Costo Unitario (USD)]]+STOCK[[#This Row],[Costo Envío (USD)]]+STOCK[[#This Row],[Comisión 10%]]</f>
        <v>12.898888888888891</v>
      </c>
      <c r="U48" s="53">
        <f>STOCK[[#This Row],[Costo total]]*1.5</f>
        <v>19.348333333333336</v>
      </c>
      <c r="V48" s="53">
        <v>18</v>
      </c>
      <c r="W48" s="53">
        <f>STOCK[[#This Row],[Precio Final]]-STOCK[[#This Row],[Costo total]]</f>
        <v>5.1011111111111092</v>
      </c>
      <c r="X48" s="53">
        <f>STOCK[[#This Row],[Ganancia Unitaria]]*STOCK[[#This Row],[Salidas]]</f>
        <v>5.1011111111111092</v>
      </c>
      <c r="AA48" s="53">
        <f>STOCK[[#This Row],[Costo total]]*STOCK[[#This Row],[Entradas]]</f>
        <v>12.898888888888891</v>
      </c>
      <c r="AB48" s="53">
        <f>STOCK[[#This Row],[Stock Actual]]*STOCK[[#This Row],[Costo total]]</f>
        <v>0</v>
      </c>
    </row>
    <row r="49" spans="1:29" s="54" customFormat="1" ht="50" customHeight="1">
      <c r="A49" s="54" t="s">
        <v>135</v>
      </c>
      <c r="B49" s="64"/>
      <c r="C49" s="54" t="s">
        <v>32</v>
      </c>
      <c r="D49" s="54" t="s">
        <v>136</v>
      </c>
      <c r="E49" s="66" t="s">
        <v>137</v>
      </c>
      <c r="F49" s="54" t="s">
        <v>138</v>
      </c>
      <c r="G49" s="54" t="s">
        <v>36</v>
      </c>
      <c r="H49" s="54">
        <f>STOCK[[#This Row],[Precio Final]]</f>
        <v>25</v>
      </c>
      <c r="I49" s="54">
        <f>STOCK[[#This Row],[Precio Venta Ideal (x1.5)]]</f>
        <v>26.18833333333335</v>
      </c>
      <c r="J49" s="70">
        <v>1</v>
      </c>
      <c r="K49" s="70">
        <f>SUMIFS(VENTAS[Cantidad],VENTAS[Código del producto Vendido],STOCK[[#This Row],[Code]])</f>
        <v>0</v>
      </c>
      <c r="L49" s="70">
        <f>STOCK[[#This Row],[Entradas]]-STOCK[[#This Row],[Salidas]]</f>
        <v>1</v>
      </c>
      <c r="M49" s="54">
        <f>STOCK[[#This Row],[Precio Final]]*10%</f>
        <v>2.5</v>
      </c>
      <c r="N49" s="54">
        <v>205</v>
      </c>
      <c r="O49" s="54">
        <v>18</v>
      </c>
      <c r="P49" s="54">
        <v>11.3888888888889</v>
      </c>
      <c r="Q49" s="70">
        <v>210</v>
      </c>
      <c r="R49" s="54">
        <v>17</v>
      </c>
      <c r="S49" s="54">
        <f>STOCK[[#This Row],[Peso (g)]]*STOCK[[#This Row],[Precio Envío Kilogramo (USD)]]/1000</f>
        <v>3.57</v>
      </c>
      <c r="T49" s="53">
        <f>STOCK[[#This Row],[Costo Unitario (USD)]]+STOCK[[#This Row],[Costo Envío (USD)]]+STOCK[[#This Row],[Comisión 10%]]</f>
        <v>17.4588888888889</v>
      </c>
      <c r="U49" s="54">
        <f>STOCK[[#This Row],[Costo total]]*1.5</f>
        <v>26.18833333333335</v>
      </c>
      <c r="V49" s="54">
        <v>25</v>
      </c>
      <c r="W49" s="54">
        <f>STOCK[[#This Row],[Precio Final]]-STOCK[[#This Row],[Costo total]]</f>
        <v>7.5411111111110998</v>
      </c>
      <c r="X49" s="54">
        <f>STOCK[[#This Row],[Ganancia Unitaria]]*STOCK[[#This Row],[Salidas]]</f>
        <v>0</v>
      </c>
      <c r="AA49" s="54">
        <f>STOCK[[#This Row],[Costo total]]*STOCK[[#This Row],[Entradas]]</f>
        <v>17.4588888888889</v>
      </c>
      <c r="AB49" s="54">
        <f>STOCK[[#This Row],[Stock Actual]]*STOCK[[#This Row],[Costo total]]</f>
        <v>17.4588888888889</v>
      </c>
    </row>
    <row r="50" spans="1:29" s="53" customFormat="1" ht="50" customHeight="1">
      <c r="A50" s="53" t="s">
        <v>139</v>
      </c>
      <c r="B50" s="64"/>
      <c r="C50" s="53" t="s">
        <v>32</v>
      </c>
      <c r="D50" s="53" t="s">
        <v>125</v>
      </c>
      <c r="E50" s="65" t="s">
        <v>140</v>
      </c>
      <c r="F50" s="53" t="s">
        <v>141</v>
      </c>
      <c r="G50" s="53" t="s">
        <v>36</v>
      </c>
      <c r="H50" s="53">
        <f>STOCK[[#This Row],[Precio Final]]</f>
        <v>20</v>
      </c>
      <c r="I50" s="53">
        <f>STOCK[[#This Row],[Precio Venta Ideal (x1.5)]]</f>
        <v>22.2075</v>
      </c>
      <c r="J50" s="69">
        <v>1</v>
      </c>
      <c r="K50" s="69">
        <f>SUMIFS(VENTAS[Cantidad],VENTAS[Código del producto Vendido],STOCK[[#This Row],[Code]])</f>
        <v>1</v>
      </c>
      <c r="L50" s="69">
        <f>STOCK[[#This Row],[Entradas]]-STOCK[[#This Row],[Salidas]]</f>
        <v>0</v>
      </c>
      <c r="M50" s="53">
        <f>STOCK[[#This Row],[Precio Final]]*10%</f>
        <v>2</v>
      </c>
      <c r="N50" s="53">
        <v>180</v>
      </c>
      <c r="O50" s="53">
        <v>18</v>
      </c>
      <c r="P50" s="53">
        <v>10</v>
      </c>
      <c r="Q50" s="69">
        <v>165</v>
      </c>
      <c r="R50" s="53">
        <v>17</v>
      </c>
      <c r="S50" s="53">
        <f>STOCK[[#This Row],[Peso (g)]]*STOCK[[#This Row],[Precio Envío Kilogramo (USD)]]/1000</f>
        <v>2.8050000000000002</v>
      </c>
      <c r="T50" s="53">
        <f>STOCK[[#This Row],[Costo Unitario (USD)]]+STOCK[[#This Row],[Costo Envío (USD)]]+STOCK[[#This Row],[Comisión 10%]]</f>
        <v>14.805</v>
      </c>
      <c r="U50" s="53">
        <f>STOCK[[#This Row],[Costo total]]*1.5</f>
        <v>22.2075</v>
      </c>
      <c r="V50" s="53">
        <v>20</v>
      </c>
      <c r="W50" s="53">
        <f>STOCK[[#This Row],[Precio Final]]-STOCK[[#This Row],[Costo total]]</f>
        <v>5.1950000000000003</v>
      </c>
      <c r="X50" s="53">
        <f>STOCK[[#This Row],[Ganancia Unitaria]]*STOCK[[#This Row],[Salidas]]</f>
        <v>5.1950000000000003</v>
      </c>
      <c r="AA50" s="53">
        <f>STOCK[[#This Row],[Costo total]]*STOCK[[#This Row],[Entradas]]</f>
        <v>14.805</v>
      </c>
      <c r="AB50" s="53">
        <f>STOCK[[#This Row],[Stock Actual]]*STOCK[[#This Row],[Costo total]]</f>
        <v>0</v>
      </c>
    </row>
    <row r="51" spans="1:29" s="54" customFormat="1" ht="50" customHeight="1">
      <c r="B51" s="64"/>
      <c r="E51" s="66"/>
      <c r="F51" s="53"/>
      <c r="J51" s="70"/>
      <c r="K51" s="70"/>
      <c r="L51" s="70"/>
      <c r="Q51" s="70"/>
      <c r="T51" s="53"/>
    </row>
    <row r="52" spans="1:29" s="53" customFormat="1" ht="50" customHeight="1">
      <c r="A52" s="53" t="s">
        <v>142</v>
      </c>
      <c r="B52" s="64"/>
      <c r="C52" s="53" t="s">
        <v>32</v>
      </c>
      <c r="D52" s="53" t="s">
        <v>132</v>
      </c>
      <c r="E52" s="65" t="s">
        <v>143</v>
      </c>
      <c r="F52" s="53" t="s">
        <v>144</v>
      </c>
      <c r="G52" s="53" t="s">
        <v>36</v>
      </c>
      <c r="H52" s="53">
        <f>STOCK[[#This Row],[Precio Final]]</f>
        <v>20</v>
      </c>
      <c r="I52" s="53">
        <f>STOCK[[#This Row],[Precio Venta Ideal (x1.5)]]</f>
        <v>19.903333333333332</v>
      </c>
      <c r="J52" s="69">
        <v>1</v>
      </c>
      <c r="K52" s="69">
        <f>SUMIFS(VENTAS[Cantidad],VENTAS[Código del producto Vendido],STOCK[[#This Row],[Code]])</f>
        <v>0</v>
      </c>
      <c r="L52" s="69">
        <f>STOCK[[#This Row],[Entradas]]-STOCK[[#This Row],[Salidas]]</f>
        <v>1</v>
      </c>
      <c r="M52" s="53">
        <f>STOCK[[#This Row],[Precio Final]]*10%</f>
        <v>2</v>
      </c>
      <c r="N52" s="53">
        <v>160</v>
      </c>
      <c r="O52" s="53">
        <v>18</v>
      </c>
      <c r="P52" s="53">
        <v>8.8888888888888893</v>
      </c>
      <c r="Q52" s="69">
        <v>140</v>
      </c>
      <c r="R52" s="53">
        <v>17</v>
      </c>
      <c r="S52" s="53">
        <f>STOCK[[#This Row],[Peso (g)]]*STOCK[[#This Row],[Precio Envío Kilogramo (USD)]]/1000</f>
        <v>2.38</v>
      </c>
      <c r="T52" s="53">
        <f>STOCK[[#This Row],[Costo Unitario (USD)]]+STOCK[[#This Row],[Costo Envío (USD)]]+STOCK[[#This Row],[Comisión 10%]]</f>
        <v>13.268888888888888</v>
      </c>
      <c r="U52" s="53">
        <f>STOCK[[#This Row],[Costo total]]*1.5</f>
        <v>19.903333333333332</v>
      </c>
      <c r="V52" s="53">
        <v>20</v>
      </c>
      <c r="W52" s="53">
        <f>STOCK[[#This Row],[Precio Final]]-STOCK[[#This Row],[Costo total]]</f>
        <v>6.7311111111111117</v>
      </c>
      <c r="X52" s="53">
        <f>STOCK[[#This Row],[Ganancia Unitaria]]*STOCK[[#This Row],[Salidas]]</f>
        <v>0</v>
      </c>
      <c r="AA52" s="53">
        <f>STOCK[[#This Row],[Costo total]]*STOCK[[#This Row],[Entradas]]</f>
        <v>13.268888888888888</v>
      </c>
      <c r="AB52" s="53">
        <f>STOCK[[#This Row],[Stock Actual]]*STOCK[[#This Row],[Costo total]]</f>
        <v>13.268888888888888</v>
      </c>
      <c r="AC52" s="53">
        <v>16</v>
      </c>
    </row>
    <row r="53" spans="1:29" s="54" customFormat="1" ht="50" customHeight="1">
      <c r="A53" s="54" t="s">
        <v>145</v>
      </c>
      <c r="B53" s="64"/>
      <c r="C53" s="54" t="s">
        <v>32</v>
      </c>
      <c r="D53" s="53" t="s">
        <v>132</v>
      </c>
      <c r="E53" s="66" t="s">
        <v>146</v>
      </c>
      <c r="F53" s="54" t="s">
        <v>147</v>
      </c>
      <c r="G53" s="54" t="s">
        <v>36</v>
      </c>
      <c r="H53" s="54">
        <f>STOCK[[#This Row],[Precio Final]]</f>
        <v>18</v>
      </c>
      <c r="I53" s="54">
        <f>STOCK[[#This Row],[Precio Venta Ideal (x1.5)]]</f>
        <v>20.530000000000008</v>
      </c>
      <c r="J53" s="70">
        <v>1</v>
      </c>
      <c r="K53" s="70">
        <f>SUMIFS(VENTAS[Cantidad],VENTAS[Código del producto Vendido],STOCK[[#This Row],[Code]])</f>
        <v>1</v>
      </c>
      <c r="L53" s="70">
        <f>STOCK[[#This Row],[Entradas]]-STOCK[[#This Row],[Salidas]]</f>
        <v>0</v>
      </c>
      <c r="M53" s="54">
        <f>STOCK[[#This Row],[Precio Final]]*10%</f>
        <v>1.8</v>
      </c>
      <c r="N53" s="54">
        <v>165</v>
      </c>
      <c r="O53" s="54">
        <v>18</v>
      </c>
      <c r="P53" s="54">
        <v>9.1666666666666696</v>
      </c>
      <c r="Q53" s="70">
        <v>160</v>
      </c>
      <c r="R53" s="54">
        <v>17</v>
      </c>
      <c r="S53" s="54">
        <f>STOCK[[#This Row],[Peso (g)]]*STOCK[[#This Row],[Precio Envío Kilogramo (USD)]]/1000</f>
        <v>2.72</v>
      </c>
      <c r="T53" s="53">
        <f>STOCK[[#This Row],[Costo Unitario (USD)]]+STOCK[[#This Row],[Costo Envío (USD)]]+STOCK[[#This Row],[Comisión 10%]]</f>
        <v>13.686666666666671</v>
      </c>
      <c r="U53" s="54">
        <f>STOCK[[#This Row],[Costo total]]*1.5</f>
        <v>20.530000000000008</v>
      </c>
      <c r="V53" s="54">
        <v>18</v>
      </c>
      <c r="W53" s="54">
        <f>STOCK[[#This Row],[Precio Final]]-STOCK[[#This Row],[Costo total]]</f>
        <v>4.313333333333329</v>
      </c>
      <c r="X53" s="54">
        <f>STOCK[[#This Row],[Ganancia Unitaria]]*STOCK[[#This Row],[Salidas]]</f>
        <v>4.313333333333329</v>
      </c>
      <c r="AA53" s="54">
        <f>STOCK[[#This Row],[Costo total]]*STOCK[[#This Row],[Entradas]]</f>
        <v>13.686666666666671</v>
      </c>
      <c r="AB53" s="54">
        <f>STOCK[[#This Row],[Stock Actual]]*STOCK[[#This Row],[Costo total]]</f>
        <v>0</v>
      </c>
    </row>
    <row r="54" spans="1:29" s="53" customFormat="1" ht="50" customHeight="1">
      <c r="A54" s="53" t="s">
        <v>148</v>
      </c>
      <c r="B54" s="64"/>
      <c r="C54" s="53" t="s">
        <v>32</v>
      </c>
      <c r="D54" s="53" t="s">
        <v>132</v>
      </c>
      <c r="E54" s="65" t="s">
        <v>149</v>
      </c>
      <c r="F54" s="53" t="s">
        <v>150</v>
      </c>
      <c r="G54" s="53" t="s">
        <v>36</v>
      </c>
      <c r="H54" s="53">
        <f>STOCK[[#This Row],[Precio Final]]</f>
        <v>18</v>
      </c>
      <c r="I54" s="53">
        <f>STOCK[[#This Row],[Precio Venta Ideal (x1.5)]]</f>
        <v>17.349166666666665</v>
      </c>
      <c r="J54" s="69">
        <v>1</v>
      </c>
      <c r="K54" s="69">
        <f>SUMIFS(VENTAS[Cantidad],VENTAS[Código del producto Vendido],STOCK[[#This Row],[Code]])</f>
        <v>1</v>
      </c>
      <c r="L54" s="69">
        <f>STOCK[[#This Row],[Entradas]]-STOCK[[#This Row],[Salidas]]</f>
        <v>0</v>
      </c>
      <c r="M54" s="53">
        <f>STOCK[[#This Row],[Precio Final]]*10%</f>
        <v>1.8</v>
      </c>
      <c r="N54" s="53">
        <v>110</v>
      </c>
      <c r="O54" s="53">
        <v>18</v>
      </c>
      <c r="P54" s="53">
        <v>6.1111111111111098</v>
      </c>
      <c r="Q54" s="69">
        <v>215</v>
      </c>
      <c r="R54" s="53">
        <v>17</v>
      </c>
      <c r="S54" s="53">
        <f>STOCK[[#This Row],[Peso (g)]]*STOCK[[#This Row],[Precio Envío Kilogramo (USD)]]/1000</f>
        <v>3.6549999999999998</v>
      </c>
      <c r="T54" s="53">
        <f>STOCK[[#This Row],[Costo Unitario (USD)]]+STOCK[[#This Row],[Costo Envío (USD)]]+STOCK[[#This Row],[Comisión 10%]]</f>
        <v>11.566111111111111</v>
      </c>
      <c r="U54" s="53">
        <f>STOCK[[#This Row],[Costo total]]*1.5</f>
        <v>17.349166666666665</v>
      </c>
      <c r="V54" s="53">
        <v>18</v>
      </c>
      <c r="W54" s="53">
        <f>STOCK[[#This Row],[Precio Final]]-STOCK[[#This Row],[Costo total]]</f>
        <v>6.4338888888888892</v>
      </c>
      <c r="X54" s="53">
        <f>STOCK[[#This Row],[Ganancia Unitaria]]*STOCK[[#This Row],[Salidas]]</f>
        <v>6.4338888888888892</v>
      </c>
      <c r="AA54" s="53">
        <f>STOCK[[#This Row],[Costo total]]*STOCK[[#This Row],[Entradas]]</f>
        <v>11.566111111111111</v>
      </c>
      <c r="AB54" s="53">
        <f>STOCK[[#This Row],[Stock Actual]]*STOCK[[#This Row],[Costo total]]</f>
        <v>0</v>
      </c>
    </row>
    <row r="55" spans="1:29" s="54" customFormat="1" ht="50" customHeight="1">
      <c r="A55" s="54" t="s">
        <v>151</v>
      </c>
      <c r="B55" s="64"/>
      <c r="C55" s="54" t="s">
        <v>32</v>
      </c>
      <c r="D55" s="54" t="s">
        <v>152</v>
      </c>
      <c r="E55" s="66" t="s">
        <v>153</v>
      </c>
      <c r="F55" s="54" t="s">
        <v>49</v>
      </c>
      <c r="G55" s="54" t="s">
        <v>36</v>
      </c>
      <c r="H55" s="54">
        <f>STOCK[[#This Row],[Precio Final]]</f>
        <v>30</v>
      </c>
      <c r="I55" s="54">
        <f>STOCK[[#This Row],[Precio Venta Ideal (x1.5)]]</f>
        <v>32.53</v>
      </c>
      <c r="J55" s="70">
        <v>4</v>
      </c>
      <c r="K55" s="70">
        <f>SUMIFS(VENTAS[Cantidad],VENTAS[Código del producto Vendido],STOCK[[#This Row],[Code]])</f>
        <v>4</v>
      </c>
      <c r="L55" s="70">
        <f>STOCK[[#This Row],[Entradas]]-STOCK[[#This Row],[Salidas]]</f>
        <v>0</v>
      </c>
      <c r="M55" s="54">
        <f>STOCK[[#This Row],[Precio Final]]*10%</f>
        <v>3</v>
      </c>
      <c r="N55" s="54">
        <v>165</v>
      </c>
      <c r="O55" s="54">
        <v>18</v>
      </c>
      <c r="P55" s="54">
        <v>9.1666666666666696</v>
      </c>
      <c r="Q55" s="70">
        <v>560</v>
      </c>
      <c r="R55" s="54">
        <v>17</v>
      </c>
      <c r="S55" s="54">
        <f>STOCK[[#This Row],[Peso (g)]]*STOCK[[#This Row],[Precio Envío Kilogramo (USD)]]/1000</f>
        <v>9.52</v>
      </c>
      <c r="T55" s="53">
        <f>STOCK[[#This Row],[Costo Unitario (USD)]]+STOCK[[#This Row],[Costo Envío (USD)]]+STOCK[[#This Row],[Comisión 10%]]</f>
        <v>21.686666666666667</v>
      </c>
      <c r="U55" s="54">
        <f>STOCK[[#This Row],[Costo total]]*1.5</f>
        <v>32.53</v>
      </c>
      <c r="V55" s="54">
        <v>30</v>
      </c>
      <c r="W55" s="54">
        <f>STOCK[[#This Row],[Precio Final]]-STOCK[[#This Row],[Costo total]]</f>
        <v>8.3133333333333326</v>
      </c>
      <c r="X55" s="54">
        <f>STOCK[[#This Row],[Ganancia Unitaria]]*STOCK[[#This Row],[Salidas]]</f>
        <v>33.25333333333333</v>
      </c>
      <c r="AA55" s="54">
        <f>STOCK[[#This Row],[Costo total]]*STOCK[[#This Row],[Entradas]]</f>
        <v>86.74666666666667</v>
      </c>
      <c r="AB55" s="54">
        <f>STOCK[[#This Row],[Stock Actual]]*STOCK[[#This Row],[Costo total]]</f>
        <v>0</v>
      </c>
    </row>
    <row r="56" spans="1:29" s="53" customFormat="1" ht="50" customHeight="1">
      <c r="A56" s="53" t="s">
        <v>154</v>
      </c>
      <c r="B56" s="64"/>
      <c r="C56" s="53" t="s">
        <v>32</v>
      </c>
      <c r="D56" s="53" t="s">
        <v>155</v>
      </c>
      <c r="E56" s="65" t="s">
        <v>156</v>
      </c>
      <c r="F56" s="53" t="s">
        <v>46</v>
      </c>
      <c r="G56" s="53" t="s">
        <v>36</v>
      </c>
      <c r="H56" s="53">
        <f>STOCK[[#This Row],[Precio Final]]</f>
        <v>30</v>
      </c>
      <c r="I56" s="53">
        <f>STOCK[[#This Row],[Precio Venta Ideal (x1.5)]]</f>
        <v>32.53</v>
      </c>
      <c r="J56" s="69">
        <v>3</v>
      </c>
      <c r="K56" s="69">
        <f>SUMIFS(VENTAS[Cantidad],VENTAS[Código del producto Vendido],STOCK[[#This Row],[Code]])</f>
        <v>3</v>
      </c>
      <c r="L56" s="69">
        <f>STOCK[[#This Row],[Entradas]]-STOCK[[#This Row],[Salidas]]</f>
        <v>0</v>
      </c>
      <c r="M56" s="53">
        <f>STOCK[[#This Row],[Precio Final]]*10%</f>
        <v>3</v>
      </c>
      <c r="N56" s="53">
        <v>165</v>
      </c>
      <c r="O56" s="53">
        <v>18</v>
      </c>
      <c r="P56" s="53">
        <v>9.1666666666666696</v>
      </c>
      <c r="Q56" s="69">
        <v>560</v>
      </c>
      <c r="R56" s="53">
        <v>17</v>
      </c>
      <c r="S56" s="53">
        <f>STOCK[[#This Row],[Peso (g)]]*STOCK[[#This Row],[Precio Envío Kilogramo (USD)]]/1000</f>
        <v>9.52</v>
      </c>
      <c r="T56" s="53">
        <f>STOCK[[#This Row],[Costo Unitario (USD)]]+STOCK[[#This Row],[Costo Envío (USD)]]+STOCK[[#This Row],[Comisión 10%]]</f>
        <v>21.686666666666667</v>
      </c>
      <c r="U56" s="53">
        <f>STOCK[[#This Row],[Costo total]]*1.5</f>
        <v>32.53</v>
      </c>
      <c r="V56" s="53">
        <v>30</v>
      </c>
      <c r="W56" s="53">
        <f>STOCK[[#This Row],[Precio Final]]-STOCK[[#This Row],[Costo total]]</f>
        <v>8.3133333333333326</v>
      </c>
      <c r="X56" s="53">
        <f>STOCK[[#This Row],[Ganancia Unitaria]]*STOCK[[#This Row],[Salidas]]</f>
        <v>24.939999999999998</v>
      </c>
      <c r="AA56" s="53">
        <f>STOCK[[#This Row],[Costo total]]*STOCK[[#This Row],[Entradas]]</f>
        <v>65.06</v>
      </c>
      <c r="AB56" s="53">
        <f>STOCK[[#This Row],[Stock Actual]]*STOCK[[#This Row],[Costo total]]</f>
        <v>0</v>
      </c>
    </row>
    <row r="57" spans="1:29" s="54" customFormat="1" ht="50" customHeight="1">
      <c r="A57" s="54" t="s">
        <v>157</v>
      </c>
      <c r="B57" s="64"/>
      <c r="C57" s="54" t="s">
        <v>32</v>
      </c>
      <c r="D57" s="54" t="s">
        <v>155</v>
      </c>
      <c r="E57" s="66" t="s">
        <v>156</v>
      </c>
      <c r="F57" s="54" t="s">
        <v>49</v>
      </c>
      <c r="G57" s="54" t="s">
        <v>36</v>
      </c>
      <c r="H57" s="54">
        <f>STOCK[[#This Row],[Precio Final]]</f>
        <v>30</v>
      </c>
      <c r="I57" s="54">
        <f>STOCK[[#This Row],[Precio Venta Ideal (x1.5)]]</f>
        <v>32.53</v>
      </c>
      <c r="J57" s="70">
        <v>5</v>
      </c>
      <c r="K57" s="70">
        <f>SUMIFS(VENTAS[Cantidad],VENTAS[Código del producto Vendido],STOCK[[#This Row],[Code]])</f>
        <v>5</v>
      </c>
      <c r="L57" s="70">
        <f>STOCK[[#This Row],[Entradas]]-STOCK[[#This Row],[Salidas]]</f>
        <v>0</v>
      </c>
      <c r="M57" s="54">
        <f>STOCK[[#This Row],[Precio Final]]*10%</f>
        <v>3</v>
      </c>
      <c r="N57" s="54">
        <v>165</v>
      </c>
      <c r="O57" s="54">
        <v>18</v>
      </c>
      <c r="P57" s="54">
        <v>9.1666666666666696</v>
      </c>
      <c r="Q57" s="70">
        <v>560</v>
      </c>
      <c r="R57" s="54">
        <v>17</v>
      </c>
      <c r="S57" s="54">
        <f>STOCK[[#This Row],[Peso (g)]]*STOCK[[#This Row],[Precio Envío Kilogramo (USD)]]/1000</f>
        <v>9.52</v>
      </c>
      <c r="T57" s="53">
        <f>STOCK[[#This Row],[Costo Unitario (USD)]]+STOCK[[#This Row],[Costo Envío (USD)]]+STOCK[[#This Row],[Comisión 10%]]</f>
        <v>21.686666666666667</v>
      </c>
      <c r="U57" s="54">
        <f>STOCK[[#This Row],[Costo total]]*1.5</f>
        <v>32.53</v>
      </c>
      <c r="V57" s="54">
        <v>30</v>
      </c>
      <c r="W57" s="54">
        <f>STOCK[[#This Row],[Precio Final]]-STOCK[[#This Row],[Costo total]]</f>
        <v>8.3133333333333326</v>
      </c>
      <c r="X57" s="54">
        <f>STOCK[[#This Row],[Ganancia Unitaria]]*STOCK[[#This Row],[Salidas]]</f>
        <v>41.566666666666663</v>
      </c>
      <c r="AA57" s="54">
        <f>STOCK[[#This Row],[Costo total]]*STOCK[[#This Row],[Entradas]]</f>
        <v>108.43333333333334</v>
      </c>
      <c r="AB57" s="54">
        <f>STOCK[[#This Row],[Stock Actual]]*STOCK[[#This Row],[Costo total]]</f>
        <v>0</v>
      </c>
    </row>
    <row r="58" spans="1:29" s="53" customFormat="1" ht="50" customHeight="1">
      <c r="A58" s="53" t="s">
        <v>158</v>
      </c>
      <c r="B58" s="64"/>
      <c r="C58" s="53" t="s">
        <v>32</v>
      </c>
      <c r="D58" s="53" t="s">
        <v>155</v>
      </c>
      <c r="E58" s="65" t="s">
        <v>156</v>
      </c>
      <c r="F58" s="53" t="s">
        <v>40</v>
      </c>
      <c r="G58" s="53" t="s">
        <v>36</v>
      </c>
      <c r="H58" s="53">
        <f>STOCK[[#This Row],[Precio Final]]</f>
        <v>30</v>
      </c>
      <c r="I58" s="53">
        <f>STOCK[[#This Row],[Precio Venta Ideal (x1.5)]]</f>
        <v>32.53</v>
      </c>
      <c r="J58" s="69">
        <v>3</v>
      </c>
      <c r="K58" s="69">
        <f>SUMIFS(VENTAS[Cantidad],VENTAS[Código del producto Vendido],STOCK[[#This Row],[Code]])</f>
        <v>3</v>
      </c>
      <c r="L58" s="69">
        <f>STOCK[[#This Row],[Entradas]]-STOCK[[#This Row],[Salidas]]</f>
        <v>0</v>
      </c>
      <c r="M58" s="53">
        <f>STOCK[[#This Row],[Precio Final]]*10%</f>
        <v>3</v>
      </c>
      <c r="N58" s="53">
        <v>165</v>
      </c>
      <c r="O58" s="53">
        <v>18</v>
      </c>
      <c r="P58" s="53">
        <v>9.1666666666666696</v>
      </c>
      <c r="Q58" s="69">
        <v>560</v>
      </c>
      <c r="R58" s="53">
        <v>17</v>
      </c>
      <c r="S58" s="53">
        <f>STOCK[[#This Row],[Peso (g)]]*STOCK[[#This Row],[Precio Envío Kilogramo (USD)]]/1000</f>
        <v>9.52</v>
      </c>
      <c r="T58" s="53">
        <f>STOCK[[#This Row],[Costo Unitario (USD)]]+STOCK[[#This Row],[Costo Envío (USD)]]+STOCK[[#This Row],[Comisión 10%]]</f>
        <v>21.686666666666667</v>
      </c>
      <c r="U58" s="53">
        <f>STOCK[[#This Row],[Costo total]]*1.5</f>
        <v>32.53</v>
      </c>
      <c r="V58" s="53">
        <v>30</v>
      </c>
      <c r="W58" s="53">
        <f>STOCK[[#This Row],[Precio Final]]-STOCK[[#This Row],[Costo total]]</f>
        <v>8.3133333333333326</v>
      </c>
      <c r="X58" s="53">
        <f>STOCK[[#This Row],[Ganancia Unitaria]]*STOCK[[#This Row],[Salidas]]</f>
        <v>24.939999999999998</v>
      </c>
      <c r="AA58" s="53">
        <f>STOCK[[#This Row],[Costo total]]*STOCK[[#This Row],[Entradas]]</f>
        <v>65.06</v>
      </c>
      <c r="AB58" s="53">
        <f>STOCK[[#This Row],[Stock Actual]]*STOCK[[#This Row],[Costo total]]</f>
        <v>0</v>
      </c>
    </row>
    <row r="59" spans="1:29" s="54" customFormat="1" ht="50" customHeight="1">
      <c r="A59" s="54" t="s">
        <v>159</v>
      </c>
      <c r="B59" s="64"/>
      <c r="C59" s="54" t="s">
        <v>32</v>
      </c>
      <c r="D59" s="54" t="s">
        <v>38</v>
      </c>
      <c r="E59" s="66" t="s">
        <v>74</v>
      </c>
      <c r="F59" s="54" t="s">
        <v>62</v>
      </c>
      <c r="G59" s="54" t="s">
        <v>36</v>
      </c>
      <c r="H59" s="54">
        <f>STOCK[[#This Row],[Precio Final]]</f>
        <v>25</v>
      </c>
      <c r="I59" s="54">
        <f>STOCK[[#This Row],[Precio Venta Ideal (x1.5)]]</f>
        <v>31.213333333333352</v>
      </c>
      <c r="J59" s="70">
        <v>1</v>
      </c>
      <c r="K59" s="70">
        <f>SUMIFS(VENTAS[Cantidad],VENTAS[Código del producto Vendido],STOCK[[#This Row],[Code]])</f>
        <v>1</v>
      </c>
      <c r="L59" s="70">
        <f>STOCK[[#This Row],[Entradas]]-STOCK[[#This Row],[Salidas]]</f>
        <v>0</v>
      </c>
      <c r="M59" s="54">
        <f>STOCK[[#This Row],[Precio Final]]*10%</f>
        <v>2.5</v>
      </c>
      <c r="N59" s="54">
        <v>250</v>
      </c>
      <c r="O59" s="54">
        <v>18</v>
      </c>
      <c r="P59" s="54">
        <v>13.8888888888889</v>
      </c>
      <c r="Q59" s="70">
        <v>260</v>
      </c>
      <c r="R59" s="54">
        <v>17</v>
      </c>
      <c r="S59" s="54">
        <f>STOCK[[#This Row],[Peso (g)]]*STOCK[[#This Row],[Precio Envío Kilogramo (USD)]]/1000</f>
        <v>4.42</v>
      </c>
      <c r="T59" s="53">
        <f>STOCK[[#This Row],[Costo Unitario (USD)]]+STOCK[[#This Row],[Costo Envío (USD)]]+STOCK[[#This Row],[Comisión 10%]]</f>
        <v>20.808888888888902</v>
      </c>
      <c r="U59" s="54">
        <f>STOCK[[#This Row],[Costo total]]*1.5</f>
        <v>31.213333333333352</v>
      </c>
      <c r="V59" s="54">
        <v>25</v>
      </c>
      <c r="W59" s="54">
        <f>STOCK[[#This Row],[Precio Final]]-STOCK[[#This Row],[Costo total]]</f>
        <v>4.1911111111110984</v>
      </c>
      <c r="X59" s="54">
        <f>STOCK[[#This Row],[Ganancia Unitaria]]*STOCK[[#This Row],[Salidas]]</f>
        <v>4.1911111111110984</v>
      </c>
      <c r="AA59" s="54">
        <f>STOCK[[#This Row],[Costo total]]*STOCK[[#This Row],[Entradas]]</f>
        <v>20.808888888888902</v>
      </c>
      <c r="AB59" s="54">
        <f>STOCK[[#This Row],[Stock Actual]]*STOCK[[#This Row],[Costo total]]</f>
        <v>0</v>
      </c>
    </row>
    <row r="60" spans="1:29" s="53" customFormat="1" ht="50" customHeight="1">
      <c r="A60" s="53" t="s">
        <v>160</v>
      </c>
      <c r="B60" s="64"/>
      <c r="C60" s="53" t="s">
        <v>32</v>
      </c>
      <c r="D60" s="53" t="s">
        <v>132</v>
      </c>
      <c r="E60" s="65" t="s">
        <v>161</v>
      </c>
      <c r="F60" s="53" t="s">
        <v>147</v>
      </c>
      <c r="G60" s="53" t="s">
        <v>36</v>
      </c>
      <c r="H60" s="53">
        <f>STOCK[[#This Row],[Precio Final]]</f>
        <v>18</v>
      </c>
      <c r="I60" s="53">
        <f>STOCK[[#This Row],[Precio Venta Ideal (x1.5)]]</f>
        <v>20.020000000000007</v>
      </c>
      <c r="J60" s="69">
        <v>1</v>
      </c>
      <c r="K60" s="69">
        <f>SUMIFS(VENTAS[Cantidad],VENTAS[Código del producto Vendido],STOCK[[#This Row],[Code]])</f>
        <v>1</v>
      </c>
      <c r="L60" s="69">
        <f>STOCK[[#This Row],[Entradas]]-STOCK[[#This Row],[Salidas]]</f>
        <v>0</v>
      </c>
      <c r="M60" s="53">
        <f>STOCK[[#This Row],[Precio Final]]*10%</f>
        <v>1.8</v>
      </c>
      <c r="N60" s="53">
        <v>165</v>
      </c>
      <c r="O60" s="53">
        <v>18</v>
      </c>
      <c r="P60" s="53">
        <v>9.1666666666666696</v>
      </c>
      <c r="Q60" s="69">
        <v>140</v>
      </c>
      <c r="R60" s="53">
        <v>17</v>
      </c>
      <c r="S60" s="53">
        <f>STOCK[[#This Row],[Peso (g)]]*STOCK[[#This Row],[Precio Envío Kilogramo (USD)]]/1000</f>
        <v>2.38</v>
      </c>
      <c r="T60" s="53">
        <f>STOCK[[#This Row],[Costo Unitario (USD)]]+STOCK[[#This Row],[Costo Envío (USD)]]+STOCK[[#This Row],[Comisión 10%]]</f>
        <v>13.346666666666671</v>
      </c>
      <c r="U60" s="53">
        <f>STOCK[[#This Row],[Costo total]]*1.5</f>
        <v>20.020000000000007</v>
      </c>
      <c r="V60" s="53">
        <v>18</v>
      </c>
      <c r="W60" s="53">
        <f>STOCK[[#This Row],[Precio Final]]-STOCK[[#This Row],[Costo total]]</f>
        <v>4.6533333333333289</v>
      </c>
      <c r="X60" s="53">
        <f>STOCK[[#This Row],[Ganancia Unitaria]]*STOCK[[#This Row],[Salidas]]</f>
        <v>4.6533333333333289</v>
      </c>
      <c r="AA60" s="53">
        <f>STOCK[[#This Row],[Costo total]]*STOCK[[#This Row],[Entradas]]</f>
        <v>13.346666666666671</v>
      </c>
      <c r="AB60" s="53">
        <f>STOCK[[#This Row],[Stock Actual]]*STOCK[[#This Row],[Costo total]]</f>
        <v>0</v>
      </c>
    </row>
    <row r="61" spans="1:29" s="54" customFormat="1" ht="50" customHeight="1">
      <c r="A61" s="54" t="s">
        <v>162</v>
      </c>
      <c r="B61" s="64"/>
      <c r="C61" s="54" t="s">
        <v>32</v>
      </c>
      <c r="D61" s="54" t="s">
        <v>103</v>
      </c>
      <c r="E61" s="66" t="s">
        <v>163</v>
      </c>
      <c r="F61" s="54" t="s">
        <v>62</v>
      </c>
      <c r="G61" s="54" t="s">
        <v>36</v>
      </c>
      <c r="H61" s="54">
        <f>STOCK[[#This Row],[Precio Final]]</f>
        <v>20</v>
      </c>
      <c r="I61" s="54">
        <f>STOCK[[#This Row],[Precio Venta Ideal (x1.5)]]</f>
        <v>22.114166666666698</v>
      </c>
      <c r="J61" s="70">
        <v>1</v>
      </c>
      <c r="K61" s="70">
        <f>SUMIFS(VENTAS[Cantidad],VENTAS[Código del producto Vendido],STOCK[[#This Row],[Code]])</f>
        <v>1</v>
      </c>
      <c r="L61" s="70">
        <f>STOCK[[#This Row],[Entradas]]-STOCK[[#This Row],[Salidas]]</f>
        <v>0</v>
      </c>
      <c r="M61" s="54">
        <f>STOCK[[#This Row],[Precio Final]]*10%</f>
        <v>2</v>
      </c>
      <c r="N61" s="54">
        <v>185</v>
      </c>
      <c r="O61" s="54">
        <v>18</v>
      </c>
      <c r="P61" s="54">
        <v>10.2777777777778</v>
      </c>
      <c r="Q61" s="70">
        <v>145</v>
      </c>
      <c r="R61" s="54">
        <v>17</v>
      </c>
      <c r="S61" s="54">
        <f>STOCK[[#This Row],[Peso (g)]]*STOCK[[#This Row],[Precio Envío Kilogramo (USD)]]/1000</f>
        <v>2.4649999999999999</v>
      </c>
      <c r="T61" s="53">
        <f>STOCK[[#This Row],[Costo Unitario (USD)]]+STOCK[[#This Row],[Costo Envío (USD)]]+STOCK[[#This Row],[Comisión 10%]]</f>
        <v>14.7427777777778</v>
      </c>
      <c r="U61" s="54">
        <f>STOCK[[#This Row],[Costo total]]*1.5</f>
        <v>22.114166666666698</v>
      </c>
      <c r="V61" s="54">
        <v>20</v>
      </c>
      <c r="W61" s="54">
        <f>STOCK[[#This Row],[Precio Final]]-STOCK[[#This Row],[Costo total]]</f>
        <v>5.2572222222222003</v>
      </c>
      <c r="X61" s="54">
        <f>STOCK[[#This Row],[Ganancia Unitaria]]*STOCK[[#This Row],[Salidas]]</f>
        <v>5.2572222222222003</v>
      </c>
      <c r="AA61" s="54">
        <f>STOCK[[#This Row],[Costo total]]*STOCK[[#This Row],[Entradas]]</f>
        <v>14.7427777777778</v>
      </c>
      <c r="AB61" s="54">
        <f>STOCK[[#This Row],[Stock Actual]]*STOCK[[#This Row],[Costo total]]</f>
        <v>0</v>
      </c>
    </row>
    <row r="62" spans="1:29" s="53" customFormat="1" ht="50" customHeight="1">
      <c r="A62" s="53" t="s">
        <v>164</v>
      </c>
      <c r="B62" s="64"/>
      <c r="C62" s="53" t="s">
        <v>32</v>
      </c>
      <c r="D62" s="53" t="s">
        <v>136</v>
      </c>
      <c r="E62" s="65" t="s">
        <v>165</v>
      </c>
      <c r="F62" s="53" t="s">
        <v>141</v>
      </c>
      <c r="G62" s="53" t="s">
        <v>36</v>
      </c>
      <c r="H62" s="53">
        <f>STOCK[[#This Row],[Precio Final]]</f>
        <v>20</v>
      </c>
      <c r="I62" s="53">
        <f>STOCK[[#This Row],[Precio Venta Ideal (x1.5)]]</f>
        <v>21.66333333333333</v>
      </c>
      <c r="J62" s="69">
        <v>1</v>
      </c>
      <c r="K62" s="69">
        <f>SUMIFS(VENTAS[Cantidad],VENTAS[Código del producto Vendido],STOCK[[#This Row],[Code]])</f>
        <v>1</v>
      </c>
      <c r="L62" s="69">
        <f>STOCK[[#This Row],[Entradas]]-STOCK[[#This Row],[Salidas]]</f>
        <v>0</v>
      </c>
      <c r="M62" s="53">
        <f>STOCK[[#This Row],[Precio Final]]*10%</f>
        <v>2</v>
      </c>
      <c r="N62" s="53">
        <v>175</v>
      </c>
      <c r="O62" s="53">
        <v>18</v>
      </c>
      <c r="P62" s="53">
        <v>9.7222222222222197</v>
      </c>
      <c r="Q62" s="69">
        <v>160</v>
      </c>
      <c r="R62" s="53">
        <v>17</v>
      </c>
      <c r="S62" s="53">
        <f>STOCK[[#This Row],[Peso (g)]]*STOCK[[#This Row],[Precio Envío Kilogramo (USD)]]/1000</f>
        <v>2.72</v>
      </c>
      <c r="T62" s="53">
        <f>STOCK[[#This Row],[Costo Unitario (USD)]]+STOCK[[#This Row],[Costo Envío (USD)]]+STOCK[[#This Row],[Comisión 10%]]</f>
        <v>14.44222222222222</v>
      </c>
      <c r="U62" s="53">
        <f>STOCK[[#This Row],[Costo total]]*1.5</f>
        <v>21.66333333333333</v>
      </c>
      <c r="V62" s="53">
        <v>20</v>
      </c>
      <c r="W62" s="53">
        <f>STOCK[[#This Row],[Precio Final]]-STOCK[[#This Row],[Costo total]]</f>
        <v>5.5577777777777797</v>
      </c>
      <c r="X62" s="53">
        <f>STOCK[[#This Row],[Ganancia Unitaria]]*STOCK[[#This Row],[Salidas]]</f>
        <v>5.5577777777777797</v>
      </c>
      <c r="AA62" s="53">
        <f>STOCK[[#This Row],[Costo total]]*STOCK[[#This Row],[Entradas]]</f>
        <v>14.44222222222222</v>
      </c>
      <c r="AB62" s="53">
        <f>STOCK[[#This Row],[Stock Actual]]*STOCK[[#This Row],[Costo total]]</f>
        <v>0</v>
      </c>
    </row>
    <row r="63" spans="1:29" s="54" customFormat="1" ht="50" customHeight="1">
      <c r="A63" s="54" t="s">
        <v>166</v>
      </c>
      <c r="B63" s="64"/>
      <c r="C63" s="54" t="s">
        <v>32</v>
      </c>
      <c r="D63" s="54" t="s">
        <v>44</v>
      </c>
      <c r="E63" s="66" t="s">
        <v>167</v>
      </c>
      <c r="F63" s="54" t="s">
        <v>62</v>
      </c>
      <c r="G63" s="54" t="s">
        <v>36</v>
      </c>
      <c r="H63" s="54">
        <f>STOCK[[#This Row],[Precio Final]]</f>
        <v>25</v>
      </c>
      <c r="I63" s="54">
        <f>STOCK[[#This Row],[Precio Venta Ideal (x1.5)]]</f>
        <v>29.733333333333302</v>
      </c>
      <c r="J63" s="70">
        <v>1</v>
      </c>
      <c r="K63" s="70">
        <f>SUMIFS(VENTAS[Cantidad],VENTAS[Código del producto Vendido],STOCK[[#This Row],[Code]])</f>
        <v>1</v>
      </c>
      <c r="L63" s="70">
        <f>STOCK[[#This Row],[Entradas]]-STOCK[[#This Row],[Salidas]]</f>
        <v>0</v>
      </c>
      <c r="M63" s="54">
        <f>STOCK[[#This Row],[Precio Final]]*10%</f>
        <v>2.5</v>
      </c>
      <c r="N63" s="54">
        <v>265</v>
      </c>
      <c r="O63" s="54">
        <v>18</v>
      </c>
      <c r="P63" s="54">
        <v>14.7222222222222</v>
      </c>
      <c r="Q63" s="70">
        <v>325</v>
      </c>
      <c r="R63" s="54">
        <v>8</v>
      </c>
      <c r="S63" s="54">
        <f>STOCK[[#This Row],[Peso (g)]]*STOCK[[#This Row],[Precio Envío Kilogramo (USD)]]/1000</f>
        <v>2.6</v>
      </c>
      <c r="T63" s="53">
        <f>STOCK[[#This Row],[Costo Unitario (USD)]]+STOCK[[#This Row],[Costo Envío (USD)]]+STOCK[[#This Row],[Comisión 10%]]</f>
        <v>19.822222222222202</v>
      </c>
      <c r="U63" s="54">
        <f>STOCK[[#This Row],[Costo total]]*1.5</f>
        <v>29.733333333333302</v>
      </c>
      <c r="V63" s="54">
        <v>25</v>
      </c>
      <c r="W63" s="54">
        <f>STOCK[[#This Row],[Precio Final]]-STOCK[[#This Row],[Costo total]]</f>
        <v>5.1777777777777985</v>
      </c>
      <c r="X63" s="54">
        <f>STOCK[[#This Row],[Ganancia Unitaria]]*STOCK[[#This Row],[Salidas]]</f>
        <v>5.1777777777777985</v>
      </c>
      <c r="Y63" s="54" t="s">
        <v>168</v>
      </c>
      <c r="AA63" s="54">
        <f>STOCK[[#This Row],[Costo total]]*STOCK[[#This Row],[Entradas]]</f>
        <v>19.822222222222202</v>
      </c>
      <c r="AB63" s="54">
        <f>STOCK[[#This Row],[Stock Actual]]*STOCK[[#This Row],[Costo total]]</f>
        <v>0</v>
      </c>
    </row>
    <row r="64" spans="1:29" s="53" customFormat="1" ht="50" customHeight="1">
      <c r="A64" s="53" t="s">
        <v>169</v>
      </c>
      <c r="B64" s="64"/>
      <c r="C64" s="53" t="s">
        <v>32</v>
      </c>
      <c r="D64" s="53" t="s">
        <v>44</v>
      </c>
      <c r="E64" s="65" t="s">
        <v>170</v>
      </c>
      <c r="F64" s="53" t="s">
        <v>62</v>
      </c>
      <c r="G64" s="53" t="s">
        <v>36</v>
      </c>
      <c r="H64" s="53">
        <f>STOCK[[#This Row],[Precio Final]]</f>
        <v>30</v>
      </c>
      <c r="I64" s="53">
        <f>STOCK[[#This Row],[Precio Venta Ideal (x1.5)]]</f>
        <v>35.783333333333402</v>
      </c>
      <c r="J64" s="69">
        <v>1</v>
      </c>
      <c r="K64" s="69">
        <f>SUMIFS(VENTAS[Cantidad],VENTAS[Código del producto Vendido],STOCK[[#This Row],[Code]])</f>
        <v>1</v>
      </c>
      <c r="L64" s="69">
        <f>STOCK[[#This Row],[Entradas]]-STOCK[[#This Row],[Salidas]]</f>
        <v>0</v>
      </c>
      <c r="M64" s="53">
        <f>STOCK[[#This Row],[Precio Final]]*10%</f>
        <v>3</v>
      </c>
      <c r="N64" s="53">
        <v>325</v>
      </c>
      <c r="O64" s="53">
        <v>18</v>
      </c>
      <c r="P64" s="53">
        <v>18.0555555555556</v>
      </c>
      <c r="Q64" s="69">
        <v>350</v>
      </c>
      <c r="R64" s="53">
        <v>8</v>
      </c>
      <c r="S64" s="53">
        <f>STOCK[[#This Row],[Peso (g)]]*STOCK[[#This Row],[Precio Envío Kilogramo (USD)]]/1000</f>
        <v>2.8</v>
      </c>
      <c r="T64" s="53">
        <f>STOCK[[#This Row],[Costo Unitario (USD)]]+STOCK[[#This Row],[Costo Envío (USD)]]+STOCK[[#This Row],[Comisión 10%]]</f>
        <v>23.8555555555556</v>
      </c>
      <c r="U64" s="53">
        <f>STOCK[[#This Row],[Costo total]]*1.5</f>
        <v>35.783333333333402</v>
      </c>
      <c r="V64" s="53">
        <v>30</v>
      </c>
      <c r="W64" s="53">
        <f>STOCK[[#This Row],[Precio Final]]-STOCK[[#This Row],[Costo total]]</f>
        <v>6.1444444444443995</v>
      </c>
      <c r="X64" s="53">
        <f>STOCK[[#This Row],[Ganancia Unitaria]]*STOCK[[#This Row],[Salidas]]</f>
        <v>6.1444444444443995</v>
      </c>
      <c r="Y64" s="53" t="s">
        <v>168</v>
      </c>
      <c r="AA64" s="53">
        <f>STOCK[[#This Row],[Costo total]]*STOCK[[#This Row],[Entradas]]</f>
        <v>23.8555555555556</v>
      </c>
      <c r="AB64" s="53">
        <f>STOCK[[#This Row],[Stock Actual]]*STOCK[[#This Row],[Costo total]]</f>
        <v>0</v>
      </c>
    </row>
    <row r="65" spans="1:28" s="54" customFormat="1" ht="50" customHeight="1">
      <c r="A65" s="54" t="s">
        <v>171</v>
      </c>
      <c r="B65" s="64"/>
      <c r="C65" s="54" t="s">
        <v>32</v>
      </c>
      <c r="D65" s="54" t="s">
        <v>44</v>
      </c>
      <c r="E65" s="66" t="s">
        <v>172</v>
      </c>
      <c r="F65" s="54" t="s">
        <v>62</v>
      </c>
      <c r="G65" s="54" t="s">
        <v>36</v>
      </c>
      <c r="H65" s="54">
        <f>STOCK[[#This Row],[Precio Final]]</f>
        <v>30</v>
      </c>
      <c r="I65" s="54">
        <f>STOCK[[#This Row],[Precio Venta Ideal (x1.5)]]</f>
        <v>30.900000000000002</v>
      </c>
      <c r="J65" s="70">
        <v>1</v>
      </c>
      <c r="K65" s="70">
        <f>SUMIFS(VENTAS[Cantidad],VENTAS[Código del producto Vendido],STOCK[[#This Row],[Code]])</f>
        <v>1</v>
      </c>
      <c r="L65" s="70">
        <f>STOCK[[#This Row],[Entradas]]-STOCK[[#This Row],[Salidas]]</f>
        <v>0</v>
      </c>
      <c r="M65" s="54">
        <f>STOCK[[#This Row],[Precio Final]]*10%</f>
        <v>3</v>
      </c>
      <c r="N65" s="54">
        <v>270</v>
      </c>
      <c r="O65" s="54">
        <v>18</v>
      </c>
      <c r="P65" s="54">
        <v>15</v>
      </c>
      <c r="Q65" s="70">
        <v>325</v>
      </c>
      <c r="R65" s="54">
        <v>8</v>
      </c>
      <c r="S65" s="54">
        <f>STOCK[[#This Row],[Peso (g)]]*STOCK[[#This Row],[Precio Envío Kilogramo (USD)]]/1000</f>
        <v>2.6</v>
      </c>
      <c r="T65" s="53">
        <f>STOCK[[#This Row],[Costo Unitario (USD)]]+STOCK[[#This Row],[Costo Envío (USD)]]+STOCK[[#This Row],[Comisión 10%]]</f>
        <v>20.6</v>
      </c>
      <c r="U65" s="54">
        <f>STOCK[[#This Row],[Costo total]]*1.5</f>
        <v>30.900000000000002</v>
      </c>
      <c r="V65" s="54">
        <v>30</v>
      </c>
      <c r="W65" s="54">
        <f>STOCK[[#This Row],[Precio Final]]-STOCK[[#This Row],[Costo total]]</f>
        <v>9.3999999999999986</v>
      </c>
      <c r="X65" s="54">
        <f>STOCK[[#This Row],[Ganancia Unitaria]]*STOCK[[#This Row],[Salidas]]</f>
        <v>9.3999999999999986</v>
      </c>
      <c r="Y65" s="54" t="s">
        <v>168</v>
      </c>
      <c r="AA65" s="54">
        <f>STOCK[[#This Row],[Costo total]]*STOCK[[#This Row],[Entradas]]</f>
        <v>20.6</v>
      </c>
      <c r="AB65" s="54">
        <f>STOCK[[#This Row],[Stock Actual]]*STOCK[[#This Row],[Costo total]]</f>
        <v>0</v>
      </c>
    </row>
    <row r="66" spans="1:28" s="53" customFormat="1" ht="50" customHeight="1">
      <c r="A66" s="53" t="s">
        <v>173</v>
      </c>
      <c r="B66" s="64"/>
      <c r="C66" s="53" t="s">
        <v>32</v>
      </c>
      <c r="D66" s="53" t="s">
        <v>174</v>
      </c>
      <c r="E66" s="65" t="s">
        <v>175</v>
      </c>
      <c r="F66" s="53" t="s">
        <v>49</v>
      </c>
      <c r="G66" s="53" t="s">
        <v>36</v>
      </c>
      <c r="H66" s="53">
        <f>STOCK[[#This Row],[Precio Final]]</f>
        <v>12</v>
      </c>
      <c r="I66" s="53">
        <f>STOCK[[#This Row],[Precio Venta Ideal (x1.5)]]</f>
        <v>12.130000000000004</v>
      </c>
      <c r="J66" s="69">
        <v>1</v>
      </c>
      <c r="K66" s="69">
        <f>SUMIFS(VENTAS[Cantidad],VENTAS[Código del producto Vendido],STOCK[[#This Row],[Code]])</f>
        <v>1</v>
      </c>
      <c r="L66" s="69">
        <f>STOCK[[#This Row],[Entradas]]-STOCK[[#This Row],[Salidas]]</f>
        <v>0</v>
      </c>
      <c r="M66" s="53">
        <f>STOCK[[#This Row],[Precio Final]]*10%</f>
        <v>1.2000000000000002</v>
      </c>
      <c r="N66" s="53">
        <v>111</v>
      </c>
      <c r="O66" s="53">
        <v>18</v>
      </c>
      <c r="P66" s="53">
        <v>6.1666666666666696</v>
      </c>
      <c r="Q66" s="69">
        <v>90</v>
      </c>
      <c r="R66" s="53">
        <v>8</v>
      </c>
      <c r="S66" s="53">
        <f>STOCK[[#This Row],[Peso (g)]]*STOCK[[#This Row],[Precio Envío Kilogramo (USD)]]/1000</f>
        <v>0.72</v>
      </c>
      <c r="T66" s="53">
        <f>STOCK[[#This Row],[Costo Unitario (USD)]]+STOCK[[#This Row],[Costo Envío (USD)]]+STOCK[[#This Row],[Comisión 10%]]</f>
        <v>8.0866666666666696</v>
      </c>
      <c r="U66" s="53">
        <f>STOCK[[#This Row],[Costo total]]*1.5</f>
        <v>12.130000000000004</v>
      </c>
      <c r="V66" s="53">
        <v>12</v>
      </c>
      <c r="W66" s="53">
        <f>STOCK[[#This Row],[Precio Final]]-STOCK[[#This Row],[Costo total]]</f>
        <v>3.9133333333333304</v>
      </c>
      <c r="X66" s="53">
        <f>STOCK[[#This Row],[Ganancia Unitaria]]*STOCK[[#This Row],[Salidas]]</f>
        <v>3.9133333333333304</v>
      </c>
      <c r="Y66" s="53" t="s">
        <v>168</v>
      </c>
      <c r="AA66" s="53">
        <f>STOCK[[#This Row],[Costo total]]*STOCK[[#This Row],[Entradas]]</f>
        <v>8.0866666666666696</v>
      </c>
      <c r="AB66" s="53">
        <f>STOCK[[#This Row],[Stock Actual]]*STOCK[[#This Row],[Costo total]]</f>
        <v>0</v>
      </c>
    </row>
    <row r="67" spans="1:28" s="54" customFormat="1" ht="50" customHeight="1">
      <c r="A67" s="54" t="s">
        <v>176</v>
      </c>
      <c r="B67" s="64"/>
      <c r="C67" s="54" t="s">
        <v>32</v>
      </c>
      <c r="D67" s="54" t="s">
        <v>44</v>
      </c>
      <c r="E67" s="66" t="s">
        <v>177</v>
      </c>
      <c r="F67" s="54" t="s">
        <v>62</v>
      </c>
      <c r="G67" s="54" t="s">
        <v>36</v>
      </c>
      <c r="H67" s="54">
        <f>STOCK[[#This Row],[Precio Final]]</f>
        <v>28</v>
      </c>
      <c r="I67" s="54">
        <f>STOCK[[#This Row],[Precio Venta Ideal (x1.5)]]</f>
        <v>29.353333333333349</v>
      </c>
      <c r="J67" s="70">
        <v>1</v>
      </c>
      <c r="K67" s="70">
        <f>SUMIFS(VENTAS[Cantidad],VENTAS[Código del producto Vendido],STOCK[[#This Row],[Code]])</f>
        <v>1</v>
      </c>
      <c r="L67" s="70">
        <f>STOCK[[#This Row],[Entradas]]-STOCK[[#This Row],[Salidas]]</f>
        <v>0</v>
      </c>
      <c r="M67" s="54">
        <f>STOCK[[#This Row],[Precio Final]]*10%</f>
        <v>2.8000000000000003</v>
      </c>
      <c r="N67" s="54">
        <v>250</v>
      </c>
      <c r="O67" s="54">
        <v>18</v>
      </c>
      <c r="P67" s="54">
        <v>13.8888888888889</v>
      </c>
      <c r="Q67" s="70">
        <v>360</v>
      </c>
      <c r="R67" s="54">
        <v>8</v>
      </c>
      <c r="S67" s="54">
        <f>STOCK[[#This Row],[Peso (g)]]*STOCK[[#This Row],[Precio Envío Kilogramo (USD)]]/1000</f>
        <v>2.88</v>
      </c>
      <c r="T67" s="53">
        <f>STOCK[[#This Row],[Costo Unitario (USD)]]+STOCK[[#This Row],[Costo Envío (USD)]]+STOCK[[#This Row],[Comisión 10%]]</f>
        <v>19.5688888888889</v>
      </c>
      <c r="U67" s="54">
        <f>STOCK[[#This Row],[Costo total]]*1.5</f>
        <v>29.353333333333349</v>
      </c>
      <c r="V67" s="54">
        <v>28</v>
      </c>
      <c r="W67" s="54">
        <f>STOCK[[#This Row],[Precio Final]]-STOCK[[#This Row],[Costo total]]</f>
        <v>8.4311111111111003</v>
      </c>
      <c r="X67" s="54">
        <f>STOCK[[#This Row],[Ganancia Unitaria]]*STOCK[[#This Row],[Salidas]]</f>
        <v>8.4311111111111003</v>
      </c>
      <c r="Y67" s="54" t="s">
        <v>168</v>
      </c>
      <c r="AA67" s="54">
        <f>STOCK[[#This Row],[Costo total]]*STOCK[[#This Row],[Entradas]]</f>
        <v>19.5688888888889</v>
      </c>
      <c r="AB67" s="54">
        <f>STOCK[[#This Row],[Stock Actual]]*STOCK[[#This Row],[Costo total]]</f>
        <v>0</v>
      </c>
    </row>
    <row r="68" spans="1:28" s="53" customFormat="1" ht="50" customHeight="1">
      <c r="A68" s="53" t="s">
        <v>178</v>
      </c>
      <c r="B68" s="64"/>
      <c r="C68" s="53" t="s">
        <v>32</v>
      </c>
      <c r="D68" s="53" t="s">
        <v>44</v>
      </c>
      <c r="E68" s="65" t="s">
        <v>179</v>
      </c>
      <c r="F68" s="53" t="s">
        <v>49</v>
      </c>
      <c r="G68" s="53" t="s">
        <v>36</v>
      </c>
      <c r="H68" s="53">
        <f>STOCK[[#This Row],[Precio Final]]</f>
        <v>28</v>
      </c>
      <c r="I68" s="53">
        <f>STOCK[[#This Row],[Precio Venta Ideal (x1.5)]]</f>
        <v>29.353333333333349</v>
      </c>
      <c r="J68" s="69">
        <v>1</v>
      </c>
      <c r="K68" s="69">
        <f>SUMIFS(VENTAS[Cantidad],VENTAS[Código del producto Vendido],STOCK[[#This Row],[Code]])</f>
        <v>1</v>
      </c>
      <c r="L68" s="69">
        <f>STOCK[[#This Row],[Entradas]]-STOCK[[#This Row],[Salidas]]</f>
        <v>0</v>
      </c>
      <c r="M68" s="53">
        <f>STOCK[[#This Row],[Precio Final]]*10%</f>
        <v>2.8000000000000003</v>
      </c>
      <c r="N68" s="53">
        <v>250</v>
      </c>
      <c r="O68" s="53">
        <v>18</v>
      </c>
      <c r="P68" s="53">
        <v>13.8888888888889</v>
      </c>
      <c r="Q68" s="69">
        <v>360</v>
      </c>
      <c r="R68" s="53">
        <v>8</v>
      </c>
      <c r="S68" s="53">
        <f>STOCK[[#This Row],[Peso (g)]]*STOCK[[#This Row],[Precio Envío Kilogramo (USD)]]/1000</f>
        <v>2.88</v>
      </c>
      <c r="T68" s="53">
        <f>STOCK[[#This Row],[Costo Unitario (USD)]]+STOCK[[#This Row],[Costo Envío (USD)]]+STOCK[[#This Row],[Comisión 10%]]</f>
        <v>19.5688888888889</v>
      </c>
      <c r="U68" s="53">
        <f>STOCK[[#This Row],[Costo total]]*1.5</f>
        <v>29.353333333333349</v>
      </c>
      <c r="V68" s="53">
        <v>28</v>
      </c>
      <c r="W68" s="53">
        <f>STOCK[[#This Row],[Precio Final]]-STOCK[[#This Row],[Costo total]]</f>
        <v>8.4311111111111003</v>
      </c>
      <c r="X68" s="53">
        <f>STOCK[[#This Row],[Ganancia Unitaria]]*STOCK[[#This Row],[Salidas]]</f>
        <v>8.4311111111111003</v>
      </c>
      <c r="Y68" s="53" t="s">
        <v>168</v>
      </c>
      <c r="AA68" s="53">
        <f>STOCK[[#This Row],[Costo total]]*STOCK[[#This Row],[Entradas]]</f>
        <v>19.5688888888889</v>
      </c>
      <c r="AB68" s="53">
        <f>STOCK[[#This Row],[Stock Actual]]*STOCK[[#This Row],[Costo total]]</f>
        <v>0</v>
      </c>
    </row>
    <row r="69" spans="1:28" s="54" customFormat="1" ht="50" customHeight="1">
      <c r="A69" s="54" t="s">
        <v>180</v>
      </c>
      <c r="B69" s="64"/>
      <c r="C69" s="54" t="s">
        <v>32</v>
      </c>
      <c r="D69" s="54" t="s">
        <v>174</v>
      </c>
      <c r="E69" s="66" t="s">
        <v>181</v>
      </c>
      <c r="F69" s="54" t="s">
        <v>40</v>
      </c>
      <c r="G69" s="54" t="s">
        <v>36</v>
      </c>
      <c r="H69" s="54">
        <f>STOCK[[#This Row],[Precio Final]]</f>
        <v>14</v>
      </c>
      <c r="I69" s="54">
        <f>STOCK[[#This Row],[Precio Venta Ideal (x1.5)]]</f>
        <v>15.38666666666667</v>
      </c>
      <c r="J69" s="70">
        <v>1</v>
      </c>
      <c r="K69" s="70">
        <f>SUMIFS(VENTAS[Cantidad],VENTAS[Código del producto Vendido],STOCK[[#This Row],[Code]])</f>
        <v>1</v>
      </c>
      <c r="L69" s="70">
        <f>STOCK[[#This Row],[Entradas]]-STOCK[[#This Row],[Salidas]]</f>
        <v>0</v>
      </c>
      <c r="M69" s="54">
        <f>STOCK[[#This Row],[Precio Final]]*10%</f>
        <v>1.4000000000000001</v>
      </c>
      <c r="N69" s="54">
        <v>140</v>
      </c>
      <c r="O69" s="54">
        <v>18</v>
      </c>
      <c r="P69" s="54">
        <v>7.7777777777777803</v>
      </c>
      <c r="Q69" s="70">
        <v>135</v>
      </c>
      <c r="R69" s="54">
        <v>8</v>
      </c>
      <c r="S69" s="54">
        <f>STOCK[[#This Row],[Peso (g)]]*STOCK[[#This Row],[Precio Envío Kilogramo (USD)]]/1000</f>
        <v>1.08</v>
      </c>
      <c r="T69" s="53">
        <f>STOCK[[#This Row],[Costo Unitario (USD)]]+STOCK[[#This Row],[Costo Envío (USD)]]+STOCK[[#This Row],[Comisión 10%]]</f>
        <v>10.257777777777781</v>
      </c>
      <c r="U69" s="54">
        <f>STOCK[[#This Row],[Costo total]]*1.5</f>
        <v>15.38666666666667</v>
      </c>
      <c r="V69" s="54">
        <v>14</v>
      </c>
      <c r="W69" s="54">
        <f>STOCK[[#This Row],[Precio Final]]-STOCK[[#This Row],[Costo total]]</f>
        <v>3.7422222222222192</v>
      </c>
      <c r="X69" s="54">
        <f>STOCK[[#This Row],[Ganancia Unitaria]]*STOCK[[#This Row],[Salidas]]</f>
        <v>3.7422222222222192</v>
      </c>
      <c r="Y69" s="54" t="s">
        <v>168</v>
      </c>
      <c r="AA69" s="54">
        <f>STOCK[[#This Row],[Costo total]]*STOCK[[#This Row],[Entradas]]</f>
        <v>10.257777777777781</v>
      </c>
      <c r="AB69" s="54">
        <f>STOCK[[#This Row],[Stock Actual]]*STOCK[[#This Row],[Costo total]]</f>
        <v>0</v>
      </c>
    </row>
    <row r="70" spans="1:28" s="53" customFormat="1" ht="50" customHeight="1">
      <c r="A70" s="53" t="s">
        <v>182</v>
      </c>
      <c r="B70" s="64"/>
      <c r="C70" s="53" t="s">
        <v>32</v>
      </c>
      <c r="D70" s="53" t="s">
        <v>174</v>
      </c>
      <c r="E70" s="65" t="s">
        <v>181</v>
      </c>
      <c r="F70" s="53" t="s">
        <v>49</v>
      </c>
      <c r="G70" s="53" t="s">
        <v>36</v>
      </c>
      <c r="H70" s="53">
        <f>STOCK[[#This Row],[Precio Final]]</f>
        <v>14</v>
      </c>
      <c r="I70" s="53">
        <f>STOCK[[#This Row],[Precio Venta Ideal (x1.5)]]</f>
        <v>15.446666666666669</v>
      </c>
      <c r="J70" s="69">
        <v>1</v>
      </c>
      <c r="K70" s="69">
        <f>SUMIFS(VENTAS[Cantidad],VENTAS[Código del producto Vendido],STOCK[[#This Row],[Code]])</f>
        <v>1</v>
      </c>
      <c r="L70" s="69">
        <f>STOCK[[#This Row],[Entradas]]-STOCK[[#This Row],[Salidas]]</f>
        <v>0</v>
      </c>
      <c r="M70" s="53">
        <f>STOCK[[#This Row],[Precio Final]]*10%</f>
        <v>1.4000000000000001</v>
      </c>
      <c r="N70" s="53">
        <v>140</v>
      </c>
      <c r="O70" s="53">
        <v>18</v>
      </c>
      <c r="P70" s="53">
        <v>7.7777777777777803</v>
      </c>
      <c r="Q70" s="69">
        <v>140</v>
      </c>
      <c r="R70" s="53">
        <v>8</v>
      </c>
      <c r="S70" s="53">
        <f>STOCK[[#This Row],[Peso (g)]]*STOCK[[#This Row],[Precio Envío Kilogramo (USD)]]/1000</f>
        <v>1.1200000000000001</v>
      </c>
      <c r="T70" s="53">
        <f>STOCK[[#This Row],[Costo Unitario (USD)]]+STOCK[[#This Row],[Costo Envío (USD)]]+STOCK[[#This Row],[Comisión 10%]]</f>
        <v>10.29777777777778</v>
      </c>
      <c r="U70" s="53">
        <f>STOCK[[#This Row],[Costo total]]*1.5</f>
        <v>15.446666666666669</v>
      </c>
      <c r="V70" s="53">
        <v>14</v>
      </c>
      <c r="W70" s="53">
        <f>STOCK[[#This Row],[Precio Final]]-STOCK[[#This Row],[Costo total]]</f>
        <v>3.7022222222222201</v>
      </c>
      <c r="X70" s="53">
        <f>STOCK[[#This Row],[Ganancia Unitaria]]*STOCK[[#This Row],[Salidas]]</f>
        <v>3.7022222222222201</v>
      </c>
      <c r="Y70" s="53" t="s">
        <v>168</v>
      </c>
      <c r="AA70" s="53">
        <f>STOCK[[#This Row],[Costo total]]*STOCK[[#This Row],[Entradas]]</f>
        <v>10.29777777777778</v>
      </c>
      <c r="AB70" s="53">
        <f>STOCK[[#This Row],[Stock Actual]]*STOCK[[#This Row],[Costo total]]</f>
        <v>0</v>
      </c>
    </row>
    <row r="71" spans="1:28" s="54" customFormat="1" ht="50" customHeight="1">
      <c r="A71" s="54" t="s">
        <v>183</v>
      </c>
      <c r="B71" s="64"/>
      <c r="C71" s="54" t="s">
        <v>32</v>
      </c>
      <c r="D71" s="54" t="s">
        <v>174</v>
      </c>
      <c r="E71" s="66" t="s">
        <v>184</v>
      </c>
      <c r="F71" s="54" t="s">
        <v>46</v>
      </c>
      <c r="G71" s="54" t="s">
        <v>36</v>
      </c>
      <c r="H71" s="54">
        <f>STOCK[[#This Row],[Precio Final]]</f>
        <v>14</v>
      </c>
      <c r="I71" s="54">
        <f>STOCK[[#This Row],[Precio Venta Ideal (x1.5)]]</f>
        <v>15.38666666666667</v>
      </c>
      <c r="J71" s="70">
        <v>1</v>
      </c>
      <c r="K71" s="70">
        <f>SUMIFS(VENTAS[Cantidad],VENTAS[Código del producto Vendido],STOCK[[#This Row],[Code]])</f>
        <v>1</v>
      </c>
      <c r="L71" s="70">
        <f>STOCK[[#This Row],[Entradas]]-STOCK[[#This Row],[Salidas]]</f>
        <v>0</v>
      </c>
      <c r="M71" s="54">
        <f>STOCK[[#This Row],[Precio Final]]*10%</f>
        <v>1.4000000000000001</v>
      </c>
      <c r="N71" s="54">
        <v>140</v>
      </c>
      <c r="O71" s="54">
        <v>18</v>
      </c>
      <c r="P71" s="54">
        <v>7.7777777777777803</v>
      </c>
      <c r="Q71" s="70">
        <v>135</v>
      </c>
      <c r="R71" s="54">
        <v>8</v>
      </c>
      <c r="S71" s="54">
        <f>STOCK[[#This Row],[Peso (g)]]*STOCK[[#This Row],[Precio Envío Kilogramo (USD)]]/1000</f>
        <v>1.08</v>
      </c>
      <c r="T71" s="53">
        <f>STOCK[[#This Row],[Costo Unitario (USD)]]+STOCK[[#This Row],[Costo Envío (USD)]]+STOCK[[#This Row],[Comisión 10%]]</f>
        <v>10.257777777777781</v>
      </c>
      <c r="U71" s="54">
        <f>STOCK[[#This Row],[Costo total]]*1.5</f>
        <v>15.38666666666667</v>
      </c>
      <c r="V71" s="54">
        <v>14</v>
      </c>
      <c r="W71" s="54">
        <f>STOCK[[#This Row],[Precio Final]]-STOCK[[#This Row],[Costo total]]</f>
        <v>3.7422222222222192</v>
      </c>
      <c r="X71" s="54">
        <f>STOCK[[#This Row],[Ganancia Unitaria]]*STOCK[[#This Row],[Salidas]]</f>
        <v>3.7422222222222192</v>
      </c>
      <c r="Y71" s="54" t="s">
        <v>168</v>
      </c>
      <c r="AA71" s="54">
        <f>STOCK[[#This Row],[Costo total]]*STOCK[[#This Row],[Entradas]]</f>
        <v>10.257777777777781</v>
      </c>
      <c r="AB71" s="54">
        <f>STOCK[[#This Row],[Stock Actual]]*STOCK[[#This Row],[Costo total]]</f>
        <v>0</v>
      </c>
    </row>
    <row r="72" spans="1:28" s="53" customFormat="1" ht="50" customHeight="1">
      <c r="A72" s="53" t="s">
        <v>185</v>
      </c>
      <c r="B72" s="64"/>
      <c r="C72" s="53" t="s">
        <v>32</v>
      </c>
      <c r="D72" s="53" t="s">
        <v>174</v>
      </c>
      <c r="E72" s="65" t="s">
        <v>186</v>
      </c>
      <c r="F72" s="53" t="s">
        <v>187</v>
      </c>
      <c r="G72" s="53" t="s">
        <v>36</v>
      </c>
      <c r="H72" s="53">
        <f>STOCK[[#This Row],[Precio Final]]</f>
        <v>12</v>
      </c>
      <c r="I72" s="53">
        <f>STOCK[[#This Row],[Precio Venta Ideal (x1.5)]]</f>
        <v>14.786666666666671</v>
      </c>
      <c r="J72" s="69">
        <v>1</v>
      </c>
      <c r="K72" s="69">
        <f>SUMIFS(VENTAS[Cantidad],VENTAS[Código del producto Vendido],STOCK[[#This Row],[Code]])</f>
        <v>1</v>
      </c>
      <c r="L72" s="69">
        <f>STOCK[[#This Row],[Entradas]]-STOCK[[#This Row],[Salidas]]</f>
        <v>0</v>
      </c>
      <c r="M72" s="53">
        <f>STOCK[[#This Row],[Precio Final]]*10%</f>
        <v>1.2000000000000002</v>
      </c>
      <c r="N72" s="53">
        <v>140</v>
      </c>
      <c r="O72" s="53">
        <v>18</v>
      </c>
      <c r="P72" s="53">
        <v>7.7777777777777803</v>
      </c>
      <c r="Q72" s="69">
        <v>110</v>
      </c>
      <c r="R72" s="53">
        <v>8</v>
      </c>
      <c r="S72" s="53">
        <f>STOCK[[#This Row],[Peso (g)]]*STOCK[[#This Row],[Precio Envío Kilogramo (USD)]]/1000</f>
        <v>0.88</v>
      </c>
      <c r="T72" s="53">
        <f>STOCK[[#This Row],[Costo Unitario (USD)]]+STOCK[[#This Row],[Costo Envío (USD)]]+STOCK[[#This Row],[Comisión 10%]]</f>
        <v>9.8577777777777804</v>
      </c>
      <c r="U72" s="53">
        <f>STOCK[[#This Row],[Costo total]]*1.5</f>
        <v>14.786666666666671</v>
      </c>
      <c r="V72" s="53">
        <v>12</v>
      </c>
      <c r="W72" s="53">
        <f>STOCK[[#This Row],[Precio Final]]-STOCK[[#This Row],[Costo total]]</f>
        <v>2.1422222222222196</v>
      </c>
      <c r="X72" s="53">
        <f>STOCK[[#This Row],[Ganancia Unitaria]]*STOCK[[#This Row],[Salidas]]</f>
        <v>2.1422222222222196</v>
      </c>
      <c r="Y72" s="53" t="s">
        <v>168</v>
      </c>
      <c r="AA72" s="53">
        <f>STOCK[[#This Row],[Costo total]]*STOCK[[#This Row],[Entradas]]</f>
        <v>9.8577777777777804</v>
      </c>
      <c r="AB72" s="53">
        <f>STOCK[[#This Row],[Stock Actual]]*STOCK[[#This Row],[Costo total]]</f>
        <v>0</v>
      </c>
    </row>
    <row r="73" spans="1:28" s="54" customFormat="1" ht="50" customHeight="1">
      <c r="A73" s="54" t="s">
        <v>188</v>
      </c>
      <c r="B73" s="64"/>
      <c r="C73" s="54" t="s">
        <v>32</v>
      </c>
      <c r="D73" s="54" t="s">
        <v>174</v>
      </c>
      <c r="E73" s="66" t="s">
        <v>189</v>
      </c>
      <c r="F73" s="54" t="s">
        <v>190</v>
      </c>
      <c r="G73" s="54" t="s">
        <v>36</v>
      </c>
      <c r="H73" s="54">
        <f>STOCK[[#This Row],[Precio Final]]</f>
        <v>14</v>
      </c>
      <c r="I73" s="54">
        <f>STOCK[[#This Row],[Precio Venta Ideal (x1.5)]]</f>
        <v>15.446666666666669</v>
      </c>
      <c r="J73" s="70">
        <v>1</v>
      </c>
      <c r="K73" s="70">
        <f>SUMIFS(VENTAS[Cantidad],VENTAS[Código del producto Vendido],STOCK[[#This Row],[Code]])</f>
        <v>1</v>
      </c>
      <c r="L73" s="70">
        <f>STOCK[[#This Row],[Entradas]]-STOCK[[#This Row],[Salidas]]</f>
        <v>0</v>
      </c>
      <c r="M73" s="54">
        <f>STOCK[[#This Row],[Precio Final]]*10%</f>
        <v>1.4000000000000001</v>
      </c>
      <c r="N73" s="54">
        <v>140</v>
      </c>
      <c r="O73" s="54">
        <v>18</v>
      </c>
      <c r="P73" s="54">
        <v>7.7777777777777803</v>
      </c>
      <c r="Q73" s="70">
        <v>140</v>
      </c>
      <c r="R73" s="54">
        <v>8</v>
      </c>
      <c r="S73" s="54">
        <f>STOCK[[#This Row],[Peso (g)]]*STOCK[[#This Row],[Precio Envío Kilogramo (USD)]]/1000</f>
        <v>1.1200000000000001</v>
      </c>
      <c r="T73" s="53">
        <f>STOCK[[#This Row],[Costo Unitario (USD)]]+STOCK[[#This Row],[Costo Envío (USD)]]+STOCK[[#This Row],[Comisión 10%]]</f>
        <v>10.29777777777778</v>
      </c>
      <c r="U73" s="54">
        <f>STOCK[[#This Row],[Costo total]]*1.5</f>
        <v>15.446666666666669</v>
      </c>
      <c r="V73" s="54">
        <v>14</v>
      </c>
      <c r="W73" s="54">
        <f>STOCK[[#This Row],[Precio Final]]-STOCK[[#This Row],[Costo total]]</f>
        <v>3.7022222222222201</v>
      </c>
      <c r="X73" s="54">
        <f>STOCK[[#This Row],[Ganancia Unitaria]]*STOCK[[#This Row],[Salidas]]</f>
        <v>3.7022222222222201</v>
      </c>
      <c r="Y73" s="54" t="s">
        <v>168</v>
      </c>
      <c r="AA73" s="54">
        <f>STOCK[[#This Row],[Costo total]]*STOCK[[#This Row],[Entradas]]</f>
        <v>10.29777777777778</v>
      </c>
      <c r="AB73" s="54">
        <f>STOCK[[#This Row],[Stock Actual]]*STOCK[[#This Row],[Costo total]]</f>
        <v>0</v>
      </c>
    </row>
    <row r="74" spans="1:28" s="53" customFormat="1" ht="50" customHeight="1">
      <c r="A74" s="53" t="s">
        <v>191</v>
      </c>
      <c r="B74" s="64"/>
      <c r="C74" s="53" t="s">
        <v>32</v>
      </c>
      <c r="D74" s="53" t="s">
        <v>152</v>
      </c>
      <c r="E74" s="65" t="s">
        <v>192</v>
      </c>
      <c r="F74" s="53" t="s">
        <v>46</v>
      </c>
      <c r="G74" s="53" t="s">
        <v>36</v>
      </c>
      <c r="H74" s="53">
        <f>STOCK[[#This Row],[Precio Final]]</f>
        <v>23</v>
      </c>
      <c r="I74" s="53">
        <f>STOCK[[#This Row],[Precio Venta Ideal (x1.5)]]</f>
        <v>23.056666666666651</v>
      </c>
      <c r="J74" s="69">
        <v>1</v>
      </c>
      <c r="K74" s="69">
        <f>SUMIFS(VENTAS[Cantidad],VENTAS[Código del producto Vendido],STOCK[[#This Row],[Code]])</f>
        <v>1</v>
      </c>
      <c r="L74" s="69">
        <f>STOCK[[#This Row],[Entradas]]-STOCK[[#This Row],[Salidas]]</f>
        <v>0</v>
      </c>
      <c r="M74" s="53">
        <f>STOCK[[#This Row],[Precio Final]]*10%</f>
        <v>2.3000000000000003</v>
      </c>
      <c r="N74" s="53">
        <v>200</v>
      </c>
      <c r="O74" s="53">
        <v>18</v>
      </c>
      <c r="P74" s="53">
        <v>11.1111111111111</v>
      </c>
      <c r="Q74" s="69">
        <v>245</v>
      </c>
      <c r="R74" s="53">
        <v>8</v>
      </c>
      <c r="S74" s="53">
        <f>STOCK[[#This Row],[Peso (g)]]*STOCK[[#This Row],[Precio Envío Kilogramo (USD)]]/1000</f>
        <v>1.96</v>
      </c>
      <c r="T74" s="53">
        <f>STOCK[[#This Row],[Costo Unitario (USD)]]+STOCK[[#This Row],[Costo Envío (USD)]]+STOCK[[#This Row],[Comisión 10%]]</f>
        <v>15.371111111111102</v>
      </c>
      <c r="U74" s="53">
        <f>STOCK[[#This Row],[Costo total]]*1.5</f>
        <v>23.056666666666651</v>
      </c>
      <c r="V74" s="53">
        <v>23</v>
      </c>
      <c r="W74" s="53">
        <f>STOCK[[#This Row],[Precio Final]]-STOCK[[#This Row],[Costo total]]</f>
        <v>7.6288888888888984</v>
      </c>
      <c r="X74" s="53">
        <f>STOCK[[#This Row],[Ganancia Unitaria]]*STOCK[[#This Row],[Salidas]]</f>
        <v>7.6288888888888984</v>
      </c>
      <c r="Y74" s="53" t="s">
        <v>168</v>
      </c>
      <c r="AA74" s="53">
        <f>STOCK[[#This Row],[Costo total]]*STOCK[[#This Row],[Entradas]]</f>
        <v>15.371111111111102</v>
      </c>
      <c r="AB74" s="53">
        <f>STOCK[[#This Row],[Stock Actual]]*STOCK[[#This Row],[Costo total]]</f>
        <v>0</v>
      </c>
    </row>
    <row r="75" spans="1:28" s="54" customFormat="1" ht="50" customHeight="1">
      <c r="A75" s="54" t="s">
        <v>193</v>
      </c>
      <c r="B75" s="64"/>
      <c r="C75" s="54" t="s">
        <v>32</v>
      </c>
      <c r="D75" s="54" t="s">
        <v>152</v>
      </c>
      <c r="E75" s="66" t="s">
        <v>192</v>
      </c>
      <c r="F75" s="54" t="s">
        <v>62</v>
      </c>
      <c r="G75" s="54" t="s">
        <v>36</v>
      </c>
      <c r="H75" s="54">
        <f>STOCK[[#This Row],[Precio Final]]</f>
        <v>23</v>
      </c>
      <c r="I75" s="54">
        <f>STOCK[[#This Row],[Precio Venta Ideal (x1.5)]]</f>
        <v>23.176666666666648</v>
      </c>
      <c r="J75" s="70">
        <v>1</v>
      </c>
      <c r="K75" s="70">
        <f>SUMIFS(VENTAS[Cantidad],VENTAS[Código del producto Vendido],STOCK[[#This Row],[Code]])</f>
        <v>1</v>
      </c>
      <c r="L75" s="70">
        <f>STOCK[[#This Row],[Entradas]]-STOCK[[#This Row],[Salidas]]</f>
        <v>0</v>
      </c>
      <c r="M75" s="54">
        <f>STOCK[[#This Row],[Precio Final]]*10%</f>
        <v>2.3000000000000003</v>
      </c>
      <c r="N75" s="54">
        <v>200</v>
      </c>
      <c r="O75" s="54">
        <v>18</v>
      </c>
      <c r="P75" s="54">
        <v>11.1111111111111</v>
      </c>
      <c r="Q75" s="70">
        <v>255</v>
      </c>
      <c r="R75" s="54">
        <v>8</v>
      </c>
      <c r="S75" s="54">
        <f>STOCK[[#This Row],[Peso (g)]]*STOCK[[#This Row],[Precio Envío Kilogramo (USD)]]/1000</f>
        <v>2.04</v>
      </c>
      <c r="T75" s="53">
        <f>STOCK[[#This Row],[Costo Unitario (USD)]]+STOCK[[#This Row],[Costo Envío (USD)]]+STOCK[[#This Row],[Comisión 10%]]</f>
        <v>15.4511111111111</v>
      </c>
      <c r="U75" s="54">
        <f>STOCK[[#This Row],[Costo total]]*1.5</f>
        <v>23.176666666666648</v>
      </c>
      <c r="V75" s="54">
        <v>23</v>
      </c>
      <c r="W75" s="54">
        <f>STOCK[[#This Row],[Precio Final]]-STOCK[[#This Row],[Costo total]]</f>
        <v>7.5488888888889001</v>
      </c>
      <c r="X75" s="54">
        <f>STOCK[[#This Row],[Ganancia Unitaria]]*STOCK[[#This Row],[Salidas]]</f>
        <v>7.5488888888889001</v>
      </c>
      <c r="Y75" s="54" t="s">
        <v>168</v>
      </c>
      <c r="AA75" s="54">
        <f>STOCK[[#This Row],[Costo total]]*STOCK[[#This Row],[Entradas]]</f>
        <v>15.4511111111111</v>
      </c>
      <c r="AB75" s="54">
        <f>STOCK[[#This Row],[Stock Actual]]*STOCK[[#This Row],[Costo total]]</f>
        <v>0</v>
      </c>
    </row>
    <row r="76" spans="1:28" s="53" customFormat="1" ht="50" customHeight="1">
      <c r="A76" s="53" t="s">
        <v>194</v>
      </c>
      <c r="B76" s="64"/>
      <c r="C76" s="53" t="s">
        <v>32</v>
      </c>
      <c r="D76" s="53" t="s">
        <v>152</v>
      </c>
      <c r="E76" s="65" t="s">
        <v>192</v>
      </c>
      <c r="F76" s="53" t="s">
        <v>49</v>
      </c>
      <c r="G76" s="53" t="s">
        <v>36</v>
      </c>
      <c r="H76" s="53">
        <f>STOCK[[#This Row],[Precio Final]]</f>
        <v>23</v>
      </c>
      <c r="I76" s="53">
        <f>STOCK[[#This Row],[Precio Venta Ideal (x1.5)]]</f>
        <v>23.176666666666648</v>
      </c>
      <c r="J76" s="69">
        <v>1</v>
      </c>
      <c r="K76" s="69">
        <f>SUMIFS(VENTAS[Cantidad],VENTAS[Código del producto Vendido],STOCK[[#This Row],[Code]])</f>
        <v>1</v>
      </c>
      <c r="L76" s="69">
        <f>STOCK[[#This Row],[Entradas]]-STOCK[[#This Row],[Salidas]]</f>
        <v>0</v>
      </c>
      <c r="M76" s="53">
        <f>STOCK[[#This Row],[Precio Final]]*10%</f>
        <v>2.3000000000000003</v>
      </c>
      <c r="N76" s="53">
        <v>200</v>
      </c>
      <c r="O76" s="53">
        <v>18</v>
      </c>
      <c r="P76" s="53">
        <v>11.1111111111111</v>
      </c>
      <c r="Q76" s="69">
        <v>255</v>
      </c>
      <c r="R76" s="53">
        <v>8</v>
      </c>
      <c r="S76" s="53">
        <f>STOCK[[#This Row],[Peso (g)]]*STOCK[[#This Row],[Precio Envío Kilogramo (USD)]]/1000</f>
        <v>2.04</v>
      </c>
      <c r="T76" s="53">
        <f>STOCK[[#This Row],[Costo Unitario (USD)]]+STOCK[[#This Row],[Costo Envío (USD)]]+STOCK[[#This Row],[Comisión 10%]]</f>
        <v>15.4511111111111</v>
      </c>
      <c r="U76" s="53">
        <f>STOCK[[#This Row],[Costo total]]*1.5</f>
        <v>23.176666666666648</v>
      </c>
      <c r="V76" s="53">
        <v>23</v>
      </c>
      <c r="W76" s="53">
        <f>STOCK[[#This Row],[Precio Final]]-STOCK[[#This Row],[Costo total]]</f>
        <v>7.5488888888889001</v>
      </c>
      <c r="X76" s="53">
        <f>STOCK[[#This Row],[Ganancia Unitaria]]*STOCK[[#This Row],[Salidas]]</f>
        <v>7.5488888888889001</v>
      </c>
      <c r="Y76" s="53" t="s">
        <v>168</v>
      </c>
      <c r="AA76" s="53">
        <f>STOCK[[#This Row],[Costo total]]*STOCK[[#This Row],[Entradas]]</f>
        <v>15.4511111111111</v>
      </c>
      <c r="AB76" s="53">
        <f>STOCK[[#This Row],[Stock Actual]]*STOCK[[#This Row],[Costo total]]</f>
        <v>0</v>
      </c>
    </row>
    <row r="77" spans="1:28" s="54" customFormat="1" ht="50" customHeight="1">
      <c r="A77" s="54" t="s">
        <v>195</v>
      </c>
      <c r="B77" s="64"/>
      <c r="C77" s="54" t="s">
        <v>32</v>
      </c>
      <c r="D77" s="54" t="s">
        <v>196</v>
      </c>
      <c r="E77" s="66" t="s">
        <v>197</v>
      </c>
      <c r="F77" s="54" t="s">
        <v>49</v>
      </c>
      <c r="G77" s="54" t="s">
        <v>36</v>
      </c>
      <c r="H77" s="54">
        <f>STOCK[[#This Row],[Precio Final]]</f>
        <v>12</v>
      </c>
      <c r="I77" s="54">
        <f>STOCK[[#This Row],[Precio Venta Ideal (x1.5)]]</f>
        <v>12.529999999999998</v>
      </c>
      <c r="J77" s="70">
        <v>1</v>
      </c>
      <c r="K77" s="70">
        <f>SUMIFS(VENTAS[Cantidad],VENTAS[Código del producto Vendido],STOCK[[#This Row],[Code]])</f>
        <v>0</v>
      </c>
      <c r="L77" s="70">
        <f>STOCK[[#This Row],[Entradas]]-STOCK[[#This Row],[Salidas]]</f>
        <v>1</v>
      </c>
      <c r="M77" s="54">
        <f>STOCK[[#This Row],[Precio Final]]*10%</f>
        <v>1.2000000000000002</v>
      </c>
      <c r="N77" s="54">
        <v>105</v>
      </c>
      <c r="O77" s="54">
        <v>18</v>
      </c>
      <c r="P77" s="54">
        <v>5.8333333333333304</v>
      </c>
      <c r="Q77" s="70">
        <v>165</v>
      </c>
      <c r="R77" s="54">
        <v>8</v>
      </c>
      <c r="S77" s="54">
        <f>STOCK[[#This Row],[Peso (g)]]*STOCK[[#This Row],[Precio Envío Kilogramo (USD)]]/1000</f>
        <v>1.32</v>
      </c>
      <c r="T77" s="53">
        <f>STOCK[[#This Row],[Costo Unitario (USD)]]+STOCK[[#This Row],[Costo Envío (USD)]]+STOCK[[#This Row],[Comisión 10%]]</f>
        <v>8.3533333333333317</v>
      </c>
      <c r="U77" s="54">
        <f>STOCK[[#This Row],[Costo total]]*1.5</f>
        <v>12.529999999999998</v>
      </c>
      <c r="V77" s="54">
        <v>12</v>
      </c>
      <c r="W77" s="54">
        <f>STOCK[[#This Row],[Precio Final]]-STOCK[[#This Row],[Costo total]]</f>
        <v>3.6466666666666683</v>
      </c>
      <c r="X77" s="54">
        <f>STOCK[[#This Row],[Ganancia Unitaria]]*STOCK[[#This Row],[Salidas]]</f>
        <v>0</v>
      </c>
      <c r="Y77" s="54" t="s">
        <v>168</v>
      </c>
      <c r="AA77" s="54">
        <f>STOCK[[#This Row],[Costo total]]*STOCK[[#This Row],[Entradas]]</f>
        <v>8.3533333333333317</v>
      </c>
      <c r="AB77" s="54">
        <f>STOCK[[#This Row],[Stock Actual]]*STOCK[[#This Row],[Costo total]]</f>
        <v>8.3533333333333317</v>
      </c>
    </row>
    <row r="78" spans="1:28" s="53" customFormat="1" ht="50" customHeight="1">
      <c r="A78" s="53" t="s">
        <v>198</v>
      </c>
      <c r="B78" s="64"/>
      <c r="C78" s="53" t="s">
        <v>32</v>
      </c>
      <c r="D78" s="54" t="s">
        <v>199</v>
      </c>
      <c r="E78" s="65" t="s">
        <v>197</v>
      </c>
      <c r="F78" s="53" t="s">
        <v>46</v>
      </c>
      <c r="G78" s="53" t="s">
        <v>36</v>
      </c>
      <c r="H78" s="53">
        <f>STOCK[[#This Row],[Precio Final]]</f>
        <v>12</v>
      </c>
      <c r="I78" s="53">
        <f>STOCK[[#This Row],[Precio Venta Ideal (x1.5)]]</f>
        <v>12.709999999999994</v>
      </c>
      <c r="J78" s="69">
        <v>2</v>
      </c>
      <c r="K78" s="69">
        <f>SUMIFS(VENTAS[Cantidad],VENTAS[Código del producto Vendido],STOCK[[#This Row],[Code]])</f>
        <v>2</v>
      </c>
      <c r="L78" s="69">
        <f>STOCK[[#This Row],[Entradas]]-STOCK[[#This Row],[Salidas]]</f>
        <v>0</v>
      </c>
      <c r="M78" s="53">
        <f>STOCK[[#This Row],[Precio Final]]*10%</f>
        <v>1.2000000000000002</v>
      </c>
      <c r="N78" s="53">
        <v>105</v>
      </c>
      <c r="O78" s="53">
        <v>18</v>
      </c>
      <c r="P78" s="53">
        <v>5.8333333333333304</v>
      </c>
      <c r="Q78" s="69">
        <v>180</v>
      </c>
      <c r="R78" s="53">
        <v>8</v>
      </c>
      <c r="S78" s="53">
        <f>STOCK[[#This Row],[Peso (g)]]*STOCK[[#This Row],[Precio Envío Kilogramo (USD)]]/1000</f>
        <v>1.44</v>
      </c>
      <c r="T78" s="53">
        <f>STOCK[[#This Row],[Costo Unitario (USD)]]+STOCK[[#This Row],[Costo Envío (USD)]]+STOCK[[#This Row],[Comisión 10%]]</f>
        <v>8.4733333333333292</v>
      </c>
      <c r="U78" s="53">
        <f>STOCK[[#This Row],[Costo total]]*1.5</f>
        <v>12.709999999999994</v>
      </c>
      <c r="V78" s="53">
        <v>12</v>
      </c>
      <c r="W78" s="53">
        <f>STOCK[[#This Row],[Precio Final]]-STOCK[[#This Row],[Costo total]]</f>
        <v>3.5266666666666708</v>
      </c>
      <c r="X78" s="53">
        <f>STOCK[[#This Row],[Ganancia Unitaria]]*STOCK[[#This Row],[Salidas]]</f>
        <v>7.0533333333333417</v>
      </c>
      <c r="Y78" s="53" t="s">
        <v>168</v>
      </c>
      <c r="AA78" s="53">
        <f>STOCK[[#This Row],[Costo total]]*STOCK[[#This Row],[Entradas]]</f>
        <v>16.946666666666658</v>
      </c>
      <c r="AB78" s="53">
        <f>STOCK[[#This Row],[Stock Actual]]*STOCK[[#This Row],[Costo total]]</f>
        <v>0</v>
      </c>
    </row>
    <row r="79" spans="1:28" s="54" customFormat="1" ht="50" customHeight="1">
      <c r="A79" s="54" t="s">
        <v>200</v>
      </c>
      <c r="B79" s="64"/>
      <c r="C79" s="54" t="s">
        <v>32</v>
      </c>
      <c r="D79" s="54" t="s">
        <v>44</v>
      </c>
      <c r="E79" s="66" t="s">
        <v>201</v>
      </c>
      <c r="F79" s="54" t="s">
        <v>62</v>
      </c>
      <c r="G79" s="54" t="s">
        <v>36</v>
      </c>
      <c r="H79" s="54">
        <f>STOCK[[#This Row],[Precio Final]]</f>
        <v>16</v>
      </c>
      <c r="I79" s="54">
        <f>STOCK[[#This Row],[Precio Venta Ideal (x1.5)]]</f>
        <v>13.960000000000004</v>
      </c>
      <c r="J79" s="70">
        <v>1</v>
      </c>
      <c r="K79" s="70">
        <f>SUMIFS(VENTAS[Cantidad],VENTAS[Código del producto Vendido],STOCK[[#This Row],[Code]])</f>
        <v>1</v>
      </c>
      <c r="L79" s="70">
        <f>STOCK[[#This Row],[Entradas]]-STOCK[[#This Row],[Salidas]]</f>
        <v>0</v>
      </c>
      <c r="M79" s="54">
        <f>STOCK[[#This Row],[Precio Final]]*10%</f>
        <v>1.6</v>
      </c>
      <c r="N79" s="54">
        <v>120</v>
      </c>
      <c r="O79" s="54">
        <v>18</v>
      </c>
      <c r="P79" s="54">
        <v>6.6666666666666696</v>
      </c>
      <c r="Q79" s="70">
        <v>130</v>
      </c>
      <c r="R79" s="54">
        <v>8</v>
      </c>
      <c r="S79" s="54">
        <f>STOCK[[#This Row],[Peso (g)]]*STOCK[[#This Row],[Precio Envío Kilogramo (USD)]]/1000</f>
        <v>1.04</v>
      </c>
      <c r="T79" s="53">
        <f>STOCK[[#This Row],[Costo Unitario (USD)]]+STOCK[[#This Row],[Costo Envío (USD)]]+STOCK[[#This Row],[Comisión 10%]]</f>
        <v>9.3066666666666702</v>
      </c>
      <c r="U79" s="54">
        <f>STOCK[[#This Row],[Costo total]]*1.5</f>
        <v>13.960000000000004</v>
      </c>
      <c r="V79" s="54">
        <v>16</v>
      </c>
      <c r="W79" s="54">
        <f>STOCK[[#This Row],[Precio Final]]-STOCK[[#This Row],[Costo total]]</f>
        <v>6.6933333333333298</v>
      </c>
      <c r="X79" s="54">
        <f>STOCK[[#This Row],[Ganancia Unitaria]]*STOCK[[#This Row],[Salidas]]</f>
        <v>6.6933333333333298</v>
      </c>
      <c r="Y79" s="54" t="s">
        <v>168</v>
      </c>
      <c r="AA79" s="54">
        <f>STOCK[[#This Row],[Costo total]]*STOCK[[#This Row],[Entradas]]</f>
        <v>9.3066666666666702</v>
      </c>
      <c r="AB79" s="54">
        <f>STOCK[[#This Row],[Stock Actual]]*STOCK[[#This Row],[Costo total]]</f>
        <v>0</v>
      </c>
    </row>
    <row r="80" spans="1:28" s="53" customFormat="1" ht="50" customHeight="1">
      <c r="A80" s="53" t="s">
        <v>202</v>
      </c>
      <c r="B80" s="64"/>
      <c r="C80" s="53" t="s">
        <v>32</v>
      </c>
      <c r="D80" s="53" t="s">
        <v>203</v>
      </c>
      <c r="E80" s="65" t="s">
        <v>204</v>
      </c>
      <c r="F80" s="53" t="s">
        <v>205</v>
      </c>
      <c r="G80" s="53" t="s">
        <v>36</v>
      </c>
      <c r="H80" s="53">
        <f>STOCK[[#This Row],[Precio Final]]</f>
        <v>18</v>
      </c>
      <c r="I80" s="53">
        <f>STOCK[[#This Row],[Precio Venta Ideal (x1.5)]]</f>
        <v>21.4733333333334</v>
      </c>
      <c r="J80" s="69">
        <v>1</v>
      </c>
      <c r="K80" s="69">
        <f>SUMIFS(VENTAS[Cantidad],VENTAS[Código del producto Vendido],STOCK[[#This Row],[Code]])</f>
        <v>1</v>
      </c>
      <c r="L80" s="69">
        <f>STOCK[[#This Row],[Entradas]]-STOCK[[#This Row],[Salidas]]</f>
        <v>0</v>
      </c>
      <c r="M80" s="53">
        <f>STOCK[[#This Row],[Precio Final]]*10%</f>
        <v>1.8</v>
      </c>
      <c r="N80" s="53">
        <v>190</v>
      </c>
      <c r="O80" s="53">
        <v>18</v>
      </c>
      <c r="P80" s="53">
        <v>10.5555555555556</v>
      </c>
      <c r="Q80" s="69">
        <v>245</v>
      </c>
      <c r="R80" s="53">
        <v>8</v>
      </c>
      <c r="S80" s="53">
        <f>STOCK[[#This Row],[Peso (g)]]*STOCK[[#This Row],[Precio Envío Kilogramo (USD)]]/1000</f>
        <v>1.96</v>
      </c>
      <c r="T80" s="53">
        <f>STOCK[[#This Row],[Costo Unitario (USD)]]+STOCK[[#This Row],[Costo Envío (USD)]]+STOCK[[#This Row],[Comisión 10%]]</f>
        <v>14.315555555555601</v>
      </c>
      <c r="U80" s="53">
        <f>STOCK[[#This Row],[Costo total]]*1.5</f>
        <v>21.4733333333334</v>
      </c>
      <c r="V80" s="53">
        <v>18</v>
      </c>
      <c r="W80" s="53">
        <f>STOCK[[#This Row],[Precio Final]]-STOCK[[#This Row],[Costo total]]</f>
        <v>3.6844444444443987</v>
      </c>
      <c r="X80" s="53">
        <f>STOCK[[#This Row],[Ganancia Unitaria]]*STOCK[[#This Row],[Salidas]]</f>
        <v>3.6844444444443987</v>
      </c>
      <c r="Y80" s="53" t="s">
        <v>168</v>
      </c>
      <c r="AA80" s="53">
        <f>STOCK[[#This Row],[Costo total]]*STOCK[[#This Row],[Entradas]]</f>
        <v>14.315555555555601</v>
      </c>
      <c r="AB80" s="53">
        <f>STOCK[[#This Row],[Stock Actual]]*STOCK[[#This Row],[Costo total]]</f>
        <v>0</v>
      </c>
    </row>
    <row r="81" spans="1:29" s="54" customFormat="1" ht="50" customHeight="1">
      <c r="A81" s="54" t="s">
        <v>206</v>
      </c>
      <c r="B81" s="64"/>
      <c r="C81" s="54" t="s">
        <v>32</v>
      </c>
      <c r="D81" s="54" t="s">
        <v>44</v>
      </c>
      <c r="E81" s="66" t="s">
        <v>207</v>
      </c>
      <c r="F81" s="54" t="s">
        <v>49</v>
      </c>
      <c r="G81" s="54" t="s">
        <v>36</v>
      </c>
      <c r="H81" s="54">
        <f>STOCK[[#This Row],[Precio Final]]</f>
        <v>20</v>
      </c>
      <c r="I81" s="54">
        <f>STOCK[[#This Row],[Precio Venta Ideal (x1.5)]]</f>
        <v>22.3133333333334</v>
      </c>
      <c r="J81" s="70">
        <v>1</v>
      </c>
      <c r="K81" s="70">
        <f>SUMIFS(VENTAS[Cantidad],VENTAS[Código del producto Vendido],STOCK[[#This Row],[Code]])</f>
        <v>1</v>
      </c>
      <c r="L81" s="70">
        <f>STOCK[[#This Row],[Entradas]]-STOCK[[#This Row],[Salidas]]</f>
        <v>0</v>
      </c>
      <c r="M81" s="54">
        <f>STOCK[[#This Row],[Precio Final]]*10%</f>
        <v>2</v>
      </c>
      <c r="N81" s="54">
        <v>190</v>
      </c>
      <c r="O81" s="54">
        <v>18</v>
      </c>
      <c r="P81" s="54">
        <v>10.5555555555556</v>
      </c>
      <c r="Q81" s="70">
        <v>290</v>
      </c>
      <c r="R81" s="54">
        <v>8</v>
      </c>
      <c r="S81" s="54">
        <f>STOCK[[#This Row],[Peso (g)]]*STOCK[[#This Row],[Precio Envío Kilogramo (USD)]]/1000</f>
        <v>2.3199999999999998</v>
      </c>
      <c r="T81" s="53">
        <f>STOCK[[#This Row],[Costo Unitario (USD)]]+STOCK[[#This Row],[Costo Envío (USD)]]+STOCK[[#This Row],[Comisión 10%]]</f>
        <v>14.8755555555556</v>
      </c>
      <c r="U81" s="54">
        <f>STOCK[[#This Row],[Costo total]]*1.5</f>
        <v>22.3133333333334</v>
      </c>
      <c r="V81" s="54">
        <v>20</v>
      </c>
      <c r="W81" s="54">
        <f>STOCK[[#This Row],[Precio Final]]-STOCK[[#This Row],[Costo total]]</f>
        <v>5.1244444444443999</v>
      </c>
      <c r="X81" s="54">
        <f>STOCK[[#This Row],[Ganancia Unitaria]]*STOCK[[#This Row],[Salidas]]</f>
        <v>5.1244444444443999</v>
      </c>
      <c r="Y81" s="54" t="s">
        <v>168</v>
      </c>
      <c r="AA81" s="54">
        <f>STOCK[[#This Row],[Costo total]]*STOCK[[#This Row],[Entradas]]</f>
        <v>14.8755555555556</v>
      </c>
      <c r="AB81" s="54">
        <f>STOCK[[#This Row],[Stock Actual]]*STOCK[[#This Row],[Costo total]]</f>
        <v>0</v>
      </c>
    </row>
    <row r="82" spans="1:29" s="53" customFormat="1" ht="50" customHeight="1">
      <c r="A82" s="53" t="s">
        <v>208</v>
      </c>
      <c r="B82" s="64"/>
      <c r="C82" s="53" t="s">
        <v>32</v>
      </c>
      <c r="D82" s="53" t="s">
        <v>44</v>
      </c>
      <c r="E82" s="65" t="s">
        <v>209</v>
      </c>
      <c r="F82" s="53" t="s">
        <v>88</v>
      </c>
      <c r="G82" s="53" t="s">
        <v>36</v>
      </c>
      <c r="H82" s="53">
        <f>STOCK[[#This Row],[Precio Final]]</f>
        <v>25</v>
      </c>
      <c r="I82" s="53">
        <f>STOCK[[#This Row],[Precio Venta Ideal (x1.5)]]</f>
        <v>25.5</v>
      </c>
      <c r="J82" s="69">
        <v>1</v>
      </c>
      <c r="K82" s="69">
        <f>SUMIFS(VENTAS[Cantidad],VENTAS[Código del producto Vendido],STOCK[[#This Row],[Code]])</f>
        <v>1</v>
      </c>
      <c r="L82" s="69">
        <f>STOCK[[#This Row],[Entradas]]-STOCK[[#This Row],[Salidas]]</f>
        <v>0</v>
      </c>
      <c r="M82" s="53">
        <f>STOCK[[#This Row],[Precio Final]]*10%</f>
        <v>2.5</v>
      </c>
      <c r="N82" s="53">
        <v>225</v>
      </c>
      <c r="O82" s="53">
        <v>18</v>
      </c>
      <c r="P82" s="53">
        <v>12.5</v>
      </c>
      <c r="Q82" s="69">
        <v>250</v>
      </c>
      <c r="R82" s="53">
        <v>8</v>
      </c>
      <c r="S82" s="53">
        <f>STOCK[[#This Row],[Peso (g)]]*STOCK[[#This Row],[Precio Envío Kilogramo (USD)]]/1000</f>
        <v>2</v>
      </c>
      <c r="T82" s="53">
        <f>STOCK[[#This Row],[Costo Unitario (USD)]]+STOCK[[#This Row],[Costo Envío (USD)]]+STOCK[[#This Row],[Comisión 10%]]</f>
        <v>17</v>
      </c>
      <c r="U82" s="53">
        <f>STOCK[[#This Row],[Costo total]]*1.5</f>
        <v>25.5</v>
      </c>
      <c r="V82" s="53">
        <v>25</v>
      </c>
      <c r="W82" s="53">
        <f>STOCK[[#This Row],[Precio Final]]-STOCK[[#This Row],[Costo total]]</f>
        <v>8</v>
      </c>
      <c r="X82" s="53">
        <f>STOCK[[#This Row],[Ganancia Unitaria]]*STOCK[[#This Row],[Salidas]]</f>
        <v>8</v>
      </c>
      <c r="Y82" s="53" t="s">
        <v>168</v>
      </c>
      <c r="AA82" s="53">
        <f>STOCK[[#This Row],[Costo total]]*STOCK[[#This Row],[Entradas]]</f>
        <v>17</v>
      </c>
      <c r="AB82" s="53">
        <f>STOCK[[#This Row],[Stock Actual]]*STOCK[[#This Row],[Costo total]]</f>
        <v>0</v>
      </c>
    </row>
    <row r="83" spans="1:29" s="54" customFormat="1" ht="50" customHeight="1">
      <c r="A83" s="54" t="s">
        <v>210</v>
      </c>
      <c r="B83" s="64"/>
      <c r="C83" s="54" t="s">
        <v>32</v>
      </c>
      <c r="D83" s="54" t="s">
        <v>44</v>
      </c>
      <c r="E83" s="66" t="s">
        <v>209</v>
      </c>
      <c r="F83" s="54" t="s">
        <v>211</v>
      </c>
      <c r="G83" s="54" t="s">
        <v>36</v>
      </c>
      <c r="H83" s="54">
        <f>STOCK[[#This Row],[Precio Final]]</f>
        <v>25</v>
      </c>
      <c r="I83" s="54">
        <f>STOCK[[#This Row],[Precio Venta Ideal (x1.5)]]</f>
        <v>24.840000000000003</v>
      </c>
      <c r="J83" s="70">
        <v>1</v>
      </c>
      <c r="K83" s="70">
        <f>SUMIFS(VENTAS[Cantidad],VENTAS[Código del producto Vendido],STOCK[[#This Row],[Code]])</f>
        <v>1</v>
      </c>
      <c r="L83" s="70">
        <f>STOCK[[#This Row],[Entradas]]-STOCK[[#This Row],[Salidas]]</f>
        <v>0</v>
      </c>
      <c r="M83" s="54">
        <f>STOCK[[#This Row],[Precio Final]]*10%</f>
        <v>2.5</v>
      </c>
      <c r="N83" s="54">
        <v>225</v>
      </c>
      <c r="O83" s="54">
        <v>18</v>
      </c>
      <c r="P83" s="54">
        <v>12.5</v>
      </c>
      <c r="Q83" s="70">
        <v>195</v>
      </c>
      <c r="R83" s="54">
        <v>8</v>
      </c>
      <c r="S83" s="54">
        <f>STOCK[[#This Row],[Peso (g)]]*STOCK[[#This Row],[Precio Envío Kilogramo (USD)]]/1000</f>
        <v>1.56</v>
      </c>
      <c r="T83" s="53">
        <f>STOCK[[#This Row],[Costo Unitario (USD)]]+STOCK[[#This Row],[Costo Envío (USD)]]+STOCK[[#This Row],[Comisión 10%]]</f>
        <v>16.560000000000002</v>
      </c>
      <c r="U83" s="54">
        <f>STOCK[[#This Row],[Costo total]]*1.5</f>
        <v>24.840000000000003</v>
      </c>
      <c r="V83" s="54">
        <v>25</v>
      </c>
      <c r="W83" s="54">
        <f>STOCK[[#This Row],[Precio Final]]-STOCK[[#This Row],[Costo total]]</f>
        <v>8.4399999999999977</v>
      </c>
      <c r="X83" s="54">
        <f>STOCK[[#This Row],[Ganancia Unitaria]]*STOCK[[#This Row],[Salidas]]</f>
        <v>8.4399999999999977</v>
      </c>
      <c r="Y83" s="54" t="s">
        <v>168</v>
      </c>
      <c r="AA83" s="54">
        <f>STOCK[[#This Row],[Costo total]]*STOCK[[#This Row],[Entradas]]</f>
        <v>16.560000000000002</v>
      </c>
      <c r="AB83" s="54">
        <f>STOCK[[#This Row],[Stock Actual]]*STOCK[[#This Row],[Costo total]]</f>
        <v>0</v>
      </c>
    </row>
    <row r="84" spans="1:29" s="53" customFormat="1" ht="50" customHeight="1">
      <c r="A84" s="53" t="s">
        <v>212</v>
      </c>
      <c r="B84" s="64"/>
      <c r="C84" s="53" t="s">
        <v>32</v>
      </c>
      <c r="D84" s="53" t="s">
        <v>213</v>
      </c>
      <c r="E84" s="65" t="s">
        <v>214</v>
      </c>
      <c r="F84" s="53" t="s">
        <v>46</v>
      </c>
      <c r="G84" s="53" t="s">
        <v>36</v>
      </c>
      <c r="H84" s="53">
        <f>STOCK[[#This Row],[Precio Final]]</f>
        <v>25</v>
      </c>
      <c r="I84" s="53">
        <f>STOCK[[#This Row],[Precio Venta Ideal (x1.5)]]</f>
        <v>25.259999999999998</v>
      </c>
      <c r="J84" s="69">
        <v>1</v>
      </c>
      <c r="K84" s="69">
        <f>SUMIFS(VENTAS[Cantidad],VENTAS[Código del producto Vendido],STOCK[[#This Row],[Code]])</f>
        <v>1</v>
      </c>
      <c r="L84" s="69">
        <f>STOCK[[#This Row],[Entradas]]-STOCK[[#This Row],[Salidas]]</f>
        <v>0</v>
      </c>
      <c r="M84" s="53">
        <f>STOCK[[#This Row],[Precio Final]]*10%</f>
        <v>2.5</v>
      </c>
      <c r="N84" s="53">
        <v>225</v>
      </c>
      <c r="O84" s="53">
        <v>18</v>
      </c>
      <c r="P84" s="53">
        <v>12.5</v>
      </c>
      <c r="Q84" s="69">
        <v>230</v>
      </c>
      <c r="R84" s="53">
        <v>8</v>
      </c>
      <c r="S84" s="53">
        <f>STOCK[[#This Row],[Peso (g)]]*STOCK[[#This Row],[Precio Envío Kilogramo (USD)]]/1000</f>
        <v>1.84</v>
      </c>
      <c r="T84" s="53">
        <f>STOCK[[#This Row],[Costo Unitario (USD)]]+STOCK[[#This Row],[Costo Envío (USD)]]+STOCK[[#This Row],[Comisión 10%]]</f>
        <v>16.84</v>
      </c>
      <c r="U84" s="53">
        <f>STOCK[[#This Row],[Costo total]]*1.5</f>
        <v>25.259999999999998</v>
      </c>
      <c r="V84" s="53">
        <v>25</v>
      </c>
      <c r="W84" s="53">
        <f>STOCK[[#This Row],[Precio Final]]-STOCK[[#This Row],[Costo total]]</f>
        <v>8.16</v>
      </c>
      <c r="X84" s="53">
        <f>STOCK[[#This Row],[Ganancia Unitaria]]*STOCK[[#This Row],[Salidas]]</f>
        <v>8.16</v>
      </c>
      <c r="Y84" s="53" t="s">
        <v>168</v>
      </c>
      <c r="AA84" s="53">
        <f>STOCK[[#This Row],[Costo total]]*STOCK[[#This Row],[Entradas]]</f>
        <v>16.84</v>
      </c>
      <c r="AB84" s="53">
        <f>STOCK[[#This Row],[Stock Actual]]*STOCK[[#This Row],[Costo total]]</f>
        <v>0</v>
      </c>
    </row>
    <row r="85" spans="1:29" s="54" customFormat="1" ht="50" customHeight="1">
      <c r="A85" s="54" t="s">
        <v>215</v>
      </c>
      <c r="B85" s="64"/>
      <c r="C85" s="54" t="s">
        <v>32</v>
      </c>
      <c r="D85" s="54" t="s">
        <v>216</v>
      </c>
      <c r="E85" s="66" t="s">
        <v>217</v>
      </c>
      <c r="F85" s="54" t="s">
        <v>49</v>
      </c>
      <c r="G85" s="54" t="s">
        <v>36</v>
      </c>
      <c r="H85" s="54">
        <f>STOCK[[#This Row],[Precio Final]]</f>
        <v>30</v>
      </c>
      <c r="I85" s="54">
        <f>STOCK[[#This Row],[Precio Venta Ideal (x1.5)]]</f>
        <v>31.376666666666701</v>
      </c>
      <c r="J85" s="70">
        <v>1</v>
      </c>
      <c r="K85" s="70">
        <f>SUMIFS(VENTAS[Cantidad],VENTAS[Código del producto Vendido],STOCK[[#This Row],[Code]])</f>
        <v>0</v>
      </c>
      <c r="L85" s="70">
        <f>STOCK[[#This Row],[Entradas]]-STOCK[[#This Row],[Salidas]]</f>
        <v>1</v>
      </c>
      <c r="M85" s="54">
        <f>STOCK[[#This Row],[Precio Final]]*10%</f>
        <v>3</v>
      </c>
      <c r="N85" s="54">
        <v>275</v>
      </c>
      <c r="O85" s="54">
        <v>18</v>
      </c>
      <c r="P85" s="54">
        <v>15.2777777777778</v>
      </c>
      <c r="Q85" s="70">
        <v>330</v>
      </c>
      <c r="R85" s="54">
        <v>8</v>
      </c>
      <c r="S85" s="54">
        <f>STOCK[[#This Row],[Peso (g)]]*STOCK[[#This Row],[Precio Envío Kilogramo (USD)]]/1000</f>
        <v>2.64</v>
      </c>
      <c r="T85" s="53">
        <f>STOCK[[#This Row],[Costo Unitario (USD)]]+STOCK[[#This Row],[Costo Envío (USD)]]+STOCK[[#This Row],[Comisión 10%]]</f>
        <v>20.9177777777778</v>
      </c>
      <c r="U85" s="54">
        <f>STOCK[[#This Row],[Costo total]]*1.5</f>
        <v>31.376666666666701</v>
      </c>
      <c r="V85" s="54">
        <v>30</v>
      </c>
      <c r="W85" s="54">
        <f>STOCK[[#This Row],[Precio Final]]-STOCK[[#This Row],[Costo total]]</f>
        <v>9.0822222222221995</v>
      </c>
      <c r="X85" s="54">
        <f>STOCK[[#This Row],[Ganancia Unitaria]]*STOCK[[#This Row],[Salidas]]</f>
        <v>0</v>
      </c>
      <c r="Y85" s="54" t="s">
        <v>168</v>
      </c>
      <c r="AA85" s="54">
        <f>STOCK[[#This Row],[Costo total]]*STOCK[[#This Row],[Entradas]]</f>
        <v>20.9177777777778</v>
      </c>
      <c r="AB85" s="54">
        <f>STOCK[[#This Row],[Stock Actual]]*STOCK[[#This Row],[Costo total]]</f>
        <v>20.9177777777778</v>
      </c>
      <c r="AC85" s="54">
        <v>28</v>
      </c>
    </row>
    <row r="86" spans="1:29" s="53" customFormat="1" ht="50" customHeight="1">
      <c r="A86" s="53" t="s">
        <v>218</v>
      </c>
      <c r="B86" s="64"/>
      <c r="C86" s="53" t="s">
        <v>32</v>
      </c>
      <c r="D86" s="53" t="s">
        <v>216</v>
      </c>
      <c r="E86" s="65" t="s">
        <v>217</v>
      </c>
      <c r="F86" s="53" t="s">
        <v>40</v>
      </c>
      <c r="G86" s="53" t="s">
        <v>36</v>
      </c>
      <c r="H86" s="53">
        <f>STOCK[[#This Row],[Precio Final]]</f>
        <v>30</v>
      </c>
      <c r="I86" s="53">
        <f>STOCK[[#This Row],[Precio Venta Ideal (x1.5)]]</f>
        <v>31.376666666666701</v>
      </c>
      <c r="J86" s="69">
        <v>1</v>
      </c>
      <c r="K86" s="69">
        <f>SUMIFS(VENTAS[Cantidad],VENTAS[Código del producto Vendido],STOCK[[#This Row],[Code]])</f>
        <v>0</v>
      </c>
      <c r="L86" s="69">
        <f>STOCK[[#This Row],[Entradas]]-STOCK[[#This Row],[Salidas]]</f>
        <v>1</v>
      </c>
      <c r="M86" s="53">
        <f>STOCK[[#This Row],[Precio Final]]*10%</f>
        <v>3</v>
      </c>
      <c r="N86" s="53">
        <v>275</v>
      </c>
      <c r="O86" s="53">
        <v>18</v>
      </c>
      <c r="P86" s="53">
        <v>15.2777777777778</v>
      </c>
      <c r="Q86" s="69">
        <v>330</v>
      </c>
      <c r="R86" s="53">
        <v>8</v>
      </c>
      <c r="S86" s="53">
        <f>STOCK[[#This Row],[Peso (g)]]*STOCK[[#This Row],[Precio Envío Kilogramo (USD)]]/1000</f>
        <v>2.64</v>
      </c>
      <c r="T86" s="53">
        <f>STOCK[[#This Row],[Costo Unitario (USD)]]+STOCK[[#This Row],[Costo Envío (USD)]]+STOCK[[#This Row],[Comisión 10%]]</f>
        <v>20.9177777777778</v>
      </c>
      <c r="U86" s="53">
        <f>STOCK[[#This Row],[Costo total]]*1.5</f>
        <v>31.376666666666701</v>
      </c>
      <c r="V86" s="53">
        <v>30</v>
      </c>
      <c r="W86" s="53">
        <f>STOCK[[#This Row],[Precio Final]]-STOCK[[#This Row],[Costo total]]</f>
        <v>9.0822222222221995</v>
      </c>
      <c r="X86" s="53">
        <f>STOCK[[#This Row],[Ganancia Unitaria]]*STOCK[[#This Row],[Salidas]]</f>
        <v>0</v>
      </c>
      <c r="Y86" s="53" t="s">
        <v>168</v>
      </c>
      <c r="AA86" s="53">
        <f>STOCK[[#This Row],[Costo total]]*STOCK[[#This Row],[Entradas]]</f>
        <v>20.9177777777778</v>
      </c>
      <c r="AB86" s="53">
        <f>STOCK[[#This Row],[Stock Actual]]*STOCK[[#This Row],[Costo total]]</f>
        <v>20.9177777777778</v>
      </c>
      <c r="AC86" s="53">
        <v>28</v>
      </c>
    </row>
    <row r="87" spans="1:29" s="54" customFormat="1" ht="50" customHeight="1">
      <c r="A87" s="54" t="s">
        <v>219</v>
      </c>
      <c r="B87" s="64"/>
      <c r="C87" s="54" t="s">
        <v>32</v>
      </c>
      <c r="D87" s="54" t="s">
        <v>174</v>
      </c>
      <c r="E87" s="66" t="s">
        <v>220</v>
      </c>
      <c r="F87" s="54" t="s">
        <v>49</v>
      </c>
      <c r="G87" s="54" t="s">
        <v>36</v>
      </c>
      <c r="H87" s="54">
        <f>STOCK[[#This Row],[Precio Final]]</f>
        <v>14</v>
      </c>
      <c r="I87" s="54">
        <f>STOCK[[#This Row],[Precio Venta Ideal (x1.5)]]</f>
        <v>15.38666666666667</v>
      </c>
      <c r="J87" s="70">
        <v>1</v>
      </c>
      <c r="K87" s="70">
        <f>SUMIFS(VENTAS[Cantidad],VENTAS[Código del producto Vendido],STOCK[[#This Row],[Code]])</f>
        <v>1</v>
      </c>
      <c r="L87" s="70">
        <f>STOCK[[#This Row],[Entradas]]-STOCK[[#This Row],[Salidas]]</f>
        <v>0</v>
      </c>
      <c r="M87" s="54">
        <f>STOCK[[#This Row],[Precio Final]]*10%</f>
        <v>1.4000000000000001</v>
      </c>
      <c r="N87" s="54">
        <v>140</v>
      </c>
      <c r="O87" s="54">
        <v>18</v>
      </c>
      <c r="P87" s="54">
        <v>7.7777777777777803</v>
      </c>
      <c r="Q87" s="70">
        <v>135</v>
      </c>
      <c r="R87" s="54">
        <v>8</v>
      </c>
      <c r="S87" s="54">
        <f>STOCK[[#This Row],[Peso (g)]]*STOCK[[#This Row],[Precio Envío Kilogramo (USD)]]/1000</f>
        <v>1.08</v>
      </c>
      <c r="T87" s="53">
        <f>STOCK[[#This Row],[Costo Unitario (USD)]]+STOCK[[#This Row],[Costo Envío (USD)]]+STOCK[[#This Row],[Comisión 10%]]</f>
        <v>10.257777777777781</v>
      </c>
      <c r="U87" s="54">
        <f>STOCK[[#This Row],[Costo total]]*1.5</f>
        <v>15.38666666666667</v>
      </c>
      <c r="V87" s="54">
        <v>14</v>
      </c>
      <c r="W87" s="54">
        <f>STOCK[[#This Row],[Precio Final]]-STOCK[[#This Row],[Costo total]]</f>
        <v>3.7422222222222192</v>
      </c>
      <c r="X87" s="54">
        <f>STOCK[[#This Row],[Ganancia Unitaria]]*STOCK[[#This Row],[Salidas]]</f>
        <v>3.7422222222222192</v>
      </c>
      <c r="Y87" s="54" t="s">
        <v>168</v>
      </c>
      <c r="AA87" s="54">
        <f>STOCK[[#This Row],[Costo total]]*STOCK[[#This Row],[Entradas]]</f>
        <v>10.257777777777781</v>
      </c>
      <c r="AB87" s="54">
        <f>STOCK[[#This Row],[Stock Actual]]*STOCK[[#This Row],[Costo total]]</f>
        <v>0</v>
      </c>
    </row>
    <row r="88" spans="1:29" s="53" customFormat="1" ht="50" customHeight="1">
      <c r="A88" s="53" t="s">
        <v>221</v>
      </c>
      <c r="B88" s="64"/>
      <c r="C88" s="53" t="s">
        <v>32</v>
      </c>
      <c r="D88" s="53" t="s">
        <v>44</v>
      </c>
      <c r="E88" s="65" t="s">
        <v>222</v>
      </c>
      <c r="F88" s="53" t="s">
        <v>40</v>
      </c>
      <c r="G88" s="53" t="s">
        <v>36</v>
      </c>
      <c r="H88" s="53">
        <f>STOCK[[#This Row],[Precio Final]]</f>
        <v>30</v>
      </c>
      <c r="I88" s="53">
        <f>STOCK[[#This Row],[Precio Venta Ideal (x1.5)]]</f>
        <v>29.23000000000005</v>
      </c>
      <c r="J88" s="69">
        <v>1</v>
      </c>
      <c r="K88" s="69">
        <f>SUMIFS(VENTAS[Cantidad],VENTAS[Código del producto Vendido],STOCK[[#This Row],[Code]])</f>
        <v>1</v>
      </c>
      <c r="L88" s="69">
        <f>STOCK[[#This Row],[Entradas]]-STOCK[[#This Row],[Salidas]]</f>
        <v>0</v>
      </c>
      <c r="M88" s="53">
        <f>STOCK[[#This Row],[Precio Final]]*10%</f>
        <v>3</v>
      </c>
      <c r="N88" s="53">
        <v>255</v>
      </c>
      <c r="O88" s="53">
        <v>18</v>
      </c>
      <c r="P88" s="53">
        <v>14.1666666666667</v>
      </c>
      <c r="Q88" s="69">
        <v>290</v>
      </c>
      <c r="R88" s="53">
        <v>8</v>
      </c>
      <c r="S88" s="53">
        <f>STOCK[[#This Row],[Peso (g)]]*STOCK[[#This Row],[Precio Envío Kilogramo (USD)]]/1000</f>
        <v>2.3199999999999998</v>
      </c>
      <c r="T88" s="53">
        <f>STOCK[[#This Row],[Costo Unitario (USD)]]+STOCK[[#This Row],[Costo Envío (USD)]]+STOCK[[#This Row],[Comisión 10%]]</f>
        <v>19.4866666666667</v>
      </c>
      <c r="U88" s="53">
        <f>STOCK[[#This Row],[Costo total]]*1.5</f>
        <v>29.23000000000005</v>
      </c>
      <c r="V88" s="53">
        <v>30</v>
      </c>
      <c r="W88" s="53">
        <f>STOCK[[#This Row],[Precio Final]]-STOCK[[#This Row],[Costo total]]</f>
        <v>10.5133333333333</v>
      </c>
      <c r="X88" s="53">
        <f>STOCK[[#This Row],[Ganancia Unitaria]]*STOCK[[#This Row],[Salidas]]</f>
        <v>10.5133333333333</v>
      </c>
      <c r="Y88" s="53" t="s">
        <v>168</v>
      </c>
      <c r="AA88" s="53">
        <f>STOCK[[#This Row],[Costo total]]*STOCK[[#This Row],[Entradas]]</f>
        <v>19.4866666666667</v>
      </c>
      <c r="AB88" s="53">
        <f>STOCK[[#This Row],[Stock Actual]]*STOCK[[#This Row],[Costo total]]</f>
        <v>0</v>
      </c>
    </row>
    <row r="89" spans="1:29" s="54" customFormat="1" ht="50" customHeight="1">
      <c r="A89" s="54" t="s">
        <v>223</v>
      </c>
      <c r="B89" s="64"/>
      <c r="C89" s="54" t="s">
        <v>32</v>
      </c>
      <c r="D89" s="54" t="s">
        <v>44</v>
      </c>
      <c r="E89" s="66" t="s">
        <v>224</v>
      </c>
      <c r="F89" s="54" t="s">
        <v>40</v>
      </c>
      <c r="G89" s="54" t="s">
        <v>36</v>
      </c>
      <c r="H89" s="54">
        <f>STOCK[[#This Row],[Precio Final]]</f>
        <v>18</v>
      </c>
      <c r="I89" s="54">
        <f>STOCK[[#This Row],[Precio Venta Ideal (x1.5)]]</f>
        <v>16.47</v>
      </c>
      <c r="J89" s="70">
        <v>1</v>
      </c>
      <c r="K89" s="70">
        <f>SUMIFS(VENTAS[Cantidad],VENTAS[Código del producto Vendido],STOCK[[#This Row],[Code]])</f>
        <v>1</v>
      </c>
      <c r="L89" s="70">
        <f>STOCK[[#This Row],[Entradas]]-STOCK[[#This Row],[Salidas]]</f>
        <v>0</v>
      </c>
      <c r="M89" s="54">
        <f>STOCK[[#This Row],[Precio Final]]*10%</f>
        <v>1.8</v>
      </c>
      <c r="N89" s="54">
        <v>135</v>
      </c>
      <c r="O89" s="54">
        <v>18</v>
      </c>
      <c r="P89" s="54">
        <v>7.5</v>
      </c>
      <c r="Q89" s="70">
        <v>210</v>
      </c>
      <c r="R89" s="54">
        <v>8</v>
      </c>
      <c r="S89" s="54">
        <f>STOCK[[#This Row],[Peso (g)]]*STOCK[[#This Row],[Precio Envío Kilogramo (USD)]]/1000</f>
        <v>1.68</v>
      </c>
      <c r="T89" s="53">
        <f>STOCK[[#This Row],[Costo Unitario (USD)]]+STOCK[[#This Row],[Costo Envío (USD)]]+STOCK[[#This Row],[Comisión 10%]]</f>
        <v>10.98</v>
      </c>
      <c r="U89" s="54">
        <f>STOCK[[#This Row],[Costo total]]*1.5</f>
        <v>16.47</v>
      </c>
      <c r="V89" s="54">
        <v>18</v>
      </c>
      <c r="W89" s="54">
        <f>STOCK[[#This Row],[Precio Final]]-STOCK[[#This Row],[Costo total]]</f>
        <v>7.02</v>
      </c>
      <c r="X89" s="54">
        <f>STOCK[[#This Row],[Ganancia Unitaria]]*STOCK[[#This Row],[Salidas]]</f>
        <v>7.02</v>
      </c>
      <c r="Y89" s="54" t="s">
        <v>168</v>
      </c>
      <c r="AA89" s="54">
        <f>STOCK[[#This Row],[Costo total]]*STOCK[[#This Row],[Entradas]]</f>
        <v>10.98</v>
      </c>
      <c r="AB89" s="54">
        <f>STOCK[[#This Row],[Stock Actual]]*STOCK[[#This Row],[Costo total]]</f>
        <v>0</v>
      </c>
    </row>
    <row r="90" spans="1:29" s="53" customFormat="1" ht="50" customHeight="1">
      <c r="A90" s="53" t="s">
        <v>225</v>
      </c>
      <c r="B90" s="64"/>
      <c r="C90" s="53" t="s">
        <v>32</v>
      </c>
      <c r="D90" s="53" t="s">
        <v>44</v>
      </c>
      <c r="E90" s="65" t="s">
        <v>167</v>
      </c>
      <c r="F90" s="53" t="s">
        <v>49</v>
      </c>
      <c r="G90" s="53" t="s">
        <v>36</v>
      </c>
      <c r="H90" s="53">
        <f>STOCK[[#This Row],[Precio Final]]</f>
        <v>22</v>
      </c>
      <c r="I90" s="53">
        <f>STOCK[[#This Row],[Precio Venta Ideal (x1.5)]]</f>
        <v>22.606666666666651</v>
      </c>
      <c r="J90" s="69">
        <v>1</v>
      </c>
      <c r="K90" s="69">
        <f>SUMIFS(VENTAS[Cantidad],VENTAS[Código del producto Vendido],STOCK[[#This Row],[Code]])</f>
        <v>1</v>
      </c>
      <c r="L90" s="69">
        <f>STOCK[[#This Row],[Entradas]]-STOCK[[#This Row],[Salidas]]</f>
        <v>0</v>
      </c>
      <c r="M90" s="53">
        <f>STOCK[[#This Row],[Precio Final]]*10%</f>
        <v>2.2000000000000002</v>
      </c>
      <c r="N90" s="53">
        <v>200</v>
      </c>
      <c r="O90" s="53">
        <v>18</v>
      </c>
      <c r="P90" s="53">
        <v>11.1111111111111</v>
      </c>
      <c r="Q90" s="69">
        <v>220</v>
      </c>
      <c r="R90" s="53">
        <v>8</v>
      </c>
      <c r="S90" s="53">
        <f>STOCK[[#This Row],[Peso (g)]]*STOCK[[#This Row],[Precio Envío Kilogramo (USD)]]/1000</f>
        <v>1.76</v>
      </c>
      <c r="T90" s="53">
        <f>STOCK[[#This Row],[Costo Unitario (USD)]]+STOCK[[#This Row],[Costo Envío (USD)]]+STOCK[[#This Row],[Comisión 10%]]</f>
        <v>15.071111111111101</v>
      </c>
      <c r="U90" s="53">
        <f>STOCK[[#This Row],[Costo total]]*1.5</f>
        <v>22.606666666666651</v>
      </c>
      <c r="V90" s="53">
        <v>22</v>
      </c>
      <c r="W90" s="53">
        <f>STOCK[[#This Row],[Precio Final]]-STOCK[[#This Row],[Costo total]]</f>
        <v>6.9288888888888991</v>
      </c>
      <c r="X90" s="53">
        <f>STOCK[[#This Row],[Ganancia Unitaria]]*STOCK[[#This Row],[Salidas]]</f>
        <v>6.9288888888888991</v>
      </c>
      <c r="Y90" s="53" t="s">
        <v>168</v>
      </c>
      <c r="AA90" s="53">
        <f>STOCK[[#This Row],[Costo total]]*STOCK[[#This Row],[Entradas]]</f>
        <v>15.071111111111101</v>
      </c>
      <c r="AB90" s="53">
        <f>STOCK[[#This Row],[Stock Actual]]*STOCK[[#This Row],[Costo total]]</f>
        <v>0</v>
      </c>
    </row>
    <row r="91" spans="1:29" s="54" customFormat="1" ht="50" customHeight="1">
      <c r="A91" s="54" t="s">
        <v>226</v>
      </c>
      <c r="B91" s="64"/>
      <c r="C91" s="54" t="s">
        <v>32</v>
      </c>
      <c r="D91" s="54" t="s">
        <v>152</v>
      </c>
      <c r="E91" s="66" t="s">
        <v>227</v>
      </c>
      <c r="F91" s="54" t="s">
        <v>228</v>
      </c>
      <c r="G91" s="54" t="s">
        <v>36</v>
      </c>
      <c r="H91" s="54">
        <f>STOCK[[#This Row],[Precio Final]]</f>
        <v>23</v>
      </c>
      <c r="I91" s="54">
        <f>STOCK[[#This Row],[Precio Venta Ideal (x1.5)]]</f>
        <v>24.366666666666603</v>
      </c>
      <c r="J91" s="70">
        <v>1</v>
      </c>
      <c r="K91" s="70">
        <f>SUMIFS(VENTAS[Cantidad],VENTAS[Código del producto Vendido],STOCK[[#This Row],[Code]])</f>
        <v>1</v>
      </c>
      <c r="L91" s="70">
        <f>STOCK[[#This Row],[Entradas]]-STOCK[[#This Row],[Salidas]]</f>
        <v>0</v>
      </c>
      <c r="M91" s="54">
        <f>STOCK[[#This Row],[Precio Final]]*10%</f>
        <v>2.3000000000000003</v>
      </c>
      <c r="N91" s="54">
        <v>215</v>
      </c>
      <c r="O91" s="54">
        <v>18</v>
      </c>
      <c r="P91" s="54">
        <v>11.9444444444444</v>
      </c>
      <c r="Q91" s="70">
        <v>250</v>
      </c>
      <c r="R91" s="54">
        <v>8</v>
      </c>
      <c r="S91" s="54">
        <f>STOCK[[#This Row],[Peso (g)]]*STOCK[[#This Row],[Precio Envío Kilogramo (USD)]]/1000</f>
        <v>2</v>
      </c>
      <c r="T91" s="53">
        <f>STOCK[[#This Row],[Costo Unitario (USD)]]+STOCK[[#This Row],[Costo Envío (USD)]]+STOCK[[#This Row],[Comisión 10%]]</f>
        <v>16.244444444444401</v>
      </c>
      <c r="U91" s="54">
        <f>STOCK[[#This Row],[Costo total]]*1.5</f>
        <v>24.366666666666603</v>
      </c>
      <c r="V91" s="54">
        <v>23</v>
      </c>
      <c r="W91" s="54">
        <f>STOCK[[#This Row],[Precio Final]]-STOCK[[#This Row],[Costo total]]</f>
        <v>6.7555555555555991</v>
      </c>
      <c r="X91" s="54">
        <f>STOCK[[#This Row],[Ganancia Unitaria]]*STOCK[[#This Row],[Salidas]]</f>
        <v>6.7555555555555991</v>
      </c>
      <c r="Y91" s="54" t="s">
        <v>168</v>
      </c>
      <c r="AA91" s="54">
        <f>STOCK[[#This Row],[Costo total]]*STOCK[[#This Row],[Entradas]]</f>
        <v>16.244444444444401</v>
      </c>
      <c r="AB91" s="54">
        <f>STOCK[[#This Row],[Stock Actual]]*STOCK[[#This Row],[Costo total]]</f>
        <v>0</v>
      </c>
    </row>
    <row r="92" spans="1:29" s="53" customFormat="1" ht="50" customHeight="1">
      <c r="A92" s="53" t="s">
        <v>229</v>
      </c>
      <c r="B92" s="64"/>
      <c r="C92" s="53" t="s">
        <v>32</v>
      </c>
      <c r="D92" s="53" t="s">
        <v>152</v>
      </c>
      <c r="E92" s="65" t="s">
        <v>230</v>
      </c>
      <c r="F92" s="53" t="s">
        <v>228</v>
      </c>
      <c r="G92" s="53" t="s">
        <v>36</v>
      </c>
      <c r="H92" s="53">
        <f>STOCK[[#This Row],[Precio Final]]</f>
        <v>23</v>
      </c>
      <c r="I92" s="53">
        <f>STOCK[[#This Row],[Precio Venta Ideal (x1.5)]]</f>
        <v>24.366666666666603</v>
      </c>
      <c r="J92" s="69">
        <v>1</v>
      </c>
      <c r="K92" s="69">
        <f>SUMIFS(VENTAS[Cantidad],VENTAS[Código del producto Vendido],STOCK[[#This Row],[Code]])</f>
        <v>1</v>
      </c>
      <c r="L92" s="69">
        <f>STOCK[[#This Row],[Entradas]]-STOCK[[#This Row],[Salidas]]</f>
        <v>0</v>
      </c>
      <c r="M92" s="53">
        <f>STOCK[[#This Row],[Precio Final]]*10%</f>
        <v>2.3000000000000003</v>
      </c>
      <c r="N92" s="53">
        <v>215</v>
      </c>
      <c r="O92" s="53">
        <v>18</v>
      </c>
      <c r="P92" s="53">
        <v>11.9444444444444</v>
      </c>
      <c r="Q92" s="69">
        <v>250</v>
      </c>
      <c r="R92" s="53">
        <v>8</v>
      </c>
      <c r="S92" s="53">
        <f>STOCK[[#This Row],[Peso (g)]]*STOCK[[#This Row],[Precio Envío Kilogramo (USD)]]/1000</f>
        <v>2</v>
      </c>
      <c r="T92" s="53">
        <f>STOCK[[#This Row],[Costo Unitario (USD)]]+STOCK[[#This Row],[Costo Envío (USD)]]+STOCK[[#This Row],[Comisión 10%]]</f>
        <v>16.244444444444401</v>
      </c>
      <c r="U92" s="53">
        <f>STOCK[[#This Row],[Costo total]]*1.5</f>
        <v>24.366666666666603</v>
      </c>
      <c r="V92" s="53">
        <v>23</v>
      </c>
      <c r="W92" s="53">
        <f>STOCK[[#This Row],[Precio Final]]-STOCK[[#This Row],[Costo total]]</f>
        <v>6.7555555555555991</v>
      </c>
      <c r="X92" s="53">
        <f>STOCK[[#This Row],[Ganancia Unitaria]]*STOCK[[#This Row],[Salidas]]</f>
        <v>6.7555555555555991</v>
      </c>
      <c r="Y92" s="53" t="s">
        <v>168</v>
      </c>
      <c r="AA92" s="53">
        <f>STOCK[[#This Row],[Costo total]]*STOCK[[#This Row],[Entradas]]</f>
        <v>16.244444444444401</v>
      </c>
      <c r="AB92" s="53">
        <f>STOCK[[#This Row],[Stock Actual]]*STOCK[[#This Row],[Costo total]]</f>
        <v>0</v>
      </c>
    </row>
    <row r="93" spans="1:29" s="54" customFormat="1" ht="50" customHeight="1">
      <c r="A93" s="54" t="s">
        <v>231</v>
      </c>
      <c r="B93" s="64"/>
      <c r="C93" s="54" t="s">
        <v>32</v>
      </c>
      <c r="D93" s="54" t="s">
        <v>44</v>
      </c>
      <c r="E93" s="66" t="s">
        <v>232</v>
      </c>
      <c r="F93" s="54" t="s">
        <v>62</v>
      </c>
      <c r="G93" s="54" t="s">
        <v>36</v>
      </c>
      <c r="H93" s="54">
        <f>STOCK[[#This Row],[Precio Final]]</f>
        <v>28</v>
      </c>
      <c r="I93" s="54">
        <f>STOCK[[#This Row],[Precio Venta Ideal (x1.5)]]</f>
        <v>31.92</v>
      </c>
      <c r="J93" s="70">
        <v>1</v>
      </c>
      <c r="K93" s="70">
        <f>SUMIFS(VENTAS[Cantidad],VENTAS[Código del producto Vendido],STOCK[[#This Row],[Code]])</f>
        <v>1</v>
      </c>
      <c r="L93" s="70">
        <f>STOCK[[#This Row],[Entradas]]-STOCK[[#This Row],[Salidas]]</f>
        <v>0</v>
      </c>
      <c r="M93" s="54">
        <f>STOCK[[#This Row],[Precio Final]]*10%</f>
        <v>2.8000000000000003</v>
      </c>
      <c r="N93" s="54">
        <v>270</v>
      </c>
      <c r="O93" s="54">
        <v>18</v>
      </c>
      <c r="P93" s="54">
        <v>15</v>
      </c>
      <c r="Q93" s="70">
        <v>435</v>
      </c>
      <c r="R93" s="54">
        <v>8</v>
      </c>
      <c r="S93" s="54">
        <f>STOCK[[#This Row],[Peso (g)]]*STOCK[[#This Row],[Precio Envío Kilogramo (USD)]]/1000</f>
        <v>3.48</v>
      </c>
      <c r="T93" s="53">
        <f>STOCK[[#This Row],[Costo Unitario (USD)]]+STOCK[[#This Row],[Costo Envío (USD)]]+STOCK[[#This Row],[Comisión 10%]]</f>
        <v>21.28</v>
      </c>
      <c r="U93" s="54">
        <f>STOCK[[#This Row],[Costo total]]*1.5</f>
        <v>31.92</v>
      </c>
      <c r="V93" s="54">
        <v>28</v>
      </c>
      <c r="W93" s="54">
        <f>STOCK[[#This Row],[Precio Final]]-STOCK[[#This Row],[Costo total]]</f>
        <v>6.7199999999999989</v>
      </c>
      <c r="X93" s="54">
        <f>STOCK[[#This Row],[Ganancia Unitaria]]*STOCK[[#This Row],[Salidas]]</f>
        <v>6.7199999999999989</v>
      </c>
      <c r="Y93" s="54" t="s">
        <v>168</v>
      </c>
      <c r="AA93" s="54">
        <f>STOCK[[#This Row],[Costo total]]*STOCK[[#This Row],[Entradas]]</f>
        <v>21.28</v>
      </c>
      <c r="AB93" s="54">
        <f>STOCK[[#This Row],[Stock Actual]]*STOCK[[#This Row],[Costo total]]</f>
        <v>0</v>
      </c>
    </row>
    <row r="94" spans="1:29" s="53" customFormat="1" ht="50" customHeight="1">
      <c r="A94" s="53" t="s">
        <v>233</v>
      </c>
      <c r="B94" s="64"/>
      <c r="C94" s="53" t="s">
        <v>32</v>
      </c>
      <c r="D94" s="53" t="s">
        <v>174</v>
      </c>
      <c r="E94" s="65" t="s">
        <v>234</v>
      </c>
      <c r="F94" s="53" t="s">
        <v>49</v>
      </c>
      <c r="G94" s="53" t="s">
        <v>36</v>
      </c>
      <c r="H94" s="53">
        <f>STOCK[[#This Row],[Precio Final]]</f>
        <v>14</v>
      </c>
      <c r="I94" s="53">
        <f>STOCK[[#This Row],[Precio Venta Ideal (x1.5)]]</f>
        <v>14.43333333333333</v>
      </c>
      <c r="J94" s="69">
        <v>1</v>
      </c>
      <c r="K94" s="69">
        <f>SUMIFS(VENTAS[Cantidad],VENTAS[Código del producto Vendido],STOCK[[#This Row],[Code]])</f>
        <v>1</v>
      </c>
      <c r="L94" s="69">
        <f>STOCK[[#This Row],[Entradas]]-STOCK[[#This Row],[Salidas]]</f>
        <v>0</v>
      </c>
      <c r="M94" s="53">
        <f>STOCK[[#This Row],[Precio Final]]*10%</f>
        <v>1.4000000000000001</v>
      </c>
      <c r="N94" s="53">
        <v>130</v>
      </c>
      <c r="O94" s="53">
        <v>18</v>
      </c>
      <c r="P94" s="53">
        <v>7.2222222222222197</v>
      </c>
      <c r="Q94" s="69">
        <v>125</v>
      </c>
      <c r="R94" s="53">
        <v>8</v>
      </c>
      <c r="S94" s="53">
        <f>STOCK[[#This Row],[Peso (g)]]*STOCK[[#This Row],[Precio Envío Kilogramo (USD)]]/1000</f>
        <v>1</v>
      </c>
      <c r="T94" s="53">
        <f>STOCK[[#This Row],[Costo Unitario (USD)]]+STOCK[[#This Row],[Costo Envío (USD)]]+STOCK[[#This Row],[Comisión 10%]]</f>
        <v>9.62222222222222</v>
      </c>
      <c r="U94" s="53">
        <f>STOCK[[#This Row],[Costo total]]*1.5</f>
        <v>14.43333333333333</v>
      </c>
      <c r="V94" s="53">
        <v>14</v>
      </c>
      <c r="W94" s="53">
        <f>STOCK[[#This Row],[Precio Final]]-STOCK[[#This Row],[Costo total]]</f>
        <v>4.37777777777778</v>
      </c>
      <c r="X94" s="53">
        <f>STOCK[[#This Row],[Ganancia Unitaria]]*STOCK[[#This Row],[Salidas]]</f>
        <v>4.37777777777778</v>
      </c>
      <c r="Y94" s="53" t="s">
        <v>168</v>
      </c>
      <c r="AA94" s="53">
        <f>STOCK[[#This Row],[Costo total]]*STOCK[[#This Row],[Entradas]]</f>
        <v>9.62222222222222</v>
      </c>
      <c r="AB94" s="53">
        <f>STOCK[[#This Row],[Stock Actual]]*STOCK[[#This Row],[Costo total]]</f>
        <v>0</v>
      </c>
    </row>
    <row r="95" spans="1:29" s="54" customFormat="1" ht="50" customHeight="1">
      <c r="A95" s="54" t="s">
        <v>235</v>
      </c>
      <c r="B95" s="64"/>
      <c r="C95" s="54" t="s">
        <v>32</v>
      </c>
      <c r="D95" s="54" t="s">
        <v>174</v>
      </c>
      <c r="E95" s="66" t="s">
        <v>236</v>
      </c>
      <c r="F95" s="54" t="s">
        <v>40</v>
      </c>
      <c r="G95" s="54" t="s">
        <v>36</v>
      </c>
      <c r="H95" s="54">
        <f>STOCK[[#This Row],[Precio Final]]</f>
        <v>12</v>
      </c>
      <c r="I95" s="54">
        <f>STOCK[[#This Row],[Precio Venta Ideal (x1.5)]]</f>
        <v>13.656666666666659</v>
      </c>
      <c r="J95" s="70">
        <v>1</v>
      </c>
      <c r="K95" s="70">
        <f>SUMIFS(VENTAS[Cantidad],VENTAS[Código del producto Vendido],STOCK[[#This Row],[Code]])</f>
        <v>1</v>
      </c>
      <c r="L95" s="70">
        <f>STOCK[[#This Row],[Entradas]]-STOCK[[#This Row],[Salidas]]</f>
        <v>0</v>
      </c>
      <c r="M95" s="54">
        <f>STOCK[[#This Row],[Precio Final]]*10%</f>
        <v>1.2000000000000002</v>
      </c>
      <c r="N95" s="54">
        <v>125</v>
      </c>
      <c r="O95" s="54">
        <v>18</v>
      </c>
      <c r="P95" s="54">
        <v>6.9444444444444402</v>
      </c>
      <c r="Q95" s="70">
        <v>120</v>
      </c>
      <c r="R95" s="54">
        <v>8</v>
      </c>
      <c r="S95" s="54">
        <f>STOCK[[#This Row],[Peso (g)]]*STOCK[[#This Row],[Precio Envío Kilogramo (USD)]]/1000</f>
        <v>0.96</v>
      </c>
      <c r="T95" s="53">
        <f>STOCK[[#This Row],[Costo Unitario (USD)]]+STOCK[[#This Row],[Costo Envío (USD)]]+STOCK[[#This Row],[Comisión 10%]]</f>
        <v>9.1044444444444395</v>
      </c>
      <c r="U95" s="54">
        <f>STOCK[[#This Row],[Costo total]]*1.5</f>
        <v>13.656666666666659</v>
      </c>
      <c r="V95" s="54">
        <v>12</v>
      </c>
      <c r="W95" s="54">
        <f>STOCK[[#This Row],[Precio Final]]-STOCK[[#This Row],[Costo total]]</f>
        <v>2.8955555555555605</v>
      </c>
      <c r="X95" s="54">
        <f>STOCK[[#This Row],[Ganancia Unitaria]]*STOCK[[#This Row],[Salidas]]</f>
        <v>2.8955555555555605</v>
      </c>
      <c r="Y95" s="54" t="s">
        <v>168</v>
      </c>
      <c r="AA95" s="54">
        <f>STOCK[[#This Row],[Costo total]]*STOCK[[#This Row],[Entradas]]</f>
        <v>9.1044444444444395</v>
      </c>
      <c r="AB95" s="54">
        <f>STOCK[[#This Row],[Stock Actual]]*STOCK[[#This Row],[Costo total]]</f>
        <v>0</v>
      </c>
    </row>
    <row r="96" spans="1:29" s="53" customFormat="1" ht="50" customHeight="1">
      <c r="A96" s="53" t="s">
        <v>237</v>
      </c>
      <c r="B96" s="64"/>
      <c r="C96" s="53" t="s">
        <v>32</v>
      </c>
      <c r="D96" s="53" t="s">
        <v>174</v>
      </c>
      <c r="E96" s="65" t="s">
        <v>236</v>
      </c>
      <c r="F96" s="53" t="s">
        <v>49</v>
      </c>
      <c r="G96" s="53" t="s">
        <v>36</v>
      </c>
      <c r="H96" s="53">
        <f>STOCK[[#This Row],[Precio Final]]</f>
        <v>12</v>
      </c>
      <c r="I96" s="53">
        <f>STOCK[[#This Row],[Precio Venta Ideal (x1.5)]]</f>
        <v>13.656666666666659</v>
      </c>
      <c r="J96" s="69">
        <v>1</v>
      </c>
      <c r="K96" s="69">
        <f>SUMIFS(VENTAS[Cantidad],VENTAS[Código del producto Vendido],STOCK[[#This Row],[Code]])</f>
        <v>1</v>
      </c>
      <c r="L96" s="69">
        <f>STOCK[[#This Row],[Entradas]]-STOCK[[#This Row],[Salidas]]</f>
        <v>0</v>
      </c>
      <c r="M96" s="53">
        <f>STOCK[[#This Row],[Precio Final]]*10%</f>
        <v>1.2000000000000002</v>
      </c>
      <c r="N96" s="53">
        <v>125</v>
      </c>
      <c r="O96" s="53">
        <v>18</v>
      </c>
      <c r="P96" s="53">
        <v>6.9444444444444402</v>
      </c>
      <c r="Q96" s="69">
        <v>120</v>
      </c>
      <c r="R96" s="53">
        <v>8</v>
      </c>
      <c r="S96" s="53">
        <f>STOCK[[#This Row],[Peso (g)]]*STOCK[[#This Row],[Precio Envío Kilogramo (USD)]]/1000</f>
        <v>0.96</v>
      </c>
      <c r="T96" s="53">
        <f>STOCK[[#This Row],[Costo Unitario (USD)]]+STOCK[[#This Row],[Costo Envío (USD)]]+STOCK[[#This Row],[Comisión 10%]]</f>
        <v>9.1044444444444395</v>
      </c>
      <c r="U96" s="53">
        <f>STOCK[[#This Row],[Costo total]]*1.5</f>
        <v>13.656666666666659</v>
      </c>
      <c r="V96" s="53">
        <v>12</v>
      </c>
      <c r="W96" s="53">
        <f>STOCK[[#This Row],[Precio Final]]-STOCK[[#This Row],[Costo total]]</f>
        <v>2.8955555555555605</v>
      </c>
      <c r="X96" s="53">
        <f>STOCK[[#This Row],[Ganancia Unitaria]]*STOCK[[#This Row],[Salidas]]</f>
        <v>2.8955555555555605</v>
      </c>
      <c r="Y96" s="53" t="s">
        <v>168</v>
      </c>
      <c r="AA96" s="53">
        <f>STOCK[[#This Row],[Costo total]]*STOCK[[#This Row],[Entradas]]</f>
        <v>9.1044444444444395</v>
      </c>
      <c r="AB96" s="53">
        <f>STOCK[[#This Row],[Stock Actual]]*STOCK[[#This Row],[Costo total]]</f>
        <v>0</v>
      </c>
    </row>
    <row r="97" spans="1:28" s="54" customFormat="1" ht="50" customHeight="1">
      <c r="A97" s="54" t="s">
        <v>238</v>
      </c>
      <c r="B97" s="64"/>
      <c r="C97" s="54" t="s">
        <v>32</v>
      </c>
      <c r="D97" s="54" t="s">
        <v>44</v>
      </c>
      <c r="E97" s="66" t="s">
        <v>239</v>
      </c>
      <c r="F97" s="54" t="s">
        <v>49</v>
      </c>
      <c r="G97" s="54" t="s">
        <v>36</v>
      </c>
      <c r="H97" s="54">
        <f>STOCK[[#This Row],[Precio Final]]</f>
        <v>28</v>
      </c>
      <c r="I97" s="54">
        <f>STOCK[[#This Row],[Precio Venta Ideal (x1.5)]]</f>
        <v>31.796666666666702</v>
      </c>
      <c r="J97" s="70">
        <v>1</v>
      </c>
      <c r="K97" s="70">
        <f>SUMIFS(VENTAS[Cantidad],VENTAS[Código del producto Vendido],STOCK[[#This Row],[Code]])</f>
        <v>1</v>
      </c>
      <c r="L97" s="70">
        <f>STOCK[[#This Row],[Entradas]]-STOCK[[#This Row],[Salidas]]</f>
        <v>0</v>
      </c>
      <c r="M97" s="54">
        <f>STOCK[[#This Row],[Precio Final]]*10%</f>
        <v>2.8000000000000003</v>
      </c>
      <c r="N97" s="54">
        <v>275</v>
      </c>
      <c r="O97" s="54">
        <v>18</v>
      </c>
      <c r="P97" s="54">
        <v>15.2777777777778</v>
      </c>
      <c r="Q97" s="70">
        <v>390</v>
      </c>
      <c r="R97" s="54">
        <v>8</v>
      </c>
      <c r="S97" s="54">
        <f>STOCK[[#This Row],[Peso (g)]]*STOCK[[#This Row],[Precio Envío Kilogramo (USD)]]/1000</f>
        <v>3.12</v>
      </c>
      <c r="T97" s="53">
        <f>STOCK[[#This Row],[Costo Unitario (USD)]]+STOCK[[#This Row],[Costo Envío (USD)]]+STOCK[[#This Row],[Comisión 10%]]</f>
        <v>21.197777777777802</v>
      </c>
      <c r="U97" s="54">
        <f>STOCK[[#This Row],[Costo total]]*1.5</f>
        <v>31.796666666666702</v>
      </c>
      <c r="V97" s="54">
        <v>28</v>
      </c>
      <c r="W97" s="54">
        <f>STOCK[[#This Row],[Precio Final]]-STOCK[[#This Row],[Costo total]]</f>
        <v>6.8022222222221984</v>
      </c>
      <c r="X97" s="54">
        <f>STOCK[[#This Row],[Ganancia Unitaria]]*STOCK[[#This Row],[Salidas]]</f>
        <v>6.8022222222221984</v>
      </c>
      <c r="Y97" s="54" t="s">
        <v>168</v>
      </c>
      <c r="AA97" s="54">
        <f>STOCK[[#This Row],[Costo total]]*STOCK[[#This Row],[Entradas]]</f>
        <v>21.197777777777802</v>
      </c>
      <c r="AB97" s="54">
        <f>STOCK[[#This Row],[Stock Actual]]*STOCK[[#This Row],[Costo total]]</f>
        <v>0</v>
      </c>
    </row>
    <row r="98" spans="1:28" s="53" customFormat="1" ht="50" customHeight="1">
      <c r="A98" s="53" t="s">
        <v>240</v>
      </c>
      <c r="B98" s="64"/>
      <c r="C98" s="53" t="s">
        <v>32</v>
      </c>
      <c r="D98" s="53" t="s">
        <v>44</v>
      </c>
      <c r="E98" s="65" t="s">
        <v>239</v>
      </c>
      <c r="F98" s="53" t="s">
        <v>40</v>
      </c>
      <c r="G98" s="53" t="s">
        <v>36</v>
      </c>
      <c r="H98" s="53">
        <f>STOCK[[#This Row],[Precio Final]]</f>
        <v>28</v>
      </c>
      <c r="I98" s="53">
        <f>STOCK[[#This Row],[Precio Venta Ideal (x1.5)]]</f>
        <v>30.656666666666702</v>
      </c>
      <c r="J98" s="69">
        <v>1</v>
      </c>
      <c r="K98" s="69">
        <f>SUMIFS(VENTAS[Cantidad],VENTAS[Código del producto Vendido],STOCK[[#This Row],[Code]])</f>
        <v>1</v>
      </c>
      <c r="L98" s="69">
        <f>STOCK[[#This Row],[Entradas]]-STOCK[[#This Row],[Salidas]]</f>
        <v>0</v>
      </c>
      <c r="M98" s="53">
        <f>STOCK[[#This Row],[Precio Final]]*10%</f>
        <v>2.8000000000000003</v>
      </c>
      <c r="N98" s="53">
        <v>275</v>
      </c>
      <c r="O98" s="53">
        <v>18</v>
      </c>
      <c r="P98" s="53">
        <v>15.2777777777778</v>
      </c>
      <c r="Q98" s="69">
        <v>295</v>
      </c>
      <c r="R98" s="53">
        <v>8</v>
      </c>
      <c r="S98" s="53">
        <f>STOCK[[#This Row],[Peso (g)]]*STOCK[[#This Row],[Precio Envío Kilogramo (USD)]]/1000</f>
        <v>2.36</v>
      </c>
      <c r="T98" s="53">
        <f>STOCK[[#This Row],[Costo Unitario (USD)]]+STOCK[[#This Row],[Costo Envío (USD)]]+STOCK[[#This Row],[Comisión 10%]]</f>
        <v>20.4377777777778</v>
      </c>
      <c r="U98" s="53">
        <f>STOCK[[#This Row],[Costo total]]*1.5</f>
        <v>30.656666666666702</v>
      </c>
      <c r="V98" s="53">
        <v>28</v>
      </c>
      <c r="W98" s="53">
        <f>STOCK[[#This Row],[Precio Final]]-STOCK[[#This Row],[Costo total]]</f>
        <v>7.5622222222222</v>
      </c>
      <c r="X98" s="53">
        <f>STOCK[[#This Row],[Ganancia Unitaria]]*STOCK[[#This Row],[Salidas]]</f>
        <v>7.5622222222222</v>
      </c>
      <c r="Y98" s="53" t="s">
        <v>168</v>
      </c>
      <c r="AA98" s="53">
        <f>STOCK[[#This Row],[Costo total]]*STOCK[[#This Row],[Entradas]]</f>
        <v>20.4377777777778</v>
      </c>
      <c r="AB98" s="53">
        <f>STOCK[[#This Row],[Stock Actual]]*STOCK[[#This Row],[Costo total]]</f>
        <v>0</v>
      </c>
    </row>
    <row r="99" spans="1:28" s="54" customFormat="1" ht="50" customHeight="1">
      <c r="A99" s="54" t="s">
        <v>241</v>
      </c>
      <c r="B99" s="64"/>
      <c r="C99" s="54" t="s">
        <v>32</v>
      </c>
      <c r="D99" s="54" t="s">
        <v>44</v>
      </c>
      <c r="E99" s="66" t="s">
        <v>242</v>
      </c>
      <c r="F99" s="54" t="s">
        <v>46</v>
      </c>
      <c r="G99" s="54" t="s">
        <v>36</v>
      </c>
      <c r="H99" s="54">
        <f>STOCK[[#This Row],[Precio Final]]</f>
        <v>20</v>
      </c>
      <c r="I99" s="54">
        <f>STOCK[[#This Row],[Precio Venta Ideal (x1.5)]]</f>
        <v>20.8133333333334</v>
      </c>
      <c r="J99" s="70">
        <v>1</v>
      </c>
      <c r="K99" s="70">
        <f>SUMIFS(VENTAS[Cantidad],VENTAS[Código del producto Vendido],STOCK[[#This Row],[Code]])</f>
        <v>1</v>
      </c>
      <c r="L99" s="70">
        <f>STOCK[[#This Row],[Entradas]]-STOCK[[#This Row],[Salidas]]</f>
        <v>0</v>
      </c>
      <c r="M99" s="54">
        <f>STOCK[[#This Row],[Precio Final]]*10%</f>
        <v>2</v>
      </c>
      <c r="N99" s="54">
        <v>190</v>
      </c>
      <c r="O99" s="54">
        <v>18</v>
      </c>
      <c r="P99" s="54">
        <v>10.5555555555556</v>
      </c>
      <c r="Q99" s="70">
        <v>165</v>
      </c>
      <c r="R99" s="54">
        <v>8</v>
      </c>
      <c r="S99" s="54">
        <f>STOCK[[#This Row],[Peso (g)]]*STOCK[[#This Row],[Precio Envío Kilogramo (USD)]]/1000</f>
        <v>1.32</v>
      </c>
      <c r="T99" s="53">
        <f>STOCK[[#This Row],[Costo Unitario (USD)]]+STOCK[[#This Row],[Costo Envío (USD)]]+STOCK[[#This Row],[Comisión 10%]]</f>
        <v>13.8755555555556</v>
      </c>
      <c r="U99" s="54">
        <f>STOCK[[#This Row],[Costo total]]*1.5</f>
        <v>20.8133333333334</v>
      </c>
      <c r="V99" s="54">
        <v>20</v>
      </c>
      <c r="W99" s="54">
        <f>STOCK[[#This Row],[Precio Final]]-STOCK[[#This Row],[Costo total]]</f>
        <v>6.1244444444443999</v>
      </c>
      <c r="X99" s="54">
        <f>STOCK[[#This Row],[Ganancia Unitaria]]*STOCK[[#This Row],[Salidas]]</f>
        <v>6.1244444444443999</v>
      </c>
      <c r="Y99" s="54" t="s">
        <v>168</v>
      </c>
      <c r="AA99" s="54">
        <f>STOCK[[#This Row],[Costo total]]*STOCK[[#This Row],[Entradas]]</f>
        <v>13.8755555555556</v>
      </c>
      <c r="AB99" s="54">
        <f>STOCK[[#This Row],[Stock Actual]]*STOCK[[#This Row],[Costo total]]</f>
        <v>0</v>
      </c>
    </row>
    <row r="100" spans="1:28" s="53" customFormat="1" ht="50" customHeight="1">
      <c r="A100" s="53" t="s">
        <v>243</v>
      </c>
      <c r="B100" s="64"/>
      <c r="C100" s="53" t="s">
        <v>32</v>
      </c>
      <c r="D100" s="53" t="s">
        <v>44</v>
      </c>
      <c r="E100" s="65" t="s">
        <v>242</v>
      </c>
      <c r="F100" s="53" t="s">
        <v>49</v>
      </c>
      <c r="G100" s="53" t="s">
        <v>36</v>
      </c>
      <c r="H100" s="53">
        <f>STOCK[[#This Row],[Precio Final]]</f>
        <v>20</v>
      </c>
      <c r="I100" s="53">
        <f>STOCK[[#This Row],[Precio Venta Ideal (x1.5)]]</f>
        <v>20.693333333333399</v>
      </c>
      <c r="J100" s="69">
        <v>1</v>
      </c>
      <c r="K100" s="69">
        <f>SUMIFS(VENTAS[Cantidad],VENTAS[Código del producto Vendido],STOCK[[#This Row],[Code]])</f>
        <v>1</v>
      </c>
      <c r="L100" s="69">
        <f>STOCK[[#This Row],[Entradas]]-STOCK[[#This Row],[Salidas]]</f>
        <v>0</v>
      </c>
      <c r="M100" s="53">
        <f>STOCK[[#This Row],[Precio Final]]*10%</f>
        <v>2</v>
      </c>
      <c r="N100" s="53">
        <v>190</v>
      </c>
      <c r="O100" s="53">
        <v>18</v>
      </c>
      <c r="P100" s="53">
        <v>10.5555555555556</v>
      </c>
      <c r="Q100" s="69">
        <v>155</v>
      </c>
      <c r="R100" s="53">
        <v>8</v>
      </c>
      <c r="S100" s="53">
        <f>STOCK[[#This Row],[Peso (g)]]*STOCK[[#This Row],[Precio Envío Kilogramo (USD)]]/1000</f>
        <v>1.24</v>
      </c>
      <c r="T100" s="53">
        <f>STOCK[[#This Row],[Costo Unitario (USD)]]+STOCK[[#This Row],[Costo Envío (USD)]]+STOCK[[#This Row],[Comisión 10%]]</f>
        <v>13.7955555555556</v>
      </c>
      <c r="U100" s="53">
        <f>STOCK[[#This Row],[Costo total]]*1.5</f>
        <v>20.693333333333399</v>
      </c>
      <c r="V100" s="53">
        <v>20</v>
      </c>
      <c r="W100" s="53">
        <f>STOCK[[#This Row],[Precio Final]]-STOCK[[#This Row],[Costo total]]</f>
        <v>6.2044444444444</v>
      </c>
      <c r="X100" s="53">
        <f>STOCK[[#This Row],[Ganancia Unitaria]]*STOCK[[#This Row],[Salidas]]</f>
        <v>6.2044444444444</v>
      </c>
      <c r="Y100" s="53" t="s">
        <v>168</v>
      </c>
      <c r="AA100" s="53">
        <f>STOCK[[#This Row],[Costo total]]*STOCK[[#This Row],[Entradas]]</f>
        <v>13.7955555555556</v>
      </c>
      <c r="AB100" s="53">
        <f>STOCK[[#This Row],[Stock Actual]]*STOCK[[#This Row],[Costo total]]</f>
        <v>0</v>
      </c>
    </row>
    <row r="101" spans="1:28" s="54" customFormat="1" ht="50" customHeight="1">
      <c r="A101" s="54" t="s">
        <v>244</v>
      </c>
      <c r="B101" s="64"/>
      <c r="C101" s="54" t="s">
        <v>32</v>
      </c>
      <c r="D101" s="54" t="s">
        <v>174</v>
      </c>
      <c r="E101" s="66" t="s">
        <v>245</v>
      </c>
      <c r="F101" s="54" t="s">
        <v>49</v>
      </c>
      <c r="G101" s="54" t="s">
        <v>36</v>
      </c>
      <c r="H101" s="54">
        <f>STOCK[[#This Row],[Precio Final]]</f>
        <v>14</v>
      </c>
      <c r="I101" s="54">
        <f>STOCK[[#This Row],[Precio Venta Ideal (x1.5)]]</f>
        <v>15.756666666666661</v>
      </c>
      <c r="J101" s="70">
        <v>1</v>
      </c>
      <c r="K101" s="70">
        <f>SUMIFS(VENTAS[Cantidad],VENTAS[Código del producto Vendido],STOCK[[#This Row],[Code]])</f>
        <v>1</v>
      </c>
      <c r="L101" s="70">
        <f>STOCK[[#This Row],[Entradas]]-STOCK[[#This Row],[Salidas]]</f>
        <v>0</v>
      </c>
      <c r="M101" s="54">
        <f>STOCK[[#This Row],[Precio Final]]*10%</f>
        <v>1.4000000000000001</v>
      </c>
      <c r="N101" s="54">
        <v>143</v>
      </c>
      <c r="O101" s="54">
        <v>18</v>
      </c>
      <c r="P101" s="54">
        <v>7.9444444444444402</v>
      </c>
      <c r="Q101" s="70">
        <v>145</v>
      </c>
      <c r="R101" s="54">
        <v>8</v>
      </c>
      <c r="S101" s="54">
        <f>STOCK[[#This Row],[Peso (g)]]*STOCK[[#This Row],[Precio Envío Kilogramo (USD)]]/1000</f>
        <v>1.1599999999999999</v>
      </c>
      <c r="T101" s="53">
        <f>STOCK[[#This Row],[Costo Unitario (USD)]]+STOCK[[#This Row],[Costo Envío (USD)]]+STOCK[[#This Row],[Comisión 10%]]</f>
        <v>10.50444444444444</v>
      </c>
      <c r="U101" s="54">
        <f>STOCK[[#This Row],[Costo total]]*1.5</f>
        <v>15.756666666666661</v>
      </c>
      <c r="V101" s="54">
        <v>14</v>
      </c>
      <c r="W101" s="54">
        <f>STOCK[[#This Row],[Precio Final]]-STOCK[[#This Row],[Costo total]]</f>
        <v>3.4955555555555602</v>
      </c>
      <c r="X101" s="54">
        <f>STOCK[[#This Row],[Ganancia Unitaria]]*STOCK[[#This Row],[Salidas]]</f>
        <v>3.4955555555555602</v>
      </c>
      <c r="Y101" s="54" t="s">
        <v>168</v>
      </c>
      <c r="AA101" s="54">
        <f>STOCK[[#This Row],[Costo total]]*STOCK[[#This Row],[Entradas]]</f>
        <v>10.50444444444444</v>
      </c>
      <c r="AB101" s="54">
        <f>STOCK[[#This Row],[Stock Actual]]*STOCK[[#This Row],[Costo total]]</f>
        <v>0</v>
      </c>
    </row>
    <row r="102" spans="1:28" s="53" customFormat="1" ht="50" customHeight="1">
      <c r="A102" s="53" t="s">
        <v>246</v>
      </c>
      <c r="B102" s="64"/>
      <c r="C102" s="53" t="s">
        <v>32</v>
      </c>
      <c r="D102" s="53" t="s">
        <v>247</v>
      </c>
      <c r="E102" s="65" t="s">
        <v>248</v>
      </c>
      <c r="F102" s="53" t="s">
        <v>205</v>
      </c>
      <c r="G102" s="53" t="s">
        <v>36</v>
      </c>
      <c r="H102" s="53">
        <f>STOCK[[#This Row],[Precio Final]]</f>
        <v>13</v>
      </c>
      <c r="I102" s="53">
        <f>STOCK[[#This Row],[Precio Venta Ideal (x1.5)]]</f>
        <v>14.013333333333332</v>
      </c>
      <c r="J102" s="69">
        <v>1</v>
      </c>
      <c r="K102" s="69">
        <f>SUMIFS(VENTAS[Cantidad],VENTAS[Código del producto Vendido],STOCK[[#This Row],[Code]])</f>
        <v>1</v>
      </c>
      <c r="L102" s="69">
        <f>STOCK[[#This Row],[Entradas]]-STOCK[[#This Row],[Salidas]]</f>
        <v>0</v>
      </c>
      <c r="M102" s="53">
        <f>STOCK[[#This Row],[Precio Final]]*10%</f>
        <v>1.3</v>
      </c>
      <c r="N102" s="53">
        <v>121</v>
      </c>
      <c r="O102" s="53">
        <v>18</v>
      </c>
      <c r="P102" s="53">
        <v>6.7222222222222197</v>
      </c>
      <c r="Q102" s="69">
        <v>165</v>
      </c>
      <c r="R102" s="53">
        <v>8</v>
      </c>
      <c r="S102" s="53">
        <f>STOCK[[#This Row],[Peso (g)]]*STOCK[[#This Row],[Precio Envío Kilogramo (USD)]]/1000</f>
        <v>1.32</v>
      </c>
      <c r="T102" s="53">
        <f>STOCK[[#This Row],[Costo Unitario (USD)]]+STOCK[[#This Row],[Costo Envío (USD)]]+STOCK[[#This Row],[Comisión 10%]]</f>
        <v>9.3422222222222207</v>
      </c>
      <c r="U102" s="53">
        <f>STOCK[[#This Row],[Costo total]]*1.5</f>
        <v>14.013333333333332</v>
      </c>
      <c r="V102" s="53">
        <v>13</v>
      </c>
      <c r="W102" s="53">
        <f>STOCK[[#This Row],[Precio Final]]-STOCK[[#This Row],[Costo total]]</f>
        <v>3.6577777777777793</v>
      </c>
      <c r="X102" s="53">
        <f>STOCK[[#This Row],[Ganancia Unitaria]]*STOCK[[#This Row],[Salidas]]</f>
        <v>3.6577777777777793</v>
      </c>
      <c r="Y102" s="53" t="s">
        <v>168</v>
      </c>
      <c r="AA102" s="53">
        <f>STOCK[[#This Row],[Costo total]]*STOCK[[#This Row],[Entradas]]</f>
        <v>9.3422222222222207</v>
      </c>
      <c r="AB102" s="53">
        <f>STOCK[[#This Row],[Stock Actual]]*STOCK[[#This Row],[Costo total]]</f>
        <v>0</v>
      </c>
    </row>
    <row r="103" spans="1:28" s="54" customFormat="1" ht="50" customHeight="1">
      <c r="A103" s="54" t="s">
        <v>249</v>
      </c>
      <c r="B103" s="64"/>
      <c r="C103" s="54" t="s">
        <v>32</v>
      </c>
      <c r="D103" s="54" t="s">
        <v>44</v>
      </c>
      <c r="E103" s="66" t="s">
        <v>250</v>
      </c>
      <c r="F103" s="54" t="s">
        <v>42</v>
      </c>
      <c r="G103" s="54" t="s">
        <v>36</v>
      </c>
      <c r="H103" s="54">
        <f>STOCK[[#This Row],[Precio Final]]</f>
        <v>25</v>
      </c>
      <c r="I103" s="54">
        <f>STOCK[[#This Row],[Precio Venta Ideal (x1.5)]]</f>
        <v>29.549999999999997</v>
      </c>
      <c r="J103" s="70">
        <v>1</v>
      </c>
      <c r="K103" s="70">
        <f>SUMIFS(VENTAS[Cantidad],VENTAS[Código del producto Vendido],STOCK[[#This Row],[Code]])</f>
        <v>1</v>
      </c>
      <c r="L103" s="70">
        <f>STOCK[[#This Row],[Entradas]]-STOCK[[#This Row],[Salidas]]</f>
        <v>0</v>
      </c>
      <c r="M103" s="54">
        <f>STOCK[[#This Row],[Precio Final]]*10%</f>
        <v>2.5</v>
      </c>
      <c r="N103" s="54">
        <v>270</v>
      </c>
      <c r="O103" s="54">
        <v>18</v>
      </c>
      <c r="P103" s="54">
        <v>15</v>
      </c>
      <c r="Q103" s="70">
        <v>275</v>
      </c>
      <c r="R103" s="54">
        <v>8</v>
      </c>
      <c r="S103" s="54">
        <f>STOCK[[#This Row],[Peso (g)]]*STOCK[[#This Row],[Precio Envío Kilogramo (USD)]]/1000</f>
        <v>2.2000000000000002</v>
      </c>
      <c r="T103" s="53">
        <f>STOCK[[#This Row],[Costo Unitario (USD)]]+STOCK[[#This Row],[Costo Envío (USD)]]+STOCK[[#This Row],[Comisión 10%]]</f>
        <v>19.7</v>
      </c>
      <c r="U103" s="54">
        <f>STOCK[[#This Row],[Costo total]]*1.5</f>
        <v>29.549999999999997</v>
      </c>
      <c r="V103" s="54">
        <v>25</v>
      </c>
      <c r="W103" s="54">
        <f>STOCK[[#This Row],[Precio Final]]-STOCK[[#This Row],[Costo total]]</f>
        <v>5.3000000000000007</v>
      </c>
      <c r="X103" s="54">
        <f>STOCK[[#This Row],[Ganancia Unitaria]]*STOCK[[#This Row],[Salidas]]</f>
        <v>5.3000000000000007</v>
      </c>
      <c r="Y103" s="54" t="s">
        <v>168</v>
      </c>
      <c r="AA103" s="54">
        <f>STOCK[[#This Row],[Costo total]]*STOCK[[#This Row],[Entradas]]</f>
        <v>19.7</v>
      </c>
      <c r="AB103" s="54">
        <f>STOCK[[#This Row],[Stock Actual]]*STOCK[[#This Row],[Costo total]]</f>
        <v>0</v>
      </c>
    </row>
    <row r="104" spans="1:28" s="53" customFormat="1" ht="50" customHeight="1">
      <c r="A104" s="53" t="s">
        <v>251</v>
      </c>
      <c r="B104" s="64"/>
      <c r="C104" s="53" t="s">
        <v>32</v>
      </c>
      <c r="D104" s="53" t="s">
        <v>44</v>
      </c>
      <c r="E104" s="65" t="s">
        <v>252</v>
      </c>
      <c r="F104" s="53" t="s">
        <v>211</v>
      </c>
      <c r="G104" s="53" t="s">
        <v>36</v>
      </c>
      <c r="H104" s="53">
        <f>STOCK[[#This Row],[Precio Final]]</f>
        <v>25</v>
      </c>
      <c r="I104" s="53">
        <f>STOCK[[#This Row],[Precio Venta Ideal (x1.5)]]</f>
        <v>28.89</v>
      </c>
      <c r="J104" s="69">
        <v>1</v>
      </c>
      <c r="K104" s="69">
        <f>SUMIFS(VENTAS[Cantidad],VENTAS[Código del producto Vendido],STOCK[[#This Row],[Code]])</f>
        <v>1</v>
      </c>
      <c r="L104" s="69">
        <f>STOCK[[#This Row],[Entradas]]-STOCK[[#This Row],[Salidas]]</f>
        <v>0</v>
      </c>
      <c r="M104" s="53">
        <f>STOCK[[#This Row],[Precio Final]]*10%</f>
        <v>2.5</v>
      </c>
      <c r="N104" s="53">
        <v>270</v>
      </c>
      <c r="O104" s="53">
        <v>18</v>
      </c>
      <c r="P104" s="53">
        <v>15</v>
      </c>
      <c r="Q104" s="69">
        <v>220</v>
      </c>
      <c r="R104" s="53">
        <v>8</v>
      </c>
      <c r="S104" s="53">
        <f>STOCK[[#This Row],[Peso (g)]]*STOCK[[#This Row],[Precio Envío Kilogramo (USD)]]/1000</f>
        <v>1.76</v>
      </c>
      <c r="T104" s="53">
        <f>STOCK[[#This Row],[Costo Unitario (USD)]]+STOCK[[#This Row],[Costo Envío (USD)]]+STOCK[[#This Row],[Comisión 10%]]</f>
        <v>19.260000000000002</v>
      </c>
      <c r="U104" s="53">
        <f>STOCK[[#This Row],[Costo total]]*1.5</f>
        <v>28.89</v>
      </c>
      <c r="V104" s="53">
        <v>25</v>
      </c>
      <c r="W104" s="53">
        <f>STOCK[[#This Row],[Precio Final]]-STOCK[[#This Row],[Costo total]]</f>
        <v>5.7399999999999984</v>
      </c>
      <c r="X104" s="53">
        <f>STOCK[[#This Row],[Ganancia Unitaria]]*STOCK[[#This Row],[Salidas]]</f>
        <v>5.7399999999999984</v>
      </c>
      <c r="Y104" s="53" t="s">
        <v>168</v>
      </c>
      <c r="AA104" s="53">
        <f>STOCK[[#This Row],[Costo total]]*STOCK[[#This Row],[Entradas]]</f>
        <v>19.260000000000002</v>
      </c>
      <c r="AB104" s="53">
        <f>STOCK[[#This Row],[Stock Actual]]*STOCK[[#This Row],[Costo total]]</f>
        <v>0</v>
      </c>
    </row>
    <row r="105" spans="1:28" s="54" customFormat="1" ht="50" customHeight="1">
      <c r="A105" s="54" t="s">
        <v>253</v>
      </c>
      <c r="B105" s="64"/>
      <c r="C105" s="54" t="s">
        <v>32</v>
      </c>
      <c r="D105" s="54" t="s">
        <v>44</v>
      </c>
      <c r="E105" s="66" t="s">
        <v>250</v>
      </c>
      <c r="F105" s="54" t="s">
        <v>62</v>
      </c>
      <c r="G105" s="54" t="s">
        <v>36</v>
      </c>
      <c r="H105" s="54">
        <f>STOCK[[#This Row],[Precio Final]]</f>
        <v>25</v>
      </c>
      <c r="I105" s="54">
        <f>STOCK[[#This Row],[Precio Venta Ideal (x1.5)]]</f>
        <v>28.950000000000003</v>
      </c>
      <c r="J105" s="70">
        <v>1</v>
      </c>
      <c r="K105" s="70">
        <f>SUMIFS(VENTAS[Cantidad],VENTAS[Código del producto Vendido],STOCK[[#This Row],[Code]])</f>
        <v>1</v>
      </c>
      <c r="L105" s="70">
        <f>STOCK[[#This Row],[Entradas]]-STOCK[[#This Row],[Salidas]]</f>
        <v>0</v>
      </c>
      <c r="M105" s="54">
        <f>STOCK[[#This Row],[Precio Final]]*10%</f>
        <v>2.5</v>
      </c>
      <c r="N105" s="54">
        <v>270</v>
      </c>
      <c r="O105" s="54">
        <v>18</v>
      </c>
      <c r="P105" s="54">
        <v>15</v>
      </c>
      <c r="Q105" s="70">
        <v>225</v>
      </c>
      <c r="R105" s="54">
        <v>8</v>
      </c>
      <c r="S105" s="54">
        <f>STOCK[[#This Row],[Peso (g)]]*STOCK[[#This Row],[Precio Envío Kilogramo (USD)]]/1000</f>
        <v>1.8</v>
      </c>
      <c r="T105" s="53">
        <f>STOCK[[#This Row],[Costo Unitario (USD)]]+STOCK[[#This Row],[Costo Envío (USD)]]+STOCK[[#This Row],[Comisión 10%]]</f>
        <v>19.3</v>
      </c>
      <c r="U105" s="54">
        <f>STOCK[[#This Row],[Costo total]]*1.5</f>
        <v>28.950000000000003</v>
      </c>
      <c r="V105" s="54">
        <v>25</v>
      </c>
      <c r="W105" s="54">
        <f>STOCK[[#This Row],[Precio Final]]-STOCK[[#This Row],[Costo total]]</f>
        <v>5.6999999999999993</v>
      </c>
      <c r="X105" s="54">
        <f>STOCK[[#This Row],[Ganancia Unitaria]]*STOCK[[#This Row],[Salidas]]</f>
        <v>5.6999999999999993</v>
      </c>
      <c r="Y105" s="54" t="s">
        <v>168</v>
      </c>
      <c r="AA105" s="54">
        <f>STOCK[[#This Row],[Costo total]]*STOCK[[#This Row],[Entradas]]</f>
        <v>19.3</v>
      </c>
      <c r="AB105" s="54">
        <f>STOCK[[#This Row],[Stock Actual]]*STOCK[[#This Row],[Costo total]]</f>
        <v>0</v>
      </c>
    </row>
    <row r="106" spans="1:28" s="53" customFormat="1" ht="50" customHeight="1">
      <c r="A106" s="53" t="s">
        <v>254</v>
      </c>
      <c r="B106" s="64"/>
      <c r="C106" s="53" t="s">
        <v>32</v>
      </c>
      <c r="D106" s="53" t="s">
        <v>174</v>
      </c>
      <c r="E106" s="65" t="s">
        <v>255</v>
      </c>
      <c r="F106" s="53" t="s">
        <v>187</v>
      </c>
      <c r="G106" s="53" t="s">
        <v>36</v>
      </c>
      <c r="H106" s="53">
        <f>STOCK[[#This Row],[Precio Final]]</f>
        <v>12</v>
      </c>
      <c r="I106" s="53">
        <f>STOCK[[#This Row],[Precio Venta Ideal (x1.5)]]</f>
        <v>14.313333333333327</v>
      </c>
      <c r="J106" s="69">
        <v>1</v>
      </c>
      <c r="K106" s="69">
        <f>SUMIFS(VENTAS[Cantidad],VENTAS[Código del producto Vendido],STOCK[[#This Row],[Code]])</f>
        <v>1</v>
      </c>
      <c r="L106" s="69">
        <f>STOCK[[#This Row],[Entradas]]-STOCK[[#This Row],[Salidas]]</f>
        <v>0</v>
      </c>
      <c r="M106" s="53">
        <f>STOCK[[#This Row],[Precio Final]]*10%</f>
        <v>1.2000000000000002</v>
      </c>
      <c r="N106" s="53">
        <v>130</v>
      </c>
      <c r="O106" s="53">
        <v>18</v>
      </c>
      <c r="P106" s="53">
        <v>7.2222222222222197</v>
      </c>
      <c r="Q106" s="69">
        <v>140</v>
      </c>
      <c r="R106" s="53">
        <v>8</v>
      </c>
      <c r="S106" s="53">
        <f>STOCK[[#This Row],[Peso (g)]]*STOCK[[#This Row],[Precio Envío Kilogramo (USD)]]/1000</f>
        <v>1.1200000000000001</v>
      </c>
      <c r="T106" s="53">
        <f>STOCK[[#This Row],[Costo Unitario (USD)]]+STOCK[[#This Row],[Costo Envío (USD)]]+STOCK[[#This Row],[Comisión 10%]]</f>
        <v>9.5422222222222182</v>
      </c>
      <c r="U106" s="53">
        <f>STOCK[[#This Row],[Costo total]]*1.5</f>
        <v>14.313333333333327</v>
      </c>
      <c r="V106" s="53">
        <v>12</v>
      </c>
      <c r="W106" s="53">
        <f>STOCK[[#This Row],[Precio Final]]-STOCK[[#This Row],[Costo total]]</f>
        <v>2.4577777777777818</v>
      </c>
      <c r="X106" s="53">
        <f>STOCK[[#This Row],[Ganancia Unitaria]]*STOCK[[#This Row],[Salidas]]</f>
        <v>2.4577777777777818</v>
      </c>
      <c r="Y106" s="53" t="s">
        <v>168</v>
      </c>
      <c r="AA106" s="53">
        <f>STOCK[[#This Row],[Costo total]]*STOCK[[#This Row],[Entradas]]</f>
        <v>9.5422222222222182</v>
      </c>
      <c r="AB106" s="53">
        <f>STOCK[[#This Row],[Stock Actual]]*STOCK[[#This Row],[Costo total]]</f>
        <v>0</v>
      </c>
    </row>
    <row r="107" spans="1:28" s="54" customFormat="1" ht="50" customHeight="1">
      <c r="A107" s="54" t="s">
        <v>256</v>
      </c>
      <c r="B107" s="64"/>
      <c r="C107" s="54" t="s">
        <v>32</v>
      </c>
      <c r="D107" s="54" t="s">
        <v>174</v>
      </c>
      <c r="E107" s="66" t="s">
        <v>257</v>
      </c>
      <c r="F107" s="54" t="s">
        <v>258</v>
      </c>
      <c r="G107" s="54" t="s">
        <v>36</v>
      </c>
      <c r="H107" s="54">
        <f>STOCK[[#This Row],[Precio Final]]</f>
        <v>14</v>
      </c>
      <c r="I107" s="54">
        <f>STOCK[[#This Row],[Precio Venta Ideal (x1.5)]]</f>
        <v>14.61333333333333</v>
      </c>
      <c r="J107" s="70">
        <v>1</v>
      </c>
      <c r="K107" s="70">
        <f>SUMIFS(VENTAS[Cantidad],VENTAS[Código del producto Vendido],STOCK[[#This Row],[Code]])</f>
        <v>1</v>
      </c>
      <c r="L107" s="70">
        <f>STOCK[[#This Row],[Entradas]]-STOCK[[#This Row],[Salidas]]</f>
        <v>0</v>
      </c>
      <c r="M107" s="54">
        <f>STOCK[[#This Row],[Precio Final]]*10%</f>
        <v>1.4000000000000001</v>
      </c>
      <c r="N107" s="54">
        <v>130</v>
      </c>
      <c r="O107" s="54">
        <v>18</v>
      </c>
      <c r="P107" s="54">
        <v>7.2222222222222197</v>
      </c>
      <c r="Q107" s="70">
        <v>140</v>
      </c>
      <c r="R107" s="54">
        <v>8</v>
      </c>
      <c r="S107" s="54">
        <f>STOCK[[#This Row],[Peso (g)]]*STOCK[[#This Row],[Precio Envío Kilogramo (USD)]]/1000</f>
        <v>1.1200000000000001</v>
      </c>
      <c r="T107" s="53">
        <f>STOCK[[#This Row],[Costo Unitario (USD)]]+STOCK[[#This Row],[Costo Envío (USD)]]+STOCK[[#This Row],[Comisión 10%]]</f>
        <v>9.7422222222222192</v>
      </c>
      <c r="U107" s="54">
        <f>STOCK[[#This Row],[Costo total]]*1.5</f>
        <v>14.61333333333333</v>
      </c>
      <c r="V107" s="54">
        <v>14</v>
      </c>
      <c r="W107" s="54">
        <f>STOCK[[#This Row],[Precio Final]]-STOCK[[#This Row],[Costo total]]</f>
        <v>4.2577777777777808</v>
      </c>
      <c r="X107" s="54">
        <f>STOCK[[#This Row],[Ganancia Unitaria]]*STOCK[[#This Row],[Salidas]]</f>
        <v>4.2577777777777808</v>
      </c>
      <c r="Y107" s="54" t="s">
        <v>168</v>
      </c>
      <c r="AA107" s="54">
        <f>STOCK[[#This Row],[Costo total]]*STOCK[[#This Row],[Entradas]]</f>
        <v>9.7422222222222192</v>
      </c>
      <c r="AB107" s="54">
        <f>STOCK[[#This Row],[Stock Actual]]*STOCK[[#This Row],[Costo total]]</f>
        <v>0</v>
      </c>
    </row>
    <row r="108" spans="1:28" s="53" customFormat="1" ht="50" customHeight="1">
      <c r="A108" s="53" t="s">
        <v>259</v>
      </c>
      <c r="B108" s="64"/>
      <c r="C108" s="53" t="s">
        <v>32</v>
      </c>
      <c r="D108" s="53" t="s">
        <v>174</v>
      </c>
      <c r="E108" s="65" t="s">
        <v>260</v>
      </c>
      <c r="F108" s="53" t="s">
        <v>62</v>
      </c>
      <c r="G108" s="53" t="s">
        <v>36</v>
      </c>
      <c r="H108" s="53">
        <f>STOCK[[#This Row],[Precio Final]]</f>
        <v>12</v>
      </c>
      <c r="I108" s="53">
        <f>STOCK[[#This Row],[Precio Venta Ideal (x1.5)]]</f>
        <v>13.066666666666663</v>
      </c>
      <c r="J108" s="69">
        <v>1</v>
      </c>
      <c r="K108" s="69">
        <f>SUMIFS(VENTAS[Cantidad],VENTAS[Código del producto Vendido],STOCK[[#This Row],[Code]])</f>
        <v>1</v>
      </c>
      <c r="L108" s="69">
        <f>STOCK[[#This Row],[Entradas]]-STOCK[[#This Row],[Salidas]]</f>
        <v>0</v>
      </c>
      <c r="M108" s="53">
        <f>STOCK[[#This Row],[Precio Final]]*10%</f>
        <v>1.2000000000000002</v>
      </c>
      <c r="N108" s="53">
        <v>110</v>
      </c>
      <c r="O108" s="53">
        <v>18</v>
      </c>
      <c r="P108" s="53">
        <v>6.1111111111111098</v>
      </c>
      <c r="Q108" s="69">
        <v>175</v>
      </c>
      <c r="R108" s="53">
        <v>8</v>
      </c>
      <c r="S108" s="53">
        <f>STOCK[[#This Row],[Peso (g)]]*STOCK[[#This Row],[Precio Envío Kilogramo (USD)]]/1000</f>
        <v>1.4</v>
      </c>
      <c r="T108" s="53">
        <f>STOCK[[#This Row],[Costo Unitario (USD)]]+STOCK[[#This Row],[Costo Envío (USD)]]+STOCK[[#This Row],[Comisión 10%]]</f>
        <v>8.7111111111111086</v>
      </c>
      <c r="U108" s="53">
        <f>STOCK[[#This Row],[Costo total]]*1.5</f>
        <v>13.066666666666663</v>
      </c>
      <c r="V108" s="53">
        <v>12</v>
      </c>
      <c r="W108" s="53">
        <f>STOCK[[#This Row],[Precio Final]]-STOCK[[#This Row],[Costo total]]</f>
        <v>3.2888888888888914</v>
      </c>
      <c r="X108" s="53">
        <f>STOCK[[#This Row],[Ganancia Unitaria]]*STOCK[[#This Row],[Salidas]]</f>
        <v>3.2888888888888914</v>
      </c>
      <c r="Y108" s="53" t="s">
        <v>168</v>
      </c>
      <c r="AA108" s="53">
        <f>STOCK[[#This Row],[Costo total]]*STOCK[[#This Row],[Entradas]]</f>
        <v>8.7111111111111086</v>
      </c>
      <c r="AB108" s="53">
        <f>STOCK[[#This Row],[Stock Actual]]*STOCK[[#This Row],[Costo total]]</f>
        <v>0</v>
      </c>
    </row>
    <row r="109" spans="1:28" s="54" customFormat="1" ht="50" customHeight="1">
      <c r="A109" s="54" t="s">
        <v>261</v>
      </c>
      <c r="B109" s="64"/>
      <c r="C109" s="54" t="s">
        <v>32</v>
      </c>
      <c r="D109" s="54" t="s">
        <v>174</v>
      </c>
      <c r="E109" s="66" t="s">
        <v>262</v>
      </c>
      <c r="F109" s="54" t="s">
        <v>62</v>
      </c>
      <c r="G109" s="54" t="s">
        <v>36</v>
      </c>
      <c r="H109" s="54">
        <f>STOCK[[#This Row],[Precio Final]]</f>
        <v>14</v>
      </c>
      <c r="I109" s="54">
        <f>STOCK[[#This Row],[Precio Venta Ideal (x1.5)]]</f>
        <v>14.25333333333333</v>
      </c>
      <c r="J109" s="70">
        <v>1</v>
      </c>
      <c r="K109" s="70">
        <f>SUMIFS(VENTAS[Cantidad],VENTAS[Código del producto Vendido],STOCK[[#This Row],[Code]])</f>
        <v>1</v>
      </c>
      <c r="L109" s="70">
        <f>STOCK[[#This Row],[Entradas]]-STOCK[[#This Row],[Salidas]]</f>
        <v>0</v>
      </c>
      <c r="M109" s="54">
        <f>STOCK[[#This Row],[Precio Final]]*10%</f>
        <v>1.4000000000000001</v>
      </c>
      <c r="N109" s="54">
        <v>130</v>
      </c>
      <c r="O109" s="54">
        <v>18</v>
      </c>
      <c r="P109" s="54">
        <v>7.2222222222222197</v>
      </c>
      <c r="Q109" s="70">
        <v>110</v>
      </c>
      <c r="R109" s="54">
        <v>8</v>
      </c>
      <c r="S109" s="54">
        <f>STOCK[[#This Row],[Peso (g)]]*STOCK[[#This Row],[Precio Envío Kilogramo (USD)]]/1000</f>
        <v>0.88</v>
      </c>
      <c r="T109" s="53">
        <f>STOCK[[#This Row],[Costo Unitario (USD)]]+STOCK[[#This Row],[Costo Envío (USD)]]+STOCK[[#This Row],[Comisión 10%]]</f>
        <v>9.5022222222222208</v>
      </c>
      <c r="U109" s="54">
        <f>STOCK[[#This Row],[Costo total]]*1.5</f>
        <v>14.25333333333333</v>
      </c>
      <c r="V109" s="54">
        <v>14</v>
      </c>
      <c r="W109" s="54">
        <f>STOCK[[#This Row],[Precio Final]]-STOCK[[#This Row],[Costo total]]</f>
        <v>4.4977777777777792</v>
      </c>
      <c r="X109" s="54">
        <f>STOCK[[#This Row],[Ganancia Unitaria]]*STOCK[[#This Row],[Salidas]]</f>
        <v>4.4977777777777792</v>
      </c>
      <c r="Y109" s="54" t="s">
        <v>168</v>
      </c>
      <c r="AA109" s="54">
        <f>STOCK[[#This Row],[Costo total]]*STOCK[[#This Row],[Entradas]]</f>
        <v>9.5022222222222208</v>
      </c>
      <c r="AB109" s="54">
        <f>STOCK[[#This Row],[Stock Actual]]*STOCK[[#This Row],[Costo total]]</f>
        <v>0</v>
      </c>
    </row>
    <row r="110" spans="1:28" s="53" customFormat="1" ht="50" customHeight="1">
      <c r="A110" s="53" t="s">
        <v>263</v>
      </c>
      <c r="B110" s="64"/>
      <c r="C110" s="53" t="s">
        <v>32</v>
      </c>
      <c r="D110" s="53" t="s">
        <v>174</v>
      </c>
      <c r="E110" s="65" t="s">
        <v>262</v>
      </c>
      <c r="F110" s="53" t="s">
        <v>49</v>
      </c>
      <c r="G110" s="53" t="s">
        <v>36</v>
      </c>
      <c r="H110" s="53">
        <f>STOCK[[#This Row],[Precio Final]]</f>
        <v>14</v>
      </c>
      <c r="I110" s="53">
        <f>STOCK[[#This Row],[Precio Venta Ideal (x1.5)]]</f>
        <v>14.133333333333331</v>
      </c>
      <c r="J110" s="69">
        <v>1</v>
      </c>
      <c r="K110" s="69">
        <f>SUMIFS(VENTAS[Cantidad],VENTAS[Código del producto Vendido],STOCK[[#This Row],[Code]])</f>
        <v>1</v>
      </c>
      <c r="L110" s="69">
        <f>STOCK[[#This Row],[Entradas]]-STOCK[[#This Row],[Salidas]]</f>
        <v>0</v>
      </c>
      <c r="M110" s="53">
        <f>STOCK[[#This Row],[Precio Final]]*10%</f>
        <v>1.4000000000000001</v>
      </c>
      <c r="N110" s="53">
        <v>130</v>
      </c>
      <c r="O110" s="53">
        <v>18</v>
      </c>
      <c r="P110" s="53">
        <v>7.2222222222222197</v>
      </c>
      <c r="Q110" s="69">
        <v>100</v>
      </c>
      <c r="R110" s="53">
        <v>8</v>
      </c>
      <c r="S110" s="53">
        <f>STOCK[[#This Row],[Peso (g)]]*STOCK[[#This Row],[Precio Envío Kilogramo (USD)]]/1000</f>
        <v>0.8</v>
      </c>
      <c r="T110" s="53">
        <f>STOCK[[#This Row],[Costo Unitario (USD)]]+STOCK[[#This Row],[Costo Envío (USD)]]+STOCK[[#This Row],[Comisión 10%]]</f>
        <v>9.4222222222222207</v>
      </c>
      <c r="U110" s="53">
        <f>STOCK[[#This Row],[Costo total]]*1.5</f>
        <v>14.133333333333331</v>
      </c>
      <c r="V110" s="53">
        <v>14</v>
      </c>
      <c r="W110" s="53">
        <f>STOCK[[#This Row],[Precio Final]]-STOCK[[#This Row],[Costo total]]</f>
        <v>4.5777777777777793</v>
      </c>
      <c r="X110" s="53">
        <f>STOCK[[#This Row],[Ganancia Unitaria]]*STOCK[[#This Row],[Salidas]]</f>
        <v>4.5777777777777793</v>
      </c>
      <c r="Y110" s="53" t="s">
        <v>168</v>
      </c>
      <c r="AA110" s="53">
        <f>STOCK[[#This Row],[Costo total]]*STOCK[[#This Row],[Entradas]]</f>
        <v>9.4222222222222207</v>
      </c>
      <c r="AB110" s="53">
        <f>STOCK[[#This Row],[Stock Actual]]*STOCK[[#This Row],[Costo total]]</f>
        <v>0</v>
      </c>
    </row>
    <row r="111" spans="1:28" s="54" customFormat="1" ht="50" customHeight="1">
      <c r="A111" s="54" t="s">
        <v>264</v>
      </c>
      <c r="B111" s="64"/>
      <c r="C111" s="54" t="s">
        <v>32</v>
      </c>
      <c r="D111" s="54" t="s">
        <v>174</v>
      </c>
      <c r="E111" s="66" t="s">
        <v>262</v>
      </c>
      <c r="F111" s="54" t="s">
        <v>46</v>
      </c>
      <c r="G111" s="54" t="s">
        <v>36</v>
      </c>
      <c r="H111" s="54">
        <f>STOCK[[#This Row],[Precio Final]]</f>
        <v>14</v>
      </c>
      <c r="I111" s="54">
        <f>STOCK[[#This Row],[Precio Venta Ideal (x1.5)]]</f>
        <v>14.493333333333332</v>
      </c>
      <c r="J111" s="70">
        <v>1</v>
      </c>
      <c r="K111" s="70">
        <f>SUMIFS(VENTAS[Cantidad],VENTAS[Código del producto Vendido],STOCK[[#This Row],[Code]])</f>
        <v>1</v>
      </c>
      <c r="L111" s="70">
        <f>STOCK[[#This Row],[Entradas]]-STOCK[[#This Row],[Salidas]]</f>
        <v>0</v>
      </c>
      <c r="M111" s="54">
        <f>STOCK[[#This Row],[Precio Final]]*10%</f>
        <v>1.4000000000000001</v>
      </c>
      <c r="N111" s="54">
        <v>130</v>
      </c>
      <c r="O111" s="54">
        <v>18</v>
      </c>
      <c r="P111" s="54">
        <v>7.2222222222222197</v>
      </c>
      <c r="Q111" s="70">
        <v>130</v>
      </c>
      <c r="R111" s="54">
        <v>8</v>
      </c>
      <c r="S111" s="54">
        <f>STOCK[[#This Row],[Peso (g)]]*STOCK[[#This Row],[Precio Envío Kilogramo (USD)]]/1000</f>
        <v>1.04</v>
      </c>
      <c r="T111" s="53">
        <f>STOCK[[#This Row],[Costo Unitario (USD)]]+STOCK[[#This Row],[Costo Envío (USD)]]+STOCK[[#This Row],[Comisión 10%]]</f>
        <v>9.6622222222222209</v>
      </c>
      <c r="U111" s="54">
        <f>STOCK[[#This Row],[Costo total]]*1.5</f>
        <v>14.493333333333332</v>
      </c>
      <c r="V111" s="54">
        <v>14</v>
      </c>
      <c r="W111" s="54">
        <f>STOCK[[#This Row],[Precio Final]]-STOCK[[#This Row],[Costo total]]</f>
        <v>4.3377777777777791</v>
      </c>
      <c r="X111" s="54">
        <f>STOCK[[#This Row],[Ganancia Unitaria]]*STOCK[[#This Row],[Salidas]]</f>
        <v>4.3377777777777791</v>
      </c>
      <c r="Y111" s="54" t="s">
        <v>168</v>
      </c>
      <c r="AA111" s="54">
        <f>STOCK[[#This Row],[Costo total]]*STOCK[[#This Row],[Entradas]]</f>
        <v>9.6622222222222209</v>
      </c>
      <c r="AB111" s="54">
        <f>STOCK[[#This Row],[Stock Actual]]*STOCK[[#This Row],[Costo total]]</f>
        <v>0</v>
      </c>
    </row>
    <row r="112" spans="1:28" s="53" customFormat="1" ht="50" customHeight="1">
      <c r="A112" s="53" t="s">
        <v>265</v>
      </c>
      <c r="B112" s="64"/>
      <c r="C112" s="53" t="s">
        <v>32</v>
      </c>
      <c r="D112" s="53" t="s">
        <v>44</v>
      </c>
      <c r="E112" s="65" t="s">
        <v>266</v>
      </c>
      <c r="F112" s="53" t="s">
        <v>62</v>
      </c>
      <c r="G112" s="53" t="s">
        <v>36</v>
      </c>
      <c r="H112" s="53">
        <f>STOCK[[#This Row],[Precio Final]]</f>
        <v>0</v>
      </c>
      <c r="I112" s="53">
        <f>STOCK[[#This Row],[Precio Venta Ideal (x1.5)]]</f>
        <v>26.873333333333399</v>
      </c>
      <c r="J112" s="69">
        <v>1</v>
      </c>
      <c r="K112" s="69">
        <f>SUMIFS(VENTAS[Cantidad],VENTAS[Código del producto Vendido],STOCK[[#This Row],[Code]])</f>
        <v>1</v>
      </c>
      <c r="L112" s="69">
        <f>STOCK[[#This Row],[Entradas]]-STOCK[[#This Row],[Salidas]]</f>
        <v>0</v>
      </c>
      <c r="M112" s="53">
        <f>STOCK[[#This Row],[Precio Final]]*10%</f>
        <v>0</v>
      </c>
      <c r="N112" s="53">
        <v>280</v>
      </c>
      <c r="O112" s="53">
        <v>18</v>
      </c>
      <c r="P112" s="53">
        <v>15.5555555555556</v>
      </c>
      <c r="Q112" s="69">
        <v>295</v>
      </c>
      <c r="R112" s="53">
        <v>8</v>
      </c>
      <c r="S112" s="53">
        <f>STOCK[[#This Row],[Peso (g)]]*STOCK[[#This Row],[Precio Envío Kilogramo (USD)]]/1000</f>
        <v>2.36</v>
      </c>
      <c r="T112" s="53">
        <f>STOCK[[#This Row],[Costo Unitario (USD)]]+STOCK[[#This Row],[Costo Envío (USD)]]+STOCK[[#This Row],[Comisión 10%]]</f>
        <v>17.915555555555599</v>
      </c>
      <c r="U112" s="53">
        <f>STOCK[[#This Row],[Costo total]]*1.5</f>
        <v>26.873333333333399</v>
      </c>
      <c r="V112" s="53">
        <v>0</v>
      </c>
      <c r="W112" s="53">
        <f>STOCK[[#This Row],[Precio Final]]-STOCK[[#This Row],[Costo total]]</f>
        <v>-17.915555555555599</v>
      </c>
      <c r="X112" s="53">
        <f>STOCK[[#This Row],[Ganancia Unitaria]]*STOCK[[#This Row],[Salidas]]</f>
        <v>-17.915555555555599</v>
      </c>
      <c r="Y112" s="53" t="s">
        <v>168</v>
      </c>
      <c r="AA112" s="53">
        <f>STOCK[[#This Row],[Costo total]]*STOCK[[#This Row],[Entradas]]</f>
        <v>17.915555555555599</v>
      </c>
      <c r="AB112" s="53">
        <f>STOCK[[#This Row],[Stock Actual]]*STOCK[[#This Row],[Costo total]]</f>
        <v>0</v>
      </c>
    </row>
    <row r="113" spans="1:29" s="54" customFormat="1" ht="50" customHeight="1">
      <c r="A113" s="54" t="s">
        <v>267</v>
      </c>
      <c r="B113" s="64"/>
      <c r="C113" s="54" t="s">
        <v>32</v>
      </c>
      <c r="D113" s="54" t="s">
        <v>44</v>
      </c>
      <c r="E113" s="66" t="s">
        <v>268</v>
      </c>
      <c r="F113" s="54" t="s">
        <v>49</v>
      </c>
      <c r="G113" s="54" t="s">
        <v>36</v>
      </c>
      <c r="H113" s="54">
        <f>STOCK[[#This Row],[Precio Final]]</f>
        <v>25</v>
      </c>
      <c r="I113" s="54">
        <f>STOCK[[#This Row],[Precio Venta Ideal (x1.5)]]</f>
        <v>23.41666666666665</v>
      </c>
      <c r="J113" s="70">
        <v>1</v>
      </c>
      <c r="K113" s="70">
        <f>SUMIFS(VENTAS[Cantidad],VENTAS[Código del producto Vendido],STOCK[[#This Row],[Code]])</f>
        <v>1</v>
      </c>
      <c r="L113" s="70">
        <f>STOCK[[#This Row],[Entradas]]-STOCK[[#This Row],[Salidas]]</f>
        <v>0</v>
      </c>
      <c r="M113" s="54">
        <f>STOCK[[#This Row],[Precio Final]]*10%</f>
        <v>2.5</v>
      </c>
      <c r="N113" s="54">
        <v>200</v>
      </c>
      <c r="O113" s="54">
        <v>18</v>
      </c>
      <c r="P113" s="54">
        <v>11.1111111111111</v>
      </c>
      <c r="Q113" s="70">
        <v>250</v>
      </c>
      <c r="R113" s="54">
        <v>8</v>
      </c>
      <c r="S113" s="54">
        <f>STOCK[[#This Row],[Peso (g)]]*STOCK[[#This Row],[Precio Envío Kilogramo (USD)]]/1000</f>
        <v>2</v>
      </c>
      <c r="T113" s="53">
        <f>STOCK[[#This Row],[Costo Unitario (USD)]]+STOCK[[#This Row],[Costo Envío (USD)]]+STOCK[[#This Row],[Comisión 10%]]</f>
        <v>15.6111111111111</v>
      </c>
      <c r="U113" s="54">
        <f>STOCK[[#This Row],[Costo total]]*1.5</f>
        <v>23.41666666666665</v>
      </c>
      <c r="V113" s="54">
        <v>25</v>
      </c>
      <c r="W113" s="54">
        <f>STOCK[[#This Row],[Precio Final]]-STOCK[[#This Row],[Costo total]]</f>
        <v>9.3888888888888999</v>
      </c>
      <c r="X113" s="54">
        <f>STOCK[[#This Row],[Ganancia Unitaria]]*STOCK[[#This Row],[Salidas]]</f>
        <v>9.3888888888888999</v>
      </c>
      <c r="Y113" s="54" t="s">
        <v>168</v>
      </c>
      <c r="AA113" s="54">
        <f>STOCK[[#This Row],[Costo total]]*STOCK[[#This Row],[Entradas]]</f>
        <v>15.6111111111111</v>
      </c>
      <c r="AB113" s="54">
        <f>STOCK[[#This Row],[Stock Actual]]*STOCK[[#This Row],[Costo total]]</f>
        <v>0</v>
      </c>
    </row>
    <row r="114" spans="1:29" s="53" customFormat="1" ht="50" customHeight="1">
      <c r="A114" s="53" t="s">
        <v>269</v>
      </c>
      <c r="B114" s="64"/>
      <c r="C114" s="53" t="s">
        <v>32</v>
      </c>
      <c r="D114" s="53" t="s">
        <v>44</v>
      </c>
      <c r="E114" s="65" t="s">
        <v>268</v>
      </c>
      <c r="F114" s="53" t="s">
        <v>62</v>
      </c>
      <c r="G114" s="53" t="s">
        <v>36</v>
      </c>
      <c r="H114" s="53">
        <f>STOCK[[#This Row],[Precio Final]]</f>
        <v>25</v>
      </c>
      <c r="I114" s="53">
        <f>STOCK[[#This Row],[Precio Venta Ideal (x1.5)]]</f>
        <v>23.356666666666651</v>
      </c>
      <c r="J114" s="69">
        <v>1</v>
      </c>
      <c r="K114" s="69">
        <f>SUMIFS(VENTAS[Cantidad],VENTAS[Código del producto Vendido],STOCK[[#This Row],[Code]])</f>
        <v>1</v>
      </c>
      <c r="L114" s="69">
        <f>STOCK[[#This Row],[Entradas]]-STOCK[[#This Row],[Salidas]]</f>
        <v>0</v>
      </c>
      <c r="M114" s="53">
        <f>STOCK[[#This Row],[Precio Final]]*10%</f>
        <v>2.5</v>
      </c>
      <c r="N114" s="53">
        <v>200</v>
      </c>
      <c r="O114" s="53">
        <v>18</v>
      </c>
      <c r="P114" s="53">
        <v>11.1111111111111</v>
      </c>
      <c r="Q114" s="69">
        <v>245</v>
      </c>
      <c r="R114" s="53">
        <v>8</v>
      </c>
      <c r="S114" s="53">
        <f>STOCK[[#This Row],[Peso (g)]]*STOCK[[#This Row],[Precio Envío Kilogramo (USD)]]/1000</f>
        <v>1.96</v>
      </c>
      <c r="T114" s="53">
        <f>STOCK[[#This Row],[Costo Unitario (USD)]]+STOCK[[#This Row],[Costo Envío (USD)]]+STOCK[[#This Row],[Comisión 10%]]</f>
        <v>15.571111111111101</v>
      </c>
      <c r="U114" s="53">
        <f>STOCK[[#This Row],[Costo total]]*1.5</f>
        <v>23.356666666666651</v>
      </c>
      <c r="V114" s="53">
        <v>25</v>
      </c>
      <c r="W114" s="53">
        <f>STOCK[[#This Row],[Precio Final]]-STOCK[[#This Row],[Costo total]]</f>
        <v>9.4288888888888991</v>
      </c>
      <c r="X114" s="53">
        <f>STOCK[[#This Row],[Ganancia Unitaria]]*STOCK[[#This Row],[Salidas]]</f>
        <v>9.4288888888888991</v>
      </c>
      <c r="Y114" s="53" t="s">
        <v>168</v>
      </c>
      <c r="AA114" s="53">
        <f>STOCK[[#This Row],[Costo total]]*STOCK[[#This Row],[Entradas]]</f>
        <v>15.571111111111101</v>
      </c>
      <c r="AB114" s="53">
        <f>STOCK[[#This Row],[Stock Actual]]*STOCK[[#This Row],[Costo total]]</f>
        <v>0</v>
      </c>
    </row>
    <row r="115" spans="1:29" s="54" customFormat="1" ht="50" customHeight="1">
      <c r="A115" s="54" t="s">
        <v>270</v>
      </c>
      <c r="B115" s="64"/>
      <c r="C115" s="54" t="s">
        <v>32</v>
      </c>
      <c r="D115" s="54" t="s">
        <v>216</v>
      </c>
      <c r="E115" s="66" t="s">
        <v>271</v>
      </c>
      <c r="F115" s="54" t="s">
        <v>211</v>
      </c>
      <c r="G115" s="54" t="s">
        <v>36</v>
      </c>
      <c r="H115" s="54">
        <f>STOCK[[#This Row],[Precio Final]]</f>
        <v>20</v>
      </c>
      <c r="I115" s="54">
        <f>STOCK[[#This Row],[Precio Venta Ideal (x1.5)]]</f>
        <v>23.08333333333335</v>
      </c>
      <c r="J115" s="70">
        <v>1</v>
      </c>
      <c r="K115" s="70">
        <f>SUMIFS(VENTAS[Cantidad],VENTAS[Código del producto Vendido],STOCK[[#This Row],[Code]])</f>
        <v>1</v>
      </c>
      <c r="L115" s="70">
        <f>STOCK[[#This Row],[Entradas]]-STOCK[[#This Row],[Salidas]]</f>
        <v>0</v>
      </c>
      <c r="M115" s="54">
        <f>STOCK[[#This Row],[Precio Final]]*10%</f>
        <v>2</v>
      </c>
      <c r="N115" s="54">
        <v>205</v>
      </c>
      <c r="O115" s="54">
        <v>18</v>
      </c>
      <c r="P115" s="54">
        <v>11.3888888888889</v>
      </c>
      <c r="Q115" s="70">
        <v>250</v>
      </c>
      <c r="R115" s="54">
        <v>8</v>
      </c>
      <c r="S115" s="54">
        <f>STOCK[[#This Row],[Peso (g)]]*STOCK[[#This Row],[Precio Envío Kilogramo (USD)]]/1000</f>
        <v>2</v>
      </c>
      <c r="T115" s="53">
        <f>STOCK[[#This Row],[Costo Unitario (USD)]]+STOCK[[#This Row],[Costo Envío (USD)]]+STOCK[[#This Row],[Comisión 10%]]</f>
        <v>15.3888888888889</v>
      </c>
      <c r="U115" s="54">
        <f>STOCK[[#This Row],[Costo total]]*1.5</f>
        <v>23.08333333333335</v>
      </c>
      <c r="V115" s="54">
        <v>20</v>
      </c>
      <c r="W115" s="54">
        <f>STOCK[[#This Row],[Precio Final]]-STOCK[[#This Row],[Costo total]]</f>
        <v>4.6111111111111001</v>
      </c>
      <c r="X115" s="54">
        <f>STOCK[[#This Row],[Ganancia Unitaria]]*STOCK[[#This Row],[Salidas]]</f>
        <v>4.6111111111111001</v>
      </c>
      <c r="Y115" s="54" t="s">
        <v>168</v>
      </c>
      <c r="AA115" s="54">
        <f>STOCK[[#This Row],[Costo total]]*STOCK[[#This Row],[Entradas]]</f>
        <v>15.3888888888889</v>
      </c>
      <c r="AB115" s="54">
        <f>STOCK[[#This Row],[Stock Actual]]*STOCK[[#This Row],[Costo total]]</f>
        <v>0</v>
      </c>
    </row>
    <row r="116" spans="1:29" s="53" customFormat="1" ht="50" customHeight="1">
      <c r="A116" s="53" t="s">
        <v>272</v>
      </c>
      <c r="B116" s="64"/>
      <c r="C116" s="53" t="s">
        <v>32</v>
      </c>
      <c r="D116" s="53" t="s">
        <v>44</v>
      </c>
      <c r="E116" s="65" t="s">
        <v>273</v>
      </c>
      <c r="F116" s="53" t="s">
        <v>62</v>
      </c>
      <c r="G116" s="53" t="s">
        <v>36</v>
      </c>
      <c r="H116" s="53">
        <f>STOCK[[#This Row],[Precio Final]]</f>
        <v>22</v>
      </c>
      <c r="I116" s="53">
        <f>STOCK[[#This Row],[Precio Venta Ideal (x1.5)]]</f>
        <v>23.383333333333347</v>
      </c>
      <c r="J116" s="69">
        <v>1</v>
      </c>
      <c r="K116" s="69">
        <f>SUMIFS(VENTAS[Cantidad],VENTAS[Código del producto Vendido],STOCK[[#This Row],[Code]])</f>
        <v>1</v>
      </c>
      <c r="L116" s="69">
        <f>STOCK[[#This Row],[Entradas]]-STOCK[[#This Row],[Salidas]]</f>
        <v>0</v>
      </c>
      <c r="M116" s="53">
        <f>STOCK[[#This Row],[Precio Final]]*10%</f>
        <v>2.2000000000000002</v>
      </c>
      <c r="N116" s="53">
        <v>205</v>
      </c>
      <c r="O116" s="53">
        <v>18</v>
      </c>
      <c r="P116" s="53">
        <v>11.3888888888889</v>
      </c>
      <c r="Q116" s="69">
        <v>250</v>
      </c>
      <c r="R116" s="53">
        <v>8</v>
      </c>
      <c r="S116" s="53">
        <f>STOCK[[#This Row],[Peso (g)]]*STOCK[[#This Row],[Precio Envío Kilogramo (USD)]]/1000</f>
        <v>2</v>
      </c>
      <c r="T116" s="53">
        <f>STOCK[[#This Row],[Costo Unitario (USD)]]+STOCK[[#This Row],[Costo Envío (USD)]]+STOCK[[#This Row],[Comisión 10%]]</f>
        <v>15.588888888888899</v>
      </c>
      <c r="U116" s="53">
        <f>STOCK[[#This Row],[Costo total]]*1.5</f>
        <v>23.383333333333347</v>
      </c>
      <c r="V116" s="53">
        <v>22</v>
      </c>
      <c r="W116" s="53">
        <f>STOCK[[#This Row],[Precio Final]]-STOCK[[#This Row],[Costo total]]</f>
        <v>6.4111111111111008</v>
      </c>
      <c r="X116" s="53">
        <f>STOCK[[#This Row],[Ganancia Unitaria]]*STOCK[[#This Row],[Salidas]]</f>
        <v>6.4111111111111008</v>
      </c>
      <c r="Y116" s="53" t="s">
        <v>168</v>
      </c>
      <c r="AA116" s="53">
        <f>STOCK[[#This Row],[Costo total]]*STOCK[[#This Row],[Entradas]]</f>
        <v>15.588888888888899</v>
      </c>
      <c r="AB116" s="53">
        <f>STOCK[[#This Row],[Stock Actual]]*STOCK[[#This Row],[Costo total]]</f>
        <v>0</v>
      </c>
    </row>
    <row r="117" spans="1:29" s="54" customFormat="1" ht="50" customHeight="1">
      <c r="A117" s="54" t="s">
        <v>274</v>
      </c>
      <c r="B117" s="64"/>
      <c r="C117" s="54" t="s">
        <v>32</v>
      </c>
      <c r="D117" s="54" t="s">
        <v>203</v>
      </c>
      <c r="E117" s="66" t="s">
        <v>271</v>
      </c>
      <c r="F117" s="54" t="s">
        <v>83</v>
      </c>
      <c r="G117" s="54" t="s">
        <v>36</v>
      </c>
      <c r="H117" s="54">
        <f>STOCK[[#This Row],[Precio Final]]</f>
        <v>20</v>
      </c>
      <c r="I117" s="54">
        <f>STOCK[[#This Row],[Precio Venta Ideal (x1.5)]]</f>
        <v>23.683333333333351</v>
      </c>
      <c r="J117" s="70">
        <v>1</v>
      </c>
      <c r="K117" s="70">
        <f>SUMIFS(VENTAS[Cantidad],VENTAS[Código del producto Vendido],STOCK[[#This Row],[Code]])</f>
        <v>1</v>
      </c>
      <c r="L117" s="70">
        <f>STOCK[[#This Row],[Entradas]]-STOCK[[#This Row],[Salidas]]</f>
        <v>0</v>
      </c>
      <c r="M117" s="54">
        <f>STOCK[[#This Row],[Precio Final]]*10%</f>
        <v>2</v>
      </c>
      <c r="N117" s="54">
        <v>205</v>
      </c>
      <c r="O117" s="54">
        <v>18</v>
      </c>
      <c r="P117" s="54">
        <v>11.3888888888889</v>
      </c>
      <c r="Q117" s="70">
        <v>300</v>
      </c>
      <c r="R117" s="54">
        <v>8</v>
      </c>
      <c r="S117" s="54">
        <f>STOCK[[#This Row],[Peso (g)]]*STOCK[[#This Row],[Precio Envío Kilogramo (USD)]]/1000</f>
        <v>2.4</v>
      </c>
      <c r="T117" s="53">
        <f>STOCK[[#This Row],[Costo Unitario (USD)]]+STOCK[[#This Row],[Costo Envío (USD)]]+STOCK[[#This Row],[Comisión 10%]]</f>
        <v>15.7888888888889</v>
      </c>
      <c r="U117" s="54">
        <f>STOCK[[#This Row],[Costo total]]*1.5</f>
        <v>23.683333333333351</v>
      </c>
      <c r="V117" s="54">
        <v>20</v>
      </c>
      <c r="W117" s="54">
        <f>STOCK[[#This Row],[Precio Final]]-STOCK[[#This Row],[Costo total]]</f>
        <v>4.2111111111110997</v>
      </c>
      <c r="X117" s="54">
        <f>STOCK[[#This Row],[Ganancia Unitaria]]*STOCK[[#This Row],[Salidas]]</f>
        <v>4.2111111111110997</v>
      </c>
      <c r="Y117" s="54" t="s">
        <v>168</v>
      </c>
      <c r="AA117" s="54">
        <f>STOCK[[#This Row],[Costo total]]*STOCK[[#This Row],[Entradas]]</f>
        <v>15.7888888888889</v>
      </c>
      <c r="AB117" s="54">
        <f>STOCK[[#This Row],[Stock Actual]]*STOCK[[#This Row],[Costo total]]</f>
        <v>0</v>
      </c>
    </row>
    <row r="118" spans="1:29" s="53" customFormat="1" ht="50" customHeight="1">
      <c r="A118" s="53" t="s">
        <v>275</v>
      </c>
      <c r="B118" s="64"/>
      <c r="C118" s="53" t="s">
        <v>32</v>
      </c>
      <c r="D118" s="53" t="s">
        <v>44</v>
      </c>
      <c r="E118" s="65" t="s">
        <v>273</v>
      </c>
      <c r="F118" s="53" t="s">
        <v>46</v>
      </c>
      <c r="G118" s="53" t="s">
        <v>36</v>
      </c>
      <c r="H118" s="53">
        <f>STOCK[[#This Row],[Precio Final]]</f>
        <v>22</v>
      </c>
      <c r="I118" s="53">
        <f>STOCK[[#This Row],[Precio Venta Ideal (x1.5)]]</f>
        <v>23.983333333333352</v>
      </c>
      <c r="J118" s="69">
        <v>1</v>
      </c>
      <c r="K118" s="69">
        <f>SUMIFS(VENTAS[Cantidad],VENTAS[Código del producto Vendido],STOCK[[#This Row],[Code]])</f>
        <v>1</v>
      </c>
      <c r="L118" s="69">
        <f>STOCK[[#This Row],[Entradas]]-STOCK[[#This Row],[Salidas]]</f>
        <v>0</v>
      </c>
      <c r="M118" s="53">
        <f>STOCK[[#This Row],[Precio Final]]*10%</f>
        <v>2.2000000000000002</v>
      </c>
      <c r="N118" s="53">
        <v>205</v>
      </c>
      <c r="O118" s="53">
        <v>18</v>
      </c>
      <c r="P118" s="53">
        <v>11.3888888888889</v>
      </c>
      <c r="Q118" s="69">
        <v>300</v>
      </c>
      <c r="R118" s="53">
        <v>8</v>
      </c>
      <c r="S118" s="53">
        <f>STOCK[[#This Row],[Peso (g)]]*STOCK[[#This Row],[Precio Envío Kilogramo (USD)]]/1000</f>
        <v>2.4</v>
      </c>
      <c r="T118" s="53">
        <f>STOCK[[#This Row],[Costo Unitario (USD)]]+STOCK[[#This Row],[Costo Envío (USD)]]+STOCK[[#This Row],[Comisión 10%]]</f>
        <v>15.988888888888901</v>
      </c>
      <c r="U118" s="53">
        <f>STOCK[[#This Row],[Costo total]]*1.5</f>
        <v>23.983333333333352</v>
      </c>
      <c r="V118" s="53">
        <v>22</v>
      </c>
      <c r="W118" s="53">
        <f>STOCK[[#This Row],[Precio Final]]-STOCK[[#This Row],[Costo total]]</f>
        <v>6.0111111111110986</v>
      </c>
      <c r="X118" s="53">
        <f>STOCK[[#This Row],[Ganancia Unitaria]]*STOCK[[#This Row],[Salidas]]</f>
        <v>6.0111111111110986</v>
      </c>
      <c r="Y118" s="53" t="s">
        <v>168</v>
      </c>
      <c r="AA118" s="53">
        <f>STOCK[[#This Row],[Costo total]]*STOCK[[#This Row],[Entradas]]</f>
        <v>15.988888888888901</v>
      </c>
      <c r="AB118" s="53">
        <f>STOCK[[#This Row],[Stock Actual]]*STOCK[[#This Row],[Costo total]]</f>
        <v>0</v>
      </c>
    </row>
    <row r="119" spans="1:29" s="54" customFormat="1" ht="50" customHeight="1">
      <c r="A119" s="54" t="s">
        <v>276</v>
      </c>
      <c r="B119" s="64"/>
      <c r="C119" s="54" t="s">
        <v>32</v>
      </c>
      <c r="D119" s="54" t="s">
        <v>196</v>
      </c>
      <c r="E119" s="66" t="s">
        <v>277</v>
      </c>
      <c r="F119" s="54" t="s">
        <v>49</v>
      </c>
      <c r="G119" s="54" t="s">
        <v>36</v>
      </c>
      <c r="H119" s="54">
        <f>STOCK[[#This Row],[Precio Final]]</f>
        <v>25</v>
      </c>
      <c r="I119" s="54">
        <f>STOCK[[#This Row],[Precio Venta Ideal (x1.5)]]</f>
        <v>22.816666666666649</v>
      </c>
      <c r="J119" s="70">
        <v>1</v>
      </c>
      <c r="K119" s="70">
        <f>SUMIFS(VENTAS[Cantidad],VENTAS[Código del producto Vendido],STOCK[[#This Row],[Code]])</f>
        <v>0</v>
      </c>
      <c r="L119" s="70">
        <f>STOCK[[#This Row],[Entradas]]-STOCK[[#This Row],[Salidas]]</f>
        <v>1</v>
      </c>
      <c r="M119" s="54">
        <f>STOCK[[#This Row],[Precio Final]]*10%</f>
        <v>2.5</v>
      </c>
      <c r="N119" s="54">
        <v>200</v>
      </c>
      <c r="O119" s="54">
        <v>18</v>
      </c>
      <c r="P119" s="54">
        <v>11.1111111111111</v>
      </c>
      <c r="Q119" s="70">
        <v>200</v>
      </c>
      <c r="R119" s="54">
        <v>8</v>
      </c>
      <c r="S119" s="54">
        <f>STOCK[[#This Row],[Peso (g)]]*STOCK[[#This Row],[Precio Envío Kilogramo (USD)]]/1000</f>
        <v>1.6</v>
      </c>
      <c r="T119" s="53">
        <f>STOCK[[#This Row],[Costo Unitario (USD)]]+STOCK[[#This Row],[Costo Envío (USD)]]+STOCK[[#This Row],[Comisión 10%]]</f>
        <v>15.2111111111111</v>
      </c>
      <c r="U119" s="54">
        <f>STOCK[[#This Row],[Costo total]]*1.5</f>
        <v>22.816666666666649</v>
      </c>
      <c r="V119" s="54">
        <v>25</v>
      </c>
      <c r="W119" s="54">
        <f>STOCK[[#This Row],[Precio Final]]-STOCK[[#This Row],[Costo total]]</f>
        <v>9.7888888888889003</v>
      </c>
      <c r="X119" s="54">
        <f>STOCK[[#This Row],[Ganancia Unitaria]]*STOCK[[#This Row],[Salidas]]</f>
        <v>0</v>
      </c>
      <c r="Y119" s="54" t="s">
        <v>278</v>
      </c>
      <c r="AA119" s="54">
        <f>STOCK[[#This Row],[Costo total]]*STOCK[[#This Row],[Entradas]]</f>
        <v>15.2111111111111</v>
      </c>
      <c r="AB119" s="54">
        <f>STOCK[[#This Row],[Stock Actual]]*STOCK[[#This Row],[Costo total]]</f>
        <v>15.2111111111111</v>
      </c>
      <c r="AC119" s="54">
        <v>18</v>
      </c>
    </row>
    <row r="120" spans="1:29" s="53" customFormat="1" ht="50" customHeight="1">
      <c r="A120" s="53" t="s">
        <v>279</v>
      </c>
      <c r="B120" s="64"/>
      <c r="C120" s="53" t="s">
        <v>32</v>
      </c>
      <c r="D120" s="53" t="s">
        <v>174</v>
      </c>
      <c r="E120" s="65" t="s">
        <v>280</v>
      </c>
      <c r="F120" s="53" t="s">
        <v>281</v>
      </c>
      <c r="G120" s="53" t="s">
        <v>36</v>
      </c>
      <c r="H120" s="53">
        <f>STOCK[[#This Row],[Precio Final]]</f>
        <v>14</v>
      </c>
      <c r="I120" s="53">
        <f>STOCK[[#This Row],[Precio Venta Ideal (x1.5)]]</f>
        <v>12.593333333333341</v>
      </c>
      <c r="J120" s="69">
        <v>1</v>
      </c>
      <c r="K120" s="69">
        <f>SUMIFS(VENTAS[Cantidad],VENTAS[Código del producto Vendido],STOCK[[#This Row],[Code]])</f>
        <v>1</v>
      </c>
      <c r="L120" s="69">
        <f>STOCK[[#This Row],[Entradas]]-STOCK[[#This Row],[Salidas]]</f>
        <v>0</v>
      </c>
      <c r="M120" s="53">
        <f>STOCK[[#This Row],[Precio Final]]*10%</f>
        <v>1.4000000000000001</v>
      </c>
      <c r="N120" s="53">
        <v>100</v>
      </c>
      <c r="O120" s="53">
        <v>18</v>
      </c>
      <c r="P120" s="53">
        <v>5.5555555555555598</v>
      </c>
      <c r="Q120" s="69">
        <v>180</v>
      </c>
      <c r="R120" s="53">
        <v>8</v>
      </c>
      <c r="S120" s="53">
        <f>STOCK[[#This Row],[Peso (g)]]*STOCK[[#This Row],[Precio Envío Kilogramo (USD)]]/1000</f>
        <v>1.44</v>
      </c>
      <c r="T120" s="53">
        <f>STOCK[[#This Row],[Costo Unitario (USD)]]+STOCK[[#This Row],[Costo Envío (USD)]]+STOCK[[#This Row],[Comisión 10%]]</f>
        <v>8.3955555555555605</v>
      </c>
      <c r="U120" s="53">
        <f>STOCK[[#This Row],[Costo total]]*1.5</f>
        <v>12.593333333333341</v>
      </c>
      <c r="V120" s="53">
        <v>14</v>
      </c>
      <c r="W120" s="53">
        <f>STOCK[[#This Row],[Precio Final]]-STOCK[[#This Row],[Costo total]]</f>
        <v>5.6044444444444395</v>
      </c>
      <c r="X120" s="53">
        <f>STOCK[[#This Row],[Ganancia Unitaria]]*STOCK[[#This Row],[Salidas]]</f>
        <v>5.6044444444444395</v>
      </c>
      <c r="Y120" s="53" t="s">
        <v>278</v>
      </c>
      <c r="AA120" s="53">
        <f>STOCK[[#This Row],[Costo total]]*STOCK[[#This Row],[Entradas]]</f>
        <v>8.3955555555555605</v>
      </c>
      <c r="AB120" s="53">
        <f>STOCK[[#This Row],[Stock Actual]]*STOCK[[#This Row],[Costo total]]</f>
        <v>0</v>
      </c>
    </row>
    <row r="121" spans="1:29" s="54" customFormat="1" ht="50" customHeight="1">
      <c r="A121" s="54" t="s">
        <v>282</v>
      </c>
      <c r="B121" s="64"/>
      <c r="C121" s="54" t="s">
        <v>32</v>
      </c>
      <c r="D121" s="54" t="s">
        <v>283</v>
      </c>
      <c r="E121" s="66" t="s">
        <v>284</v>
      </c>
      <c r="F121" s="54" t="s">
        <v>187</v>
      </c>
      <c r="G121" s="54" t="s">
        <v>36</v>
      </c>
      <c r="H121" s="54">
        <f>STOCK[[#This Row],[Precio Final]]</f>
        <v>20</v>
      </c>
      <c r="I121" s="54">
        <f>STOCK[[#This Row],[Precio Venta Ideal (x1.5)]]</f>
        <v>21.303333333333331</v>
      </c>
      <c r="J121" s="70">
        <v>1</v>
      </c>
      <c r="K121" s="70">
        <f>SUMIFS(VENTAS[Cantidad],VENTAS[Código del producto Vendido],STOCK[[#This Row],[Code]])</f>
        <v>1</v>
      </c>
      <c r="L121" s="70">
        <f>STOCK[[#This Row],[Entradas]]-STOCK[[#This Row],[Salidas]]</f>
        <v>0</v>
      </c>
      <c r="M121" s="54">
        <f>STOCK[[#This Row],[Precio Final]]*10%</f>
        <v>2</v>
      </c>
      <c r="N121" s="54">
        <v>175</v>
      </c>
      <c r="O121" s="54">
        <v>18</v>
      </c>
      <c r="P121" s="54">
        <v>9.7222222222222197</v>
      </c>
      <c r="Q121" s="70">
        <v>310</v>
      </c>
      <c r="R121" s="54">
        <v>8</v>
      </c>
      <c r="S121" s="54">
        <f>STOCK[[#This Row],[Peso (g)]]*STOCK[[#This Row],[Precio Envío Kilogramo (USD)]]/1000</f>
        <v>2.48</v>
      </c>
      <c r="T121" s="53">
        <f>STOCK[[#This Row],[Costo Unitario (USD)]]+STOCK[[#This Row],[Costo Envío (USD)]]+STOCK[[#This Row],[Comisión 10%]]</f>
        <v>14.20222222222222</v>
      </c>
      <c r="U121" s="54">
        <f>STOCK[[#This Row],[Costo total]]*1.5</f>
        <v>21.303333333333331</v>
      </c>
      <c r="V121" s="54">
        <v>20</v>
      </c>
      <c r="W121" s="54">
        <f>STOCK[[#This Row],[Precio Final]]-STOCK[[#This Row],[Costo total]]</f>
        <v>5.7977777777777799</v>
      </c>
      <c r="X121" s="54">
        <f>STOCK[[#This Row],[Ganancia Unitaria]]*STOCK[[#This Row],[Salidas]]</f>
        <v>5.7977777777777799</v>
      </c>
      <c r="Y121" s="54" t="s">
        <v>278</v>
      </c>
      <c r="AA121" s="54">
        <f>STOCK[[#This Row],[Costo total]]*STOCK[[#This Row],[Entradas]]</f>
        <v>14.20222222222222</v>
      </c>
      <c r="AB121" s="54">
        <f>STOCK[[#This Row],[Stock Actual]]*STOCK[[#This Row],[Costo total]]</f>
        <v>0</v>
      </c>
    </row>
    <row r="122" spans="1:29" s="53" customFormat="1" ht="50" customHeight="1">
      <c r="A122" s="53" t="s">
        <v>285</v>
      </c>
      <c r="B122" s="64"/>
      <c r="C122" s="53" t="s">
        <v>32</v>
      </c>
      <c r="D122" s="53" t="s">
        <v>44</v>
      </c>
      <c r="E122" s="65" t="s">
        <v>286</v>
      </c>
      <c r="F122" s="53" t="s">
        <v>62</v>
      </c>
      <c r="G122" s="53" t="s">
        <v>36</v>
      </c>
      <c r="H122" s="53">
        <f>STOCK[[#This Row],[Precio Final]]</f>
        <v>20</v>
      </c>
      <c r="I122" s="53">
        <f>STOCK[[#This Row],[Precio Venta Ideal (x1.5)]]</f>
        <v>23.266666666666652</v>
      </c>
      <c r="J122" s="69">
        <v>1</v>
      </c>
      <c r="K122" s="69">
        <f>SUMIFS(VENTAS[Cantidad],VENTAS[Código del producto Vendido],STOCK[[#This Row],[Code]])</f>
        <v>1</v>
      </c>
      <c r="L122" s="69">
        <f>STOCK[[#This Row],[Entradas]]-STOCK[[#This Row],[Salidas]]</f>
        <v>0</v>
      </c>
      <c r="M122" s="53">
        <f>STOCK[[#This Row],[Precio Final]]*10%</f>
        <v>2</v>
      </c>
      <c r="N122" s="53">
        <v>200</v>
      </c>
      <c r="O122" s="53">
        <v>18</v>
      </c>
      <c r="P122" s="53">
        <v>11.1111111111111</v>
      </c>
      <c r="Q122" s="69">
        <v>300</v>
      </c>
      <c r="R122" s="53">
        <v>8</v>
      </c>
      <c r="S122" s="53">
        <f>STOCK[[#This Row],[Peso (g)]]*STOCK[[#This Row],[Precio Envío Kilogramo (USD)]]/1000</f>
        <v>2.4</v>
      </c>
      <c r="T122" s="53">
        <f>STOCK[[#This Row],[Costo Unitario (USD)]]+STOCK[[#This Row],[Costo Envío (USD)]]+STOCK[[#This Row],[Comisión 10%]]</f>
        <v>15.5111111111111</v>
      </c>
      <c r="U122" s="53">
        <f>STOCK[[#This Row],[Costo total]]*1.5</f>
        <v>23.266666666666652</v>
      </c>
      <c r="V122" s="53">
        <v>20</v>
      </c>
      <c r="W122" s="53">
        <f>STOCK[[#This Row],[Precio Final]]-STOCK[[#This Row],[Costo total]]</f>
        <v>4.4888888888888996</v>
      </c>
      <c r="X122" s="53">
        <f>STOCK[[#This Row],[Ganancia Unitaria]]*STOCK[[#This Row],[Salidas]]</f>
        <v>4.4888888888888996</v>
      </c>
      <c r="Y122" s="53" t="s">
        <v>278</v>
      </c>
      <c r="AA122" s="53">
        <f>STOCK[[#This Row],[Costo total]]*STOCK[[#This Row],[Entradas]]</f>
        <v>15.5111111111111</v>
      </c>
      <c r="AB122" s="53">
        <f>STOCK[[#This Row],[Stock Actual]]*STOCK[[#This Row],[Costo total]]</f>
        <v>0</v>
      </c>
    </row>
    <row r="123" spans="1:29" s="54" customFormat="1" ht="50" customHeight="1">
      <c r="A123" s="54" t="s">
        <v>287</v>
      </c>
      <c r="B123" s="64"/>
      <c r="C123" s="54" t="s">
        <v>32</v>
      </c>
      <c r="D123" s="54" t="s">
        <v>288</v>
      </c>
      <c r="E123" s="66" t="s">
        <v>289</v>
      </c>
      <c r="F123" s="54" t="s">
        <v>62</v>
      </c>
      <c r="G123" s="54" t="s">
        <v>36</v>
      </c>
      <c r="H123" s="54">
        <f>STOCK[[#This Row],[Precio Final]]</f>
        <v>30</v>
      </c>
      <c r="I123" s="54">
        <f>STOCK[[#This Row],[Precio Venta Ideal (x1.5)]]</f>
        <v>24.109999999999953</v>
      </c>
      <c r="J123" s="70">
        <v>1</v>
      </c>
      <c r="K123" s="70">
        <f>SUMIFS(VENTAS[Cantidad],VENTAS[Código del producto Vendido],STOCK[[#This Row],[Code]])</f>
        <v>1</v>
      </c>
      <c r="L123" s="70">
        <f>STOCK[[#This Row],[Entradas]]-STOCK[[#This Row],[Salidas]]</f>
        <v>0</v>
      </c>
      <c r="M123" s="54">
        <f>STOCK[[#This Row],[Precio Final]]*10%</f>
        <v>3</v>
      </c>
      <c r="N123" s="54">
        <v>195</v>
      </c>
      <c r="O123" s="54">
        <v>18</v>
      </c>
      <c r="P123" s="54">
        <v>10.8333333333333</v>
      </c>
      <c r="Q123" s="70">
        <v>280</v>
      </c>
      <c r="R123" s="54">
        <v>8</v>
      </c>
      <c r="S123" s="54">
        <f>STOCK[[#This Row],[Peso (g)]]*STOCK[[#This Row],[Precio Envío Kilogramo (USD)]]/1000</f>
        <v>2.2400000000000002</v>
      </c>
      <c r="T123" s="53">
        <f>STOCK[[#This Row],[Costo Unitario (USD)]]+STOCK[[#This Row],[Costo Envío (USD)]]+STOCK[[#This Row],[Comisión 10%]]</f>
        <v>16.073333333333302</v>
      </c>
      <c r="U123" s="54">
        <f>STOCK[[#This Row],[Costo total]]*1.5</f>
        <v>24.109999999999953</v>
      </c>
      <c r="V123" s="54">
        <v>30</v>
      </c>
      <c r="W123" s="54">
        <f>STOCK[[#This Row],[Precio Final]]-STOCK[[#This Row],[Costo total]]</f>
        <v>13.926666666666698</v>
      </c>
      <c r="X123" s="54">
        <f>STOCK[[#This Row],[Ganancia Unitaria]]*STOCK[[#This Row],[Salidas]]</f>
        <v>13.926666666666698</v>
      </c>
      <c r="Y123" s="54" t="s">
        <v>278</v>
      </c>
      <c r="AA123" s="54">
        <f>STOCK[[#This Row],[Costo total]]*STOCK[[#This Row],[Entradas]]</f>
        <v>16.073333333333302</v>
      </c>
      <c r="AB123" s="54">
        <f>STOCK[[#This Row],[Stock Actual]]*STOCK[[#This Row],[Costo total]]</f>
        <v>0</v>
      </c>
    </row>
    <row r="124" spans="1:29" s="53" customFormat="1" ht="50" customHeight="1">
      <c r="A124" s="53" t="s">
        <v>290</v>
      </c>
      <c r="B124" s="64"/>
      <c r="C124" s="53" t="s">
        <v>32</v>
      </c>
      <c r="D124" s="53" t="s">
        <v>288</v>
      </c>
      <c r="E124" s="65" t="s">
        <v>289</v>
      </c>
      <c r="F124" s="53" t="s">
        <v>49</v>
      </c>
      <c r="G124" s="53" t="s">
        <v>36</v>
      </c>
      <c r="H124" s="53">
        <f>STOCK[[#This Row],[Precio Final]]</f>
        <v>30</v>
      </c>
      <c r="I124" s="53">
        <f>STOCK[[#This Row],[Precio Venta Ideal (x1.5)]]</f>
        <v>24.349999999999948</v>
      </c>
      <c r="J124" s="69">
        <v>1</v>
      </c>
      <c r="K124" s="69">
        <f>SUMIFS(VENTAS[Cantidad],VENTAS[Código del producto Vendido],STOCK[[#This Row],[Code]])</f>
        <v>1</v>
      </c>
      <c r="L124" s="69">
        <f>STOCK[[#This Row],[Entradas]]-STOCK[[#This Row],[Salidas]]</f>
        <v>0</v>
      </c>
      <c r="M124" s="53">
        <f>STOCK[[#This Row],[Precio Final]]*10%</f>
        <v>3</v>
      </c>
      <c r="N124" s="53">
        <v>195</v>
      </c>
      <c r="O124" s="53">
        <v>18</v>
      </c>
      <c r="P124" s="53">
        <v>10.8333333333333</v>
      </c>
      <c r="Q124" s="69">
        <v>300</v>
      </c>
      <c r="R124" s="53">
        <v>8</v>
      </c>
      <c r="S124" s="53">
        <f>STOCK[[#This Row],[Peso (g)]]*STOCK[[#This Row],[Precio Envío Kilogramo (USD)]]/1000</f>
        <v>2.4</v>
      </c>
      <c r="T124" s="53">
        <f>STOCK[[#This Row],[Costo Unitario (USD)]]+STOCK[[#This Row],[Costo Envío (USD)]]+STOCK[[#This Row],[Comisión 10%]]</f>
        <v>16.233333333333299</v>
      </c>
      <c r="U124" s="53">
        <f>STOCK[[#This Row],[Costo total]]*1.5</f>
        <v>24.349999999999948</v>
      </c>
      <c r="V124" s="53">
        <v>30</v>
      </c>
      <c r="W124" s="53">
        <f>STOCK[[#This Row],[Precio Final]]-STOCK[[#This Row],[Costo total]]</f>
        <v>13.766666666666701</v>
      </c>
      <c r="X124" s="53">
        <f>STOCK[[#This Row],[Ganancia Unitaria]]*STOCK[[#This Row],[Salidas]]</f>
        <v>13.766666666666701</v>
      </c>
      <c r="Y124" s="53" t="s">
        <v>278</v>
      </c>
      <c r="AA124" s="53">
        <f>STOCK[[#This Row],[Costo total]]*STOCK[[#This Row],[Entradas]]</f>
        <v>16.233333333333299</v>
      </c>
      <c r="AB124" s="53">
        <f>STOCK[[#This Row],[Stock Actual]]*STOCK[[#This Row],[Costo total]]</f>
        <v>0</v>
      </c>
    </row>
    <row r="125" spans="1:29" s="54" customFormat="1" ht="50" customHeight="1">
      <c r="A125" s="54" t="s">
        <v>291</v>
      </c>
      <c r="B125" s="64"/>
      <c r="C125" s="54" t="s">
        <v>32</v>
      </c>
      <c r="D125" s="54" t="s">
        <v>288</v>
      </c>
      <c r="E125" s="66" t="s">
        <v>292</v>
      </c>
      <c r="F125" s="54" t="s">
        <v>62</v>
      </c>
      <c r="G125" s="54" t="s">
        <v>36</v>
      </c>
      <c r="H125" s="54">
        <f>STOCK[[#This Row],[Precio Final]]</f>
        <v>30</v>
      </c>
      <c r="I125" s="54">
        <f>STOCK[[#This Row],[Precio Venta Ideal (x1.5)]]</f>
        <v>26.689999999999952</v>
      </c>
      <c r="J125" s="70">
        <v>1</v>
      </c>
      <c r="K125" s="70">
        <f>SUMIFS(VENTAS[Cantidad],VENTAS[Código del producto Vendido],STOCK[[#This Row],[Code]])</f>
        <v>1</v>
      </c>
      <c r="L125" s="70">
        <f>STOCK[[#This Row],[Entradas]]-STOCK[[#This Row],[Salidas]]</f>
        <v>0</v>
      </c>
      <c r="M125" s="54">
        <f>STOCK[[#This Row],[Precio Final]]*10%</f>
        <v>3</v>
      </c>
      <c r="N125" s="54">
        <v>213</v>
      </c>
      <c r="O125" s="54">
        <v>18</v>
      </c>
      <c r="P125" s="54">
        <v>11.8333333333333</v>
      </c>
      <c r="Q125" s="70">
        <v>370</v>
      </c>
      <c r="R125" s="54">
        <v>8</v>
      </c>
      <c r="S125" s="54">
        <f>STOCK[[#This Row],[Peso (g)]]*STOCK[[#This Row],[Precio Envío Kilogramo (USD)]]/1000</f>
        <v>2.96</v>
      </c>
      <c r="T125" s="53">
        <f>STOCK[[#This Row],[Costo Unitario (USD)]]+STOCK[[#This Row],[Costo Envío (USD)]]+STOCK[[#This Row],[Comisión 10%]]</f>
        <v>17.793333333333301</v>
      </c>
      <c r="U125" s="54">
        <f>STOCK[[#This Row],[Costo total]]*1.5</f>
        <v>26.689999999999952</v>
      </c>
      <c r="V125" s="54">
        <v>30</v>
      </c>
      <c r="W125" s="54">
        <f>STOCK[[#This Row],[Precio Final]]-STOCK[[#This Row],[Costo total]]</f>
        <v>12.206666666666699</v>
      </c>
      <c r="X125" s="54">
        <f>STOCK[[#This Row],[Ganancia Unitaria]]*STOCK[[#This Row],[Salidas]]</f>
        <v>12.206666666666699</v>
      </c>
      <c r="Y125" s="54" t="s">
        <v>278</v>
      </c>
      <c r="AA125" s="54">
        <f>STOCK[[#This Row],[Costo total]]*STOCK[[#This Row],[Entradas]]</f>
        <v>17.793333333333301</v>
      </c>
      <c r="AB125" s="54">
        <f>STOCK[[#This Row],[Stock Actual]]*STOCK[[#This Row],[Costo total]]</f>
        <v>0</v>
      </c>
    </row>
    <row r="126" spans="1:29" s="53" customFormat="1" ht="50" customHeight="1">
      <c r="A126" s="53" t="s">
        <v>293</v>
      </c>
      <c r="B126" s="64"/>
      <c r="C126" s="53" t="s">
        <v>32</v>
      </c>
      <c r="D126" s="53" t="s">
        <v>294</v>
      </c>
      <c r="E126" s="65" t="s">
        <v>295</v>
      </c>
      <c r="F126" s="53" t="s">
        <v>49</v>
      </c>
      <c r="G126" s="53" t="s">
        <v>36</v>
      </c>
      <c r="H126" s="53">
        <f>STOCK[[#This Row],[Precio Final]]</f>
        <v>20</v>
      </c>
      <c r="I126" s="53">
        <f>STOCK[[#This Row],[Precio Venta Ideal (x1.5)]]</f>
        <v>16.86</v>
      </c>
      <c r="J126" s="69">
        <v>1</v>
      </c>
      <c r="K126" s="69">
        <f>SUMIFS(VENTAS[Cantidad],VENTAS[Código del producto Vendido],STOCK[[#This Row],[Code]])</f>
        <v>0</v>
      </c>
      <c r="L126" s="69">
        <f>STOCK[[#This Row],[Entradas]]-STOCK[[#This Row],[Salidas]]</f>
        <v>1</v>
      </c>
      <c r="M126" s="53">
        <f>STOCK[[#This Row],[Precio Final]]*10%</f>
        <v>2</v>
      </c>
      <c r="N126" s="53">
        <v>287</v>
      </c>
      <c r="O126" s="53">
        <v>18</v>
      </c>
      <c r="P126" s="53">
        <v>5</v>
      </c>
      <c r="Q126" s="69">
        <v>530</v>
      </c>
      <c r="R126" s="53">
        <v>8</v>
      </c>
      <c r="S126" s="53">
        <f>STOCK[[#This Row],[Peso (g)]]*STOCK[[#This Row],[Precio Envío Kilogramo (USD)]]/1000</f>
        <v>4.24</v>
      </c>
      <c r="T126" s="53">
        <f>STOCK[[#This Row],[Costo Unitario (USD)]]+STOCK[[#This Row],[Costo Envío (USD)]]+STOCK[[#This Row],[Comisión 10%]]</f>
        <v>11.24</v>
      </c>
      <c r="U126" s="53">
        <f>STOCK[[#This Row],[Costo total]]*1.5</f>
        <v>16.86</v>
      </c>
      <c r="V126" s="53">
        <v>20</v>
      </c>
      <c r="W126" s="53">
        <f>STOCK[[#This Row],[Precio Final]]-STOCK[[#This Row],[Costo total]]</f>
        <v>8.76</v>
      </c>
      <c r="X126" s="53">
        <f>STOCK[[#This Row],[Ganancia Unitaria]]*STOCK[[#This Row],[Salidas]]</f>
        <v>0</v>
      </c>
      <c r="Y126" s="53" t="s">
        <v>278</v>
      </c>
      <c r="AA126" s="53">
        <f>STOCK[[#This Row],[Costo total]]*STOCK[[#This Row],[Entradas]]</f>
        <v>11.24</v>
      </c>
      <c r="AB126" s="53">
        <f>STOCK[[#This Row],[Stock Actual]]*STOCK[[#This Row],[Costo total]]</f>
        <v>11.24</v>
      </c>
      <c r="AC126" s="53">
        <v>12</v>
      </c>
    </row>
    <row r="127" spans="1:29" s="54" customFormat="1" ht="50" customHeight="1">
      <c r="A127" s="54" t="s">
        <v>296</v>
      </c>
      <c r="B127" s="64"/>
      <c r="C127" s="54" t="s">
        <v>32</v>
      </c>
      <c r="D127" s="54" t="s">
        <v>288</v>
      </c>
      <c r="E127" s="66" t="s">
        <v>297</v>
      </c>
      <c r="F127" s="54" t="s">
        <v>49</v>
      </c>
      <c r="G127" s="54" t="s">
        <v>36</v>
      </c>
      <c r="H127" s="54">
        <f>STOCK[[#This Row],[Precio Final]]</f>
        <v>45</v>
      </c>
      <c r="I127" s="54">
        <f>STOCK[[#This Row],[Precio Venta Ideal (x1.5)]]</f>
        <v>35.479999999999947</v>
      </c>
      <c r="J127" s="70">
        <v>1</v>
      </c>
      <c r="K127" s="70">
        <f>SUMIFS(VENTAS[Cantidad],VENTAS[Código del producto Vendido],STOCK[[#This Row],[Code]])</f>
        <v>1</v>
      </c>
      <c r="L127" s="70">
        <f>STOCK[[#This Row],[Entradas]]-STOCK[[#This Row],[Salidas]]</f>
        <v>0</v>
      </c>
      <c r="M127" s="54">
        <f>STOCK[[#This Row],[Precio Final]]*10%</f>
        <v>4.5</v>
      </c>
      <c r="N127" s="54">
        <v>267</v>
      </c>
      <c r="O127" s="54">
        <v>18</v>
      </c>
      <c r="P127" s="54">
        <v>14.8333333333333</v>
      </c>
      <c r="Q127" s="70">
        <v>540</v>
      </c>
      <c r="R127" s="54">
        <v>8</v>
      </c>
      <c r="S127" s="54">
        <f>STOCK[[#This Row],[Peso (g)]]*STOCK[[#This Row],[Precio Envío Kilogramo (USD)]]/1000</f>
        <v>4.32</v>
      </c>
      <c r="T127" s="53">
        <f>STOCK[[#This Row],[Costo Unitario (USD)]]+STOCK[[#This Row],[Costo Envío (USD)]]+STOCK[[#This Row],[Comisión 10%]]</f>
        <v>23.6533333333333</v>
      </c>
      <c r="U127" s="54">
        <f>STOCK[[#This Row],[Costo total]]*1.5</f>
        <v>35.479999999999947</v>
      </c>
      <c r="V127" s="54">
        <v>45</v>
      </c>
      <c r="W127" s="54">
        <f>STOCK[[#This Row],[Precio Final]]-STOCK[[#This Row],[Costo total]]</f>
        <v>21.3466666666667</v>
      </c>
      <c r="X127" s="54">
        <f>STOCK[[#This Row],[Ganancia Unitaria]]*STOCK[[#This Row],[Salidas]]</f>
        <v>21.3466666666667</v>
      </c>
      <c r="Y127" s="54" t="s">
        <v>278</v>
      </c>
      <c r="AA127" s="54">
        <f>STOCK[[#This Row],[Costo total]]*STOCK[[#This Row],[Entradas]]</f>
        <v>23.6533333333333</v>
      </c>
      <c r="AB127" s="54">
        <f>STOCK[[#This Row],[Stock Actual]]*STOCK[[#This Row],[Costo total]]</f>
        <v>0</v>
      </c>
    </row>
    <row r="128" spans="1:29" s="53" customFormat="1" ht="50" customHeight="1">
      <c r="A128" s="53" t="s">
        <v>298</v>
      </c>
      <c r="B128" s="64"/>
      <c r="C128" s="53" t="s">
        <v>32</v>
      </c>
      <c r="D128" s="53" t="s">
        <v>299</v>
      </c>
      <c r="E128" s="65" t="s">
        <v>300</v>
      </c>
      <c r="F128" s="53" t="s">
        <v>62</v>
      </c>
      <c r="G128" s="53" t="s">
        <v>36</v>
      </c>
      <c r="H128" s="53">
        <f>STOCK[[#This Row],[Precio Final]]</f>
        <v>30</v>
      </c>
      <c r="I128" s="53">
        <f>STOCK[[#This Row],[Precio Venta Ideal (x1.5)]]</f>
        <v>28.99999999999995</v>
      </c>
      <c r="J128" s="69">
        <v>1</v>
      </c>
      <c r="K128" s="69">
        <f>SUMIFS(VENTAS[Cantidad],VENTAS[Código del producto Vendido],STOCK[[#This Row],[Code]])</f>
        <v>0</v>
      </c>
      <c r="L128" s="69">
        <f>STOCK[[#This Row],[Entradas]]-STOCK[[#This Row],[Salidas]]</f>
        <v>1</v>
      </c>
      <c r="M128" s="53">
        <f>STOCK[[#This Row],[Precio Final]]*10%</f>
        <v>3</v>
      </c>
      <c r="N128" s="53">
        <v>258</v>
      </c>
      <c r="O128" s="53">
        <v>18</v>
      </c>
      <c r="P128" s="53">
        <v>14.3333333333333</v>
      </c>
      <c r="Q128" s="69">
        <v>250</v>
      </c>
      <c r="R128" s="53">
        <v>8</v>
      </c>
      <c r="S128" s="53">
        <f>STOCK[[#This Row],[Peso (g)]]*STOCK[[#This Row],[Precio Envío Kilogramo (USD)]]/1000</f>
        <v>2</v>
      </c>
      <c r="T128" s="53">
        <f>STOCK[[#This Row],[Costo Unitario (USD)]]+STOCK[[#This Row],[Costo Envío (USD)]]+STOCK[[#This Row],[Comisión 10%]]</f>
        <v>19.3333333333333</v>
      </c>
      <c r="U128" s="53">
        <f>STOCK[[#This Row],[Costo total]]*1.5</f>
        <v>28.99999999999995</v>
      </c>
      <c r="V128" s="53">
        <v>30</v>
      </c>
      <c r="W128" s="53">
        <f>STOCK[[#This Row],[Precio Final]]-STOCK[[#This Row],[Costo total]]</f>
        <v>10.6666666666667</v>
      </c>
      <c r="X128" s="53">
        <f>STOCK[[#This Row],[Ganancia Unitaria]]*STOCK[[#This Row],[Salidas]]</f>
        <v>0</v>
      </c>
      <c r="Y128" s="53" t="s">
        <v>278</v>
      </c>
      <c r="AA128" s="53">
        <f>STOCK[[#This Row],[Costo total]]*STOCK[[#This Row],[Entradas]]</f>
        <v>19.3333333333333</v>
      </c>
      <c r="AB128" s="53">
        <f>STOCK[[#This Row],[Stock Actual]]*STOCK[[#This Row],[Costo total]]</f>
        <v>19.3333333333333</v>
      </c>
      <c r="AC128" s="53">
        <v>25</v>
      </c>
    </row>
    <row r="129" spans="1:29" s="54" customFormat="1" ht="50" customHeight="1">
      <c r="A129" s="54" t="s">
        <v>301</v>
      </c>
      <c r="B129" s="64"/>
      <c r="C129" s="54" t="s">
        <v>32</v>
      </c>
      <c r="D129" s="54" t="s">
        <v>302</v>
      </c>
      <c r="E129" s="66" t="s">
        <v>303</v>
      </c>
      <c r="F129" s="54" t="s">
        <v>49</v>
      </c>
      <c r="G129" s="54" t="s">
        <v>36</v>
      </c>
      <c r="H129" s="54">
        <f>STOCK[[#This Row],[Precio Final]]</f>
        <v>30</v>
      </c>
      <c r="I129" s="54">
        <f>STOCK[[#This Row],[Precio Venta Ideal (x1.5)]]</f>
        <v>28.99999999999995</v>
      </c>
      <c r="J129" s="70">
        <v>1</v>
      </c>
      <c r="K129" s="70">
        <f>SUMIFS(VENTAS[Cantidad],VENTAS[Código del producto Vendido],STOCK[[#This Row],[Code]])</f>
        <v>1</v>
      </c>
      <c r="L129" s="70">
        <f>STOCK[[#This Row],[Entradas]]-STOCK[[#This Row],[Salidas]]</f>
        <v>0</v>
      </c>
      <c r="M129" s="54">
        <f>STOCK[[#This Row],[Precio Final]]*10%</f>
        <v>3</v>
      </c>
      <c r="N129" s="54">
        <v>258</v>
      </c>
      <c r="O129" s="54">
        <v>18</v>
      </c>
      <c r="P129" s="54">
        <v>14.3333333333333</v>
      </c>
      <c r="Q129" s="70">
        <v>250</v>
      </c>
      <c r="R129" s="54">
        <v>8</v>
      </c>
      <c r="S129" s="54">
        <f>STOCK[[#This Row],[Peso (g)]]*STOCK[[#This Row],[Precio Envío Kilogramo (USD)]]/1000</f>
        <v>2</v>
      </c>
      <c r="T129" s="53">
        <f>STOCK[[#This Row],[Costo Unitario (USD)]]+STOCK[[#This Row],[Costo Envío (USD)]]+STOCK[[#This Row],[Comisión 10%]]</f>
        <v>19.3333333333333</v>
      </c>
      <c r="U129" s="54">
        <f>STOCK[[#This Row],[Costo total]]*1.5</f>
        <v>28.99999999999995</v>
      </c>
      <c r="V129" s="54">
        <v>30</v>
      </c>
      <c r="W129" s="54">
        <f>STOCK[[#This Row],[Precio Final]]-STOCK[[#This Row],[Costo total]]</f>
        <v>10.6666666666667</v>
      </c>
      <c r="X129" s="54">
        <f>STOCK[[#This Row],[Ganancia Unitaria]]*STOCK[[#This Row],[Salidas]]</f>
        <v>10.6666666666667</v>
      </c>
      <c r="Y129" s="54" t="s">
        <v>278</v>
      </c>
      <c r="AA129" s="54">
        <f>STOCK[[#This Row],[Costo total]]*STOCK[[#This Row],[Entradas]]</f>
        <v>19.3333333333333</v>
      </c>
      <c r="AB129" s="54">
        <f>STOCK[[#This Row],[Stock Actual]]*STOCK[[#This Row],[Costo total]]</f>
        <v>0</v>
      </c>
    </row>
    <row r="130" spans="1:29" s="53" customFormat="1" ht="50" customHeight="1">
      <c r="A130" s="53" t="s">
        <v>304</v>
      </c>
      <c r="B130" s="64"/>
      <c r="C130" s="53" t="s">
        <v>32</v>
      </c>
      <c r="D130" s="53" t="s">
        <v>302</v>
      </c>
      <c r="E130" s="65" t="s">
        <v>303</v>
      </c>
      <c r="F130" s="53" t="s">
        <v>46</v>
      </c>
      <c r="G130" s="53" t="s">
        <v>36</v>
      </c>
      <c r="H130" s="53">
        <f>STOCK[[#This Row],[Precio Final]]</f>
        <v>30</v>
      </c>
      <c r="I130" s="53">
        <f>STOCK[[#This Row],[Precio Venta Ideal (x1.5)]]</f>
        <v>28.99999999999995</v>
      </c>
      <c r="J130" s="69">
        <v>1</v>
      </c>
      <c r="K130" s="69">
        <f>SUMIFS(VENTAS[Cantidad],VENTAS[Código del producto Vendido],STOCK[[#This Row],[Code]])</f>
        <v>1</v>
      </c>
      <c r="L130" s="69">
        <f>STOCK[[#This Row],[Entradas]]-STOCK[[#This Row],[Salidas]]</f>
        <v>0</v>
      </c>
      <c r="M130" s="53">
        <f>STOCK[[#This Row],[Precio Final]]*10%</f>
        <v>3</v>
      </c>
      <c r="N130" s="53">
        <v>258</v>
      </c>
      <c r="O130" s="53">
        <v>18</v>
      </c>
      <c r="P130" s="53">
        <v>14.3333333333333</v>
      </c>
      <c r="Q130" s="69">
        <v>250</v>
      </c>
      <c r="R130" s="53">
        <v>8</v>
      </c>
      <c r="S130" s="53">
        <f>STOCK[[#This Row],[Peso (g)]]*STOCK[[#This Row],[Precio Envío Kilogramo (USD)]]/1000</f>
        <v>2</v>
      </c>
      <c r="T130" s="53">
        <f>STOCK[[#This Row],[Costo Unitario (USD)]]+STOCK[[#This Row],[Costo Envío (USD)]]+STOCK[[#This Row],[Comisión 10%]]</f>
        <v>19.3333333333333</v>
      </c>
      <c r="U130" s="53">
        <f>STOCK[[#This Row],[Costo total]]*1.5</f>
        <v>28.99999999999995</v>
      </c>
      <c r="V130" s="53">
        <v>30</v>
      </c>
      <c r="W130" s="53">
        <f>STOCK[[#This Row],[Precio Final]]-STOCK[[#This Row],[Costo total]]</f>
        <v>10.6666666666667</v>
      </c>
      <c r="X130" s="53">
        <f>STOCK[[#This Row],[Ganancia Unitaria]]*STOCK[[#This Row],[Salidas]]</f>
        <v>10.6666666666667</v>
      </c>
      <c r="Y130" s="53" t="s">
        <v>278</v>
      </c>
      <c r="AA130" s="53">
        <f>STOCK[[#This Row],[Costo total]]*STOCK[[#This Row],[Entradas]]</f>
        <v>19.3333333333333</v>
      </c>
      <c r="AB130" s="53">
        <f>STOCK[[#This Row],[Stock Actual]]*STOCK[[#This Row],[Costo total]]</f>
        <v>0</v>
      </c>
    </row>
    <row r="131" spans="1:29" s="54" customFormat="1" ht="50" customHeight="1">
      <c r="A131" s="54" t="s">
        <v>305</v>
      </c>
      <c r="B131" s="64"/>
      <c r="C131" s="54" t="s">
        <v>32</v>
      </c>
      <c r="D131" s="54" t="s">
        <v>288</v>
      </c>
      <c r="E131" s="66" t="s">
        <v>306</v>
      </c>
      <c r="F131" s="54" t="s">
        <v>49</v>
      </c>
      <c r="G131" s="54" t="s">
        <v>36</v>
      </c>
      <c r="H131" s="54">
        <f>STOCK[[#This Row],[Precio Final]]</f>
        <v>28</v>
      </c>
      <c r="I131" s="54">
        <f>STOCK[[#This Row],[Precio Venta Ideal (x1.5)]]</f>
        <v>29.449999999999953</v>
      </c>
      <c r="J131" s="70">
        <v>1</v>
      </c>
      <c r="K131" s="70">
        <f>SUMIFS(VENTAS[Cantidad],VENTAS[Código del producto Vendido],STOCK[[#This Row],[Code]])</f>
        <v>1</v>
      </c>
      <c r="L131" s="70">
        <f>STOCK[[#This Row],[Entradas]]-STOCK[[#This Row],[Salidas]]</f>
        <v>0</v>
      </c>
      <c r="M131" s="54">
        <f>STOCK[[#This Row],[Precio Final]]*10%</f>
        <v>2.8000000000000003</v>
      </c>
      <c r="N131" s="54">
        <v>267</v>
      </c>
      <c r="O131" s="54">
        <v>18</v>
      </c>
      <c r="P131" s="54">
        <v>14.8333333333333</v>
      </c>
      <c r="Q131" s="70">
        <v>250</v>
      </c>
      <c r="R131" s="54">
        <v>8</v>
      </c>
      <c r="S131" s="54">
        <f>STOCK[[#This Row],[Peso (g)]]*STOCK[[#This Row],[Precio Envío Kilogramo (USD)]]/1000</f>
        <v>2</v>
      </c>
      <c r="T131" s="53">
        <f>STOCK[[#This Row],[Costo Unitario (USD)]]+STOCK[[#This Row],[Costo Envío (USD)]]+STOCK[[#This Row],[Comisión 10%]]</f>
        <v>19.633333333333301</v>
      </c>
      <c r="U131" s="54">
        <f>STOCK[[#This Row],[Costo total]]*1.5</f>
        <v>29.449999999999953</v>
      </c>
      <c r="V131" s="54">
        <v>28</v>
      </c>
      <c r="W131" s="54">
        <f>STOCK[[#This Row],[Precio Final]]-STOCK[[#This Row],[Costo total]]</f>
        <v>8.3666666666666991</v>
      </c>
      <c r="X131" s="54">
        <f>STOCK[[#This Row],[Ganancia Unitaria]]*STOCK[[#This Row],[Salidas]]</f>
        <v>8.3666666666666991</v>
      </c>
      <c r="Y131" s="54" t="s">
        <v>278</v>
      </c>
      <c r="AA131" s="54">
        <f>STOCK[[#This Row],[Costo total]]*STOCK[[#This Row],[Entradas]]</f>
        <v>19.633333333333301</v>
      </c>
      <c r="AB131" s="54">
        <f>STOCK[[#This Row],[Stock Actual]]*STOCK[[#This Row],[Costo total]]</f>
        <v>0</v>
      </c>
    </row>
    <row r="132" spans="1:29" s="53" customFormat="1" ht="50" customHeight="1">
      <c r="A132" s="53" t="s">
        <v>307</v>
      </c>
      <c r="B132" s="64"/>
      <c r="C132" s="53" t="s">
        <v>32</v>
      </c>
      <c r="D132" s="53" t="s">
        <v>288</v>
      </c>
      <c r="E132" s="65" t="s">
        <v>306</v>
      </c>
      <c r="F132" s="53" t="s">
        <v>40</v>
      </c>
      <c r="G132" s="53" t="s">
        <v>36</v>
      </c>
      <c r="H132" s="53">
        <f>STOCK[[#This Row],[Precio Final]]</f>
        <v>28</v>
      </c>
      <c r="I132" s="53">
        <f>STOCK[[#This Row],[Precio Venta Ideal (x1.5)]]</f>
        <v>29.449999999999953</v>
      </c>
      <c r="J132" s="69">
        <v>1</v>
      </c>
      <c r="K132" s="69">
        <f>SUMIFS(VENTAS[Cantidad],VENTAS[Código del producto Vendido],STOCK[[#This Row],[Code]])</f>
        <v>1</v>
      </c>
      <c r="L132" s="69">
        <f>STOCK[[#This Row],[Entradas]]-STOCK[[#This Row],[Salidas]]</f>
        <v>0</v>
      </c>
      <c r="M132" s="53">
        <f>STOCK[[#This Row],[Precio Final]]*10%</f>
        <v>2.8000000000000003</v>
      </c>
      <c r="N132" s="53">
        <v>267</v>
      </c>
      <c r="O132" s="53">
        <v>18</v>
      </c>
      <c r="P132" s="53">
        <v>14.8333333333333</v>
      </c>
      <c r="Q132" s="69">
        <v>250</v>
      </c>
      <c r="R132" s="53">
        <v>8</v>
      </c>
      <c r="S132" s="53">
        <f>STOCK[[#This Row],[Peso (g)]]*STOCK[[#This Row],[Precio Envío Kilogramo (USD)]]/1000</f>
        <v>2</v>
      </c>
      <c r="T132" s="53">
        <f>STOCK[[#This Row],[Costo Unitario (USD)]]+STOCK[[#This Row],[Costo Envío (USD)]]+STOCK[[#This Row],[Comisión 10%]]</f>
        <v>19.633333333333301</v>
      </c>
      <c r="U132" s="53">
        <f>STOCK[[#This Row],[Costo total]]*1.5</f>
        <v>29.449999999999953</v>
      </c>
      <c r="V132" s="53">
        <v>28</v>
      </c>
      <c r="W132" s="53">
        <f>STOCK[[#This Row],[Precio Final]]-STOCK[[#This Row],[Costo total]]</f>
        <v>8.3666666666666991</v>
      </c>
      <c r="X132" s="53">
        <f>STOCK[[#This Row],[Ganancia Unitaria]]*STOCK[[#This Row],[Salidas]]</f>
        <v>8.3666666666666991</v>
      </c>
      <c r="Y132" s="53" t="s">
        <v>278</v>
      </c>
      <c r="AA132" s="53">
        <f>STOCK[[#This Row],[Costo total]]*STOCK[[#This Row],[Entradas]]</f>
        <v>19.633333333333301</v>
      </c>
      <c r="AB132" s="53">
        <f>STOCK[[#This Row],[Stock Actual]]*STOCK[[#This Row],[Costo total]]</f>
        <v>0</v>
      </c>
    </row>
    <row r="133" spans="1:29" s="54" customFormat="1" ht="50" customHeight="1">
      <c r="A133" s="54" t="s">
        <v>308</v>
      </c>
      <c r="B133" s="64"/>
      <c r="C133" s="54" t="s">
        <v>32</v>
      </c>
      <c r="D133" s="54" t="s">
        <v>283</v>
      </c>
      <c r="E133" s="66" t="s">
        <v>309</v>
      </c>
      <c r="F133" s="54" t="s">
        <v>49</v>
      </c>
      <c r="G133" s="54" t="s">
        <v>36</v>
      </c>
      <c r="H133" s="54">
        <f>STOCK[[#This Row],[Precio Final]]</f>
        <v>35</v>
      </c>
      <c r="I133" s="54">
        <f>STOCK[[#This Row],[Precio Venta Ideal (x1.5)]]</f>
        <v>31.699999999999953</v>
      </c>
      <c r="J133" s="70">
        <v>1</v>
      </c>
      <c r="K133" s="70">
        <f>SUMIFS(VENTAS[Cantidad],VENTAS[Código del producto Vendido],STOCK[[#This Row],[Code]])</f>
        <v>0</v>
      </c>
      <c r="L133" s="70">
        <f>STOCK[[#This Row],[Entradas]]-STOCK[[#This Row],[Salidas]]</f>
        <v>1</v>
      </c>
      <c r="M133" s="54">
        <f>STOCK[[#This Row],[Precio Final]]*10%</f>
        <v>3.5</v>
      </c>
      <c r="N133" s="54">
        <v>267</v>
      </c>
      <c r="O133" s="54">
        <v>18</v>
      </c>
      <c r="P133" s="54">
        <v>14.8333333333333</v>
      </c>
      <c r="Q133" s="70">
        <v>350</v>
      </c>
      <c r="R133" s="54">
        <v>8</v>
      </c>
      <c r="S133" s="54">
        <f>STOCK[[#This Row],[Peso (g)]]*STOCK[[#This Row],[Precio Envío Kilogramo (USD)]]/1000</f>
        <v>2.8</v>
      </c>
      <c r="T133" s="53">
        <f>STOCK[[#This Row],[Costo Unitario (USD)]]+STOCK[[#This Row],[Costo Envío (USD)]]+STOCK[[#This Row],[Comisión 10%]]</f>
        <v>21.133333333333301</v>
      </c>
      <c r="U133" s="54">
        <f>STOCK[[#This Row],[Costo total]]*1.5</f>
        <v>31.699999999999953</v>
      </c>
      <c r="V133" s="54">
        <v>35</v>
      </c>
      <c r="W133" s="54">
        <f>STOCK[[#This Row],[Precio Final]]-STOCK[[#This Row],[Costo total]]</f>
        <v>13.866666666666699</v>
      </c>
      <c r="X133" s="54">
        <f>STOCK[[#This Row],[Ganancia Unitaria]]*STOCK[[#This Row],[Salidas]]</f>
        <v>0</v>
      </c>
      <c r="Y133" s="54" t="s">
        <v>278</v>
      </c>
      <c r="AA133" s="54">
        <f>STOCK[[#This Row],[Costo total]]*STOCK[[#This Row],[Entradas]]</f>
        <v>21.133333333333301</v>
      </c>
      <c r="AB133" s="54">
        <f>STOCK[[#This Row],[Stock Actual]]*STOCK[[#This Row],[Costo total]]</f>
        <v>21.133333333333301</v>
      </c>
      <c r="AC133" s="54">
        <v>25</v>
      </c>
    </row>
    <row r="134" spans="1:29" s="53" customFormat="1" ht="50" customHeight="1">
      <c r="A134" s="53" t="s">
        <v>310</v>
      </c>
      <c r="B134" s="64"/>
      <c r="C134" s="53" t="s">
        <v>32</v>
      </c>
      <c r="D134" s="53" t="s">
        <v>44</v>
      </c>
      <c r="E134" s="65" t="s">
        <v>311</v>
      </c>
      <c r="F134" s="53" t="s">
        <v>62</v>
      </c>
      <c r="G134" s="53" t="s">
        <v>36</v>
      </c>
      <c r="H134" s="53">
        <f>STOCK[[#This Row],[Precio Final]]</f>
        <v>25</v>
      </c>
      <c r="I134" s="53">
        <f>STOCK[[#This Row],[Precio Venta Ideal (x1.5)]]</f>
        <v>23.41666666666665</v>
      </c>
      <c r="J134" s="69">
        <v>1</v>
      </c>
      <c r="K134" s="69">
        <f>SUMIFS(VENTAS[Cantidad],VENTAS[Código del producto Vendido],STOCK[[#This Row],[Code]])</f>
        <v>1</v>
      </c>
      <c r="L134" s="69">
        <f>STOCK[[#This Row],[Entradas]]-STOCK[[#This Row],[Salidas]]</f>
        <v>0</v>
      </c>
      <c r="M134" s="53">
        <f>STOCK[[#This Row],[Precio Final]]*10%</f>
        <v>2.5</v>
      </c>
      <c r="N134" s="53">
        <v>200</v>
      </c>
      <c r="O134" s="53">
        <v>18</v>
      </c>
      <c r="P134" s="53">
        <v>11.1111111111111</v>
      </c>
      <c r="Q134" s="69">
        <v>250</v>
      </c>
      <c r="R134" s="53">
        <v>8</v>
      </c>
      <c r="S134" s="53">
        <f>STOCK[[#This Row],[Peso (g)]]*STOCK[[#This Row],[Precio Envío Kilogramo (USD)]]/1000</f>
        <v>2</v>
      </c>
      <c r="T134" s="53">
        <f>STOCK[[#This Row],[Costo Unitario (USD)]]+STOCK[[#This Row],[Costo Envío (USD)]]+STOCK[[#This Row],[Comisión 10%]]</f>
        <v>15.6111111111111</v>
      </c>
      <c r="U134" s="53">
        <f>STOCK[[#This Row],[Costo total]]*1.5</f>
        <v>23.41666666666665</v>
      </c>
      <c r="V134" s="53">
        <v>25</v>
      </c>
      <c r="W134" s="53">
        <f>STOCK[[#This Row],[Precio Final]]-STOCK[[#This Row],[Costo total]]</f>
        <v>9.3888888888888999</v>
      </c>
      <c r="X134" s="53">
        <f>STOCK[[#This Row],[Ganancia Unitaria]]*STOCK[[#This Row],[Salidas]]</f>
        <v>9.3888888888888999</v>
      </c>
      <c r="Y134" s="53" t="s">
        <v>278</v>
      </c>
      <c r="AA134" s="53">
        <f>STOCK[[#This Row],[Costo total]]*STOCK[[#This Row],[Entradas]]</f>
        <v>15.6111111111111</v>
      </c>
      <c r="AB134" s="53">
        <f>STOCK[[#This Row],[Stock Actual]]*STOCK[[#This Row],[Costo total]]</f>
        <v>0</v>
      </c>
    </row>
    <row r="135" spans="1:29" s="54" customFormat="1" ht="50" customHeight="1">
      <c r="A135" s="54" t="s">
        <v>312</v>
      </c>
      <c r="B135" s="64"/>
      <c r="C135" s="54" t="s">
        <v>32</v>
      </c>
      <c r="D135" s="54" t="s">
        <v>216</v>
      </c>
      <c r="E135" s="66" t="s">
        <v>311</v>
      </c>
      <c r="F135" s="54" t="s">
        <v>187</v>
      </c>
      <c r="G135" s="54" t="s">
        <v>36</v>
      </c>
      <c r="H135" s="54">
        <f>STOCK[[#This Row],[Precio Final]]</f>
        <v>22</v>
      </c>
      <c r="I135" s="54">
        <f>STOCK[[#This Row],[Precio Venta Ideal (x1.5)]]</f>
        <v>22.966666666666647</v>
      </c>
      <c r="J135" s="70">
        <v>1</v>
      </c>
      <c r="K135" s="70">
        <f>SUMIFS(VENTAS[Cantidad],VENTAS[Código del producto Vendido],STOCK[[#This Row],[Code]])</f>
        <v>1</v>
      </c>
      <c r="L135" s="70">
        <f>STOCK[[#This Row],[Entradas]]-STOCK[[#This Row],[Salidas]]</f>
        <v>0</v>
      </c>
      <c r="M135" s="54">
        <f>STOCK[[#This Row],[Precio Final]]*10%</f>
        <v>2.2000000000000002</v>
      </c>
      <c r="N135" s="54">
        <v>200</v>
      </c>
      <c r="O135" s="54">
        <v>18</v>
      </c>
      <c r="P135" s="54">
        <v>11.1111111111111</v>
      </c>
      <c r="Q135" s="70">
        <v>250</v>
      </c>
      <c r="R135" s="54">
        <v>8</v>
      </c>
      <c r="S135" s="54">
        <f>STOCK[[#This Row],[Peso (g)]]*STOCK[[#This Row],[Precio Envío Kilogramo (USD)]]/1000</f>
        <v>2</v>
      </c>
      <c r="T135" s="53">
        <f>STOCK[[#This Row],[Costo Unitario (USD)]]+STOCK[[#This Row],[Costo Envío (USD)]]+STOCK[[#This Row],[Comisión 10%]]</f>
        <v>15.311111111111099</v>
      </c>
      <c r="U135" s="54">
        <f>STOCK[[#This Row],[Costo total]]*1.5</f>
        <v>22.966666666666647</v>
      </c>
      <c r="V135" s="54">
        <v>22</v>
      </c>
      <c r="W135" s="54">
        <f>STOCK[[#This Row],[Precio Final]]-STOCK[[#This Row],[Costo total]]</f>
        <v>6.6888888888889007</v>
      </c>
      <c r="X135" s="54">
        <f>STOCK[[#This Row],[Ganancia Unitaria]]*STOCK[[#This Row],[Salidas]]</f>
        <v>6.6888888888889007</v>
      </c>
      <c r="Y135" s="54" t="s">
        <v>278</v>
      </c>
      <c r="AA135" s="54">
        <f>STOCK[[#This Row],[Costo total]]*STOCK[[#This Row],[Entradas]]</f>
        <v>15.311111111111099</v>
      </c>
      <c r="AB135" s="54">
        <f>STOCK[[#This Row],[Stock Actual]]*STOCK[[#This Row],[Costo total]]</f>
        <v>0</v>
      </c>
    </row>
    <row r="136" spans="1:29" s="53" customFormat="1" ht="50" customHeight="1">
      <c r="A136" s="53" t="s">
        <v>313</v>
      </c>
      <c r="B136" s="64"/>
      <c r="C136" s="53" t="s">
        <v>32</v>
      </c>
      <c r="D136" s="53" t="s">
        <v>203</v>
      </c>
      <c r="E136" s="65" t="s">
        <v>314</v>
      </c>
      <c r="F136" s="53" t="s">
        <v>46</v>
      </c>
      <c r="G136" s="53" t="s">
        <v>36</v>
      </c>
      <c r="H136" s="53">
        <f>STOCK[[#This Row],[Precio Final]]</f>
        <v>30</v>
      </c>
      <c r="I136" s="53">
        <f>STOCK[[#This Row],[Precio Venta Ideal (x1.5)]]</f>
        <v>28.933333333333348</v>
      </c>
      <c r="J136" s="69">
        <v>1</v>
      </c>
      <c r="K136" s="69">
        <f>SUMIFS(VENTAS[Cantidad],VENTAS[Código del producto Vendido],STOCK[[#This Row],[Code]])</f>
        <v>1</v>
      </c>
      <c r="L136" s="69">
        <f>STOCK[[#This Row],[Entradas]]-STOCK[[#This Row],[Salidas]]</f>
        <v>0</v>
      </c>
      <c r="M136" s="53">
        <f>STOCK[[#This Row],[Precio Final]]*10%</f>
        <v>3</v>
      </c>
      <c r="N136" s="53">
        <v>250</v>
      </c>
      <c r="O136" s="53">
        <v>18</v>
      </c>
      <c r="P136" s="53">
        <v>13.8888888888889</v>
      </c>
      <c r="Q136" s="69">
        <v>300</v>
      </c>
      <c r="R136" s="53">
        <v>8</v>
      </c>
      <c r="S136" s="53">
        <f>STOCK[[#This Row],[Peso (g)]]*STOCK[[#This Row],[Precio Envío Kilogramo (USD)]]/1000</f>
        <v>2.4</v>
      </c>
      <c r="T136" s="53">
        <f>STOCK[[#This Row],[Costo Unitario (USD)]]+STOCK[[#This Row],[Costo Envío (USD)]]+STOCK[[#This Row],[Comisión 10%]]</f>
        <v>19.288888888888899</v>
      </c>
      <c r="U136" s="53">
        <f>STOCK[[#This Row],[Costo total]]*1.5</f>
        <v>28.933333333333348</v>
      </c>
      <c r="V136" s="53">
        <v>30</v>
      </c>
      <c r="W136" s="53">
        <f>STOCK[[#This Row],[Precio Final]]-STOCK[[#This Row],[Costo total]]</f>
        <v>10.711111111111101</v>
      </c>
      <c r="X136" s="53">
        <f>STOCK[[#This Row],[Ganancia Unitaria]]*STOCK[[#This Row],[Salidas]]</f>
        <v>10.711111111111101</v>
      </c>
      <c r="Y136" s="53" t="s">
        <v>278</v>
      </c>
      <c r="AA136" s="53">
        <f>STOCK[[#This Row],[Costo total]]*STOCK[[#This Row],[Entradas]]</f>
        <v>19.288888888888899</v>
      </c>
      <c r="AB136" s="53">
        <f>STOCK[[#This Row],[Stock Actual]]*STOCK[[#This Row],[Costo total]]</f>
        <v>0</v>
      </c>
      <c r="AC136" s="53">
        <v>25</v>
      </c>
    </row>
    <row r="137" spans="1:29" s="54" customFormat="1" ht="50" customHeight="1">
      <c r="A137" s="54" t="s">
        <v>315</v>
      </c>
      <c r="B137" s="64"/>
      <c r="C137" s="54" t="s">
        <v>32</v>
      </c>
      <c r="D137" s="54" t="s">
        <v>216</v>
      </c>
      <c r="E137" s="66" t="s">
        <v>314</v>
      </c>
      <c r="F137" s="54" t="s">
        <v>49</v>
      </c>
      <c r="G137" s="54" t="s">
        <v>36</v>
      </c>
      <c r="H137" s="54">
        <f>STOCK[[#This Row],[Precio Final]]</f>
        <v>30</v>
      </c>
      <c r="I137" s="54">
        <f>STOCK[[#This Row],[Precio Venta Ideal (x1.5)]]</f>
        <v>28.933333333333348</v>
      </c>
      <c r="J137" s="70">
        <v>1</v>
      </c>
      <c r="K137" s="70">
        <f>SUMIFS(VENTAS[Cantidad],VENTAS[Código del producto Vendido],STOCK[[#This Row],[Code]])</f>
        <v>0</v>
      </c>
      <c r="L137" s="70">
        <f>STOCK[[#This Row],[Entradas]]-STOCK[[#This Row],[Salidas]]</f>
        <v>1</v>
      </c>
      <c r="M137" s="54">
        <f>STOCK[[#This Row],[Precio Final]]*10%</f>
        <v>3</v>
      </c>
      <c r="N137" s="54">
        <v>250</v>
      </c>
      <c r="O137" s="54">
        <v>18</v>
      </c>
      <c r="P137" s="54">
        <v>13.8888888888889</v>
      </c>
      <c r="Q137" s="70">
        <v>300</v>
      </c>
      <c r="R137" s="54">
        <v>8</v>
      </c>
      <c r="S137" s="54">
        <f>STOCK[[#This Row],[Peso (g)]]*STOCK[[#This Row],[Precio Envío Kilogramo (USD)]]/1000</f>
        <v>2.4</v>
      </c>
      <c r="T137" s="53">
        <f>STOCK[[#This Row],[Costo Unitario (USD)]]+STOCK[[#This Row],[Costo Envío (USD)]]+STOCK[[#This Row],[Comisión 10%]]</f>
        <v>19.288888888888899</v>
      </c>
      <c r="U137" s="54">
        <f>STOCK[[#This Row],[Costo total]]*1.5</f>
        <v>28.933333333333348</v>
      </c>
      <c r="V137" s="54">
        <v>30</v>
      </c>
      <c r="W137" s="54">
        <f>STOCK[[#This Row],[Precio Final]]-STOCK[[#This Row],[Costo total]]</f>
        <v>10.711111111111101</v>
      </c>
      <c r="X137" s="54">
        <f>STOCK[[#This Row],[Ganancia Unitaria]]*STOCK[[#This Row],[Salidas]]</f>
        <v>0</v>
      </c>
      <c r="Y137" s="54" t="s">
        <v>278</v>
      </c>
      <c r="AA137" s="54">
        <f>STOCK[[#This Row],[Costo total]]*STOCK[[#This Row],[Entradas]]</f>
        <v>19.288888888888899</v>
      </c>
      <c r="AB137" s="54">
        <f>STOCK[[#This Row],[Stock Actual]]*STOCK[[#This Row],[Costo total]]</f>
        <v>19.288888888888899</v>
      </c>
      <c r="AC137" s="54">
        <v>25</v>
      </c>
    </row>
    <row r="138" spans="1:29" s="53" customFormat="1" ht="50" customHeight="1">
      <c r="A138" s="53" t="s">
        <v>316</v>
      </c>
      <c r="B138" s="64"/>
      <c r="C138" s="53" t="s">
        <v>32</v>
      </c>
      <c r="D138" s="53" t="s">
        <v>283</v>
      </c>
      <c r="E138" s="65" t="s">
        <v>317</v>
      </c>
      <c r="F138" s="53" t="s">
        <v>40</v>
      </c>
      <c r="G138" s="53" t="s">
        <v>36</v>
      </c>
      <c r="H138" s="53">
        <f>STOCK[[#This Row],[Precio Final]]</f>
        <v>35</v>
      </c>
      <c r="I138" s="53">
        <f>STOCK[[#This Row],[Precio Venta Ideal (x1.5)]]</f>
        <v>31.496666666666698</v>
      </c>
      <c r="J138" s="69">
        <v>1</v>
      </c>
      <c r="K138" s="69">
        <f>SUMIFS(VENTAS[Cantidad],VENTAS[Código del producto Vendido],STOCK[[#This Row],[Code]])</f>
        <v>0</v>
      </c>
      <c r="L138" s="69">
        <f>STOCK[[#This Row],[Entradas]]-STOCK[[#This Row],[Salidas]]</f>
        <v>1</v>
      </c>
      <c r="M138" s="53">
        <f>STOCK[[#This Row],[Precio Final]]*10%</f>
        <v>3.5</v>
      </c>
      <c r="N138" s="53">
        <v>266</v>
      </c>
      <c r="O138" s="53">
        <v>18</v>
      </c>
      <c r="P138" s="53">
        <v>14.7777777777778</v>
      </c>
      <c r="Q138" s="69">
        <v>340</v>
      </c>
      <c r="R138" s="53">
        <v>8</v>
      </c>
      <c r="S138" s="53">
        <f>STOCK[[#This Row],[Peso (g)]]*STOCK[[#This Row],[Precio Envío Kilogramo (USD)]]/1000</f>
        <v>2.72</v>
      </c>
      <c r="T138" s="53">
        <f>STOCK[[#This Row],[Costo Unitario (USD)]]+STOCK[[#This Row],[Costo Envío (USD)]]+STOCK[[#This Row],[Comisión 10%]]</f>
        <v>20.997777777777799</v>
      </c>
      <c r="U138" s="53">
        <f>STOCK[[#This Row],[Costo total]]*1.5</f>
        <v>31.496666666666698</v>
      </c>
      <c r="V138" s="53">
        <v>35</v>
      </c>
      <c r="W138" s="53">
        <f>STOCK[[#This Row],[Precio Final]]-STOCK[[#This Row],[Costo total]]</f>
        <v>14.002222222222201</v>
      </c>
      <c r="X138" s="53">
        <f>STOCK[[#This Row],[Ganancia Unitaria]]*STOCK[[#This Row],[Salidas]]</f>
        <v>0</v>
      </c>
      <c r="Y138" s="53" t="s">
        <v>278</v>
      </c>
      <c r="AA138" s="53">
        <f>STOCK[[#This Row],[Costo total]]*STOCK[[#This Row],[Entradas]]</f>
        <v>20.997777777777799</v>
      </c>
      <c r="AB138" s="53">
        <f>STOCK[[#This Row],[Stock Actual]]*STOCK[[#This Row],[Costo total]]</f>
        <v>20.997777777777799</v>
      </c>
      <c r="AC138" s="53">
        <v>25</v>
      </c>
    </row>
    <row r="139" spans="1:29" s="54" customFormat="1" ht="50" customHeight="1">
      <c r="A139" s="54" t="s">
        <v>318</v>
      </c>
      <c r="B139" s="64"/>
      <c r="C139" s="54" t="s">
        <v>32</v>
      </c>
      <c r="D139" s="54" t="s">
        <v>288</v>
      </c>
      <c r="E139" s="66" t="s">
        <v>319</v>
      </c>
      <c r="F139" s="54" t="s">
        <v>62</v>
      </c>
      <c r="G139" s="54" t="s">
        <v>36</v>
      </c>
      <c r="H139" s="54">
        <f>STOCK[[#This Row],[Precio Final]]</f>
        <v>35</v>
      </c>
      <c r="I139" s="54">
        <f>STOCK[[#This Row],[Precio Venta Ideal (x1.5)]]</f>
        <v>32.803333333333349</v>
      </c>
      <c r="J139" s="70">
        <v>1</v>
      </c>
      <c r="K139" s="70">
        <f>SUMIFS(VENTAS[Cantidad],VENTAS[Código del producto Vendido],STOCK[[#This Row],[Code]])</f>
        <v>1</v>
      </c>
      <c r="L139" s="70">
        <f>STOCK[[#This Row],[Entradas]]-STOCK[[#This Row],[Salidas]]</f>
        <v>0</v>
      </c>
      <c r="M139" s="54">
        <f>STOCK[[#This Row],[Precio Final]]*10%</f>
        <v>3.5</v>
      </c>
      <c r="N139" s="54">
        <v>286</v>
      </c>
      <c r="O139" s="54">
        <v>18</v>
      </c>
      <c r="P139" s="54">
        <v>15.8888888888889</v>
      </c>
      <c r="Q139" s="70">
        <v>310</v>
      </c>
      <c r="R139" s="54">
        <v>8</v>
      </c>
      <c r="S139" s="54">
        <f>STOCK[[#This Row],[Peso (g)]]*STOCK[[#This Row],[Precio Envío Kilogramo (USD)]]/1000</f>
        <v>2.48</v>
      </c>
      <c r="T139" s="53">
        <f>STOCK[[#This Row],[Costo Unitario (USD)]]+STOCK[[#This Row],[Costo Envío (USD)]]+STOCK[[#This Row],[Comisión 10%]]</f>
        <v>21.8688888888889</v>
      </c>
      <c r="U139" s="54">
        <f>STOCK[[#This Row],[Costo total]]*1.5</f>
        <v>32.803333333333349</v>
      </c>
      <c r="V139" s="54">
        <v>35</v>
      </c>
      <c r="W139" s="54">
        <f>STOCK[[#This Row],[Precio Final]]-STOCK[[#This Row],[Costo total]]</f>
        <v>13.1311111111111</v>
      </c>
      <c r="X139" s="54">
        <f>STOCK[[#This Row],[Ganancia Unitaria]]*STOCK[[#This Row],[Salidas]]</f>
        <v>13.1311111111111</v>
      </c>
      <c r="Y139" s="54" t="s">
        <v>278</v>
      </c>
      <c r="AA139" s="54">
        <f>STOCK[[#This Row],[Costo total]]*STOCK[[#This Row],[Entradas]]</f>
        <v>21.8688888888889</v>
      </c>
      <c r="AB139" s="54">
        <f>STOCK[[#This Row],[Stock Actual]]*STOCK[[#This Row],[Costo total]]</f>
        <v>0</v>
      </c>
    </row>
    <row r="140" spans="1:29" s="53" customFormat="1" ht="50" customHeight="1">
      <c r="A140" s="53" t="s">
        <v>320</v>
      </c>
      <c r="B140" s="64"/>
      <c r="C140" s="53" t="s">
        <v>32</v>
      </c>
      <c r="D140" s="53" t="s">
        <v>152</v>
      </c>
      <c r="E140" s="65" t="s">
        <v>321</v>
      </c>
      <c r="F140" s="53" t="s">
        <v>40</v>
      </c>
      <c r="G140" s="53" t="s">
        <v>36</v>
      </c>
      <c r="H140" s="53">
        <f>STOCK[[#This Row],[Precio Final]]</f>
        <v>35</v>
      </c>
      <c r="I140" s="53">
        <f>STOCK[[#This Row],[Precio Venta Ideal (x1.5)]]</f>
        <v>33.75</v>
      </c>
      <c r="J140" s="69">
        <v>1</v>
      </c>
      <c r="K140" s="69">
        <f>SUMIFS(VENTAS[Cantidad],VENTAS[Código del producto Vendido],STOCK[[#This Row],[Code]])</f>
        <v>1</v>
      </c>
      <c r="L140" s="69">
        <f>STOCK[[#This Row],[Entradas]]-STOCK[[#This Row],[Salidas]]</f>
        <v>0</v>
      </c>
      <c r="M140" s="53">
        <f>STOCK[[#This Row],[Precio Final]]*10%</f>
        <v>3.5</v>
      </c>
      <c r="N140" s="53">
        <v>270</v>
      </c>
      <c r="O140" s="53">
        <v>18</v>
      </c>
      <c r="P140" s="53">
        <v>15</v>
      </c>
      <c r="Q140" s="69">
        <v>500</v>
      </c>
      <c r="R140" s="53">
        <v>8</v>
      </c>
      <c r="S140" s="53">
        <f>STOCK[[#This Row],[Peso (g)]]*STOCK[[#This Row],[Precio Envío Kilogramo (USD)]]/1000</f>
        <v>4</v>
      </c>
      <c r="T140" s="53">
        <f>STOCK[[#This Row],[Costo Unitario (USD)]]+STOCK[[#This Row],[Costo Envío (USD)]]+STOCK[[#This Row],[Comisión 10%]]</f>
        <v>22.5</v>
      </c>
      <c r="U140" s="53">
        <f>STOCK[[#This Row],[Costo total]]*1.5</f>
        <v>33.75</v>
      </c>
      <c r="V140" s="53">
        <v>35</v>
      </c>
      <c r="W140" s="53">
        <f>STOCK[[#This Row],[Precio Final]]-STOCK[[#This Row],[Costo total]]</f>
        <v>12.5</v>
      </c>
      <c r="X140" s="53">
        <f>STOCK[[#This Row],[Ganancia Unitaria]]*STOCK[[#This Row],[Salidas]]</f>
        <v>12.5</v>
      </c>
      <c r="Y140" s="53" t="s">
        <v>278</v>
      </c>
      <c r="AA140" s="53">
        <f>STOCK[[#This Row],[Costo total]]*STOCK[[#This Row],[Entradas]]</f>
        <v>22.5</v>
      </c>
      <c r="AB140" s="53">
        <f>STOCK[[#This Row],[Stock Actual]]*STOCK[[#This Row],[Costo total]]</f>
        <v>0</v>
      </c>
    </row>
    <row r="141" spans="1:29" s="54" customFormat="1" ht="50" customHeight="1">
      <c r="A141" s="54" t="s">
        <v>322</v>
      </c>
      <c r="B141" s="64"/>
      <c r="C141" s="54" t="s">
        <v>32</v>
      </c>
      <c r="D141" s="54" t="s">
        <v>283</v>
      </c>
      <c r="E141" s="66" t="s">
        <v>323</v>
      </c>
      <c r="F141" s="54" t="s">
        <v>211</v>
      </c>
      <c r="G141" s="54" t="s">
        <v>36</v>
      </c>
      <c r="H141" s="54">
        <f>STOCK[[#This Row],[Precio Final]]</f>
        <v>28</v>
      </c>
      <c r="I141" s="54">
        <f>STOCK[[#This Row],[Precio Venta Ideal (x1.5)]]</f>
        <v>31.200000000000003</v>
      </c>
      <c r="J141" s="70">
        <v>1</v>
      </c>
      <c r="K141" s="70">
        <f>SUMIFS(VENTAS[Cantidad],VENTAS[Código del producto Vendido],STOCK[[#This Row],[Code]])</f>
        <v>1</v>
      </c>
      <c r="L141" s="70">
        <f>STOCK[[#This Row],[Entradas]]-STOCK[[#This Row],[Salidas]]</f>
        <v>0</v>
      </c>
      <c r="M141" s="54">
        <f>STOCK[[#This Row],[Precio Final]]*10%</f>
        <v>2.8000000000000003</v>
      </c>
      <c r="N141" s="54">
        <v>270</v>
      </c>
      <c r="O141" s="54">
        <v>18</v>
      </c>
      <c r="P141" s="54">
        <v>15</v>
      </c>
      <c r="Q141" s="70">
        <v>375</v>
      </c>
      <c r="R141" s="54">
        <v>8</v>
      </c>
      <c r="S141" s="54">
        <f>STOCK[[#This Row],[Peso (g)]]*STOCK[[#This Row],[Precio Envío Kilogramo (USD)]]/1000</f>
        <v>3</v>
      </c>
      <c r="T141" s="53">
        <f>STOCK[[#This Row],[Costo Unitario (USD)]]+STOCK[[#This Row],[Costo Envío (USD)]]+STOCK[[#This Row],[Comisión 10%]]</f>
        <v>20.8</v>
      </c>
      <c r="U141" s="54">
        <f>STOCK[[#This Row],[Costo total]]*1.5</f>
        <v>31.200000000000003</v>
      </c>
      <c r="V141" s="54">
        <v>28</v>
      </c>
      <c r="W141" s="54">
        <f>STOCK[[#This Row],[Precio Final]]-STOCK[[#This Row],[Costo total]]</f>
        <v>7.1999999999999993</v>
      </c>
      <c r="X141" s="54">
        <f>STOCK[[#This Row],[Ganancia Unitaria]]*STOCK[[#This Row],[Salidas]]</f>
        <v>7.1999999999999993</v>
      </c>
      <c r="Y141" s="54" t="s">
        <v>278</v>
      </c>
      <c r="AA141" s="54">
        <f>STOCK[[#This Row],[Costo total]]*STOCK[[#This Row],[Entradas]]</f>
        <v>20.8</v>
      </c>
      <c r="AB141" s="54">
        <f>STOCK[[#This Row],[Stock Actual]]*STOCK[[#This Row],[Costo total]]</f>
        <v>0</v>
      </c>
    </row>
    <row r="142" spans="1:29" s="53" customFormat="1" ht="50" customHeight="1">
      <c r="A142" s="53" t="s">
        <v>324</v>
      </c>
      <c r="B142" s="64"/>
      <c r="C142" s="53" t="s">
        <v>32</v>
      </c>
      <c r="D142" s="53" t="s">
        <v>44</v>
      </c>
      <c r="E142" s="65" t="s">
        <v>325</v>
      </c>
      <c r="F142" s="53" t="s">
        <v>46</v>
      </c>
      <c r="G142" s="53" t="s">
        <v>36</v>
      </c>
      <c r="H142" s="53">
        <f>STOCK[[#This Row],[Precio Final]]</f>
        <v>12</v>
      </c>
      <c r="I142" s="53">
        <f>STOCK[[#This Row],[Precio Venta Ideal (x1.5)]]</f>
        <v>12.668333333333342</v>
      </c>
      <c r="J142" s="69">
        <v>1</v>
      </c>
      <c r="K142" s="69">
        <f>SUMIFS(VENTAS[Cantidad],VENTAS[Código del producto Vendido],STOCK[[#This Row],[Code]])</f>
        <v>1</v>
      </c>
      <c r="L142" s="69">
        <f>STOCK[[#This Row],[Entradas]]-STOCK[[#This Row],[Salidas]]</f>
        <v>0</v>
      </c>
      <c r="M142" s="53">
        <f>STOCK[[#This Row],[Precio Final]]*10%</f>
        <v>1.2000000000000002</v>
      </c>
      <c r="N142" s="53">
        <v>99.82</v>
      </c>
      <c r="O142" s="53">
        <v>18</v>
      </c>
      <c r="P142" s="53">
        <v>5.54555555555556</v>
      </c>
      <c r="Q142" s="69">
        <v>100</v>
      </c>
      <c r="R142" s="53">
        <v>17</v>
      </c>
      <c r="S142" s="53">
        <f>STOCK[[#This Row],[Peso (g)]]*STOCK[[#This Row],[Precio Envío Kilogramo (USD)]]/1000</f>
        <v>1.7</v>
      </c>
      <c r="T142" s="53">
        <f>STOCK[[#This Row],[Costo Unitario (USD)]]+STOCK[[#This Row],[Costo Envío (USD)]]+STOCK[[#This Row],[Comisión 10%]]</f>
        <v>8.4455555555555613</v>
      </c>
      <c r="U142" s="53">
        <f>STOCK[[#This Row],[Costo total]]*1.5</f>
        <v>12.668333333333342</v>
      </c>
      <c r="V142" s="53">
        <v>12</v>
      </c>
      <c r="W142" s="53">
        <f>STOCK[[#This Row],[Precio Final]]-STOCK[[#This Row],[Costo total]]</f>
        <v>3.5544444444444387</v>
      </c>
      <c r="X142" s="53">
        <f>STOCK[[#This Row],[Ganancia Unitaria]]*STOCK[[#This Row],[Salidas]]</f>
        <v>3.5544444444444387</v>
      </c>
      <c r="AA142" s="53">
        <f>STOCK[[#This Row],[Costo total]]*STOCK[[#This Row],[Entradas]]</f>
        <v>8.4455555555555613</v>
      </c>
      <c r="AB142" s="53">
        <f>STOCK[[#This Row],[Stock Actual]]*STOCK[[#This Row],[Costo total]]</f>
        <v>0</v>
      </c>
    </row>
    <row r="143" spans="1:29" s="54" customFormat="1" ht="50" customHeight="1">
      <c r="A143" s="54" t="s">
        <v>326</v>
      </c>
      <c r="B143" s="64"/>
      <c r="C143" s="54" t="s">
        <v>32</v>
      </c>
      <c r="D143" s="54" t="s">
        <v>44</v>
      </c>
      <c r="E143" s="66" t="s">
        <v>327</v>
      </c>
      <c r="F143" s="54" t="s">
        <v>88</v>
      </c>
      <c r="G143" s="54" t="s">
        <v>36</v>
      </c>
      <c r="H143" s="54">
        <f>STOCK[[#This Row],[Precio Final]]</f>
        <v>20</v>
      </c>
      <c r="I143" s="54">
        <f>STOCK[[#This Row],[Precio Venta Ideal (x1.5)]]</f>
        <v>22.525000000000048</v>
      </c>
      <c r="J143" s="70">
        <v>0</v>
      </c>
      <c r="K143" s="70">
        <f>SUMIFS(VENTAS[Cantidad],VENTAS[Código del producto Vendido],STOCK[[#This Row],[Code]])</f>
        <v>0</v>
      </c>
      <c r="L143" s="70">
        <f>STOCK[[#This Row],[Entradas]]-STOCK[[#This Row],[Salidas]]</f>
        <v>0</v>
      </c>
      <c r="M143" s="54">
        <f>STOCK[[#This Row],[Precio Final]]*10%</f>
        <v>2</v>
      </c>
      <c r="N143" s="54">
        <v>180.75</v>
      </c>
      <c r="O143" s="54">
        <v>18</v>
      </c>
      <c r="P143" s="54">
        <v>10.0416666666667</v>
      </c>
      <c r="Q143" s="70">
        <v>175</v>
      </c>
      <c r="R143" s="54">
        <v>17</v>
      </c>
      <c r="S143" s="54">
        <f>STOCK[[#This Row],[Peso (g)]]*STOCK[[#This Row],[Precio Envío Kilogramo (USD)]]/1000</f>
        <v>2.9750000000000001</v>
      </c>
      <c r="T143" s="53">
        <f>STOCK[[#This Row],[Costo Unitario (USD)]]+STOCK[[#This Row],[Costo Envío (USD)]]+STOCK[[#This Row],[Comisión 10%]]</f>
        <v>15.016666666666699</v>
      </c>
      <c r="U143" s="54">
        <f>STOCK[[#This Row],[Costo total]]*1.5</f>
        <v>22.525000000000048</v>
      </c>
      <c r="V143" s="54">
        <v>20</v>
      </c>
      <c r="W143" s="54">
        <f>STOCK[[#This Row],[Precio Final]]-STOCK[[#This Row],[Costo total]]</f>
        <v>4.9833333333333005</v>
      </c>
      <c r="X143" s="54">
        <f>STOCK[[#This Row],[Ganancia Unitaria]]*STOCK[[#This Row],[Salidas]]</f>
        <v>0</v>
      </c>
      <c r="AA143" s="54">
        <f>STOCK[[#This Row],[Costo total]]*STOCK[[#This Row],[Entradas]]</f>
        <v>0</v>
      </c>
      <c r="AB143" s="54">
        <f>STOCK[[#This Row],[Stock Actual]]*STOCK[[#This Row],[Costo total]]</f>
        <v>0</v>
      </c>
    </row>
    <row r="144" spans="1:29" s="53" customFormat="1" ht="50" customHeight="1">
      <c r="A144" s="53" t="s">
        <v>328</v>
      </c>
      <c r="B144" s="64"/>
      <c r="C144" s="53" t="s">
        <v>32</v>
      </c>
      <c r="D144" s="53" t="s">
        <v>44</v>
      </c>
      <c r="E144" s="65" t="s">
        <v>329</v>
      </c>
      <c r="F144" s="53" t="s">
        <v>46</v>
      </c>
      <c r="G144" s="53" t="s">
        <v>36</v>
      </c>
      <c r="H144" s="53">
        <f>STOCK[[#This Row],[Precio Final]]</f>
        <v>16</v>
      </c>
      <c r="I144" s="53">
        <f>STOCK[[#This Row],[Precio Venta Ideal (x1.5)]]</f>
        <v>20.61</v>
      </c>
      <c r="J144" s="69">
        <v>1</v>
      </c>
      <c r="K144" s="69">
        <f>SUMIFS(VENTAS[Cantidad],VENTAS[Código del producto Vendido],STOCK[[#This Row],[Code]])</f>
        <v>1</v>
      </c>
      <c r="L144" s="69">
        <f>STOCK[[#This Row],[Entradas]]-STOCK[[#This Row],[Salidas]]</f>
        <v>0</v>
      </c>
      <c r="M144" s="53">
        <f>STOCK[[#This Row],[Precio Final]]*10%</f>
        <v>1.6</v>
      </c>
      <c r="N144" s="53">
        <v>142.02000000000001</v>
      </c>
      <c r="O144" s="53">
        <v>18</v>
      </c>
      <c r="P144" s="53">
        <v>7.89</v>
      </c>
      <c r="Q144" s="69">
        <v>250</v>
      </c>
      <c r="R144" s="53">
        <v>17</v>
      </c>
      <c r="S144" s="53">
        <f>STOCK[[#This Row],[Peso (g)]]*STOCK[[#This Row],[Precio Envío Kilogramo (USD)]]/1000</f>
        <v>4.25</v>
      </c>
      <c r="T144" s="53">
        <f>STOCK[[#This Row],[Costo Unitario (USD)]]+STOCK[[#This Row],[Costo Envío (USD)]]+STOCK[[#This Row],[Comisión 10%]]</f>
        <v>13.74</v>
      </c>
      <c r="U144" s="53">
        <f>STOCK[[#This Row],[Costo total]]*1.5</f>
        <v>20.61</v>
      </c>
      <c r="V144" s="53">
        <v>16</v>
      </c>
      <c r="W144" s="53">
        <f>STOCK[[#This Row],[Precio Final]]-STOCK[[#This Row],[Costo total]]</f>
        <v>2.2599999999999998</v>
      </c>
      <c r="X144" s="53">
        <f>STOCK[[#This Row],[Ganancia Unitaria]]*STOCK[[#This Row],[Salidas]]</f>
        <v>2.2599999999999998</v>
      </c>
      <c r="AA144" s="53">
        <f>STOCK[[#This Row],[Costo total]]*STOCK[[#This Row],[Entradas]]</f>
        <v>13.74</v>
      </c>
      <c r="AB144" s="53">
        <f>STOCK[[#This Row],[Stock Actual]]*STOCK[[#This Row],[Costo total]]</f>
        <v>0</v>
      </c>
    </row>
    <row r="145" spans="1:29" s="54" customFormat="1" ht="50" customHeight="1">
      <c r="A145" s="54" t="s">
        <v>330</v>
      </c>
      <c r="B145" s="64"/>
      <c r="C145" s="54" t="s">
        <v>32</v>
      </c>
      <c r="D145" s="54" t="s">
        <v>44</v>
      </c>
      <c r="E145" s="66" t="s">
        <v>331</v>
      </c>
      <c r="F145" s="54" t="s">
        <v>211</v>
      </c>
      <c r="G145" s="54" t="s">
        <v>36</v>
      </c>
      <c r="H145" s="54">
        <f>STOCK[[#This Row],[Precio Final]]</f>
        <v>20</v>
      </c>
      <c r="I145" s="54">
        <f>STOCK[[#This Row],[Precio Venta Ideal (x1.5)]]</f>
        <v>21.21</v>
      </c>
      <c r="J145" s="70">
        <v>1</v>
      </c>
      <c r="K145" s="70">
        <f>SUMIFS(VENTAS[Cantidad],VENTAS[Código del producto Vendido],STOCK[[#This Row],[Code]])</f>
        <v>1</v>
      </c>
      <c r="L145" s="70">
        <f>STOCK[[#This Row],[Entradas]]-STOCK[[#This Row],[Salidas]]</f>
        <v>0</v>
      </c>
      <c r="M145" s="54">
        <f>STOCK[[#This Row],[Precio Final]]*10%</f>
        <v>2</v>
      </c>
      <c r="N145" s="54">
        <v>142.02000000000001</v>
      </c>
      <c r="O145" s="54">
        <v>18</v>
      </c>
      <c r="P145" s="54">
        <v>7.89</v>
      </c>
      <c r="Q145" s="70">
        <v>250</v>
      </c>
      <c r="R145" s="54">
        <v>17</v>
      </c>
      <c r="S145" s="54">
        <f>STOCK[[#This Row],[Peso (g)]]*STOCK[[#This Row],[Precio Envío Kilogramo (USD)]]/1000</f>
        <v>4.25</v>
      </c>
      <c r="T145" s="53">
        <f>STOCK[[#This Row],[Costo Unitario (USD)]]+STOCK[[#This Row],[Costo Envío (USD)]]+STOCK[[#This Row],[Comisión 10%]]</f>
        <v>14.14</v>
      </c>
      <c r="U145" s="54">
        <f>STOCK[[#This Row],[Costo total]]*1.5</f>
        <v>21.21</v>
      </c>
      <c r="V145" s="54">
        <v>20</v>
      </c>
      <c r="W145" s="54">
        <f>STOCK[[#This Row],[Precio Final]]-STOCK[[#This Row],[Costo total]]</f>
        <v>5.8599999999999994</v>
      </c>
      <c r="X145" s="54">
        <f>STOCK[[#This Row],[Ganancia Unitaria]]*STOCK[[#This Row],[Salidas]]</f>
        <v>5.8599999999999994</v>
      </c>
      <c r="AA145" s="54">
        <f>STOCK[[#This Row],[Costo total]]*STOCK[[#This Row],[Entradas]]</f>
        <v>14.14</v>
      </c>
      <c r="AB145" s="54">
        <f>STOCK[[#This Row],[Stock Actual]]*STOCK[[#This Row],[Costo total]]</f>
        <v>0</v>
      </c>
    </row>
    <row r="146" spans="1:29" s="53" customFormat="1" ht="50" customHeight="1">
      <c r="A146" s="53" t="s">
        <v>332</v>
      </c>
      <c r="B146" s="64"/>
      <c r="C146" s="53" t="s">
        <v>32</v>
      </c>
      <c r="D146" s="53" t="s">
        <v>44</v>
      </c>
      <c r="E146" s="65" t="s">
        <v>333</v>
      </c>
      <c r="F146" s="53" t="s">
        <v>281</v>
      </c>
      <c r="G146" s="53" t="s">
        <v>36</v>
      </c>
      <c r="H146" s="53">
        <f>STOCK[[#This Row],[Precio Final]]</f>
        <v>16</v>
      </c>
      <c r="I146" s="53">
        <f>STOCK[[#This Row],[Precio Venta Ideal (x1.5)]]</f>
        <v>16.742500000000003</v>
      </c>
      <c r="J146" s="69">
        <v>1</v>
      </c>
      <c r="K146" s="69">
        <f>SUMIFS(VENTAS[Cantidad],VENTAS[Código del producto Vendido],STOCK[[#This Row],[Code]])</f>
        <v>1</v>
      </c>
      <c r="L146" s="69">
        <f>STOCK[[#This Row],[Entradas]]-STOCK[[#This Row],[Salidas]]</f>
        <v>0</v>
      </c>
      <c r="M146" s="53">
        <f>STOCK[[#This Row],[Precio Final]]*10%</f>
        <v>1.6</v>
      </c>
      <c r="N146" s="53">
        <v>110.91</v>
      </c>
      <c r="O146" s="53">
        <v>18</v>
      </c>
      <c r="P146" s="53">
        <v>6.1616666666666697</v>
      </c>
      <c r="Q146" s="69">
        <v>200</v>
      </c>
      <c r="R146" s="53">
        <v>17</v>
      </c>
      <c r="S146" s="53">
        <f>STOCK[[#This Row],[Peso (g)]]*STOCK[[#This Row],[Precio Envío Kilogramo (USD)]]/1000</f>
        <v>3.4</v>
      </c>
      <c r="T146" s="53">
        <f>STOCK[[#This Row],[Costo Unitario (USD)]]+STOCK[[#This Row],[Costo Envío (USD)]]+STOCK[[#This Row],[Comisión 10%]]</f>
        <v>11.161666666666669</v>
      </c>
      <c r="U146" s="53">
        <f>STOCK[[#This Row],[Costo total]]*1.5</f>
        <v>16.742500000000003</v>
      </c>
      <c r="V146" s="53">
        <v>16</v>
      </c>
      <c r="W146" s="53">
        <f>STOCK[[#This Row],[Precio Final]]-STOCK[[#This Row],[Costo total]]</f>
        <v>4.8383333333333312</v>
      </c>
      <c r="X146" s="53">
        <f>STOCK[[#This Row],[Ganancia Unitaria]]*STOCK[[#This Row],[Salidas]]</f>
        <v>4.8383333333333312</v>
      </c>
      <c r="AA146" s="53">
        <f>STOCK[[#This Row],[Costo total]]*STOCK[[#This Row],[Entradas]]</f>
        <v>11.161666666666669</v>
      </c>
      <c r="AB146" s="53">
        <f>STOCK[[#This Row],[Stock Actual]]*STOCK[[#This Row],[Costo total]]</f>
        <v>0</v>
      </c>
    </row>
    <row r="147" spans="1:29" s="54" customFormat="1" ht="50" customHeight="1">
      <c r="A147" s="54" t="s">
        <v>334</v>
      </c>
      <c r="B147" s="64"/>
      <c r="C147" s="54" t="s">
        <v>32</v>
      </c>
      <c r="D147" s="54" t="s">
        <v>44</v>
      </c>
      <c r="E147" s="66" t="s">
        <v>335</v>
      </c>
      <c r="F147" s="54" t="s">
        <v>40</v>
      </c>
      <c r="G147" s="54" t="s">
        <v>36</v>
      </c>
      <c r="H147" s="54">
        <f>STOCK[[#This Row],[Precio Final]]</f>
        <v>15</v>
      </c>
      <c r="I147" s="54">
        <f>STOCK[[#This Row],[Precio Venta Ideal (x1.5)]]</f>
        <v>21.332500000000003</v>
      </c>
      <c r="J147" s="70">
        <v>1</v>
      </c>
      <c r="K147" s="70">
        <f>SUMIFS(VENTAS[Cantidad],VENTAS[Código del producto Vendido],STOCK[[#This Row],[Code]])</f>
        <v>1</v>
      </c>
      <c r="L147" s="70">
        <f>STOCK[[#This Row],[Entradas]]-STOCK[[#This Row],[Salidas]]</f>
        <v>0</v>
      </c>
      <c r="M147" s="54">
        <f>STOCK[[#This Row],[Precio Final]]*10%</f>
        <v>1.5</v>
      </c>
      <c r="N147" s="54">
        <v>152.49</v>
      </c>
      <c r="O147" s="54">
        <v>18</v>
      </c>
      <c r="P147" s="54">
        <v>8.4716666666666693</v>
      </c>
      <c r="Q147" s="70">
        <v>250</v>
      </c>
      <c r="R147" s="54">
        <v>17</v>
      </c>
      <c r="S147" s="54">
        <f>STOCK[[#This Row],[Peso (g)]]*STOCK[[#This Row],[Precio Envío Kilogramo (USD)]]/1000</f>
        <v>4.25</v>
      </c>
      <c r="T147" s="53">
        <f>STOCK[[#This Row],[Costo Unitario (USD)]]+STOCK[[#This Row],[Costo Envío (USD)]]+STOCK[[#This Row],[Comisión 10%]]</f>
        <v>14.221666666666669</v>
      </c>
      <c r="U147" s="54">
        <f>STOCK[[#This Row],[Costo total]]*1.5</f>
        <v>21.332500000000003</v>
      </c>
      <c r="V147" s="54">
        <v>15</v>
      </c>
      <c r="W147" s="54">
        <f>STOCK[[#This Row],[Precio Final]]-STOCK[[#This Row],[Costo total]]</f>
        <v>0.77833333333333066</v>
      </c>
      <c r="X147" s="54">
        <f>STOCK[[#This Row],[Ganancia Unitaria]]*STOCK[[#This Row],[Salidas]]</f>
        <v>0.77833333333333066</v>
      </c>
      <c r="AA147" s="54">
        <f>STOCK[[#This Row],[Costo total]]*STOCK[[#This Row],[Entradas]]</f>
        <v>14.221666666666669</v>
      </c>
      <c r="AB147" s="54">
        <f>STOCK[[#This Row],[Stock Actual]]*STOCK[[#This Row],[Costo total]]</f>
        <v>0</v>
      </c>
    </row>
    <row r="148" spans="1:29" s="53" customFormat="1" ht="50" customHeight="1">
      <c r="A148" s="53" t="s">
        <v>336</v>
      </c>
      <c r="B148" s="64"/>
      <c r="C148" s="53" t="s">
        <v>32</v>
      </c>
      <c r="D148" s="53" t="s">
        <v>44</v>
      </c>
      <c r="E148" s="65" t="s">
        <v>335</v>
      </c>
      <c r="F148" s="53" t="s">
        <v>62</v>
      </c>
      <c r="G148" s="53" t="s">
        <v>36</v>
      </c>
      <c r="H148" s="53">
        <f>STOCK[[#This Row],[Precio Final]]</f>
        <v>25</v>
      </c>
      <c r="I148" s="53">
        <f>STOCK[[#This Row],[Precio Venta Ideal (x1.5)]]</f>
        <v>22.832500000000003</v>
      </c>
      <c r="J148" s="69">
        <v>1</v>
      </c>
      <c r="K148" s="69">
        <f>SUMIFS(VENTAS[Cantidad],VENTAS[Código del producto Vendido],STOCK[[#This Row],[Code]])</f>
        <v>1</v>
      </c>
      <c r="L148" s="69">
        <f>STOCK[[#This Row],[Entradas]]-STOCK[[#This Row],[Salidas]]</f>
        <v>0</v>
      </c>
      <c r="M148" s="53">
        <f>STOCK[[#This Row],[Precio Final]]*10%</f>
        <v>2.5</v>
      </c>
      <c r="N148" s="53">
        <v>152.49</v>
      </c>
      <c r="O148" s="53">
        <v>18</v>
      </c>
      <c r="P148" s="53">
        <v>8.4716666666666693</v>
      </c>
      <c r="Q148" s="69">
        <v>250</v>
      </c>
      <c r="R148" s="53">
        <v>17</v>
      </c>
      <c r="S148" s="53">
        <f>STOCK[[#This Row],[Peso (g)]]*STOCK[[#This Row],[Precio Envío Kilogramo (USD)]]/1000</f>
        <v>4.25</v>
      </c>
      <c r="T148" s="53">
        <f>STOCK[[#This Row],[Costo Unitario (USD)]]+STOCK[[#This Row],[Costo Envío (USD)]]+STOCK[[#This Row],[Comisión 10%]]</f>
        <v>15.221666666666669</v>
      </c>
      <c r="U148" s="53">
        <f>STOCK[[#This Row],[Costo total]]*1.5</f>
        <v>22.832500000000003</v>
      </c>
      <c r="V148" s="53">
        <v>25</v>
      </c>
      <c r="W148" s="53">
        <f>STOCK[[#This Row],[Precio Final]]-STOCK[[#This Row],[Costo total]]</f>
        <v>9.7783333333333307</v>
      </c>
      <c r="X148" s="53">
        <f>STOCK[[#This Row],[Ganancia Unitaria]]*STOCK[[#This Row],[Salidas]]</f>
        <v>9.7783333333333307</v>
      </c>
      <c r="AA148" s="53">
        <f>STOCK[[#This Row],[Costo total]]*STOCK[[#This Row],[Entradas]]</f>
        <v>15.221666666666669</v>
      </c>
      <c r="AB148" s="53">
        <f>STOCK[[#This Row],[Stock Actual]]*STOCK[[#This Row],[Costo total]]</f>
        <v>0</v>
      </c>
    </row>
    <row r="149" spans="1:29" s="54" customFormat="1" ht="50" customHeight="1">
      <c r="A149" s="54" t="s">
        <v>337</v>
      </c>
      <c r="B149" s="64"/>
      <c r="C149" s="54" t="s">
        <v>32</v>
      </c>
      <c r="D149" s="54" t="s">
        <v>216</v>
      </c>
      <c r="E149" s="66" t="s">
        <v>338</v>
      </c>
      <c r="F149" s="54" t="s">
        <v>339</v>
      </c>
      <c r="G149" s="54" t="s">
        <v>36</v>
      </c>
      <c r="H149" s="54">
        <f>STOCK[[#This Row],[Precio Final]]</f>
        <v>30</v>
      </c>
      <c r="I149" s="54">
        <f>STOCK[[#This Row],[Precio Venta Ideal (x1.5)]]</f>
        <v>26.210833333333351</v>
      </c>
      <c r="J149" s="70">
        <v>1</v>
      </c>
      <c r="K149" s="70">
        <f>SUMIFS(VENTAS[Cantidad],VENTAS[Código del producto Vendido],STOCK[[#This Row],[Code]])</f>
        <v>0</v>
      </c>
      <c r="L149" s="70">
        <f>STOCK[[#This Row],[Entradas]]-STOCK[[#This Row],[Salidas]]</f>
        <v>1</v>
      </c>
      <c r="M149" s="54">
        <f>STOCK[[#This Row],[Precio Final]]*10%</f>
        <v>3</v>
      </c>
      <c r="N149" s="54">
        <v>191.68</v>
      </c>
      <c r="O149" s="54">
        <v>18</v>
      </c>
      <c r="P149" s="54">
        <v>10.6488888888889</v>
      </c>
      <c r="Q149" s="70">
        <v>225</v>
      </c>
      <c r="R149" s="54">
        <v>17</v>
      </c>
      <c r="S149" s="54">
        <f>STOCK[[#This Row],[Peso (g)]]*STOCK[[#This Row],[Precio Envío Kilogramo (USD)]]/1000</f>
        <v>3.8250000000000002</v>
      </c>
      <c r="T149" s="53">
        <f>STOCK[[#This Row],[Costo Unitario (USD)]]+STOCK[[#This Row],[Costo Envío (USD)]]+STOCK[[#This Row],[Comisión 10%]]</f>
        <v>17.473888888888901</v>
      </c>
      <c r="U149" s="54">
        <f>STOCK[[#This Row],[Costo total]]*1.5</f>
        <v>26.210833333333351</v>
      </c>
      <c r="V149" s="54">
        <v>30</v>
      </c>
      <c r="W149" s="54">
        <f>STOCK[[#This Row],[Precio Final]]-STOCK[[#This Row],[Costo total]]</f>
        <v>12.526111111111099</v>
      </c>
      <c r="X149" s="54">
        <f>STOCK[[#This Row],[Ganancia Unitaria]]*STOCK[[#This Row],[Salidas]]</f>
        <v>0</v>
      </c>
      <c r="AA149" s="54">
        <f>STOCK[[#This Row],[Costo total]]*STOCK[[#This Row],[Entradas]]</f>
        <v>17.473888888888901</v>
      </c>
      <c r="AB149" s="54">
        <f>STOCK[[#This Row],[Stock Actual]]*STOCK[[#This Row],[Costo total]]</f>
        <v>17.473888888888901</v>
      </c>
      <c r="AC149" s="54">
        <v>25</v>
      </c>
    </row>
    <row r="150" spans="1:29" s="53" customFormat="1" ht="50" customHeight="1">
      <c r="A150" s="53" t="s">
        <v>340</v>
      </c>
      <c r="B150" s="64"/>
      <c r="C150" s="53" t="s">
        <v>32</v>
      </c>
      <c r="D150" s="54" t="s">
        <v>216</v>
      </c>
      <c r="E150" s="65" t="s">
        <v>338</v>
      </c>
      <c r="F150" s="53" t="s">
        <v>62</v>
      </c>
      <c r="G150" s="53" t="s">
        <v>36</v>
      </c>
      <c r="H150" s="53">
        <f>STOCK[[#This Row],[Precio Final]]</f>
        <v>30</v>
      </c>
      <c r="I150" s="53">
        <f>STOCK[[#This Row],[Precio Venta Ideal (x1.5)]]</f>
        <v>26.210833333333351</v>
      </c>
      <c r="J150" s="69">
        <v>1</v>
      </c>
      <c r="K150" s="69">
        <f>SUMIFS(VENTAS[Cantidad],VENTAS[Código del producto Vendido],STOCK[[#This Row],[Code]])</f>
        <v>0</v>
      </c>
      <c r="L150" s="69">
        <f>STOCK[[#This Row],[Entradas]]-STOCK[[#This Row],[Salidas]]</f>
        <v>1</v>
      </c>
      <c r="M150" s="53">
        <f>STOCK[[#This Row],[Precio Final]]*10%</f>
        <v>3</v>
      </c>
      <c r="N150" s="53">
        <v>191.68</v>
      </c>
      <c r="O150" s="53">
        <v>18</v>
      </c>
      <c r="P150" s="53">
        <v>10.6488888888889</v>
      </c>
      <c r="Q150" s="69">
        <v>225</v>
      </c>
      <c r="R150" s="53">
        <v>17</v>
      </c>
      <c r="S150" s="53">
        <f>STOCK[[#This Row],[Peso (g)]]*STOCK[[#This Row],[Precio Envío Kilogramo (USD)]]/1000</f>
        <v>3.8250000000000002</v>
      </c>
      <c r="T150" s="53">
        <f>STOCK[[#This Row],[Costo Unitario (USD)]]+STOCK[[#This Row],[Costo Envío (USD)]]+STOCK[[#This Row],[Comisión 10%]]</f>
        <v>17.473888888888901</v>
      </c>
      <c r="U150" s="53">
        <f>STOCK[[#This Row],[Costo total]]*1.5</f>
        <v>26.210833333333351</v>
      </c>
      <c r="V150" s="53">
        <v>30</v>
      </c>
      <c r="W150" s="53">
        <f>STOCK[[#This Row],[Precio Final]]-STOCK[[#This Row],[Costo total]]</f>
        <v>12.526111111111099</v>
      </c>
      <c r="X150" s="53">
        <f>STOCK[[#This Row],[Ganancia Unitaria]]*STOCK[[#This Row],[Salidas]]</f>
        <v>0</v>
      </c>
      <c r="AA150" s="53">
        <f>STOCK[[#This Row],[Costo total]]*STOCK[[#This Row],[Entradas]]</f>
        <v>17.473888888888901</v>
      </c>
      <c r="AB150" s="53">
        <f>STOCK[[#This Row],[Stock Actual]]*STOCK[[#This Row],[Costo total]]</f>
        <v>17.473888888888901</v>
      </c>
      <c r="AC150" s="53">
        <v>25</v>
      </c>
    </row>
    <row r="151" spans="1:29" s="54" customFormat="1" ht="50" customHeight="1">
      <c r="A151" s="54" t="s">
        <v>341</v>
      </c>
      <c r="B151" s="64"/>
      <c r="C151" s="54" t="s">
        <v>32</v>
      </c>
      <c r="D151" s="54" t="s">
        <v>216</v>
      </c>
      <c r="E151" s="66" t="s">
        <v>338</v>
      </c>
      <c r="F151" s="54" t="s">
        <v>49</v>
      </c>
      <c r="G151" s="54" t="s">
        <v>36</v>
      </c>
      <c r="H151" s="54">
        <f>STOCK[[#This Row],[Precio Final]]</f>
        <v>30</v>
      </c>
      <c r="I151" s="54">
        <f>STOCK[[#This Row],[Precio Venta Ideal (x1.5)]]</f>
        <v>26.210833333333351</v>
      </c>
      <c r="J151" s="70">
        <v>1</v>
      </c>
      <c r="K151" s="70">
        <f>SUMIFS(VENTAS[Cantidad],VENTAS[Código del producto Vendido],STOCK[[#This Row],[Code]])</f>
        <v>0</v>
      </c>
      <c r="L151" s="70">
        <f>STOCK[[#This Row],[Entradas]]-STOCK[[#This Row],[Salidas]]</f>
        <v>1</v>
      </c>
      <c r="M151" s="54">
        <f>STOCK[[#This Row],[Precio Final]]*10%</f>
        <v>3</v>
      </c>
      <c r="N151" s="54">
        <v>191.68</v>
      </c>
      <c r="O151" s="54">
        <v>18</v>
      </c>
      <c r="P151" s="54">
        <v>10.6488888888889</v>
      </c>
      <c r="Q151" s="70">
        <v>225</v>
      </c>
      <c r="R151" s="54">
        <v>17</v>
      </c>
      <c r="S151" s="54">
        <f>STOCK[[#This Row],[Peso (g)]]*STOCK[[#This Row],[Precio Envío Kilogramo (USD)]]/1000</f>
        <v>3.8250000000000002</v>
      </c>
      <c r="T151" s="53">
        <f>STOCK[[#This Row],[Costo Unitario (USD)]]+STOCK[[#This Row],[Costo Envío (USD)]]+STOCK[[#This Row],[Comisión 10%]]</f>
        <v>17.473888888888901</v>
      </c>
      <c r="U151" s="54">
        <f>STOCK[[#This Row],[Costo total]]*1.5</f>
        <v>26.210833333333351</v>
      </c>
      <c r="V151" s="54">
        <v>30</v>
      </c>
      <c r="W151" s="54">
        <f>STOCK[[#This Row],[Precio Final]]-STOCK[[#This Row],[Costo total]]</f>
        <v>12.526111111111099</v>
      </c>
      <c r="X151" s="54">
        <f>STOCK[[#This Row],[Ganancia Unitaria]]*STOCK[[#This Row],[Salidas]]</f>
        <v>0</v>
      </c>
      <c r="AA151" s="54">
        <f>STOCK[[#This Row],[Costo total]]*STOCK[[#This Row],[Entradas]]</f>
        <v>17.473888888888901</v>
      </c>
      <c r="AB151" s="54">
        <f>STOCK[[#This Row],[Stock Actual]]*STOCK[[#This Row],[Costo total]]</f>
        <v>17.473888888888901</v>
      </c>
      <c r="AC151" s="54">
        <v>25</v>
      </c>
    </row>
    <row r="152" spans="1:29" s="53" customFormat="1" ht="50" customHeight="1">
      <c r="A152" s="53" t="s">
        <v>342</v>
      </c>
      <c r="B152" s="64"/>
      <c r="C152" s="53" t="s">
        <v>32</v>
      </c>
      <c r="D152" s="54" t="s">
        <v>294</v>
      </c>
      <c r="E152" s="65" t="s">
        <v>343</v>
      </c>
      <c r="F152" s="53" t="s">
        <v>40</v>
      </c>
      <c r="G152" s="53" t="s">
        <v>36</v>
      </c>
      <c r="H152" s="53">
        <f>STOCK[[#This Row],[Precio Final]]</f>
        <v>12</v>
      </c>
      <c r="I152" s="53">
        <f>STOCK[[#This Row],[Precio Venta Ideal (x1.5)]]</f>
        <v>8.9500000000000064</v>
      </c>
      <c r="J152" s="69">
        <v>2</v>
      </c>
      <c r="K152" s="69">
        <f>SUMIFS(VENTAS[Cantidad],VENTAS[Código del producto Vendido],STOCK[[#This Row],[Code]])</f>
        <v>1</v>
      </c>
      <c r="L152" s="69">
        <f>STOCK[[#This Row],[Entradas]]-STOCK[[#This Row],[Salidas]]</f>
        <v>1</v>
      </c>
      <c r="M152" s="53">
        <f>STOCK[[#This Row],[Precio Final]]*10%</f>
        <v>1.2000000000000002</v>
      </c>
      <c r="N152" s="53">
        <v>71.400000000000006</v>
      </c>
      <c r="O152" s="53">
        <v>18</v>
      </c>
      <c r="P152" s="53">
        <v>3.9666666666666699</v>
      </c>
      <c r="Q152" s="69">
        <v>100</v>
      </c>
      <c r="R152" s="53">
        <v>8</v>
      </c>
      <c r="S152" s="53">
        <f>STOCK[[#This Row],[Peso (g)]]*STOCK[[#This Row],[Precio Envío Kilogramo (USD)]]/1000</f>
        <v>0.8</v>
      </c>
      <c r="T152" s="53">
        <f>STOCK[[#This Row],[Costo Unitario (USD)]]+STOCK[[#This Row],[Costo Envío (USD)]]+STOCK[[#This Row],[Comisión 10%]]</f>
        <v>5.9666666666666703</v>
      </c>
      <c r="U152" s="53">
        <f>STOCK[[#This Row],[Costo total]]*1.5</f>
        <v>8.9500000000000064</v>
      </c>
      <c r="V152" s="53">
        <v>12</v>
      </c>
      <c r="W152" s="53">
        <f>STOCK[[#This Row],[Precio Final]]-STOCK[[#This Row],[Costo total]]</f>
        <v>6.0333333333333297</v>
      </c>
      <c r="X152" s="53">
        <f>STOCK[[#This Row],[Ganancia Unitaria]]*STOCK[[#This Row],[Salidas]]</f>
        <v>6.0333333333333297</v>
      </c>
      <c r="AA152" s="53">
        <f>STOCK[[#This Row],[Costo total]]*STOCK[[#This Row],[Entradas]]</f>
        <v>11.933333333333341</v>
      </c>
      <c r="AB152" s="53">
        <f>STOCK[[#This Row],[Stock Actual]]*STOCK[[#This Row],[Costo total]]</f>
        <v>5.9666666666666703</v>
      </c>
      <c r="AC152" s="53">
        <v>8</v>
      </c>
    </row>
    <row r="153" spans="1:29" s="54" customFormat="1" ht="50" customHeight="1">
      <c r="A153" s="54" t="s">
        <v>344</v>
      </c>
      <c r="B153" s="64"/>
      <c r="C153" s="54" t="s">
        <v>32</v>
      </c>
      <c r="D153" s="54" t="s">
        <v>44</v>
      </c>
      <c r="E153" s="66" t="s">
        <v>345</v>
      </c>
      <c r="F153" s="54" t="s">
        <v>187</v>
      </c>
      <c r="G153" s="54" t="s">
        <v>36</v>
      </c>
      <c r="H153" s="54">
        <f>STOCK[[#This Row],[Precio Final]]</f>
        <v>20</v>
      </c>
      <c r="I153" s="54">
        <f>STOCK[[#This Row],[Precio Venta Ideal (x1.5)]]</f>
        <v>23.196666666666673</v>
      </c>
      <c r="J153" s="70">
        <v>0</v>
      </c>
      <c r="K153" s="70">
        <f>SUMIFS(VENTAS[Cantidad],VENTAS[Código del producto Vendido],STOCK[[#This Row],[Code]])</f>
        <v>0</v>
      </c>
      <c r="L153" s="70">
        <f>STOCK[[#This Row],[Entradas]]-STOCK[[#This Row],[Salidas]]</f>
        <v>0</v>
      </c>
      <c r="M153" s="54">
        <f>STOCK[[#This Row],[Precio Final]]*10%</f>
        <v>2</v>
      </c>
      <c r="N153" s="54">
        <v>165.86</v>
      </c>
      <c r="O153" s="54">
        <v>18</v>
      </c>
      <c r="P153" s="54">
        <v>9.2144444444444495</v>
      </c>
      <c r="Q153" s="70">
        <v>250</v>
      </c>
      <c r="R153" s="54">
        <v>17</v>
      </c>
      <c r="S153" s="54">
        <f>STOCK[[#This Row],[Peso (g)]]*STOCK[[#This Row],[Precio Envío Kilogramo (USD)]]/1000</f>
        <v>4.25</v>
      </c>
      <c r="T153" s="53">
        <f>STOCK[[#This Row],[Costo Unitario (USD)]]+STOCK[[#This Row],[Costo Envío (USD)]]+STOCK[[#This Row],[Comisión 10%]]</f>
        <v>15.46444444444445</v>
      </c>
      <c r="U153" s="54">
        <f>STOCK[[#This Row],[Costo total]]*1.5</f>
        <v>23.196666666666673</v>
      </c>
      <c r="V153" s="54">
        <v>20</v>
      </c>
      <c r="W153" s="54">
        <f>STOCK[[#This Row],[Precio Final]]-STOCK[[#This Row],[Costo total]]</f>
        <v>4.5355555555555505</v>
      </c>
      <c r="X153" s="54">
        <f>STOCK[[#This Row],[Ganancia Unitaria]]*STOCK[[#This Row],[Salidas]]</f>
        <v>0</v>
      </c>
      <c r="AA153" s="54">
        <f>STOCK[[#This Row],[Costo total]]*STOCK[[#This Row],[Entradas]]</f>
        <v>0</v>
      </c>
      <c r="AB153" s="54">
        <f>STOCK[[#This Row],[Stock Actual]]*STOCK[[#This Row],[Costo total]]</f>
        <v>0</v>
      </c>
    </row>
    <row r="154" spans="1:29" s="53" customFormat="1" ht="50" customHeight="1">
      <c r="A154" s="53" t="s">
        <v>346</v>
      </c>
      <c r="B154" s="64"/>
      <c r="C154" s="53" t="s">
        <v>32</v>
      </c>
      <c r="D154" s="53" t="s">
        <v>44</v>
      </c>
      <c r="E154" s="65" t="s">
        <v>347</v>
      </c>
      <c r="F154" s="53" t="s">
        <v>40</v>
      </c>
      <c r="G154" s="53" t="s">
        <v>36</v>
      </c>
      <c r="H154" s="53">
        <f>STOCK[[#This Row],[Precio Final]]</f>
        <v>30</v>
      </c>
      <c r="I154" s="53">
        <f>STOCK[[#This Row],[Precio Venta Ideal (x1.5)]]</f>
        <v>34.033333333333346</v>
      </c>
      <c r="J154" s="69">
        <v>1</v>
      </c>
      <c r="K154" s="69">
        <f>SUMIFS(VENTAS[Cantidad],VENTAS[Código del producto Vendido],STOCK[[#This Row],[Code]])</f>
        <v>1</v>
      </c>
      <c r="L154" s="69">
        <f>STOCK[[#This Row],[Entradas]]-STOCK[[#This Row],[Salidas]]</f>
        <v>0</v>
      </c>
      <c r="M154" s="53">
        <f>STOCK[[#This Row],[Precio Final]]*10%</f>
        <v>3</v>
      </c>
      <c r="N154" s="53">
        <v>293.2</v>
      </c>
      <c r="O154" s="53">
        <v>18</v>
      </c>
      <c r="P154" s="53">
        <v>16.288888888888899</v>
      </c>
      <c r="Q154" s="69">
        <v>200</v>
      </c>
      <c r="R154" s="53">
        <v>17</v>
      </c>
      <c r="S154" s="53">
        <f>STOCK[[#This Row],[Peso (g)]]*STOCK[[#This Row],[Precio Envío Kilogramo (USD)]]/1000</f>
        <v>3.4</v>
      </c>
      <c r="T154" s="53">
        <f>STOCK[[#This Row],[Costo Unitario (USD)]]+STOCK[[#This Row],[Costo Envío (USD)]]+STOCK[[#This Row],[Comisión 10%]]</f>
        <v>22.688888888888897</v>
      </c>
      <c r="U154" s="53">
        <f>STOCK[[#This Row],[Costo total]]*1.5</f>
        <v>34.033333333333346</v>
      </c>
      <c r="V154" s="53">
        <v>30</v>
      </c>
      <c r="W154" s="53">
        <f>STOCK[[#This Row],[Precio Final]]-STOCK[[#This Row],[Costo total]]</f>
        <v>7.3111111111111029</v>
      </c>
      <c r="X154" s="53">
        <f>STOCK[[#This Row],[Ganancia Unitaria]]*STOCK[[#This Row],[Salidas]]</f>
        <v>7.3111111111111029</v>
      </c>
      <c r="AA154" s="53">
        <f>STOCK[[#This Row],[Costo total]]*STOCK[[#This Row],[Entradas]]</f>
        <v>22.688888888888897</v>
      </c>
      <c r="AB154" s="53">
        <f>STOCK[[#This Row],[Stock Actual]]*STOCK[[#This Row],[Costo total]]</f>
        <v>0</v>
      </c>
    </row>
    <row r="155" spans="1:29" s="54" customFormat="1" ht="50" customHeight="1">
      <c r="A155" s="54" t="s">
        <v>348</v>
      </c>
      <c r="B155" s="64"/>
      <c r="C155" s="54" t="s">
        <v>32</v>
      </c>
      <c r="D155" s="54" t="s">
        <v>44</v>
      </c>
      <c r="E155" s="66" t="s">
        <v>349</v>
      </c>
      <c r="F155" s="54" t="s">
        <v>62</v>
      </c>
      <c r="G155" s="54" t="s">
        <v>36</v>
      </c>
      <c r="H155" s="54">
        <f>STOCK[[#This Row],[Precio Final]]</f>
        <v>16</v>
      </c>
      <c r="I155" s="54">
        <f>STOCK[[#This Row],[Precio Venta Ideal (x1.5)]]</f>
        <v>18.705833333333338</v>
      </c>
      <c r="J155" s="70">
        <v>1</v>
      </c>
      <c r="K155" s="70">
        <f>SUMIFS(VENTAS[Cantidad],VENTAS[Código del producto Vendido],STOCK[[#This Row],[Code]])</f>
        <v>1</v>
      </c>
      <c r="L155" s="70">
        <f>STOCK[[#This Row],[Entradas]]-STOCK[[#This Row],[Salidas]]</f>
        <v>0</v>
      </c>
      <c r="M155" s="54">
        <f>STOCK[[#This Row],[Precio Final]]*10%</f>
        <v>1.6</v>
      </c>
      <c r="N155" s="54">
        <v>134.47</v>
      </c>
      <c r="O155" s="54">
        <v>18</v>
      </c>
      <c r="P155" s="54">
        <v>7.4705555555555598</v>
      </c>
      <c r="Q155" s="70">
        <v>200</v>
      </c>
      <c r="R155" s="54">
        <v>17</v>
      </c>
      <c r="S155" s="54">
        <f>STOCK[[#This Row],[Peso (g)]]*STOCK[[#This Row],[Precio Envío Kilogramo (USD)]]/1000</f>
        <v>3.4</v>
      </c>
      <c r="T155" s="53">
        <f>STOCK[[#This Row],[Costo Unitario (USD)]]+STOCK[[#This Row],[Costo Envío (USD)]]+STOCK[[#This Row],[Comisión 10%]]</f>
        <v>12.47055555555556</v>
      </c>
      <c r="U155" s="54">
        <f>STOCK[[#This Row],[Costo total]]*1.5</f>
        <v>18.705833333333338</v>
      </c>
      <c r="V155" s="54">
        <v>16</v>
      </c>
      <c r="W155" s="54">
        <f>STOCK[[#This Row],[Precio Final]]-STOCK[[#This Row],[Costo total]]</f>
        <v>3.5294444444444402</v>
      </c>
      <c r="X155" s="54">
        <f>STOCK[[#This Row],[Ganancia Unitaria]]*STOCK[[#This Row],[Salidas]]</f>
        <v>3.5294444444444402</v>
      </c>
      <c r="AA155" s="54">
        <f>STOCK[[#This Row],[Costo total]]*STOCK[[#This Row],[Entradas]]</f>
        <v>12.47055555555556</v>
      </c>
      <c r="AB155" s="54">
        <f>STOCK[[#This Row],[Stock Actual]]*STOCK[[#This Row],[Costo total]]</f>
        <v>0</v>
      </c>
    </row>
    <row r="156" spans="1:29" s="53" customFormat="1" ht="50" customHeight="1">
      <c r="A156" s="53" t="s">
        <v>350</v>
      </c>
      <c r="B156" s="64"/>
      <c r="C156" s="53" t="s">
        <v>32</v>
      </c>
      <c r="D156" s="53" t="s">
        <v>351</v>
      </c>
      <c r="E156" s="65" t="s">
        <v>352</v>
      </c>
      <c r="F156" s="53" t="s">
        <v>353</v>
      </c>
      <c r="G156" s="53" t="s">
        <v>36</v>
      </c>
      <c r="H156" s="53">
        <f>STOCK[[#This Row],[Precio Final]]</f>
        <v>3</v>
      </c>
      <c r="I156" s="53">
        <f>STOCK[[#This Row],[Precio Venta Ideal (x1.5)]]</f>
        <v>2.2541666666666669</v>
      </c>
      <c r="J156" s="69">
        <v>1</v>
      </c>
      <c r="K156" s="69">
        <f>SUMIFS(VENTAS[Cantidad],VENTAS[Código del producto Vendido],STOCK[[#This Row],[Code]])</f>
        <v>1</v>
      </c>
      <c r="L156" s="69">
        <f>STOCK[[#This Row],[Entradas]]-STOCK[[#This Row],[Salidas]]</f>
        <v>0</v>
      </c>
      <c r="M156" s="53">
        <f>STOCK[[#This Row],[Precio Final]]*10%</f>
        <v>0.30000000000000004</v>
      </c>
      <c r="N156" s="53">
        <v>17.329999999999998</v>
      </c>
      <c r="O156" s="53">
        <v>18</v>
      </c>
      <c r="P156" s="53">
        <v>0.96277777777777795</v>
      </c>
      <c r="Q156" s="69">
        <v>30</v>
      </c>
      <c r="R156" s="53">
        <v>8</v>
      </c>
      <c r="S156" s="53">
        <f>STOCK[[#This Row],[Peso (g)]]*STOCK[[#This Row],[Precio Envío Kilogramo (USD)]]/1000</f>
        <v>0.24</v>
      </c>
      <c r="T156" s="53">
        <f>STOCK[[#This Row],[Costo Unitario (USD)]]+STOCK[[#This Row],[Costo Envío (USD)]]+STOCK[[#This Row],[Comisión 10%]]</f>
        <v>1.502777777777778</v>
      </c>
      <c r="U156" s="53">
        <f>STOCK[[#This Row],[Costo total]]*1.5</f>
        <v>2.2541666666666669</v>
      </c>
      <c r="V156" s="53">
        <v>3</v>
      </c>
      <c r="W156" s="53">
        <f>STOCK[[#This Row],[Precio Final]]-STOCK[[#This Row],[Costo total]]</f>
        <v>1.497222222222222</v>
      </c>
      <c r="X156" s="53">
        <f>STOCK[[#This Row],[Ganancia Unitaria]]*STOCK[[#This Row],[Salidas]]</f>
        <v>1.497222222222222</v>
      </c>
      <c r="AA156" s="53">
        <f>STOCK[[#This Row],[Costo total]]*STOCK[[#This Row],[Entradas]]</f>
        <v>1.502777777777778</v>
      </c>
      <c r="AB156" s="53">
        <f>STOCK[[#This Row],[Stock Actual]]*STOCK[[#This Row],[Costo total]]</f>
        <v>0</v>
      </c>
    </row>
    <row r="157" spans="1:29" s="54" customFormat="1" ht="50" customHeight="1">
      <c r="A157" s="54" t="s">
        <v>354</v>
      </c>
      <c r="B157" s="64"/>
      <c r="C157" s="54" t="s">
        <v>32</v>
      </c>
      <c r="D157" s="54" t="s">
        <v>44</v>
      </c>
      <c r="E157" s="66" t="s">
        <v>355</v>
      </c>
      <c r="F157" s="54" t="s">
        <v>40</v>
      </c>
      <c r="G157" s="54" t="s">
        <v>36</v>
      </c>
      <c r="H157" s="54">
        <f>STOCK[[#This Row],[Precio Final]]</f>
        <v>25</v>
      </c>
      <c r="I157" s="54">
        <f>STOCK[[#This Row],[Precio Venta Ideal (x1.5)]]</f>
        <v>25.749166666666667</v>
      </c>
      <c r="J157" s="70">
        <v>1</v>
      </c>
      <c r="K157" s="70">
        <f>SUMIFS(VENTAS[Cantidad],VENTAS[Código del producto Vendido],STOCK[[#This Row],[Code]])</f>
        <v>1</v>
      </c>
      <c r="L157" s="70">
        <f>STOCK[[#This Row],[Entradas]]-STOCK[[#This Row],[Salidas]]</f>
        <v>0</v>
      </c>
      <c r="M157" s="54">
        <f>STOCK[[#This Row],[Precio Final]]*10%</f>
        <v>2.5</v>
      </c>
      <c r="N157" s="54">
        <v>176.78</v>
      </c>
      <c r="O157" s="54">
        <v>18</v>
      </c>
      <c r="P157" s="54">
        <v>9.8211111111111098</v>
      </c>
      <c r="Q157" s="70">
        <v>285</v>
      </c>
      <c r="R157" s="54">
        <v>17</v>
      </c>
      <c r="S157" s="54">
        <f>STOCK[[#This Row],[Peso (g)]]*STOCK[[#This Row],[Precio Envío Kilogramo (USD)]]/1000</f>
        <v>4.8449999999999998</v>
      </c>
      <c r="T157" s="53">
        <f>STOCK[[#This Row],[Costo Unitario (USD)]]+STOCK[[#This Row],[Costo Envío (USD)]]+STOCK[[#This Row],[Comisión 10%]]</f>
        <v>17.16611111111111</v>
      </c>
      <c r="U157" s="54">
        <f>STOCK[[#This Row],[Costo total]]*1.5</f>
        <v>25.749166666666667</v>
      </c>
      <c r="V157" s="54">
        <v>25</v>
      </c>
      <c r="W157" s="54">
        <f>STOCK[[#This Row],[Precio Final]]-STOCK[[#This Row],[Costo total]]</f>
        <v>7.8338888888888896</v>
      </c>
      <c r="X157" s="54">
        <f>STOCK[[#This Row],[Ganancia Unitaria]]*STOCK[[#This Row],[Salidas]]</f>
        <v>7.8338888888888896</v>
      </c>
      <c r="AA157" s="54">
        <f>STOCK[[#This Row],[Costo total]]*STOCK[[#This Row],[Entradas]]</f>
        <v>17.16611111111111</v>
      </c>
      <c r="AB157" s="54">
        <f>STOCK[[#This Row],[Stock Actual]]*STOCK[[#This Row],[Costo total]]</f>
        <v>0</v>
      </c>
    </row>
    <row r="158" spans="1:29" s="53" customFormat="1" ht="50" customHeight="1">
      <c r="A158" s="53" t="s">
        <v>356</v>
      </c>
      <c r="B158" s="64"/>
      <c r="C158" s="53" t="s">
        <v>32</v>
      </c>
      <c r="D158" s="53" t="s">
        <v>44</v>
      </c>
      <c r="E158" s="65" t="s">
        <v>357</v>
      </c>
      <c r="F158" s="53" t="s">
        <v>46</v>
      </c>
      <c r="G158" s="53" t="s">
        <v>36</v>
      </c>
      <c r="H158" s="53">
        <f>STOCK[[#This Row],[Precio Final]]</f>
        <v>35</v>
      </c>
      <c r="I158" s="53">
        <f>STOCK[[#This Row],[Precio Venta Ideal (x1.5)]]</f>
        <v>34.849166666666697</v>
      </c>
      <c r="J158" s="69">
        <v>1</v>
      </c>
      <c r="K158" s="69">
        <f>SUMIFS(VENTAS[Cantidad],VENTAS[Código del producto Vendido],STOCK[[#This Row],[Code]])</f>
        <v>1</v>
      </c>
      <c r="L158" s="69">
        <f>STOCK[[#This Row],[Entradas]]-STOCK[[#This Row],[Salidas]]</f>
        <v>0</v>
      </c>
      <c r="M158" s="53">
        <f>STOCK[[#This Row],[Precio Final]]*10%</f>
        <v>3.5</v>
      </c>
      <c r="N158" s="53">
        <v>263.39</v>
      </c>
      <c r="O158" s="53">
        <v>18</v>
      </c>
      <c r="P158" s="53">
        <v>14.6327777777778</v>
      </c>
      <c r="Q158" s="69">
        <v>300</v>
      </c>
      <c r="R158" s="53">
        <v>17</v>
      </c>
      <c r="S158" s="53">
        <f>STOCK[[#This Row],[Peso (g)]]*STOCK[[#This Row],[Precio Envío Kilogramo (USD)]]/1000</f>
        <v>5.0999999999999996</v>
      </c>
      <c r="T158" s="53">
        <f>STOCK[[#This Row],[Costo Unitario (USD)]]+STOCK[[#This Row],[Costo Envío (USD)]]+STOCK[[#This Row],[Comisión 10%]]</f>
        <v>23.232777777777798</v>
      </c>
      <c r="U158" s="53">
        <f>STOCK[[#This Row],[Costo total]]*1.5</f>
        <v>34.849166666666697</v>
      </c>
      <c r="V158" s="53">
        <v>35</v>
      </c>
      <c r="W158" s="53">
        <f>STOCK[[#This Row],[Precio Final]]-STOCK[[#This Row],[Costo total]]</f>
        <v>11.767222222222202</v>
      </c>
      <c r="X158" s="53">
        <f>STOCK[[#This Row],[Ganancia Unitaria]]*STOCK[[#This Row],[Salidas]]</f>
        <v>11.767222222222202</v>
      </c>
      <c r="AA158" s="53">
        <f>STOCK[[#This Row],[Costo total]]*STOCK[[#This Row],[Entradas]]</f>
        <v>23.232777777777798</v>
      </c>
      <c r="AB158" s="53">
        <f>STOCK[[#This Row],[Stock Actual]]*STOCK[[#This Row],[Costo total]]</f>
        <v>0</v>
      </c>
    </row>
    <row r="159" spans="1:29" s="54" customFormat="1" ht="50" customHeight="1">
      <c r="A159" s="54" t="s">
        <v>358</v>
      </c>
      <c r="B159" s="64"/>
      <c r="C159" s="54" t="s">
        <v>32</v>
      </c>
      <c r="D159" s="54" t="s">
        <v>216</v>
      </c>
      <c r="E159" s="66" t="s">
        <v>359</v>
      </c>
      <c r="F159" s="54" t="s">
        <v>40</v>
      </c>
      <c r="G159" s="54" t="s">
        <v>36</v>
      </c>
      <c r="H159" s="54">
        <f>STOCK[[#This Row],[Precio Final]]</f>
        <v>35</v>
      </c>
      <c r="I159" s="54">
        <f>STOCK[[#This Row],[Precio Venta Ideal (x1.5)]]</f>
        <v>26.506666666666664</v>
      </c>
      <c r="J159" s="70">
        <v>1</v>
      </c>
      <c r="K159" s="70">
        <f>SUMIFS(VENTAS[Cantidad],VENTAS[Código del producto Vendido],STOCK[[#This Row],[Code]])</f>
        <v>1</v>
      </c>
      <c r="L159" s="70">
        <f>STOCK[[#This Row],[Entradas]]-STOCK[[#This Row],[Salidas]]</f>
        <v>0</v>
      </c>
      <c r="M159" s="54">
        <f>STOCK[[#This Row],[Precio Final]]*10%</f>
        <v>3.5</v>
      </c>
      <c r="N159" s="54">
        <v>147.97999999999999</v>
      </c>
      <c r="O159" s="54">
        <v>18</v>
      </c>
      <c r="P159" s="54">
        <v>8.2211111111111101</v>
      </c>
      <c r="Q159" s="70">
        <v>350</v>
      </c>
      <c r="R159" s="54">
        <v>17</v>
      </c>
      <c r="S159" s="54">
        <f>STOCK[[#This Row],[Peso (g)]]*STOCK[[#This Row],[Precio Envío Kilogramo (USD)]]/1000</f>
        <v>5.95</v>
      </c>
      <c r="T159" s="53">
        <f>STOCK[[#This Row],[Costo Unitario (USD)]]+STOCK[[#This Row],[Costo Envío (USD)]]+STOCK[[#This Row],[Comisión 10%]]</f>
        <v>17.671111111111109</v>
      </c>
      <c r="U159" s="54">
        <f>STOCK[[#This Row],[Costo total]]*1.5</f>
        <v>26.506666666666664</v>
      </c>
      <c r="V159" s="54">
        <v>35</v>
      </c>
      <c r="W159" s="54">
        <f>STOCK[[#This Row],[Precio Final]]-STOCK[[#This Row],[Costo total]]</f>
        <v>17.328888888888891</v>
      </c>
      <c r="X159" s="54">
        <f>STOCK[[#This Row],[Ganancia Unitaria]]*STOCK[[#This Row],[Salidas]]</f>
        <v>17.328888888888891</v>
      </c>
      <c r="AA159" s="54">
        <f>STOCK[[#This Row],[Costo total]]*STOCK[[#This Row],[Entradas]]</f>
        <v>17.671111111111109</v>
      </c>
      <c r="AB159" s="54">
        <f>STOCK[[#This Row],[Stock Actual]]*STOCK[[#This Row],[Costo total]]</f>
        <v>0</v>
      </c>
      <c r="AC159" s="54">
        <v>25</v>
      </c>
    </row>
    <row r="160" spans="1:29" s="53" customFormat="1" ht="50" customHeight="1">
      <c r="A160" s="53" t="s">
        <v>360</v>
      </c>
      <c r="B160" s="64"/>
      <c r="C160" s="53" t="s">
        <v>32</v>
      </c>
      <c r="D160" s="53" t="s">
        <v>152</v>
      </c>
      <c r="E160" s="65" t="s">
        <v>361</v>
      </c>
      <c r="F160" s="53" t="s">
        <v>40</v>
      </c>
      <c r="G160" s="53" t="s">
        <v>36</v>
      </c>
      <c r="H160" s="53">
        <f>STOCK[[#This Row],[Precio Final]]</f>
        <v>20</v>
      </c>
      <c r="I160" s="53">
        <f>STOCK[[#This Row],[Precio Venta Ideal (x1.5)]]</f>
        <v>22.324999999999953</v>
      </c>
      <c r="J160" s="69">
        <v>1</v>
      </c>
      <c r="K160" s="69">
        <f>SUMIFS(VENTAS[Cantidad],VENTAS[Código del producto Vendido],STOCK[[#This Row],[Code]])</f>
        <v>1</v>
      </c>
      <c r="L160" s="69">
        <f>STOCK[[#This Row],[Entradas]]-STOCK[[#This Row],[Salidas]]</f>
        <v>0</v>
      </c>
      <c r="M160" s="53">
        <f>STOCK[[#This Row],[Precio Final]]*10%</f>
        <v>2</v>
      </c>
      <c r="N160" s="53">
        <v>188.7</v>
      </c>
      <c r="O160" s="53">
        <v>18</v>
      </c>
      <c r="P160" s="53">
        <v>10.483333333333301</v>
      </c>
      <c r="Q160" s="69">
        <v>300</v>
      </c>
      <c r="R160" s="53">
        <v>8</v>
      </c>
      <c r="S160" s="53">
        <f>STOCK[[#This Row],[Peso (g)]]*STOCK[[#This Row],[Precio Envío Kilogramo (USD)]]/1000</f>
        <v>2.4</v>
      </c>
      <c r="T160" s="53">
        <f>STOCK[[#This Row],[Costo Unitario (USD)]]+STOCK[[#This Row],[Costo Envío (USD)]]+STOCK[[#This Row],[Comisión 10%]]</f>
        <v>14.883333333333301</v>
      </c>
      <c r="U160" s="53">
        <f>STOCK[[#This Row],[Costo total]]*1.5</f>
        <v>22.324999999999953</v>
      </c>
      <c r="V160" s="53">
        <v>20</v>
      </c>
      <c r="W160" s="53">
        <f>STOCK[[#This Row],[Precio Final]]-STOCK[[#This Row],[Costo total]]</f>
        <v>5.1166666666666991</v>
      </c>
      <c r="X160" s="53">
        <f>STOCK[[#This Row],[Ganancia Unitaria]]*STOCK[[#This Row],[Salidas]]</f>
        <v>5.1166666666666991</v>
      </c>
      <c r="AA160" s="53">
        <f>STOCK[[#This Row],[Costo total]]*STOCK[[#This Row],[Entradas]]</f>
        <v>14.883333333333301</v>
      </c>
      <c r="AB160" s="53">
        <f>STOCK[[#This Row],[Stock Actual]]*STOCK[[#This Row],[Costo total]]</f>
        <v>0</v>
      </c>
    </row>
    <row r="161" spans="1:29" s="54" customFormat="1" ht="50" customHeight="1">
      <c r="A161" s="54" t="s">
        <v>362</v>
      </c>
      <c r="B161" s="64"/>
      <c r="C161" s="54" t="s">
        <v>32</v>
      </c>
      <c r="D161" s="54" t="s">
        <v>152</v>
      </c>
      <c r="E161" s="66" t="s">
        <v>363</v>
      </c>
      <c r="F161" s="54" t="s">
        <v>49</v>
      </c>
      <c r="G161" s="54" t="s">
        <v>36</v>
      </c>
      <c r="H161" s="54">
        <f>STOCK[[#This Row],[Precio Final]]</f>
        <v>20</v>
      </c>
      <c r="I161" s="54">
        <f>STOCK[[#This Row],[Precio Venta Ideal (x1.5)]]</f>
        <v>22.324999999999953</v>
      </c>
      <c r="J161" s="70">
        <v>1</v>
      </c>
      <c r="K161" s="70">
        <f>SUMIFS(VENTAS[Cantidad],VENTAS[Código del producto Vendido],STOCK[[#This Row],[Code]])</f>
        <v>1</v>
      </c>
      <c r="L161" s="70">
        <f>STOCK[[#This Row],[Entradas]]-STOCK[[#This Row],[Salidas]]</f>
        <v>0</v>
      </c>
      <c r="M161" s="54">
        <f>STOCK[[#This Row],[Precio Final]]*10%</f>
        <v>2</v>
      </c>
      <c r="N161" s="54">
        <v>188.7</v>
      </c>
      <c r="O161" s="54">
        <v>18</v>
      </c>
      <c r="P161" s="54">
        <v>10.483333333333301</v>
      </c>
      <c r="Q161" s="70">
        <v>300</v>
      </c>
      <c r="R161" s="54">
        <v>8</v>
      </c>
      <c r="S161" s="54">
        <f>STOCK[[#This Row],[Peso (g)]]*STOCK[[#This Row],[Precio Envío Kilogramo (USD)]]/1000</f>
        <v>2.4</v>
      </c>
      <c r="T161" s="53">
        <f>STOCK[[#This Row],[Costo Unitario (USD)]]+STOCK[[#This Row],[Costo Envío (USD)]]+STOCK[[#This Row],[Comisión 10%]]</f>
        <v>14.883333333333301</v>
      </c>
      <c r="U161" s="54">
        <f>STOCK[[#This Row],[Costo total]]*1.5</f>
        <v>22.324999999999953</v>
      </c>
      <c r="V161" s="54">
        <v>20</v>
      </c>
      <c r="W161" s="54">
        <f>STOCK[[#This Row],[Precio Final]]-STOCK[[#This Row],[Costo total]]</f>
        <v>5.1166666666666991</v>
      </c>
      <c r="X161" s="54">
        <f>STOCK[[#This Row],[Ganancia Unitaria]]*STOCK[[#This Row],[Salidas]]</f>
        <v>5.1166666666666991</v>
      </c>
      <c r="AA161" s="54">
        <f>STOCK[[#This Row],[Costo total]]*STOCK[[#This Row],[Entradas]]</f>
        <v>14.883333333333301</v>
      </c>
      <c r="AB161" s="54">
        <f>STOCK[[#This Row],[Stock Actual]]*STOCK[[#This Row],[Costo total]]</f>
        <v>0</v>
      </c>
    </row>
    <row r="162" spans="1:29" s="53" customFormat="1" ht="50" customHeight="1">
      <c r="A162" s="53" t="s">
        <v>364</v>
      </c>
      <c r="B162" s="64"/>
      <c r="C162" s="53" t="s">
        <v>32</v>
      </c>
      <c r="D162" s="53" t="s">
        <v>216</v>
      </c>
      <c r="E162" s="65" t="s">
        <v>365</v>
      </c>
      <c r="F162" s="53" t="s">
        <v>339</v>
      </c>
      <c r="G162" s="53" t="s">
        <v>36</v>
      </c>
      <c r="H162" s="53">
        <f>STOCK[[#This Row],[Precio Final]]</f>
        <v>30</v>
      </c>
      <c r="I162" s="53">
        <f>STOCK[[#This Row],[Precio Venta Ideal (x1.5)]]</f>
        <v>22.842499999999994</v>
      </c>
      <c r="J162" s="69">
        <v>1</v>
      </c>
      <c r="K162" s="69">
        <f>SUMIFS(VENTAS[Cantidad],VENTAS[Código del producto Vendido],STOCK[[#This Row],[Code]])</f>
        <v>0</v>
      </c>
      <c r="L162" s="69">
        <f>STOCK[[#This Row],[Entradas]]-STOCK[[#This Row],[Salidas]]</f>
        <v>1</v>
      </c>
      <c r="M162" s="53">
        <f>STOCK[[#This Row],[Precio Final]]*10%</f>
        <v>3</v>
      </c>
      <c r="N162" s="53">
        <v>158.91</v>
      </c>
      <c r="O162" s="53">
        <v>18</v>
      </c>
      <c r="P162" s="53">
        <v>8.8283333333333296</v>
      </c>
      <c r="Q162" s="69">
        <v>200</v>
      </c>
      <c r="R162" s="53">
        <v>17</v>
      </c>
      <c r="S162" s="53">
        <f>STOCK[[#This Row],[Peso (g)]]*STOCK[[#This Row],[Precio Envío Kilogramo (USD)]]/1000</f>
        <v>3.4</v>
      </c>
      <c r="T162" s="53">
        <f>STOCK[[#This Row],[Costo Unitario (USD)]]+STOCK[[#This Row],[Costo Envío (USD)]]+STOCK[[#This Row],[Comisión 10%]]</f>
        <v>15.22833333333333</v>
      </c>
      <c r="U162" s="53">
        <f>STOCK[[#This Row],[Costo total]]*1.5</f>
        <v>22.842499999999994</v>
      </c>
      <c r="V162" s="53">
        <v>30</v>
      </c>
      <c r="W162" s="53">
        <f>STOCK[[#This Row],[Precio Final]]-STOCK[[#This Row],[Costo total]]</f>
        <v>14.77166666666667</v>
      </c>
      <c r="X162" s="53">
        <f>STOCK[[#This Row],[Ganancia Unitaria]]*STOCK[[#This Row],[Salidas]]</f>
        <v>0</v>
      </c>
      <c r="AA162" s="53">
        <f>STOCK[[#This Row],[Costo total]]*STOCK[[#This Row],[Entradas]]</f>
        <v>15.22833333333333</v>
      </c>
      <c r="AB162" s="53">
        <f>STOCK[[#This Row],[Stock Actual]]*STOCK[[#This Row],[Costo total]]</f>
        <v>15.22833333333333</v>
      </c>
      <c r="AC162" s="53">
        <v>18</v>
      </c>
    </row>
    <row r="163" spans="1:29" s="54" customFormat="1" ht="50" customHeight="1">
      <c r="A163" s="54" t="s">
        <v>366</v>
      </c>
      <c r="B163" s="64"/>
      <c r="C163" s="54" t="s">
        <v>32</v>
      </c>
      <c r="D163" s="54" t="s">
        <v>44</v>
      </c>
      <c r="E163" s="66" t="s">
        <v>367</v>
      </c>
      <c r="F163" s="54" t="s">
        <v>40</v>
      </c>
      <c r="G163" s="54" t="s">
        <v>36</v>
      </c>
      <c r="H163" s="54">
        <f>STOCK[[#This Row],[Precio Final]]</f>
        <v>16</v>
      </c>
      <c r="I163" s="54">
        <f>STOCK[[#This Row],[Precio Venta Ideal (x1.5)]]</f>
        <v>21.155833333333334</v>
      </c>
      <c r="J163" s="70">
        <v>1</v>
      </c>
      <c r="K163" s="70">
        <f>SUMIFS(VENTAS[Cantidad],VENTAS[Código del producto Vendido],STOCK[[#This Row],[Code]])</f>
        <v>1</v>
      </c>
      <c r="L163" s="70">
        <f>STOCK[[#This Row],[Entradas]]-STOCK[[#This Row],[Salidas]]</f>
        <v>0</v>
      </c>
      <c r="M163" s="54">
        <f>STOCK[[#This Row],[Precio Final]]*10%</f>
        <v>1.6</v>
      </c>
      <c r="N163" s="54">
        <v>163.87</v>
      </c>
      <c r="O163" s="54">
        <v>18</v>
      </c>
      <c r="P163" s="54">
        <v>9.1038888888888891</v>
      </c>
      <c r="Q163" s="70">
        <v>200</v>
      </c>
      <c r="R163" s="54">
        <v>17</v>
      </c>
      <c r="S163" s="54">
        <f>STOCK[[#This Row],[Peso (g)]]*STOCK[[#This Row],[Precio Envío Kilogramo (USD)]]/1000</f>
        <v>3.4</v>
      </c>
      <c r="T163" s="53">
        <f>STOCK[[#This Row],[Costo Unitario (USD)]]+STOCK[[#This Row],[Costo Envío (USD)]]+STOCK[[#This Row],[Comisión 10%]]</f>
        <v>14.103888888888889</v>
      </c>
      <c r="U163" s="54">
        <f>STOCK[[#This Row],[Costo total]]*1.5</f>
        <v>21.155833333333334</v>
      </c>
      <c r="V163" s="54">
        <v>16</v>
      </c>
      <c r="W163" s="54">
        <f>STOCK[[#This Row],[Precio Final]]-STOCK[[#This Row],[Costo total]]</f>
        <v>1.8961111111111109</v>
      </c>
      <c r="X163" s="54">
        <f>STOCK[[#This Row],[Ganancia Unitaria]]*STOCK[[#This Row],[Salidas]]</f>
        <v>1.8961111111111109</v>
      </c>
      <c r="AA163" s="54">
        <f>STOCK[[#This Row],[Costo total]]*STOCK[[#This Row],[Entradas]]</f>
        <v>14.103888888888889</v>
      </c>
      <c r="AB163" s="54">
        <f>STOCK[[#This Row],[Stock Actual]]*STOCK[[#This Row],[Costo total]]</f>
        <v>0</v>
      </c>
    </row>
    <row r="164" spans="1:29" s="53" customFormat="1" ht="50" customHeight="1">
      <c r="A164" s="53" t="s">
        <v>368</v>
      </c>
      <c r="B164" s="64"/>
      <c r="C164" s="53" t="s">
        <v>32</v>
      </c>
      <c r="D164" s="53" t="s">
        <v>44</v>
      </c>
      <c r="E164" s="65" t="s">
        <v>369</v>
      </c>
      <c r="F164" s="53" t="s">
        <v>40</v>
      </c>
      <c r="G164" s="53" t="s">
        <v>36</v>
      </c>
      <c r="H164" s="53">
        <f>STOCK[[#This Row],[Precio Final]]</f>
        <v>16</v>
      </c>
      <c r="I164" s="53">
        <f>STOCK[[#This Row],[Precio Venta Ideal (x1.5)]]</f>
        <v>21.6525</v>
      </c>
      <c r="J164" s="69">
        <v>1</v>
      </c>
      <c r="K164" s="69">
        <f>SUMIFS(VENTAS[Cantidad],VENTAS[Código del producto Vendido],STOCK[[#This Row],[Code]])</f>
        <v>1</v>
      </c>
      <c r="L164" s="69">
        <f>STOCK[[#This Row],[Entradas]]-STOCK[[#This Row],[Salidas]]</f>
        <v>0</v>
      </c>
      <c r="M164" s="53">
        <f>STOCK[[#This Row],[Precio Final]]*10%</f>
        <v>1.6</v>
      </c>
      <c r="N164" s="53">
        <v>169.83</v>
      </c>
      <c r="O164" s="53">
        <v>18</v>
      </c>
      <c r="P164" s="53">
        <v>9.4350000000000005</v>
      </c>
      <c r="Q164" s="69">
        <v>200</v>
      </c>
      <c r="R164" s="53">
        <v>17</v>
      </c>
      <c r="S164" s="53">
        <f>STOCK[[#This Row],[Peso (g)]]*STOCK[[#This Row],[Precio Envío Kilogramo (USD)]]/1000</f>
        <v>3.4</v>
      </c>
      <c r="T164" s="53">
        <f>STOCK[[#This Row],[Costo Unitario (USD)]]+STOCK[[#This Row],[Costo Envío (USD)]]+STOCK[[#This Row],[Comisión 10%]]</f>
        <v>14.435</v>
      </c>
      <c r="U164" s="53">
        <f>STOCK[[#This Row],[Costo total]]*1.5</f>
        <v>21.6525</v>
      </c>
      <c r="V164" s="53">
        <v>16</v>
      </c>
      <c r="W164" s="53">
        <f>STOCK[[#This Row],[Precio Final]]-STOCK[[#This Row],[Costo total]]</f>
        <v>1.5649999999999995</v>
      </c>
      <c r="X164" s="53">
        <f>STOCK[[#This Row],[Ganancia Unitaria]]*STOCK[[#This Row],[Salidas]]</f>
        <v>1.5649999999999995</v>
      </c>
      <c r="AA164" s="53">
        <f>STOCK[[#This Row],[Costo total]]*STOCK[[#This Row],[Entradas]]</f>
        <v>14.435</v>
      </c>
      <c r="AB164" s="53">
        <f>STOCK[[#This Row],[Stock Actual]]*STOCK[[#This Row],[Costo total]]</f>
        <v>0</v>
      </c>
    </row>
    <row r="165" spans="1:29" s="54" customFormat="1" ht="50" customHeight="1">
      <c r="A165" s="54" t="s">
        <v>370</v>
      </c>
      <c r="B165" s="64"/>
      <c r="C165" s="54" t="s">
        <v>32</v>
      </c>
      <c r="D165" s="54" t="s">
        <v>371</v>
      </c>
      <c r="E165" s="66" t="s">
        <v>372</v>
      </c>
      <c r="F165" s="54" t="s">
        <v>46</v>
      </c>
      <c r="G165" s="54" t="s">
        <v>36</v>
      </c>
      <c r="H165" s="54">
        <f>STOCK[[#This Row],[Precio Final]]</f>
        <v>30</v>
      </c>
      <c r="I165" s="54">
        <f>STOCK[[#This Row],[Precio Venta Ideal (x1.5)]]</f>
        <v>23.183333333333401</v>
      </c>
      <c r="J165" s="70">
        <v>1</v>
      </c>
      <c r="K165" s="70">
        <f>SUMIFS(VENTAS[Cantidad],VENTAS[Código del producto Vendido],STOCK[[#This Row],[Code]])</f>
        <v>1</v>
      </c>
      <c r="L165" s="70">
        <f>STOCK[[#This Row],[Entradas]]-STOCK[[#This Row],[Salidas]]</f>
        <v>0</v>
      </c>
      <c r="M165" s="54">
        <f>STOCK[[#This Row],[Precio Final]]*10%</f>
        <v>3</v>
      </c>
      <c r="N165" s="54">
        <v>202.6</v>
      </c>
      <c r="O165" s="54">
        <v>18</v>
      </c>
      <c r="P165" s="54">
        <v>11.255555555555601</v>
      </c>
      <c r="Q165" s="70">
        <v>150</v>
      </c>
      <c r="R165" s="54">
        <v>8</v>
      </c>
      <c r="S165" s="54">
        <f>STOCK[[#This Row],[Peso (g)]]*STOCK[[#This Row],[Precio Envío Kilogramo (USD)]]/1000</f>
        <v>1.2</v>
      </c>
      <c r="T165" s="53">
        <f>STOCK[[#This Row],[Costo Unitario (USD)]]+STOCK[[#This Row],[Costo Envío (USD)]]+STOCK[[#This Row],[Comisión 10%]]</f>
        <v>15.4555555555556</v>
      </c>
      <c r="U165" s="54">
        <f>STOCK[[#This Row],[Costo total]]*1.5</f>
        <v>23.183333333333401</v>
      </c>
      <c r="V165" s="54">
        <v>30</v>
      </c>
      <c r="W165" s="54">
        <f>STOCK[[#This Row],[Precio Final]]-STOCK[[#This Row],[Costo total]]</f>
        <v>14.5444444444444</v>
      </c>
      <c r="X165" s="54">
        <f>STOCK[[#This Row],[Ganancia Unitaria]]*STOCK[[#This Row],[Salidas]]</f>
        <v>14.5444444444444</v>
      </c>
      <c r="AA165" s="54">
        <f>STOCK[[#This Row],[Costo total]]*STOCK[[#This Row],[Entradas]]</f>
        <v>15.4555555555556</v>
      </c>
      <c r="AB165" s="54">
        <f>STOCK[[#This Row],[Stock Actual]]*STOCK[[#This Row],[Costo total]]</f>
        <v>0</v>
      </c>
    </row>
    <row r="166" spans="1:29" s="53" customFormat="1" ht="50" customHeight="1">
      <c r="A166" s="53" t="s">
        <v>373</v>
      </c>
      <c r="B166" s="64"/>
      <c r="C166" s="53" t="s">
        <v>32</v>
      </c>
      <c r="D166" s="53" t="s">
        <v>44</v>
      </c>
      <c r="E166" s="65" t="s">
        <v>374</v>
      </c>
      <c r="F166" s="53" t="s">
        <v>46</v>
      </c>
      <c r="G166" s="53" t="s">
        <v>36</v>
      </c>
      <c r="H166" s="53">
        <f>STOCK[[#This Row],[Precio Final]]</f>
        <v>12</v>
      </c>
      <c r="I166" s="53">
        <f>STOCK[[#This Row],[Precio Venta Ideal (x1.5)]]</f>
        <v>14.361666666666663</v>
      </c>
      <c r="J166" s="69">
        <v>1</v>
      </c>
      <c r="K166" s="69">
        <f>SUMIFS(VENTAS[Cantidad],VENTAS[Código del producto Vendido],STOCK[[#This Row],[Code]])</f>
        <v>1</v>
      </c>
      <c r="L166" s="69">
        <f>STOCK[[#This Row],[Entradas]]-STOCK[[#This Row],[Salidas]]</f>
        <v>0</v>
      </c>
      <c r="M166" s="53">
        <f>STOCK[[#This Row],[Precio Final]]*10%</f>
        <v>1.2000000000000002</v>
      </c>
      <c r="N166" s="53">
        <v>95.66</v>
      </c>
      <c r="O166" s="53">
        <v>18</v>
      </c>
      <c r="P166" s="53">
        <v>5.3144444444444403</v>
      </c>
      <c r="Q166" s="69">
        <v>180</v>
      </c>
      <c r="R166" s="53">
        <v>17</v>
      </c>
      <c r="S166" s="53">
        <f>STOCK[[#This Row],[Peso (g)]]*STOCK[[#This Row],[Precio Envío Kilogramo (USD)]]/1000</f>
        <v>3.06</v>
      </c>
      <c r="T166" s="53">
        <f>STOCK[[#This Row],[Costo Unitario (USD)]]+STOCK[[#This Row],[Costo Envío (USD)]]+STOCK[[#This Row],[Comisión 10%]]</f>
        <v>9.5744444444444419</v>
      </c>
      <c r="U166" s="53">
        <f>STOCK[[#This Row],[Costo total]]*1.5</f>
        <v>14.361666666666663</v>
      </c>
      <c r="V166" s="53">
        <v>12</v>
      </c>
      <c r="W166" s="53">
        <f>STOCK[[#This Row],[Precio Final]]-STOCK[[#This Row],[Costo total]]</f>
        <v>2.4255555555555581</v>
      </c>
      <c r="X166" s="53">
        <f>STOCK[[#This Row],[Ganancia Unitaria]]*STOCK[[#This Row],[Salidas]]</f>
        <v>2.4255555555555581</v>
      </c>
      <c r="AA166" s="53">
        <f>STOCK[[#This Row],[Costo total]]*STOCK[[#This Row],[Entradas]]</f>
        <v>9.5744444444444419</v>
      </c>
      <c r="AB166" s="53">
        <f>STOCK[[#This Row],[Stock Actual]]*STOCK[[#This Row],[Costo total]]</f>
        <v>0</v>
      </c>
    </row>
    <row r="167" spans="1:29" s="54" customFormat="1" ht="50" customHeight="1">
      <c r="A167" s="54" t="s">
        <v>375</v>
      </c>
      <c r="B167" s="64"/>
      <c r="C167" s="54" t="s">
        <v>32</v>
      </c>
      <c r="D167" s="54" t="s">
        <v>44</v>
      </c>
      <c r="E167" s="66" t="s">
        <v>376</v>
      </c>
      <c r="F167" s="54" t="s">
        <v>46</v>
      </c>
      <c r="G167" s="54" t="s">
        <v>36</v>
      </c>
      <c r="H167" s="54">
        <f>STOCK[[#This Row],[Precio Final]]</f>
        <v>30</v>
      </c>
      <c r="I167" s="54">
        <f>STOCK[[#This Row],[Precio Venta Ideal (x1.5)]]</f>
        <v>33.686666666666696</v>
      </c>
      <c r="J167" s="70">
        <v>1</v>
      </c>
      <c r="K167" s="70">
        <f>SUMIFS(VENTAS[Cantidad],VENTAS[Código del producto Vendido],STOCK[[#This Row],[Code]])</f>
        <v>1</v>
      </c>
      <c r="L167" s="70">
        <f>STOCK[[#This Row],[Entradas]]-STOCK[[#This Row],[Salidas]]</f>
        <v>0</v>
      </c>
      <c r="M167" s="54">
        <f>STOCK[[#This Row],[Precio Final]]*10%</f>
        <v>3</v>
      </c>
      <c r="N167" s="54">
        <v>289.04000000000002</v>
      </c>
      <c r="O167" s="54">
        <v>18</v>
      </c>
      <c r="P167" s="54">
        <v>16.057777777777801</v>
      </c>
      <c r="Q167" s="70">
        <v>200</v>
      </c>
      <c r="R167" s="54">
        <v>17</v>
      </c>
      <c r="S167" s="54">
        <f>STOCK[[#This Row],[Peso (g)]]*STOCK[[#This Row],[Precio Envío Kilogramo (USD)]]/1000</f>
        <v>3.4</v>
      </c>
      <c r="T167" s="53">
        <f>STOCK[[#This Row],[Costo Unitario (USD)]]+STOCK[[#This Row],[Costo Envío (USD)]]+STOCK[[#This Row],[Comisión 10%]]</f>
        <v>22.4577777777778</v>
      </c>
      <c r="U167" s="54">
        <f>STOCK[[#This Row],[Costo total]]*1.5</f>
        <v>33.686666666666696</v>
      </c>
      <c r="V167" s="54">
        <v>30</v>
      </c>
      <c r="W167" s="54">
        <f>STOCK[[#This Row],[Precio Final]]-STOCK[[#This Row],[Costo total]]</f>
        <v>7.5422222222222004</v>
      </c>
      <c r="X167" s="54">
        <f>STOCK[[#This Row],[Ganancia Unitaria]]*STOCK[[#This Row],[Salidas]]</f>
        <v>7.5422222222222004</v>
      </c>
      <c r="AA167" s="54">
        <f>STOCK[[#This Row],[Costo total]]*STOCK[[#This Row],[Entradas]]</f>
        <v>22.4577777777778</v>
      </c>
      <c r="AB167" s="54">
        <f>STOCK[[#This Row],[Stock Actual]]*STOCK[[#This Row],[Costo total]]</f>
        <v>0</v>
      </c>
    </row>
    <row r="168" spans="1:29" s="53" customFormat="1" ht="50" customHeight="1">
      <c r="A168" s="53" t="s">
        <v>377</v>
      </c>
      <c r="B168" s="64"/>
      <c r="C168" s="53" t="s">
        <v>32</v>
      </c>
      <c r="D168" s="53" t="s">
        <v>44</v>
      </c>
      <c r="E168" s="65" t="s">
        <v>378</v>
      </c>
      <c r="F168" s="53" t="s">
        <v>46</v>
      </c>
      <c r="G168" s="53" t="s">
        <v>36</v>
      </c>
      <c r="H168" s="53">
        <f>STOCK[[#This Row],[Precio Final]]</f>
        <v>12</v>
      </c>
      <c r="I168" s="53">
        <f>STOCK[[#This Row],[Precio Venta Ideal (x1.5)]]</f>
        <v>12.672499999999996</v>
      </c>
      <c r="J168" s="69">
        <v>1</v>
      </c>
      <c r="K168" s="69">
        <f>SUMIFS(VENTAS[Cantidad],VENTAS[Código del producto Vendido],STOCK[[#This Row],[Code]])</f>
        <v>1</v>
      </c>
      <c r="L168" s="69">
        <f>STOCK[[#This Row],[Entradas]]-STOCK[[#This Row],[Salidas]]</f>
        <v>0</v>
      </c>
      <c r="M168" s="53">
        <f>STOCK[[#This Row],[Precio Final]]*10%</f>
        <v>1.2000000000000002</v>
      </c>
      <c r="N168" s="53">
        <v>84.57</v>
      </c>
      <c r="O168" s="53">
        <v>18</v>
      </c>
      <c r="P168" s="53">
        <v>4.6983333333333297</v>
      </c>
      <c r="Q168" s="69">
        <v>150</v>
      </c>
      <c r="R168" s="53">
        <v>17</v>
      </c>
      <c r="S168" s="53">
        <f>STOCK[[#This Row],[Peso (g)]]*STOCK[[#This Row],[Precio Envío Kilogramo (USD)]]/1000</f>
        <v>2.5499999999999998</v>
      </c>
      <c r="T168" s="53">
        <f>STOCK[[#This Row],[Costo Unitario (USD)]]+STOCK[[#This Row],[Costo Envío (USD)]]+STOCK[[#This Row],[Comisión 10%]]</f>
        <v>8.4483333333333306</v>
      </c>
      <c r="U168" s="53">
        <f>STOCK[[#This Row],[Costo total]]*1.5</f>
        <v>12.672499999999996</v>
      </c>
      <c r="V168" s="53">
        <v>12</v>
      </c>
      <c r="W168" s="53">
        <f>STOCK[[#This Row],[Precio Final]]-STOCK[[#This Row],[Costo total]]</f>
        <v>3.5516666666666694</v>
      </c>
      <c r="X168" s="53">
        <f>STOCK[[#This Row],[Ganancia Unitaria]]*STOCK[[#This Row],[Salidas]]</f>
        <v>3.5516666666666694</v>
      </c>
      <c r="AA168" s="53">
        <f>STOCK[[#This Row],[Costo total]]*STOCK[[#This Row],[Entradas]]</f>
        <v>8.4483333333333306</v>
      </c>
      <c r="AB168" s="53">
        <f>STOCK[[#This Row],[Stock Actual]]*STOCK[[#This Row],[Costo total]]</f>
        <v>0</v>
      </c>
    </row>
    <row r="169" spans="1:29" s="54" customFormat="1" ht="50" customHeight="1">
      <c r="A169" s="54" t="s">
        <v>379</v>
      </c>
      <c r="B169" s="64"/>
      <c r="C169" s="54" t="s">
        <v>32</v>
      </c>
      <c r="D169" s="54" t="s">
        <v>44</v>
      </c>
      <c r="E169" s="66" t="s">
        <v>380</v>
      </c>
      <c r="F169" s="54" t="s">
        <v>40</v>
      </c>
      <c r="G169" s="54" t="s">
        <v>36</v>
      </c>
      <c r="H169" s="54">
        <f>STOCK[[#This Row],[Precio Final]]</f>
        <v>12</v>
      </c>
      <c r="I169" s="54">
        <f>STOCK[[#This Row],[Precio Venta Ideal (x1.5)]]</f>
        <v>12.672499999999996</v>
      </c>
      <c r="J169" s="70">
        <v>1</v>
      </c>
      <c r="K169" s="70">
        <f>SUMIFS(VENTAS[Cantidad],VENTAS[Código del producto Vendido],STOCK[[#This Row],[Code]])</f>
        <v>1</v>
      </c>
      <c r="L169" s="70">
        <f>STOCK[[#This Row],[Entradas]]-STOCK[[#This Row],[Salidas]]</f>
        <v>0</v>
      </c>
      <c r="M169" s="54">
        <f>STOCK[[#This Row],[Precio Final]]*10%</f>
        <v>1.2000000000000002</v>
      </c>
      <c r="N169" s="54">
        <v>84.57</v>
      </c>
      <c r="O169" s="54">
        <v>18</v>
      </c>
      <c r="P169" s="54">
        <v>4.6983333333333297</v>
      </c>
      <c r="Q169" s="70">
        <v>150</v>
      </c>
      <c r="R169" s="54">
        <v>17</v>
      </c>
      <c r="S169" s="54">
        <f>STOCK[[#This Row],[Peso (g)]]*STOCK[[#This Row],[Precio Envío Kilogramo (USD)]]/1000</f>
        <v>2.5499999999999998</v>
      </c>
      <c r="T169" s="53">
        <f>STOCK[[#This Row],[Costo Unitario (USD)]]+STOCK[[#This Row],[Costo Envío (USD)]]+STOCK[[#This Row],[Comisión 10%]]</f>
        <v>8.4483333333333306</v>
      </c>
      <c r="U169" s="54">
        <f>STOCK[[#This Row],[Costo total]]*1.5</f>
        <v>12.672499999999996</v>
      </c>
      <c r="V169" s="54">
        <v>12</v>
      </c>
      <c r="W169" s="54">
        <f>STOCK[[#This Row],[Precio Final]]-STOCK[[#This Row],[Costo total]]</f>
        <v>3.5516666666666694</v>
      </c>
      <c r="X169" s="54">
        <f>STOCK[[#This Row],[Ganancia Unitaria]]*STOCK[[#This Row],[Salidas]]</f>
        <v>3.5516666666666694</v>
      </c>
      <c r="AA169" s="54">
        <f>STOCK[[#This Row],[Costo total]]*STOCK[[#This Row],[Entradas]]</f>
        <v>8.4483333333333306</v>
      </c>
      <c r="AB169" s="54">
        <f>STOCK[[#This Row],[Stock Actual]]*STOCK[[#This Row],[Costo total]]</f>
        <v>0</v>
      </c>
    </row>
    <row r="170" spans="1:29" s="53" customFormat="1" ht="50" customHeight="1">
      <c r="A170" s="53" t="s">
        <v>381</v>
      </c>
      <c r="B170" s="64"/>
      <c r="C170" s="53" t="s">
        <v>32</v>
      </c>
      <c r="D170" s="53" t="s">
        <v>216</v>
      </c>
      <c r="E170" s="65" t="s">
        <v>382</v>
      </c>
      <c r="F170" s="53" t="s">
        <v>62</v>
      </c>
      <c r="G170" s="53" t="s">
        <v>36</v>
      </c>
      <c r="H170" s="53">
        <f>STOCK[[#This Row],[Precio Final]]</f>
        <v>18</v>
      </c>
      <c r="I170" s="53">
        <f>STOCK[[#This Row],[Precio Venta Ideal (x1.5)]]</f>
        <v>14.900833333333336</v>
      </c>
      <c r="J170" s="69">
        <v>1</v>
      </c>
      <c r="K170" s="69">
        <f>SUMIFS(VENTAS[Cantidad],VENTAS[Código del producto Vendido],STOCK[[#This Row],[Code]])</f>
        <v>0</v>
      </c>
      <c r="L170" s="69">
        <f>STOCK[[#This Row],[Entradas]]-STOCK[[#This Row],[Salidas]]</f>
        <v>1</v>
      </c>
      <c r="M170" s="53">
        <f>STOCK[[#This Row],[Precio Final]]*10%</f>
        <v>1.8</v>
      </c>
      <c r="N170" s="53">
        <v>100.51</v>
      </c>
      <c r="O170" s="53">
        <v>18</v>
      </c>
      <c r="P170" s="53">
        <v>5.5838888888888896</v>
      </c>
      <c r="Q170" s="69">
        <v>150</v>
      </c>
      <c r="R170" s="53">
        <v>17</v>
      </c>
      <c r="S170" s="53">
        <f>STOCK[[#This Row],[Peso (g)]]*STOCK[[#This Row],[Precio Envío Kilogramo (USD)]]/1000</f>
        <v>2.5499999999999998</v>
      </c>
      <c r="T170" s="53">
        <f>STOCK[[#This Row],[Costo Unitario (USD)]]+STOCK[[#This Row],[Costo Envío (USD)]]+STOCK[[#This Row],[Comisión 10%]]</f>
        <v>9.933888888888891</v>
      </c>
      <c r="U170" s="53">
        <f>STOCK[[#This Row],[Costo total]]*1.5</f>
        <v>14.900833333333336</v>
      </c>
      <c r="V170" s="53">
        <v>18</v>
      </c>
      <c r="W170" s="53">
        <f>STOCK[[#This Row],[Precio Final]]-STOCK[[#This Row],[Costo total]]</f>
        <v>8.066111111111109</v>
      </c>
      <c r="X170" s="53">
        <f>STOCK[[#This Row],[Ganancia Unitaria]]*STOCK[[#This Row],[Salidas]]</f>
        <v>0</v>
      </c>
      <c r="AA170" s="53">
        <f>STOCK[[#This Row],[Costo total]]*STOCK[[#This Row],[Entradas]]</f>
        <v>9.933888888888891</v>
      </c>
      <c r="AB170" s="53">
        <f>STOCK[[#This Row],[Stock Actual]]*STOCK[[#This Row],[Costo total]]</f>
        <v>9.933888888888891</v>
      </c>
    </row>
    <row r="171" spans="1:29" s="54" customFormat="1" ht="50" customHeight="1">
      <c r="A171" s="54" t="s">
        <v>383</v>
      </c>
      <c r="B171" s="64"/>
      <c r="C171" s="54" t="s">
        <v>32</v>
      </c>
      <c r="D171" s="54" t="s">
        <v>351</v>
      </c>
      <c r="E171" s="66" t="s">
        <v>384</v>
      </c>
      <c r="F171" s="54" t="s">
        <v>385</v>
      </c>
      <c r="G171" s="54" t="s">
        <v>36</v>
      </c>
      <c r="H171" s="54">
        <f>STOCK[[#This Row],[Precio Final]]</f>
        <v>10</v>
      </c>
      <c r="I171" s="54">
        <f>STOCK[[#This Row],[Precio Venta Ideal (x1.5)]]</f>
        <v>10.094166666666659</v>
      </c>
      <c r="J171" s="70">
        <v>1</v>
      </c>
      <c r="K171" s="70">
        <f>SUMIFS(VENTAS[Cantidad],VENTAS[Código del producto Vendido],STOCK[[#This Row],[Code]])</f>
        <v>1</v>
      </c>
      <c r="L171" s="70">
        <f>STOCK[[#This Row],[Entradas]]-STOCK[[#This Row],[Salidas]]</f>
        <v>0</v>
      </c>
      <c r="M171" s="54">
        <f>STOCK[[#This Row],[Precio Final]]*10%</f>
        <v>1</v>
      </c>
      <c r="N171" s="54">
        <v>88.73</v>
      </c>
      <c r="O171" s="54">
        <v>18</v>
      </c>
      <c r="P171" s="54">
        <v>4.9294444444444396</v>
      </c>
      <c r="Q171" s="70">
        <v>100</v>
      </c>
      <c r="R171" s="54">
        <v>8</v>
      </c>
      <c r="S171" s="54">
        <f>STOCK[[#This Row],[Peso (g)]]*STOCK[[#This Row],[Precio Envío Kilogramo (USD)]]/1000</f>
        <v>0.8</v>
      </c>
      <c r="T171" s="53">
        <f>STOCK[[#This Row],[Costo Unitario (USD)]]+STOCK[[#This Row],[Costo Envío (USD)]]+STOCK[[#This Row],[Comisión 10%]]</f>
        <v>6.7294444444444395</v>
      </c>
      <c r="U171" s="54">
        <f>STOCK[[#This Row],[Costo total]]*1.5</f>
        <v>10.094166666666659</v>
      </c>
      <c r="V171" s="54">
        <v>10</v>
      </c>
      <c r="W171" s="54">
        <f>STOCK[[#This Row],[Precio Final]]-STOCK[[#This Row],[Costo total]]</f>
        <v>3.2705555555555605</v>
      </c>
      <c r="X171" s="54">
        <f>STOCK[[#This Row],[Ganancia Unitaria]]*STOCK[[#This Row],[Salidas]]</f>
        <v>3.2705555555555605</v>
      </c>
      <c r="AA171" s="54">
        <f>STOCK[[#This Row],[Costo total]]*STOCK[[#This Row],[Entradas]]</f>
        <v>6.7294444444444395</v>
      </c>
      <c r="AB171" s="54">
        <f>STOCK[[#This Row],[Stock Actual]]*STOCK[[#This Row],[Costo total]]</f>
        <v>0</v>
      </c>
    </row>
    <row r="172" spans="1:29" s="53" customFormat="1" ht="50" customHeight="1">
      <c r="A172" s="53" t="s">
        <v>386</v>
      </c>
      <c r="B172" s="64"/>
      <c r="C172" s="53" t="s">
        <v>32</v>
      </c>
      <c r="D172" s="53" t="s">
        <v>351</v>
      </c>
      <c r="E172" s="65" t="s">
        <v>387</v>
      </c>
      <c r="F172" s="53" t="s">
        <v>388</v>
      </c>
      <c r="G172" s="53" t="s">
        <v>36</v>
      </c>
      <c r="H172" s="53">
        <f>STOCK[[#This Row],[Precio Final]]</f>
        <v>15</v>
      </c>
      <c r="I172" s="53">
        <f>STOCK[[#This Row],[Precio Venta Ideal (x1.5)]]</f>
        <v>13.950000000000001</v>
      </c>
      <c r="J172" s="69">
        <v>2</v>
      </c>
      <c r="K172" s="69">
        <f>SUMIFS(VENTAS[Cantidad],VENTAS[Código del producto Vendido],STOCK[[#This Row],[Code]])</f>
        <v>2</v>
      </c>
      <c r="L172" s="69">
        <f>STOCK[[#This Row],[Entradas]]-STOCK[[#This Row],[Salidas]]</f>
        <v>0</v>
      </c>
      <c r="M172" s="53">
        <f>STOCK[[#This Row],[Precio Final]]*10%</f>
        <v>1.5</v>
      </c>
      <c r="N172" s="53">
        <v>111.6</v>
      </c>
      <c r="O172" s="53">
        <v>18</v>
      </c>
      <c r="P172" s="53">
        <v>6.2</v>
      </c>
      <c r="Q172" s="69">
        <v>200</v>
      </c>
      <c r="R172" s="53">
        <v>8</v>
      </c>
      <c r="S172" s="53">
        <f>STOCK[[#This Row],[Peso (g)]]*STOCK[[#This Row],[Precio Envío Kilogramo (USD)]]/1000</f>
        <v>1.6</v>
      </c>
      <c r="T172" s="53">
        <f>STOCK[[#This Row],[Costo Unitario (USD)]]+STOCK[[#This Row],[Costo Envío (USD)]]+STOCK[[#This Row],[Comisión 10%]]</f>
        <v>9.3000000000000007</v>
      </c>
      <c r="U172" s="53">
        <f>STOCK[[#This Row],[Costo total]]*1.5</f>
        <v>13.950000000000001</v>
      </c>
      <c r="V172" s="53">
        <v>15</v>
      </c>
      <c r="W172" s="53">
        <f>STOCK[[#This Row],[Precio Final]]-STOCK[[#This Row],[Costo total]]</f>
        <v>5.6999999999999993</v>
      </c>
      <c r="X172" s="53">
        <f>STOCK[[#This Row],[Ganancia Unitaria]]*STOCK[[#This Row],[Salidas]]</f>
        <v>11.399999999999999</v>
      </c>
      <c r="AA172" s="53">
        <f>STOCK[[#This Row],[Costo total]]*STOCK[[#This Row],[Entradas]]</f>
        <v>18.600000000000001</v>
      </c>
      <c r="AB172" s="53">
        <f>STOCK[[#This Row],[Stock Actual]]*STOCK[[#This Row],[Costo total]]</f>
        <v>0</v>
      </c>
    </row>
    <row r="173" spans="1:29" s="54" customFormat="1" ht="50" customHeight="1">
      <c r="A173" s="54" t="s">
        <v>389</v>
      </c>
      <c r="B173" s="64"/>
      <c r="C173" s="54" t="s">
        <v>32</v>
      </c>
      <c r="D173" s="54" t="s">
        <v>351</v>
      </c>
      <c r="E173" s="66" t="s">
        <v>390</v>
      </c>
      <c r="F173" s="54" t="s">
        <v>388</v>
      </c>
      <c r="G173" s="54" t="s">
        <v>36</v>
      </c>
      <c r="H173" s="54">
        <f>STOCK[[#This Row],[Precio Final]]</f>
        <v>15</v>
      </c>
      <c r="I173" s="54">
        <f>STOCK[[#This Row],[Precio Venta Ideal (x1.5)]]</f>
        <v>14.296666666666667</v>
      </c>
      <c r="J173" s="70">
        <v>2</v>
      </c>
      <c r="K173" s="70">
        <f>SUMIFS(VENTAS[Cantidad],VENTAS[Código del producto Vendido],STOCK[[#This Row],[Code]])</f>
        <v>2</v>
      </c>
      <c r="L173" s="70">
        <f>STOCK[[#This Row],[Entradas]]-STOCK[[#This Row],[Salidas]]</f>
        <v>0</v>
      </c>
      <c r="M173" s="54">
        <f>STOCK[[#This Row],[Precio Final]]*10%</f>
        <v>1.5</v>
      </c>
      <c r="N173" s="54">
        <v>115.76</v>
      </c>
      <c r="O173" s="54">
        <v>18</v>
      </c>
      <c r="P173" s="54">
        <v>6.4311111111111101</v>
      </c>
      <c r="Q173" s="70">
        <v>200</v>
      </c>
      <c r="R173" s="54">
        <v>8</v>
      </c>
      <c r="S173" s="54">
        <f>STOCK[[#This Row],[Peso (g)]]*STOCK[[#This Row],[Precio Envío Kilogramo (USD)]]/1000</f>
        <v>1.6</v>
      </c>
      <c r="T173" s="53">
        <f>STOCK[[#This Row],[Costo Unitario (USD)]]+STOCK[[#This Row],[Costo Envío (USD)]]+STOCK[[#This Row],[Comisión 10%]]</f>
        <v>9.5311111111111106</v>
      </c>
      <c r="U173" s="54">
        <f>STOCK[[#This Row],[Costo total]]*1.5</f>
        <v>14.296666666666667</v>
      </c>
      <c r="V173" s="54">
        <v>15</v>
      </c>
      <c r="W173" s="54">
        <f>STOCK[[#This Row],[Precio Final]]-STOCK[[#This Row],[Costo total]]</f>
        <v>5.4688888888888894</v>
      </c>
      <c r="X173" s="54">
        <f>STOCK[[#This Row],[Ganancia Unitaria]]*STOCK[[#This Row],[Salidas]]</f>
        <v>10.937777777777779</v>
      </c>
      <c r="AA173" s="54">
        <f>STOCK[[#This Row],[Costo total]]*STOCK[[#This Row],[Entradas]]</f>
        <v>19.062222222222221</v>
      </c>
      <c r="AB173" s="54">
        <f>STOCK[[#This Row],[Stock Actual]]*STOCK[[#This Row],[Costo total]]</f>
        <v>0</v>
      </c>
    </row>
    <row r="174" spans="1:29" s="53" customFormat="1" ht="50" customHeight="1">
      <c r="A174" s="53" t="s">
        <v>391</v>
      </c>
      <c r="B174" s="64"/>
      <c r="C174" s="53" t="s">
        <v>32</v>
      </c>
      <c r="D174" s="53" t="s">
        <v>392</v>
      </c>
      <c r="E174" s="65" t="s">
        <v>393</v>
      </c>
      <c r="F174" s="53" t="s">
        <v>394</v>
      </c>
      <c r="G174" s="53" t="s">
        <v>36</v>
      </c>
      <c r="H174" s="53">
        <f>STOCK[[#This Row],[Precio Final]]</f>
        <v>0</v>
      </c>
      <c r="I174" s="53">
        <f>STOCK[[#This Row],[Precio Venta Ideal (x1.5)]]</f>
        <v>2.8600000000000052</v>
      </c>
      <c r="J174" s="69">
        <v>0</v>
      </c>
      <c r="K174" s="69">
        <f>SUMIFS(VENTAS[Cantidad],VENTAS[Código del producto Vendido],STOCK[[#This Row],[Code]])</f>
        <v>0</v>
      </c>
      <c r="L174" s="69">
        <f>STOCK[[#This Row],[Entradas]]-STOCK[[#This Row],[Salidas]]</f>
        <v>0</v>
      </c>
      <c r="M174" s="53">
        <f>STOCK[[#This Row],[Precio Final]]*10%</f>
        <v>0</v>
      </c>
      <c r="N174" s="53">
        <v>30</v>
      </c>
      <c r="O174" s="53">
        <v>18</v>
      </c>
      <c r="P174" s="53">
        <v>1.6666666666666701</v>
      </c>
      <c r="Q174" s="69">
        <v>30</v>
      </c>
      <c r="R174" s="53">
        <v>8</v>
      </c>
      <c r="S174" s="53">
        <f>STOCK[[#This Row],[Peso (g)]]*STOCK[[#This Row],[Precio Envío Kilogramo (USD)]]/1000</f>
        <v>0.24</v>
      </c>
      <c r="T174" s="53">
        <f>STOCK[[#This Row],[Costo Unitario (USD)]]+STOCK[[#This Row],[Costo Envío (USD)]]+STOCK[[#This Row],[Comisión 10%]]</f>
        <v>1.9066666666666701</v>
      </c>
      <c r="U174" s="53">
        <f>STOCK[[#This Row],[Costo total]]*1.5</f>
        <v>2.8600000000000052</v>
      </c>
      <c r="V174" s="53">
        <v>0</v>
      </c>
      <c r="W174" s="53">
        <f>STOCK[[#This Row],[Precio Final]]-STOCK[[#This Row],[Costo total]]</f>
        <v>-1.9066666666666701</v>
      </c>
      <c r="X174" s="53">
        <f>STOCK[[#This Row],[Ganancia Unitaria]]*STOCK[[#This Row],[Salidas]]</f>
        <v>0</v>
      </c>
      <c r="AA174" s="53">
        <f>STOCK[[#This Row],[Costo total]]*STOCK[[#This Row],[Entradas]]</f>
        <v>0</v>
      </c>
      <c r="AB174" s="53">
        <f>STOCK[[#This Row],[Stock Actual]]*STOCK[[#This Row],[Costo total]]</f>
        <v>0</v>
      </c>
    </row>
    <row r="175" spans="1:29" s="54" customFormat="1" ht="50" customHeight="1">
      <c r="A175" s="54" t="s">
        <v>395</v>
      </c>
      <c r="B175" s="64"/>
      <c r="C175" s="54" t="s">
        <v>32</v>
      </c>
      <c r="D175" s="54" t="s">
        <v>351</v>
      </c>
      <c r="E175" s="66" t="s">
        <v>396</v>
      </c>
      <c r="F175" s="54" t="s">
        <v>388</v>
      </c>
      <c r="G175" s="54" t="s">
        <v>36</v>
      </c>
      <c r="H175" s="54">
        <f>STOCK[[#This Row],[Precio Final]]</f>
        <v>15</v>
      </c>
      <c r="I175" s="54">
        <f>STOCK[[#This Row],[Precio Venta Ideal (x1.5)]]</f>
        <v>16.318333333333335</v>
      </c>
      <c r="J175" s="70">
        <v>2</v>
      </c>
      <c r="K175" s="70">
        <f>SUMIFS(VENTAS[Cantidad],VENTAS[Código del producto Vendido],STOCK[[#This Row],[Code]])</f>
        <v>2</v>
      </c>
      <c r="L175" s="70">
        <f>STOCK[[#This Row],[Entradas]]-STOCK[[#This Row],[Salidas]]</f>
        <v>0</v>
      </c>
      <c r="M175" s="54">
        <f>STOCK[[#This Row],[Precio Final]]*10%</f>
        <v>1.5</v>
      </c>
      <c r="N175" s="54">
        <v>140.02000000000001</v>
      </c>
      <c r="O175" s="54">
        <v>18</v>
      </c>
      <c r="P175" s="54">
        <v>7.7788888888888899</v>
      </c>
      <c r="Q175" s="70">
        <v>200</v>
      </c>
      <c r="R175" s="54">
        <v>8</v>
      </c>
      <c r="S175" s="54">
        <f>STOCK[[#This Row],[Peso (g)]]*STOCK[[#This Row],[Precio Envío Kilogramo (USD)]]/1000</f>
        <v>1.6</v>
      </c>
      <c r="T175" s="53">
        <f>STOCK[[#This Row],[Costo Unitario (USD)]]+STOCK[[#This Row],[Costo Envío (USD)]]+STOCK[[#This Row],[Comisión 10%]]</f>
        <v>10.878888888888889</v>
      </c>
      <c r="U175" s="54">
        <f>STOCK[[#This Row],[Costo total]]*1.5</f>
        <v>16.318333333333335</v>
      </c>
      <c r="V175" s="54">
        <v>15</v>
      </c>
      <c r="W175" s="54">
        <f>STOCK[[#This Row],[Precio Final]]-STOCK[[#This Row],[Costo total]]</f>
        <v>4.1211111111111105</v>
      </c>
      <c r="X175" s="54">
        <f>STOCK[[#This Row],[Ganancia Unitaria]]*STOCK[[#This Row],[Salidas]]</f>
        <v>8.242222222222221</v>
      </c>
      <c r="AA175" s="54">
        <f>STOCK[[#This Row],[Costo total]]*STOCK[[#This Row],[Entradas]]</f>
        <v>21.757777777777779</v>
      </c>
      <c r="AB175" s="54">
        <f>STOCK[[#This Row],[Stock Actual]]*STOCK[[#This Row],[Costo total]]</f>
        <v>0</v>
      </c>
    </row>
    <row r="176" spans="1:29" s="53" customFormat="1" ht="50" customHeight="1">
      <c r="A176" s="53" t="s">
        <v>397</v>
      </c>
      <c r="B176" s="64"/>
      <c r="C176" s="53" t="s">
        <v>32</v>
      </c>
      <c r="D176" s="53" t="s">
        <v>351</v>
      </c>
      <c r="E176" s="65" t="s">
        <v>398</v>
      </c>
      <c r="F176" s="53" t="s">
        <v>394</v>
      </c>
      <c r="G176" s="53" t="s">
        <v>36</v>
      </c>
      <c r="H176" s="53">
        <f>STOCK[[#This Row],[Precio Final]]</f>
        <v>10</v>
      </c>
      <c r="I176" s="53">
        <f>STOCK[[#This Row],[Precio Venta Ideal (x1.5)]]</f>
        <v>8.0725000000000051</v>
      </c>
      <c r="J176" s="69">
        <v>1</v>
      </c>
      <c r="K176" s="69">
        <f>SUMIFS(VENTAS[Cantidad],VENTAS[Código del producto Vendido],STOCK[[#This Row],[Code]])</f>
        <v>1</v>
      </c>
      <c r="L176" s="69">
        <f>STOCK[[#This Row],[Entradas]]-STOCK[[#This Row],[Salidas]]</f>
        <v>0</v>
      </c>
      <c r="M176" s="53">
        <f>STOCK[[#This Row],[Precio Final]]*10%</f>
        <v>1</v>
      </c>
      <c r="N176" s="53">
        <v>64.47</v>
      </c>
      <c r="O176" s="53">
        <v>18</v>
      </c>
      <c r="P176" s="53">
        <v>3.5816666666666701</v>
      </c>
      <c r="Q176" s="69">
        <v>100</v>
      </c>
      <c r="R176" s="53">
        <v>8</v>
      </c>
      <c r="S176" s="53">
        <f>STOCK[[#This Row],[Peso (g)]]*STOCK[[#This Row],[Precio Envío Kilogramo (USD)]]/1000</f>
        <v>0.8</v>
      </c>
      <c r="T176" s="53">
        <f>STOCK[[#This Row],[Costo Unitario (USD)]]+STOCK[[#This Row],[Costo Envío (USD)]]+STOCK[[#This Row],[Comisión 10%]]</f>
        <v>5.3816666666666704</v>
      </c>
      <c r="U176" s="53">
        <f>STOCK[[#This Row],[Costo total]]*1.5</f>
        <v>8.0725000000000051</v>
      </c>
      <c r="V176" s="53">
        <v>10</v>
      </c>
      <c r="W176" s="53">
        <f>STOCK[[#This Row],[Precio Final]]-STOCK[[#This Row],[Costo total]]</f>
        <v>4.6183333333333296</v>
      </c>
      <c r="X176" s="53">
        <f>STOCK[[#This Row],[Ganancia Unitaria]]*STOCK[[#This Row],[Salidas]]</f>
        <v>4.6183333333333296</v>
      </c>
      <c r="AA176" s="53">
        <f>STOCK[[#This Row],[Costo total]]*STOCK[[#This Row],[Entradas]]</f>
        <v>5.3816666666666704</v>
      </c>
      <c r="AB176" s="53">
        <f>STOCK[[#This Row],[Stock Actual]]*STOCK[[#This Row],[Costo total]]</f>
        <v>0</v>
      </c>
    </row>
    <row r="177" spans="1:28" s="54" customFormat="1" ht="50" customHeight="1">
      <c r="A177" s="54" t="s">
        <v>399</v>
      </c>
      <c r="B177" s="64"/>
      <c r="C177" s="54" t="s">
        <v>32</v>
      </c>
      <c r="D177" s="54" t="s">
        <v>44</v>
      </c>
      <c r="E177" s="66" t="s">
        <v>400</v>
      </c>
      <c r="F177" s="54" t="s">
        <v>46</v>
      </c>
      <c r="G177" s="54" t="s">
        <v>36</v>
      </c>
      <c r="H177" s="54">
        <f>STOCK[[#This Row],[Precio Final]]</f>
        <v>30</v>
      </c>
      <c r="I177" s="54">
        <f>STOCK[[#This Row],[Precio Venta Ideal (x1.5)]]</f>
        <v>33.314999999999998</v>
      </c>
      <c r="J177" s="70">
        <v>1</v>
      </c>
      <c r="K177" s="70">
        <f>SUMIFS(VENTAS[Cantidad],VENTAS[Código del producto Vendido],STOCK[[#This Row],[Code]])</f>
        <v>1</v>
      </c>
      <c r="L177" s="70">
        <f>STOCK[[#This Row],[Entradas]]-STOCK[[#This Row],[Salidas]]</f>
        <v>0</v>
      </c>
      <c r="M177" s="54">
        <f>STOCK[[#This Row],[Precio Final]]*10%</f>
        <v>3</v>
      </c>
      <c r="N177" s="54">
        <v>250.92</v>
      </c>
      <c r="O177" s="54">
        <v>18</v>
      </c>
      <c r="P177" s="54">
        <v>13.94</v>
      </c>
      <c r="Q177" s="70">
        <v>310</v>
      </c>
      <c r="R177" s="54">
        <v>17</v>
      </c>
      <c r="S177" s="54">
        <f>STOCK[[#This Row],[Peso (g)]]*STOCK[[#This Row],[Precio Envío Kilogramo (USD)]]/1000</f>
        <v>5.27</v>
      </c>
      <c r="T177" s="53">
        <f>STOCK[[#This Row],[Costo Unitario (USD)]]+STOCK[[#This Row],[Costo Envío (USD)]]+STOCK[[#This Row],[Comisión 10%]]</f>
        <v>22.21</v>
      </c>
      <c r="U177" s="54">
        <f>STOCK[[#This Row],[Costo total]]*1.5</f>
        <v>33.314999999999998</v>
      </c>
      <c r="V177" s="54">
        <v>30</v>
      </c>
      <c r="W177" s="54">
        <f>STOCK[[#This Row],[Precio Final]]-STOCK[[#This Row],[Costo total]]</f>
        <v>7.7899999999999991</v>
      </c>
      <c r="X177" s="54">
        <f>STOCK[[#This Row],[Ganancia Unitaria]]*STOCK[[#This Row],[Salidas]]</f>
        <v>7.7899999999999991</v>
      </c>
      <c r="AA177" s="54">
        <f>STOCK[[#This Row],[Costo total]]*STOCK[[#This Row],[Entradas]]</f>
        <v>22.21</v>
      </c>
      <c r="AB177" s="54">
        <f>STOCK[[#This Row],[Stock Actual]]*STOCK[[#This Row],[Costo total]]</f>
        <v>0</v>
      </c>
    </row>
    <row r="178" spans="1:28" s="53" customFormat="1" ht="50" customHeight="1">
      <c r="A178" s="53" t="s">
        <v>401</v>
      </c>
      <c r="B178" s="64"/>
      <c r="C178" s="53" t="s">
        <v>32</v>
      </c>
      <c r="D178" s="53" t="s">
        <v>44</v>
      </c>
      <c r="E178" s="65" t="s">
        <v>402</v>
      </c>
      <c r="F178" s="53" t="s">
        <v>62</v>
      </c>
      <c r="G178" s="53" t="s">
        <v>36</v>
      </c>
      <c r="H178" s="53">
        <f>STOCK[[#This Row],[Precio Final]]</f>
        <v>30</v>
      </c>
      <c r="I178" s="53">
        <f>STOCK[[#This Row],[Precio Venta Ideal (x1.5)]]</f>
        <v>33.314999999999998</v>
      </c>
      <c r="J178" s="69">
        <v>2</v>
      </c>
      <c r="K178" s="69">
        <f>SUMIFS(VENTAS[Cantidad],VENTAS[Código del producto Vendido],STOCK[[#This Row],[Code]])</f>
        <v>2</v>
      </c>
      <c r="L178" s="69">
        <f>STOCK[[#This Row],[Entradas]]-STOCK[[#This Row],[Salidas]]</f>
        <v>0</v>
      </c>
      <c r="M178" s="53">
        <f>STOCK[[#This Row],[Precio Final]]*10%</f>
        <v>3</v>
      </c>
      <c r="N178" s="53">
        <v>250.92</v>
      </c>
      <c r="O178" s="53">
        <v>18</v>
      </c>
      <c r="P178" s="53">
        <v>13.94</v>
      </c>
      <c r="Q178" s="69">
        <v>310</v>
      </c>
      <c r="R178" s="53">
        <v>17</v>
      </c>
      <c r="S178" s="53">
        <f>STOCK[[#This Row],[Peso (g)]]*STOCK[[#This Row],[Precio Envío Kilogramo (USD)]]/1000</f>
        <v>5.27</v>
      </c>
      <c r="T178" s="53">
        <f>STOCK[[#This Row],[Costo Unitario (USD)]]+STOCK[[#This Row],[Costo Envío (USD)]]+STOCK[[#This Row],[Comisión 10%]]</f>
        <v>22.21</v>
      </c>
      <c r="U178" s="53">
        <f>STOCK[[#This Row],[Costo total]]*1.5</f>
        <v>33.314999999999998</v>
      </c>
      <c r="V178" s="53">
        <v>30</v>
      </c>
      <c r="W178" s="53">
        <f>STOCK[[#This Row],[Precio Final]]-STOCK[[#This Row],[Costo total]]</f>
        <v>7.7899999999999991</v>
      </c>
      <c r="X178" s="53">
        <f>STOCK[[#This Row],[Ganancia Unitaria]]*STOCK[[#This Row],[Salidas]]</f>
        <v>15.579999999999998</v>
      </c>
      <c r="AA178" s="53">
        <f>STOCK[[#This Row],[Costo total]]*STOCK[[#This Row],[Entradas]]</f>
        <v>44.42</v>
      </c>
      <c r="AB178" s="53">
        <f>STOCK[[#This Row],[Stock Actual]]*STOCK[[#This Row],[Costo total]]</f>
        <v>0</v>
      </c>
    </row>
    <row r="179" spans="1:28" s="54" customFormat="1" ht="50" customHeight="1">
      <c r="A179" s="54" t="s">
        <v>403</v>
      </c>
      <c r="B179" s="64"/>
      <c r="C179" s="54" t="s">
        <v>32</v>
      </c>
      <c r="D179" s="54" t="s">
        <v>44</v>
      </c>
      <c r="E179" s="66" t="s">
        <v>404</v>
      </c>
      <c r="F179" s="54" t="s">
        <v>40</v>
      </c>
      <c r="G179" s="54" t="s">
        <v>36</v>
      </c>
      <c r="H179" s="54">
        <f>STOCK[[#This Row],[Precio Final]]</f>
        <v>55</v>
      </c>
      <c r="I179" s="54">
        <f>STOCK[[#This Row],[Precio Venta Ideal (x1.5)]]</f>
        <v>58.6875</v>
      </c>
      <c r="J179" s="70">
        <v>1</v>
      </c>
      <c r="K179" s="70">
        <f>SUMIFS(VENTAS[Cantidad],VENTAS[Código del producto Vendido],STOCK[[#This Row],[Code]])</f>
        <v>1</v>
      </c>
      <c r="L179" s="70">
        <f>STOCK[[#This Row],[Entradas]]-STOCK[[#This Row],[Salidas]]</f>
        <v>0</v>
      </c>
      <c r="M179" s="54">
        <f>STOCK[[#This Row],[Precio Final]]*10%</f>
        <v>5.5</v>
      </c>
      <c r="N179" s="54">
        <v>452.25</v>
      </c>
      <c r="O179" s="54">
        <v>18</v>
      </c>
      <c r="P179" s="54">
        <v>25.125</v>
      </c>
      <c r="Q179" s="70">
        <v>500</v>
      </c>
      <c r="R179" s="54">
        <v>17</v>
      </c>
      <c r="S179" s="54">
        <f>STOCK[[#This Row],[Peso (g)]]*STOCK[[#This Row],[Precio Envío Kilogramo (USD)]]/1000</f>
        <v>8.5</v>
      </c>
      <c r="T179" s="53">
        <f>STOCK[[#This Row],[Costo Unitario (USD)]]+STOCK[[#This Row],[Costo Envío (USD)]]+STOCK[[#This Row],[Comisión 10%]]</f>
        <v>39.125</v>
      </c>
      <c r="U179" s="54">
        <f>STOCK[[#This Row],[Costo total]]*1.5</f>
        <v>58.6875</v>
      </c>
      <c r="V179" s="54">
        <v>55</v>
      </c>
      <c r="W179" s="54">
        <f>STOCK[[#This Row],[Precio Final]]-STOCK[[#This Row],[Costo total]]</f>
        <v>15.875</v>
      </c>
      <c r="X179" s="54">
        <f>STOCK[[#This Row],[Ganancia Unitaria]]*STOCK[[#This Row],[Salidas]]</f>
        <v>15.875</v>
      </c>
      <c r="AA179" s="54">
        <f>STOCK[[#This Row],[Costo total]]*STOCK[[#This Row],[Entradas]]</f>
        <v>39.125</v>
      </c>
      <c r="AB179" s="54">
        <f>STOCK[[#This Row],[Stock Actual]]*STOCK[[#This Row],[Costo total]]</f>
        <v>0</v>
      </c>
    </row>
    <row r="180" spans="1:28" s="53" customFormat="1" ht="50" customHeight="1">
      <c r="A180" s="53" t="s">
        <v>405</v>
      </c>
      <c r="B180" s="64"/>
      <c r="C180" s="53" t="s">
        <v>32</v>
      </c>
      <c r="D180" s="53" t="s">
        <v>213</v>
      </c>
      <c r="E180" s="65" t="s">
        <v>406</v>
      </c>
      <c r="F180" s="53" t="s">
        <v>281</v>
      </c>
      <c r="G180" s="53" t="s">
        <v>36</v>
      </c>
      <c r="H180" s="53">
        <f>STOCK[[#This Row],[Precio Final]]</f>
        <v>20</v>
      </c>
      <c r="I180" s="53">
        <f>STOCK[[#This Row],[Precio Venta Ideal (x1.5)]]</f>
        <v>21.85583333333334</v>
      </c>
      <c r="J180" s="69">
        <v>2</v>
      </c>
      <c r="K180" s="69">
        <f>SUMIFS(VENTAS[Cantidad],VENTAS[Código del producto Vendido],STOCK[[#This Row],[Code]])</f>
        <v>2</v>
      </c>
      <c r="L180" s="69">
        <f>STOCK[[#This Row],[Entradas]]-STOCK[[#This Row],[Salidas]]</f>
        <v>0</v>
      </c>
      <c r="M180" s="53">
        <f>STOCK[[#This Row],[Precio Final]]*10%</f>
        <v>2</v>
      </c>
      <c r="N180" s="53">
        <v>134.47</v>
      </c>
      <c r="O180" s="53">
        <v>18</v>
      </c>
      <c r="P180" s="53">
        <v>7.4705555555555598</v>
      </c>
      <c r="Q180" s="69">
        <v>300</v>
      </c>
      <c r="R180" s="53">
        <v>17</v>
      </c>
      <c r="S180" s="53">
        <f>STOCK[[#This Row],[Peso (g)]]*STOCK[[#This Row],[Precio Envío Kilogramo (USD)]]/1000</f>
        <v>5.0999999999999996</v>
      </c>
      <c r="T180" s="53">
        <f>STOCK[[#This Row],[Costo Unitario (USD)]]+STOCK[[#This Row],[Costo Envío (USD)]]+STOCK[[#This Row],[Comisión 10%]]</f>
        <v>14.570555555555559</v>
      </c>
      <c r="U180" s="53">
        <f>STOCK[[#This Row],[Costo total]]*1.5</f>
        <v>21.85583333333334</v>
      </c>
      <c r="V180" s="53">
        <v>20</v>
      </c>
      <c r="W180" s="53">
        <f>STOCK[[#This Row],[Precio Final]]-STOCK[[#This Row],[Costo total]]</f>
        <v>5.4294444444444405</v>
      </c>
      <c r="X180" s="53">
        <f>STOCK[[#This Row],[Ganancia Unitaria]]*STOCK[[#This Row],[Salidas]]</f>
        <v>10.858888888888881</v>
      </c>
      <c r="AA180" s="53">
        <f>STOCK[[#This Row],[Costo total]]*STOCK[[#This Row],[Entradas]]</f>
        <v>29.141111111111119</v>
      </c>
      <c r="AB180" s="53">
        <f>STOCK[[#This Row],[Stock Actual]]*STOCK[[#This Row],[Costo total]]</f>
        <v>0</v>
      </c>
    </row>
    <row r="181" spans="1:28" s="54" customFormat="1" ht="50" customHeight="1">
      <c r="A181" s="54" t="s">
        <v>407</v>
      </c>
      <c r="B181" s="64"/>
      <c r="C181" s="54" t="s">
        <v>32</v>
      </c>
      <c r="D181" s="54" t="s">
        <v>38</v>
      </c>
      <c r="E181" s="66" t="s">
        <v>408</v>
      </c>
      <c r="F181" s="54" t="s">
        <v>62</v>
      </c>
      <c r="G181" s="54" t="s">
        <v>36</v>
      </c>
      <c r="H181" s="54">
        <f>STOCK[[#This Row],[Precio Final]]</f>
        <v>18</v>
      </c>
      <c r="I181" s="54">
        <f>STOCK[[#This Row],[Precio Venta Ideal (x1.5)]]</f>
        <v>17.200000000000006</v>
      </c>
      <c r="J181" s="70">
        <v>2</v>
      </c>
      <c r="K181" s="70">
        <f>SUMIFS(VENTAS[Cantidad],VENTAS[Código del producto Vendido],STOCK[[#This Row],[Code]])</f>
        <v>2</v>
      </c>
      <c r="L181" s="70">
        <f>STOCK[[#This Row],[Entradas]]-STOCK[[#This Row],[Salidas]]</f>
        <v>0</v>
      </c>
      <c r="M181" s="54">
        <f>STOCK[[#This Row],[Precio Final]]*10%</f>
        <v>1.8</v>
      </c>
      <c r="N181" s="54">
        <v>138</v>
      </c>
      <c r="O181" s="54">
        <v>18</v>
      </c>
      <c r="P181" s="54">
        <v>7.6666666666666696</v>
      </c>
      <c r="Q181" s="70">
        <v>250</v>
      </c>
      <c r="R181" s="54">
        <v>8</v>
      </c>
      <c r="S181" s="54">
        <f>STOCK[[#This Row],[Peso (g)]]*STOCK[[#This Row],[Precio Envío Kilogramo (USD)]]/1000</f>
        <v>2</v>
      </c>
      <c r="T181" s="53">
        <f>STOCK[[#This Row],[Costo Unitario (USD)]]+STOCK[[#This Row],[Costo Envío (USD)]]+STOCK[[#This Row],[Comisión 10%]]</f>
        <v>11.46666666666667</v>
      </c>
      <c r="U181" s="54">
        <f>STOCK[[#This Row],[Costo total]]*1.5</f>
        <v>17.200000000000006</v>
      </c>
      <c r="V181" s="54">
        <v>18</v>
      </c>
      <c r="W181" s="54">
        <f>STOCK[[#This Row],[Precio Final]]-STOCK[[#This Row],[Costo total]]</f>
        <v>6.5333333333333297</v>
      </c>
      <c r="X181" s="54">
        <f>STOCK[[#This Row],[Ganancia Unitaria]]*STOCK[[#This Row],[Salidas]]</f>
        <v>13.066666666666659</v>
      </c>
      <c r="AA181" s="54">
        <f>STOCK[[#This Row],[Costo total]]*STOCK[[#This Row],[Entradas]]</f>
        <v>22.933333333333341</v>
      </c>
      <c r="AB181" s="54">
        <f>STOCK[[#This Row],[Stock Actual]]*STOCK[[#This Row],[Costo total]]</f>
        <v>0</v>
      </c>
    </row>
    <row r="182" spans="1:28" s="53" customFormat="1" ht="50" customHeight="1">
      <c r="A182" s="53" t="s">
        <v>409</v>
      </c>
      <c r="B182" s="64"/>
      <c r="C182" s="53" t="s">
        <v>32</v>
      </c>
      <c r="D182" s="53" t="s">
        <v>38</v>
      </c>
      <c r="E182" s="65" t="s">
        <v>408</v>
      </c>
      <c r="F182" s="53" t="s">
        <v>46</v>
      </c>
      <c r="G182" s="53" t="s">
        <v>36</v>
      </c>
      <c r="H182" s="53">
        <f>STOCK[[#This Row],[Precio Final]]</f>
        <v>18</v>
      </c>
      <c r="I182" s="53">
        <f>STOCK[[#This Row],[Precio Venta Ideal (x1.5)]]</f>
        <v>17.200000000000006</v>
      </c>
      <c r="J182" s="69">
        <v>3</v>
      </c>
      <c r="K182" s="69">
        <f>SUMIFS(VENTAS[Cantidad],VENTAS[Código del producto Vendido],STOCK[[#This Row],[Code]])</f>
        <v>3</v>
      </c>
      <c r="L182" s="69">
        <f>STOCK[[#This Row],[Entradas]]-STOCK[[#This Row],[Salidas]]</f>
        <v>0</v>
      </c>
      <c r="M182" s="53">
        <f>STOCK[[#This Row],[Precio Final]]*10%</f>
        <v>1.8</v>
      </c>
      <c r="N182" s="53">
        <v>138</v>
      </c>
      <c r="O182" s="53">
        <v>18</v>
      </c>
      <c r="P182" s="53">
        <v>7.6666666666666696</v>
      </c>
      <c r="Q182" s="69">
        <v>250</v>
      </c>
      <c r="R182" s="53">
        <v>8</v>
      </c>
      <c r="S182" s="53">
        <f>STOCK[[#This Row],[Peso (g)]]*STOCK[[#This Row],[Precio Envío Kilogramo (USD)]]/1000</f>
        <v>2</v>
      </c>
      <c r="T182" s="53">
        <f>STOCK[[#This Row],[Costo Unitario (USD)]]+STOCK[[#This Row],[Costo Envío (USD)]]+STOCK[[#This Row],[Comisión 10%]]</f>
        <v>11.46666666666667</v>
      </c>
      <c r="U182" s="53">
        <f>STOCK[[#This Row],[Costo total]]*1.5</f>
        <v>17.200000000000006</v>
      </c>
      <c r="V182" s="53">
        <v>18</v>
      </c>
      <c r="W182" s="53">
        <f>STOCK[[#This Row],[Precio Final]]-STOCK[[#This Row],[Costo total]]</f>
        <v>6.5333333333333297</v>
      </c>
      <c r="X182" s="53">
        <f>STOCK[[#This Row],[Ganancia Unitaria]]*STOCK[[#This Row],[Salidas]]</f>
        <v>19.599999999999987</v>
      </c>
      <c r="AA182" s="53">
        <f>STOCK[[#This Row],[Costo total]]*STOCK[[#This Row],[Entradas]]</f>
        <v>34.400000000000013</v>
      </c>
      <c r="AB182" s="53">
        <f>STOCK[[#This Row],[Stock Actual]]*STOCK[[#This Row],[Costo total]]</f>
        <v>0</v>
      </c>
    </row>
    <row r="183" spans="1:28" s="54" customFormat="1" ht="50" customHeight="1">
      <c r="A183" s="54" t="s">
        <v>410</v>
      </c>
      <c r="B183" s="64"/>
      <c r="C183" s="54" t="s">
        <v>32</v>
      </c>
      <c r="D183" s="54" t="s">
        <v>38</v>
      </c>
      <c r="E183" s="66" t="s">
        <v>408</v>
      </c>
      <c r="F183" s="54" t="s">
        <v>49</v>
      </c>
      <c r="G183" s="54" t="s">
        <v>36</v>
      </c>
      <c r="H183" s="54">
        <f>STOCK[[#This Row],[Precio Final]]</f>
        <v>18</v>
      </c>
      <c r="I183" s="54">
        <f>STOCK[[#This Row],[Precio Venta Ideal (x1.5)]]</f>
        <v>17.200000000000006</v>
      </c>
      <c r="J183" s="70">
        <v>2</v>
      </c>
      <c r="K183" s="70">
        <f>SUMIFS(VENTAS[Cantidad],VENTAS[Código del producto Vendido],STOCK[[#This Row],[Code]])</f>
        <v>2</v>
      </c>
      <c r="L183" s="70">
        <f>STOCK[[#This Row],[Entradas]]-STOCK[[#This Row],[Salidas]]</f>
        <v>0</v>
      </c>
      <c r="M183" s="54">
        <f>STOCK[[#This Row],[Precio Final]]*10%</f>
        <v>1.8</v>
      </c>
      <c r="N183" s="54">
        <v>138</v>
      </c>
      <c r="O183" s="54">
        <v>18</v>
      </c>
      <c r="P183" s="54">
        <v>7.6666666666666696</v>
      </c>
      <c r="Q183" s="70">
        <v>250</v>
      </c>
      <c r="R183" s="54">
        <v>8</v>
      </c>
      <c r="S183" s="54">
        <f>STOCK[[#This Row],[Peso (g)]]*STOCK[[#This Row],[Precio Envío Kilogramo (USD)]]/1000</f>
        <v>2</v>
      </c>
      <c r="T183" s="53">
        <f>STOCK[[#This Row],[Costo Unitario (USD)]]+STOCK[[#This Row],[Costo Envío (USD)]]+STOCK[[#This Row],[Comisión 10%]]</f>
        <v>11.46666666666667</v>
      </c>
      <c r="U183" s="54">
        <f>STOCK[[#This Row],[Costo total]]*1.5</f>
        <v>17.200000000000006</v>
      </c>
      <c r="V183" s="54">
        <v>18</v>
      </c>
      <c r="W183" s="54">
        <f>STOCK[[#This Row],[Precio Final]]-STOCK[[#This Row],[Costo total]]</f>
        <v>6.5333333333333297</v>
      </c>
      <c r="X183" s="54">
        <f>STOCK[[#This Row],[Ganancia Unitaria]]*STOCK[[#This Row],[Salidas]]</f>
        <v>13.066666666666659</v>
      </c>
      <c r="AA183" s="54">
        <f>STOCK[[#This Row],[Costo total]]*STOCK[[#This Row],[Entradas]]</f>
        <v>22.933333333333341</v>
      </c>
      <c r="AB183" s="54">
        <f>STOCK[[#This Row],[Stock Actual]]*STOCK[[#This Row],[Costo total]]</f>
        <v>0</v>
      </c>
    </row>
    <row r="184" spans="1:28" s="53" customFormat="1" ht="50" customHeight="1">
      <c r="A184" s="53" t="s">
        <v>411</v>
      </c>
      <c r="B184" s="64"/>
      <c r="C184" s="53" t="s">
        <v>32</v>
      </c>
      <c r="D184" s="54" t="s">
        <v>38</v>
      </c>
      <c r="E184" s="65" t="s">
        <v>39</v>
      </c>
      <c r="F184" s="53" t="s">
        <v>88</v>
      </c>
      <c r="G184" s="53" t="s">
        <v>36</v>
      </c>
      <c r="H184" s="53">
        <f>STOCK[[#This Row],[Precio Final]]</f>
        <v>25</v>
      </c>
      <c r="I184" s="53">
        <f>STOCK[[#This Row],[Precio Venta Ideal (x1.5)]]</f>
        <v>24.6666666666666</v>
      </c>
      <c r="J184" s="69">
        <v>1</v>
      </c>
      <c r="K184" s="69">
        <f>SUMIFS(VENTAS[Cantidad],VENTAS[Código del producto Vendido],STOCK[[#This Row],[Code]])</f>
        <v>1</v>
      </c>
      <c r="L184" s="69">
        <f>STOCK[[#This Row],[Entradas]]-STOCK[[#This Row],[Salidas]]</f>
        <v>0</v>
      </c>
      <c r="M184" s="53">
        <f>STOCK[[#This Row],[Precio Final]]*10%</f>
        <v>2.5</v>
      </c>
      <c r="N184" s="53">
        <v>215</v>
      </c>
      <c r="O184" s="53">
        <v>18</v>
      </c>
      <c r="P184" s="53">
        <v>11.9444444444444</v>
      </c>
      <c r="Q184" s="69">
        <v>250</v>
      </c>
      <c r="R184" s="53">
        <v>8</v>
      </c>
      <c r="S184" s="53">
        <f>STOCK[[#This Row],[Peso (g)]]*STOCK[[#This Row],[Precio Envío Kilogramo (USD)]]/1000</f>
        <v>2</v>
      </c>
      <c r="T184" s="53">
        <f>STOCK[[#This Row],[Costo Unitario (USD)]]+STOCK[[#This Row],[Costo Envío (USD)]]+STOCK[[#This Row],[Comisión 10%]]</f>
        <v>16.4444444444444</v>
      </c>
      <c r="U184" s="53">
        <f>STOCK[[#This Row],[Costo total]]*1.5</f>
        <v>24.6666666666666</v>
      </c>
      <c r="V184" s="53">
        <v>25</v>
      </c>
      <c r="W184" s="53">
        <f>STOCK[[#This Row],[Precio Final]]-STOCK[[#This Row],[Costo total]]</f>
        <v>8.5555555555555998</v>
      </c>
      <c r="X184" s="53">
        <f>STOCK[[#This Row],[Ganancia Unitaria]]*STOCK[[#This Row],[Salidas]]</f>
        <v>8.5555555555555998</v>
      </c>
      <c r="AA184" s="53">
        <f>STOCK[[#This Row],[Costo total]]*STOCK[[#This Row],[Entradas]]</f>
        <v>16.4444444444444</v>
      </c>
      <c r="AB184" s="53">
        <f>STOCK[[#This Row],[Stock Actual]]*STOCK[[#This Row],[Costo total]]</f>
        <v>0</v>
      </c>
    </row>
    <row r="185" spans="1:28" s="54" customFormat="1" ht="50" customHeight="1">
      <c r="A185" s="54" t="s">
        <v>412</v>
      </c>
      <c r="B185" s="64"/>
      <c r="C185" s="54" t="s">
        <v>32</v>
      </c>
      <c r="D185" s="54" t="s">
        <v>38</v>
      </c>
      <c r="E185" s="66" t="s">
        <v>39</v>
      </c>
      <c r="F185" s="54" t="s">
        <v>49</v>
      </c>
      <c r="G185" s="54" t="s">
        <v>36</v>
      </c>
      <c r="H185" s="54">
        <f>STOCK[[#This Row],[Precio Final]]</f>
        <v>22</v>
      </c>
      <c r="I185" s="54">
        <f>STOCK[[#This Row],[Precio Venta Ideal (x1.5)]]</f>
        <v>24.216666666666598</v>
      </c>
      <c r="J185" s="70">
        <v>2</v>
      </c>
      <c r="K185" s="70">
        <f>SUMIFS(VENTAS[Cantidad],VENTAS[Código del producto Vendido],STOCK[[#This Row],[Code]])</f>
        <v>2</v>
      </c>
      <c r="L185" s="70">
        <f>STOCK[[#This Row],[Entradas]]-STOCK[[#This Row],[Salidas]]</f>
        <v>0</v>
      </c>
      <c r="M185" s="54">
        <f>STOCK[[#This Row],[Precio Final]]*10%</f>
        <v>2.2000000000000002</v>
      </c>
      <c r="N185" s="54">
        <v>215</v>
      </c>
      <c r="O185" s="54">
        <v>18</v>
      </c>
      <c r="P185" s="54">
        <v>11.9444444444444</v>
      </c>
      <c r="Q185" s="70">
        <v>250</v>
      </c>
      <c r="R185" s="54">
        <v>8</v>
      </c>
      <c r="S185" s="54">
        <f>STOCK[[#This Row],[Peso (g)]]*STOCK[[#This Row],[Precio Envío Kilogramo (USD)]]/1000</f>
        <v>2</v>
      </c>
      <c r="T185" s="53">
        <f>STOCK[[#This Row],[Costo Unitario (USD)]]+STOCK[[#This Row],[Costo Envío (USD)]]+STOCK[[#This Row],[Comisión 10%]]</f>
        <v>16.1444444444444</v>
      </c>
      <c r="U185" s="54">
        <f>STOCK[[#This Row],[Costo total]]*1.5</f>
        <v>24.216666666666598</v>
      </c>
      <c r="V185" s="54">
        <v>22</v>
      </c>
      <c r="W185" s="54">
        <f>STOCK[[#This Row],[Precio Final]]-STOCK[[#This Row],[Costo total]]</f>
        <v>5.8555555555556005</v>
      </c>
      <c r="X185" s="54">
        <f>STOCK[[#This Row],[Ganancia Unitaria]]*STOCK[[#This Row],[Salidas]]</f>
        <v>11.711111111111201</v>
      </c>
      <c r="AA185" s="54">
        <f>STOCK[[#This Row],[Costo total]]*STOCK[[#This Row],[Entradas]]</f>
        <v>32.288888888888799</v>
      </c>
      <c r="AB185" s="54">
        <f>STOCK[[#This Row],[Stock Actual]]*STOCK[[#This Row],[Costo total]]</f>
        <v>0</v>
      </c>
    </row>
    <row r="186" spans="1:28" s="53" customFormat="1" ht="50" customHeight="1">
      <c r="A186" s="53" t="s">
        <v>413</v>
      </c>
      <c r="B186" s="64"/>
      <c r="C186" s="53" t="s">
        <v>32</v>
      </c>
      <c r="D186" s="53" t="s">
        <v>38</v>
      </c>
      <c r="E186" s="65" t="s">
        <v>39</v>
      </c>
      <c r="F186" s="53" t="s">
        <v>46</v>
      </c>
      <c r="G186" s="53" t="s">
        <v>36</v>
      </c>
      <c r="H186" s="53">
        <f>STOCK[[#This Row],[Precio Final]]</f>
        <v>25</v>
      </c>
      <c r="I186" s="53">
        <f>STOCK[[#This Row],[Precio Venta Ideal (x1.5)]]</f>
        <v>24.6666666666666</v>
      </c>
      <c r="J186" s="69">
        <v>2</v>
      </c>
      <c r="K186" s="69">
        <f>SUMIFS(VENTAS[Cantidad],VENTAS[Código del producto Vendido],STOCK[[#This Row],[Code]])</f>
        <v>2</v>
      </c>
      <c r="L186" s="69">
        <f>STOCK[[#This Row],[Entradas]]-STOCK[[#This Row],[Salidas]]</f>
        <v>0</v>
      </c>
      <c r="M186" s="53">
        <f>STOCK[[#This Row],[Precio Final]]*10%</f>
        <v>2.5</v>
      </c>
      <c r="N186" s="53">
        <v>215</v>
      </c>
      <c r="O186" s="53">
        <v>18</v>
      </c>
      <c r="P186" s="53">
        <v>11.9444444444444</v>
      </c>
      <c r="Q186" s="69">
        <v>250</v>
      </c>
      <c r="R186" s="53">
        <v>8</v>
      </c>
      <c r="S186" s="53">
        <f>STOCK[[#This Row],[Peso (g)]]*STOCK[[#This Row],[Precio Envío Kilogramo (USD)]]/1000</f>
        <v>2</v>
      </c>
      <c r="T186" s="53">
        <f>STOCK[[#This Row],[Costo Unitario (USD)]]+STOCK[[#This Row],[Costo Envío (USD)]]+STOCK[[#This Row],[Comisión 10%]]</f>
        <v>16.4444444444444</v>
      </c>
      <c r="U186" s="53">
        <f>STOCK[[#This Row],[Costo total]]*1.5</f>
        <v>24.6666666666666</v>
      </c>
      <c r="V186" s="53">
        <v>25</v>
      </c>
      <c r="W186" s="53">
        <f>STOCK[[#This Row],[Precio Final]]-STOCK[[#This Row],[Costo total]]</f>
        <v>8.5555555555555998</v>
      </c>
      <c r="X186" s="53">
        <f>STOCK[[#This Row],[Ganancia Unitaria]]*STOCK[[#This Row],[Salidas]]</f>
        <v>17.1111111111112</v>
      </c>
      <c r="AA186" s="53">
        <f>STOCK[[#This Row],[Costo total]]*STOCK[[#This Row],[Entradas]]</f>
        <v>32.8888888888888</v>
      </c>
      <c r="AB186" s="53">
        <f>STOCK[[#This Row],[Stock Actual]]*STOCK[[#This Row],[Costo total]]</f>
        <v>0</v>
      </c>
    </row>
    <row r="187" spans="1:28" s="54" customFormat="1" ht="50" customHeight="1">
      <c r="A187" s="54" t="s">
        <v>414</v>
      </c>
      <c r="B187" s="64"/>
      <c r="C187" s="54" t="s">
        <v>32</v>
      </c>
      <c r="D187" s="54" t="s">
        <v>38</v>
      </c>
      <c r="E187" s="66" t="s">
        <v>415</v>
      </c>
      <c r="F187" s="54" t="s">
        <v>46</v>
      </c>
      <c r="G187" s="54" t="s">
        <v>36</v>
      </c>
      <c r="H187" s="54">
        <f>STOCK[[#This Row],[Precio Final]]</f>
        <v>22</v>
      </c>
      <c r="I187" s="54">
        <f>STOCK[[#This Row],[Precio Venta Ideal (x1.5)]]</f>
        <v>23.383333333333347</v>
      </c>
      <c r="J187" s="70">
        <v>2</v>
      </c>
      <c r="K187" s="70">
        <f>SUMIFS(VENTAS[Cantidad],VENTAS[Código del producto Vendido],STOCK[[#This Row],[Code]])</f>
        <v>2</v>
      </c>
      <c r="L187" s="70">
        <f>STOCK[[#This Row],[Entradas]]-STOCK[[#This Row],[Salidas]]</f>
        <v>0</v>
      </c>
      <c r="M187" s="54">
        <f>STOCK[[#This Row],[Precio Final]]*10%</f>
        <v>2.2000000000000002</v>
      </c>
      <c r="N187" s="54">
        <v>205</v>
      </c>
      <c r="O187" s="54">
        <v>18</v>
      </c>
      <c r="P187" s="54">
        <v>11.3888888888889</v>
      </c>
      <c r="Q187" s="70">
        <v>250</v>
      </c>
      <c r="R187" s="54">
        <v>8</v>
      </c>
      <c r="S187" s="54">
        <f>STOCK[[#This Row],[Peso (g)]]*STOCK[[#This Row],[Precio Envío Kilogramo (USD)]]/1000</f>
        <v>2</v>
      </c>
      <c r="T187" s="53">
        <f>STOCK[[#This Row],[Costo Unitario (USD)]]+STOCK[[#This Row],[Costo Envío (USD)]]+STOCK[[#This Row],[Comisión 10%]]</f>
        <v>15.588888888888899</v>
      </c>
      <c r="U187" s="54">
        <f>STOCK[[#This Row],[Costo total]]*1.5</f>
        <v>23.383333333333347</v>
      </c>
      <c r="V187" s="54">
        <v>22</v>
      </c>
      <c r="W187" s="54">
        <f>STOCK[[#This Row],[Precio Final]]-STOCK[[#This Row],[Costo total]]</f>
        <v>6.4111111111111008</v>
      </c>
      <c r="X187" s="54">
        <f>STOCK[[#This Row],[Ganancia Unitaria]]*STOCK[[#This Row],[Salidas]]</f>
        <v>12.822222222222202</v>
      </c>
      <c r="AA187" s="54">
        <f>STOCK[[#This Row],[Costo total]]*STOCK[[#This Row],[Entradas]]</f>
        <v>31.177777777777798</v>
      </c>
      <c r="AB187" s="54">
        <f>STOCK[[#This Row],[Stock Actual]]*STOCK[[#This Row],[Costo total]]</f>
        <v>0</v>
      </c>
    </row>
    <row r="188" spans="1:28" s="53" customFormat="1" ht="50" customHeight="1">
      <c r="A188" s="53" t="s">
        <v>416</v>
      </c>
      <c r="B188" s="64"/>
      <c r="C188" s="53" t="s">
        <v>32</v>
      </c>
      <c r="D188" s="53" t="s">
        <v>38</v>
      </c>
      <c r="E188" s="65" t="s">
        <v>417</v>
      </c>
      <c r="F188" s="53" t="s">
        <v>46</v>
      </c>
      <c r="G188" s="53" t="s">
        <v>36</v>
      </c>
      <c r="H188" s="53">
        <f>STOCK[[#This Row],[Precio Final]]</f>
        <v>22</v>
      </c>
      <c r="I188" s="53">
        <f>STOCK[[#This Row],[Precio Venta Ideal (x1.5)]]</f>
        <v>23.383333333333347</v>
      </c>
      <c r="J188" s="69">
        <v>2</v>
      </c>
      <c r="K188" s="69">
        <f>SUMIFS(VENTAS[Cantidad],VENTAS[Código del producto Vendido],STOCK[[#This Row],[Code]])</f>
        <v>2</v>
      </c>
      <c r="L188" s="69">
        <f>STOCK[[#This Row],[Entradas]]-STOCK[[#This Row],[Salidas]]</f>
        <v>0</v>
      </c>
      <c r="M188" s="53">
        <f>STOCK[[#This Row],[Precio Final]]*10%</f>
        <v>2.2000000000000002</v>
      </c>
      <c r="N188" s="53">
        <v>205</v>
      </c>
      <c r="O188" s="53">
        <v>18</v>
      </c>
      <c r="P188" s="53">
        <v>11.3888888888889</v>
      </c>
      <c r="Q188" s="69">
        <v>250</v>
      </c>
      <c r="R188" s="53">
        <v>8</v>
      </c>
      <c r="S188" s="53">
        <f>STOCK[[#This Row],[Peso (g)]]*STOCK[[#This Row],[Precio Envío Kilogramo (USD)]]/1000</f>
        <v>2</v>
      </c>
      <c r="T188" s="53">
        <f>STOCK[[#This Row],[Costo Unitario (USD)]]+STOCK[[#This Row],[Costo Envío (USD)]]+STOCK[[#This Row],[Comisión 10%]]</f>
        <v>15.588888888888899</v>
      </c>
      <c r="U188" s="53">
        <f>STOCK[[#This Row],[Costo total]]*1.5</f>
        <v>23.383333333333347</v>
      </c>
      <c r="V188" s="53">
        <v>22</v>
      </c>
      <c r="W188" s="53">
        <f>STOCK[[#This Row],[Precio Final]]-STOCK[[#This Row],[Costo total]]</f>
        <v>6.4111111111111008</v>
      </c>
      <c r="X188" s="53">
        <f>STOCK[[#This Row],[Ganancia Unitaria]]*STOCK[[#This Row],[Salidas]]</f>
        <v>12.822222222222202</v>
      </c>
      <c r="AA188" s="53">
        <f>STOCK[[#This Row],[Costo total]]*STOCK[[#This Row],[Entradas]]</f>
        <v>31.177777777777798</v>
      </c>
      <c r="AB188" s="53">
        <f>STOCK[[#This Row],[Stock Actual]]*STOCK[[#This Row],[Costo total]]</f>
        <v>0</v>
      </c>
    </row>
    <row r="189" spans="1:28" s="54" customFormat="1" ht="50" customHeight="1">
      <c r="A189" s="54" t="s">
        <v>418</v>
      </c>
      <c r="B189" s="64"/>
      <c r="C189" s="54" t="s">
        <v>32</v>
      </c>
      <c r="D189" s="54" t="s">
        <v>38</v>
      </c>
      <c r="E189" s="66" t="s">
        <v>419</v>
      </c>
      <c r="F189" s="54" t="s">
        <v>62</v>
      </c>
      <c r="G189" s="54" t="s">
        <v>36</v>
      </c>
      <c r="H189" s="54">
        <f>STOCK[[#This Row],[Precio Final]]</f>
        <v>22</v>
      </c>
      <c r="I189" s="54">
        <f>STOCK[[#This Row],[Precio Venta Ideal (x1.5)]]</f>
        <v>23.383333333333347</v>
      </c>
      <c r="J189" s="70">
        <v>2</v>
      </c>
      <c r="K189" s="70">
        <f>SUMIFS(VENTAS[Cantidad],VENTAS[Código del producto Vendido],STOCK[[#This Row],[Code]])</f>
        <v>2</v>
      </c>
      <c r="L189" s="70">
        <f>STOCK[[#This Row],[Entradas]]-STOCK[[#This Row],[Salidas]]</f>
        <v>0</v>
      </c>
      <c r="M189" s="54">
        <f>STOCK[[#This Row],[Precio Final]]*10%</f>
        <v>2.2000000000000002</v>
      </c>
      <c r="N189" s="54">
        <v>205</v>
      </c>
      <c r="O189" s="54">
        <v>18</v>
      </c>
      <c r="P189" s="54">
        <v>11.3888888888889</v>
      </c>
      <c r="Q189" s="70">
        <v>250</v>
      </c>
      <c r="R189" s="54">
        <v>8</v>
      </c>
      <c r="S189" s="54">
        <f>STOCK[[#This Row],[Peso (g)]]*STOCK[[#This Row],[Precio Envío Kilogramo (USD)]]/1000</f>
        <v>2</v>
      </c>
      <c r="T189" s="53">
        <f>STOCK[[#This Row],[Costo Unitario (USD)]]+STOCK[[#This Row],[Costo Envío (USD)]]+STOCK[[#This Row],[Comisión 10%]]</f>
        <v>15.588888888888899</v>
      </c>
      <c r="U189" s="54">
        <f>STOCK[[#This Row],[Costo total]]*1.5</f>
        <v>23.383333333333347</v>
      </c>
      <c r="V189" s="54">
        <v>22</v>
      </c>
      <c r="W189" s="54">
        <f>STOCK[[#This Row],[Precio Final]]-STOCK[[#This Row],[Costo total]]</f>
        <v>6.4111111111111008</v>
      </c>
      <c r="X189" s="54">
        <f>STOCK[[#This Row],[Ganancia Unitaria]]*STOCK[[#This Row],[Salidas]]</f>
        <v>12.822222222222202</v>
      </c>
      <c r="AA189" s="54">
        <f>STOCK[[#This Row],[Costo total]]*STOCK[[#This Row],[Entradas]]</f>
        <v>31.177777777777798</v>
      </c>
      <c r="AB189" s="54">
        <f>STOCK[[#This Row],[Stock Actual]]*STOCK[[#This Row],[Costo total]]</f>
        <v>0</v>
      </c>
    </row>
    <row r="190" spans="1:28" s="53" customFormat="1" ht="50" customHeight="1">
      <c r="A190" s="53" t="s">
        <v>420</v>
      </c>
      <c r="B190" s="64"/>
      <c r="C190" s="53" t="s">
        <v>32</v>
      </c>
      <c r="D190" s="53" t="s">
        <v>38</v>
      </c>
      <c r="E190" s="65" t="s">
        <v>421</v>
      </c>
      <c r="F190" s="53" t="s">
        <v>46</v>
      </c>
      <c r="G190" s="53" t="s">
        <v>36</v>
      </c>
      <c r="H190" s="53">
        <f>STOCK[[#This Row],[Precio Final]]</f>
        <v>25</v>
      </c>
      <c r="I190" s="53">
        <f>STOCK[[#This Row],[Precio Venta Ideal (x1.5)]]</f>
        <v>24.49999999999995</v>
      </c>
      <c r="J190" s="69">
        <v>2</v>
      </c>
      <c r="K190" s="69">
        <f>SUMIFS(VENTAS[Cantidad],VENTAS[Código del producto Vendido],STOCK[[#This Row],[Code]])</f>
        <v>2</v>
      </c>
      <c r="L190" s="69">
        <f>STOCK[[#This Row],[Entradas]]-STOCK[[#This Row],[Salidas]]</f>
        <v>0</v>
      </c>
      <c r="M190" s="53">
        <f>STOCK[[#This Row],[Precio Final]]*10%</f>
        <v>2.5</v>
      </c>
      <c r="N190" s="53">
        <v>213</v>
      </c>
      <c r="O190" s="53">
        <v>18</v>
      </c>
      <c r="P190" s="53">
        <v>11.8333333333333</v>
      </c>
      <c r="Q190" s="69">
        <v>250</v>
      </c>
      <c r="R190" s="53">
        <v>8</v>
      </c>
      <c r="S190" s="53">
        <f>STOCK[[#This Row],[Peso (g)]]*STOCK[[#This Row],[Precio Envío Kilogramo (USD)]]/1000</f>
        <v>2</v>
      </c>
      <c r="T190" s="53">
        <f>STOCK[[#This Row],[Costo Unitario (USD)]]+STOCK[[#This Row],[Costo Envío (USD)]]+STOCK[[#This Row],[Comisión 10%]]</f>
        <v>16.3333333333333</v>
      </c>
      <c r="U190" s="53">
        <f>STOCK[[#This Row],[Costo total]]*1.5</f>
        <v>24.49999999999995</v>
      </c>
      <c r="V190" s="53">
        <v>25</v>
      </c>
      <c r="W190" s="53">
        <f>STOCK[[#This Row],[Precio Final]]-STOCK[[#This Row],[Costo total]]</f>
        <v>8.6666666666666998</v>
      </c>
      <c r="X190" s="53">
        <f>STOCK[[#This Row],[Ganancia Unitaria]]*STOCK[[#This Row],[Salidas]]</f>
        <v>17.3333333333334</v>
      </c>
      <c r="AA190" s="53">
        <f>STOCK[[#This Row],[Costo total]]*STOCK[[#This Row],[Entradas]]</f>
        <v>32.6666666666666</v>
      </c>
      <c r="AB190" s="53">
        <f>STOCK[[#This Row],[Stock Actual]]*STOCK[[#This Row],[Costo total]]</f>
        <v>0</v>
      </c>
    </row>
    <row r="191" spans="1:28" s="54" customFormat="1" ht="50" customHeight="1">
      <c r="A191" s="54" t="s">
        <v>422</v>
      </c>
      <c r="B191" s="64"/>
      <c r="C191" s="54" t="s">
        <v>32</v>
      </c>
      <c r="D191" s="54" t="s">
        <v>38</v>
      </c>
      <c r="E191" s="66" t="s">
        <v>423</v>
      </c>
      <c r="F191" s="54" t="s">
        <v>46</v>
      </c>
      <c r="G191" s="54" t="s">
        <v>36</v>
      </c>
      <c r="H191" s="54">
        <f>STOCK[[#This Row],[Precio Final]]</f>
        <v>25</v>
      </c>
      <c r="I191" s="54">
        <f>STOCK[[#This Row],[Precio Venta Ideal (x1.5)]]</f>
        <v>24.49999999999995</v>
      </c>
      <c r="J191" s="70">
        <v>3</v>
      </c>
      <c r="K191" s="70">
        <f>SUMIFS(VENTAS[Cantidad],VENTAS[Código del producto Vendido],STOCK[[#This Row],[Code]])</f>
        <v>3</v>
      </c>
      <c r="L191" s="70">
        <f>STOCK[[#This Row],[Entradas]]-STOCK[[#This Row],[Salidas]]</f>
        <v>0</v>
      </c>
      <c r="M191" s="54">
        <f>STOCK[[#This Row],[Precio Final]]*10%</f>
        <v>2.5</v>
      </c>
      <c r="N191" s="54">
        <v>213</v>
      </c>
      <c r="O191" s="54">
        <v>18</v>
      </c>
      <c r="P191" s="54">
        <v>11.8333333333333</v>
      </c>
      <c r="Q191" s="70">
        <v>250</v>
      </c>
      <c r="R191" s="54">
        <v>8</v>
      </c>
      <c r="S191" s="54">
        <f>STOCK[[#This Row],[Peso (g)]]*STOCK[[#This Row],[Precio Envío Kilogramo (USD)]]/1000</f>
        <v>2</v>
      </c>
      <c r="T191" s="53">
        <f>STOCK[[#This Row],[Costo Unitario (USD)]]+STOCK[[#This Row],[Costo Envío (USD)]]+STOCK[[#This Row],[Comisión 10%]]</f>
        <v>16.3333333333333</v>
      </c>
      <c r="U191" s="54">
        <f>STOCK[[#This Row],[Costo total]]*1.5</f>
        <v>24.49999999999995</v>
      </c>
      <c r="V191" s="54">
        <v>25</v>
      </c>
      <c r="W191" s="54">
        <f>STOCK[[#This Row],[Precio Final]]-STOCK[[#This Row],[Costo total]]</f>
        <v>8.6666666666666998</v>
      </c>
      <c r="X191" s="54">
        <f>STOCK[[#This Row],[Ganancia Unitaria]]*STOCK[[#This Row],[Salidas]]</f>
        <v>26.000000000000099</v>
      </c>
      <c r="AA191" s="54">
        <f>STOCK[[#This Row],[Costo total]]*STOCK[[#This Row],[Entradas]]</f>
        <v>48.999999999999901</v>
      </c>
      <c r="AB191" s="54">
        <f>STOCK[[#This Row],[Stock Actual]]*STOCK[[#This Row],[Costo total]]</f>
        <v>0</v>
      </c>
    </row>
    <row r="192" spans="1:28" s="53" customFormat="1" ht="50" customHeight="1">
      <c r="A192" s="53" t="s">
        <v>424</v>
      </c>
      <c r="B192" s="64"/>
      <c r="C192" s="53" t="s">
        <v>32</v>
      </c>
      <c r="D192" s="53" t="s">
        <v>38</v>
      </c>
      <c r="E192" s="65" t="s">
        <v>425</v>
      </c>
      <c r="F192" s="53" t="s">
        <v>46</v>
      </c>
      <c r="G192" s="53" t="s">
        <v>36</v>
      </c>
      <c r="H192" s="53">
        <f>STOCK[[#This Row],[Precio Final]]</f>
        <v>25</v>
      </c>
      <c r="I192" s="53">
        <f>STOCK[[#This Row],[Precio Venta Ideal (x1.5)]]</f>
        <v>24.49999999999995</v>
      </c>
      <c r="J192" s="69">
        <v>3</v>
      </c>
      <c r="K192" s="69">
        <f>SUMIFS(VENTAS[Cantidad],VENTAS[Código del producto Vendido],STOCK[[#This Row],[Code]])</f>
        <v>3</v>
      </c>
      <c r="L192" s="69">
        <f>STOCK[[#This Row],[Entradas]]-STOCK[[#This Row],[Salidas]]</f>
        <v>0</v>
      </c>
      <c r="M192" s="53">
        <f>STOCK[[#This Row],[Precio Final]]*10%</f>
        <v>2.5</v>
      </c>
      <c r="N192" s="53">
        <v>213</v>
      </c>
      <c r="O192" s="53">
        <v>18</v>
      </c>
      <c r="P192" s="53">
        <v>11.8333333333333</v>
      </c>
      <c r="Q192" s="69">
        <v>250</v>
      </c>
      <c r="R192" s="53">
        <v>8</v>
      </c>
      <c r="S192" s="53">
        <f>STOCK[[#This Row],[Peso (g)]]*STOCK[[#This Row],[Precio Envío Kilogramo (USD)]]/1000</f>
        <v>2</v>
      </c>
      <c r="T192" s="53">
        <f>STOCK[[#This Row],[Costo Unitario (USD)]]+STOCK[[#This Row],[Costo Envío (USD)]]+STOCK[[#This Row],[Comisión 10%]]</f>
        <v>16.3333333333333</v>
      </c>
      <c r="U192" s="53">
        <f>STOCK[[#This Row],[Costo total]]*1.5</f>
        <v>24.49999999999995</v>
      </c>
      <c r="V192" s="53">
        <v>25</v>
      </c>
      <c r="W192" s="53">
        <f>STOCK[[#This Row],[Precio Final]]-STOCK[[#This Row],[Costo total]]</f>
        <v>8.6666666666666998</v>
      </c>
      <c r="X192" s="53">
        <f>STOCK[[#This Row],[Ganancia Unitaria]]*STOCK[[#This Row],[Salidas]]</f>
        <v>26.000000000000099</v>
      </c>
      <c r="AA192" s="53">
        <f>STOCK[[#This Row],[Costo total]]*STOCK[[#This Row],[Entradas]]</f>
        <v>48.999999999999901</v>
      </c>
      <c r="AB192" s="53">
        <f>STOCK[[#This Row],[Stock Actual]]*STOCK[[#This Row],[Costo total]]</f>
        <v>0</v>
      </c>
    </row>
    <row r="193" spans="1:29" s="54" customFormat="1" ht="50" customHeight="1">
      <c r="A193" s="54" t="s">
        <v>426</v>
      </c>
      <c r="B193" s="64"/>
      <c r="C193" s="54" t="s">
        <v>32</v>
      </c>
      <c r="D193" s="54" t="s">
        <v>302</v>
      </c>
      <c r="E193" s="66" t="s">
        <v>427</v>
      </c>
      <c r="F193" s="54" t="s">
        <v>88</v>
      </c>
      <c r="G193" s="54" t="s">
        <v>36</v>
      </c>
      <c r="H193" s="54">
        <f>STOCK[[#This Row],[Precio Final]]</f>
        <v>23</v>
      </c>
      <c r="I193" s="54">
        <f>STOCK[[#This Row],[Precio Venta Ideal (x1.5)]]</f>
        <v>25.503333333333302</v>
      </c>
      <c r="J193" s="70">
        <v>1</v>
      </c>
      <c r="K193" s="70">
        <f>SUMIFS(VENTAS[Cantidad],VENTAS[Código del producto Vendido],STOCK[[#This Row],[Code]])</f>
        <v>1</v>
      </c>
      <c r="L193" s="70">
        <f>STOCK[[#This Row],[Entradas]]-STOCK[[#This Row],[Salidas]]</f>
        <v>0</v>
      </c>
      <c r="M193" s="54">
        <f>STOCK[[#This Row],[Precio Final]]*10%</f>
        <v>2.3000000000000003</v>
      </c>
      <c r="N193" s="54">
        <v>238</v>
      </c>
      <c r="O193" s="54">
        <v>18</v>
      </c>
      <c r="P193" s="54">
        <v>13.2222222222222</v>
      </c>
      <c r="Q193" s="70">
        <v>185</v>
      </c>
      <c r="R193" s="54">
        <v>8</v>
      </c>
      <c r="S193" s="54">
        <f>STOCK[[#This Row],[Peso (g)]]*STOCK[[#This Row],[Precio Envío Kilogramo (USD)]]/1000</f>
        <v>1.48</v>
      </c>
      <c r="T193" s="53">
        <f>STOCK[[#This Row],[Costo Unitario (USD)]]+STOCK[[#This Row],[Costo Envío (USD)]]+STOCK[[#This Row],[Comisión 10%]]</f>
        <v>17.002222222222201</v>
      </c>
      <c r="U193" s="54">
        <f>STOCK[[#This Row],[Costo total]]*1.5</f>
        <v>25.503333333333302</v>
      </c>
      <c r="V193" s="54">
        <v>23</v>
      </c>
      <c r="W193" s="54">
        <f>STOCK[[#This Row],[Precio Final]]-STOCK[[#This Row],[Costo total]]</f>
        <v>5.9977777777777987</v>
      </c>
      <c r="X193" s="54">
        <f>STOCK[[#This Row],[Ganancia Unitaria]]*STOCK[[#This Row],[Salidas]]</f>
        <v>5.9977777777777987</v>
      </c>
      <c r="AA193" s="54">
        <f>STOCK[[#This Row],[Costo total]]*STOCK[[#This Row],[Entradas]]</f>
        <v>17.002222222222201</v>
      </c>
      <c r="AB193" s="54">
        <f>STOCK[[#This Row],[Stock Actual]]*STOCK[[#This Row],[Costo total]]</f>
        <v>0</v>
      </c>
    </row>
    <row r="194" spans="1:29" s="53" customFormat="1" ht="50" customHeight="1">
      <c r="A194" s="53" t="s">
        <v>428</v>
      </c>
      <c r="B194" s="64"/>
      <c r="C194" s="53" t="s">
        <v>32</v>
      </c>
      <c r="D194" s="53" t="s">
        <v>302</v>
      </c>
      <c r="E194" s="65" t="s">
        <v>429</v>
      </c>
      <c r="F194" s="53" t="s">
        <v>49</v>
      </c>
      <c r="G194" s="53" t="s">
        <v>36</v>
      </c>
      <c r="H194" s="53">
        <f>STOCK[[#This Row],[Precio Final]]</f>
        <v>23</v>
      </c>
      <c r="I194" s="53">
        <f>STOCK[[#This Row],[Precio Venta Ideal (x1.5)]]</f>
        <v>25.503333333333302</v>
      </c>
      <c r="J194" s="69">
        <v>2</v>
      </c>
      <c r="K194" s="69">
        <f>SUMIFS(VENTAS[Cantidad],VENTAS[Código del producto Vendido],STOCK[[#This Row],[Code]])</f>
        <v>2</v>
      </c>
      <c r="L194" s="69">
        <f>STOCK[[#This Row],[Entradas]]-STOCK[[#This Row],[Salidas]]</f>
        <v>0</v>
      </c>
      <c r="M194" s="53">
        <f>STOCK[[#This Row],[Precio Final]]*10%</f>
        <v>2.3000000000000003</v>
      </c>
      <c r="N194" s="53">
        <v>238</v>
      </c>
      <c r="O194" s="53">
        <v>18</v>
      </c>
      <c r="P194" s="53">
        <v>13.2222222222222</v>
      </c>
      <c r="Q194" s="69">
        <v>185</v>
      </c>
      <c r="R194" s="53">
        <v>8</v>
      </c>
      <c r="S194" s="53">
        <f>STOCK[[#This Row],[Peso (g)]]*STOCK[[#This Row],[Precio Envío Kilogramo (USD)]]/1000</f>
        <v>1.48</v>
      </c>
      <c r="T194" s="53">
        <f>STOCK[[#This Row],[Costo Unitario (USD)]]+STOCK[[#This Row],[Costo Envío (USD)]]+STOCK[[#This Row],[Comisión 10%]]</f>
        <v>17.002222222222201</v>
      </c>
      <c r="U194" s="53">
        <f>STOCK[[#This Row],[Costo total]]*1.5</f>
        <v>25.503333333333302</v>
      </c>
      <c r="V194" s="53">
        <v>23</v>
      </c>
      <c r="W194" s="53">
        <f>STOCK[[#This Row],[Precio Final]]-STOCK[[#This Row],[Costo total]]</f>
        <v>5.9977777777777987</v>
      </c>
      <c r="X194" s="53">
        <f>STOCK[[#This Row],[Ganancia Unitaria]]*STOCK[[#This Row],[Salidas]]</f>
        <v>11.995555555555597</v>
      </c>
      <c r="AA194" s="53">
        <f>STOCK[[#This Row],[Costo total]]*STOCK[[#This Row],[Entradas]]</f>
        <v>34.004444444444403</v>
      </c>
      <c r="AB194" s="53">
        <f>STOCK[[#This Row],[Stock Actual]]*STOCK[[#This Row],[Costo total]]</f>
        <v>0</v>
      </c>
    </row>
    <row r="195" spans="1:29" s="54" customFormat="1" ht="50" customHeight="1">
      <c r="A195" s="54" t="s">
        <v>430</v>
      </c>
      <c r="B195" s="64"/>
      <c r="C195" s="54" t="s">
        <v>32</v>
      </c>
      <c r="D195" s="54" t="s">
        <v>44</v>
      </c>
      <c r="E195" s="66" t="s">
        <v>431</v>
      </c>
      <c r="F195" s="54" t="s">
        <v>49</v>
      </c>
      <c r="G195" s="54" t="s">
        <v>36</v>
      </c>
      <c r="H195" s="54">
        <f>STOCK[[#This Row],[Precio Final]]</f>
        <v>28</v>
      </c>
      <c r="I195" s="54">
        <f>STOCK[[#This Row],[Precio Venta Ideal (x1.5)]]</f>
        <v>28.061666666666699</v>
      </c>
      <c r="J195" s="70">
        <v>1</v>
      </c>
      <c r="K195" s="70">
        <f>SUMIFS(VENTAS[Cantidad],VENTAS[Código del producto Vendido],STOCK[[#This Row],[Code]])</f>
        <v>1</v>
      </c>
      <c r="L195" s="70">
        <f>STOCK[[#This Row],[Entradas]]-STOCK[[#This Row],[Salidas]]</f>
        <v>0</v>
      </c>
      <c r="M195" s="54">
        <f>STOCK[[#This Row],[Precio Final]]*10%</f>
        <v>2.8000000000000003</v>
      </c>
      <c r="N195" s="54">
        <v>259.7</v>
      </c>
      <c r="O195" s="54">
        <v>18</v>
      </c>
      <c r="P195" s="54">
        <v>14.4277777777778</v>
      </c>
      <c r="Q195" s="70">
        <v>185</v>
      </c>
      <c r="R195" s="54">
        <v>8</v>
      </c>
      <c r="S195" s="54">
        <f>STOCK[[#This Row],[Peso (g)]]*STOCK[[#This Row],[Precio Envío Kilogramo (USD)]]/1000</f>
        <v>1.48</v>
      </c>
      <c r="T195" s="53">
        <f>STOCK[[#This Row],[Costo Unitario (USD)]]+STOCK[[#This Row],[Costo Envío (USD)]]+STOCK[[#This Row],[Comisión 10%]]</f>
        <v>18.7077777777778</v>
      </c>
      <c r="U195" s="54">
        <f>STOCK[[#This Row],[Costo total]]*1.5</f>
        <v>28.061666666666699</v>
      </c>
      <c r="V195" s="54">
        <v>28</v>
      </c>
      <c r="W195" s="54">
        <f>STOCK[[#This Row],[Precio Final]]-STOCK[[#This Row],[Costo total]]</f>
        <v>9.2922222222222004</v>
      </c>
      <c r="X195" s="54">
        <f>STOCK[[#This Row],[Ganancia Unitaria]]*STOCK[[#This Row],[Salidas]]</f>
        <v>9.2922222222222004</v>
      </c>
      <c r="AA195" s="54">
        <f>STOCK[[#This Row],[Costo total]]*STOCK[[#This Row],[Entradas]]</f>
        <v>18.7077777777778</v>
      </c>
      <c r="AB195" s="54">
        <f>STOCK[[#This Row],[Stock Actual]]*STOCK[[#This Row],[Costo total]]</f>
        <v>0</v>
      </c>
    </row>
    <row r="196" spans="1:29" s="53" customFormat="1" ht="50" customHeight="1">
      <c r="A196" s="53" t="s">
        <v>432</v>
      </c>
      <c r="B196" s="64"/>
      <c r="C196" s="53" t="s">
        <v>32</v>
      </c>
      <c r="D196" s="53" t="s">
        <v>44</v>
      </c>
      <c r="E196" s="65" t="s">
        <v>431</v>
      </c>
      <c r="F196" s="53" t="s">
        <v>62</v>
      </c>
      <c r="G196" s="53" t="s">
        <v>36</v>
      </c>
      <c r="H196" s="53">
        <f>STOCK[[#This Row],[Precio Final]]</f>
        <v>28</v>
      </c>
      <c r="I196" s="53">
        <f>STOCK[[#This Row],[Precio Venta Ideal (x1.5)]]</f>
        <v>28.061666666666699</v>
      </c>
      <c r="J196" s="69">
        <v>1</v>
      </c>
      <c r="K196" s="69">
        <f>SUMIFS(VENTAS[Cantidad],VENTAS[Código del producto Vendido],STOCK[[#This Row],[Code]])</f>
        <v>1</v>
      </c>
      <c r="L196" s="69">
        <f>STOCK[[#This Row],[Entradas]]-STOCK[[#This Row],[Salidas]]</f>
        <v>0</v>
      </c>
      <c r="M196" s="53">
        <f>STOCK[[#This Row],[Precio Final]]*10%</f>
        <v>2.8000000000000003</v>
      </c>
      <c r="N196" s="53">
        <v>259.7</v>
      </c>
      <c r="O196" s="53">
        <v>18</v>
      </c>
      <c r="P196" s="53">
        <v>14.4277777777778</v>
      </c>
      <c r="Q196" s="69">
        <v>185</v>
      </c>
      <c r="R196" s="53">
        <v>8</v>
      </c>
      <c r="S196" s="53">
        <f>STOCK[[#This Row],[Peso (g)]]*STOCK[[#This Row],[Precio Envío Kilogramo (USD)]]/1000</f>
        <v>1.48</v>
      </c>
      <c r="T196" s="53">
        <f>STOCK[[#This Row],[Costo Unitario (USD)]]+STOCK[[#This Row],[Costo Envío (USD)]]+STOCK[[#This Row],[Comisión 10%]]</f>
        <v>18.7077777777778</v>
      </c>
      <c r="U196" s="53">
        <f>STOCK[[#This Row],[Costo total]]*1.5</f>
        <v>28.061666666666699</v>
      </c>
      <c r="V196" s="53">
        <v>28</v>
      </c>
      <c r="W196" s="53">
        <f>STOCK[[#This Row],[Precio Final]]-STOCK[[#This Row],[Costo total]]</f>
        <v>9.2922222222222004</v>
      </c>
      <c r="X196" s="53">
        <f>STOCK[[#This Row],[Ganancia Unitaria]]*STOCK[[#This Row],[Salidas]]</f>
        <v>9.2922222222222004</v>
      </c>
      <c r="AA196" s="53">
        <f>STOCK[[#This Row],[Costo total]]*STOCK[[#This Row],[Entradas]]</f>
        <v>18.7077777777778</v>
      </c>
      <c r="AB196" s="53">
        <f>STOCK[[#This Row],[Stock Actual]]*STOCK[[#This Row],[Costo total]]</f>
        <v>0</v>
      </c>
    </row>
    <row r="197" spans="1:29" s="54" customFormat="1" ht="50" customHeight="1">
      <c r="A197" s="54" t="s">
        <v>433</v>
      </c>
      <c r="B197" s="64"/>
      <c r="C197" s="54" t="s">
        <v>32</v>
      </c>
      <c r="D197" s="54" t="s">
        <v>44</v>
      </c>
      <c r="E197" s="66" t="s">
        <v>434</v>
      </c>
      <c r="F197" s="54" t="s">
        <v>40</v>
      </c>
      <c r="G197" s="54" t="s">
        <v>36</v>
      </c>
      <c r="H197" s="54">
        <f>STOCK[[#This Row],[Precio Final]]</f>
        <v>28</v>
      </c>
      <c r="I197" s="54">
        <f>STOCK[[#This Row],[Precio Venta Ideal (x1.5)]]</f>
        <v>28.061666666666699</v>
      </c>
      <c r="J197" s="70">
        <v>1</v>
      </c>
      <c r="K197" s="70">
        <f>SUMIFS(VENTAS[Cantidad],VENTAS[Código del producto Vendido],STOCK[[#This Row],[Code]])</f>
        <v>1</v>
      </c>
      <c r="L197" s="70">
        <f>STOCK[[#This Row],[Entradas]]-STOCK[[#This Row],[Salidas]]</f>
        <v>0</v>
      </c>
      <c r="M197" s="54">
        <f>STOCK[[#This Row],[Precio Final]]*10%</f>
        <v>2.8000000000000003</v>
      </c>
      <c r="N197" s="54">
        <v>259.7</v>
      </c>
      <c r="O197" s="54">
        <v>18</v>
      </c>
      <c r="P197" s="54">
        <v>14.4277777777778</v>
      </c>
      <c r="Q197" s="70">
        <v>185</v>
      </c>
      <c r="R197" s="54">
        <v>8</v>
      </c>
      <c r="S197" s="54">
        <f>STOCK[[#This Row],[Peso (g)]]*STOCK[[#This Row],[Precio Envío Kilogramo (USD)]]/1000</f>
        <v>1.48</v>
      </c>
      <c r="T197" s="53">
        <f>STOCK[[#This Row],[Costo Unitario (USD)]]+STOCK[[#This Row],[Costo Envío (USD)]]+STOCK[[#This Row],[Comisión 10%]]</f>
        <v>18.7077777777778</v>
      </c>
      <c r="U197" s="54">
        <f>STOCK[[#This Row],[Costo total]]*1.5</f>
        <v>28.061666666666699</v>
      </c>
      <c r="V197" s="54">
        <v>28</v>
      </c>
      <c r="W197" s="54">
        <f>STOCK[[#This Row],[Precio Final]]-STOCK[[#This Row],[Costo total]]</f>
        <v>9.2922222222222004</v>
      </c>
      <c r="X197" s="54">
        <f>STOCK[[#This Row],[Ganancia Unitaria]]*STOCK[[#This Row],[Salidas]]</f>
        <v>9.2922222222222004</v>
      </c>
      <c r="AA197" s="54">
        <f>STOCK[[#This Row],[Costo total]]*STOCK[[#This Row],[Entradas]]</f>
        <v>18.7077777777778</v>
      </c>
      <c r="AB197" s="54">
        <f>STOCK[[#This Row],[Stock Actual]]*STOCK[[#This Row],[Costo total]]</f>
        <v>0</v>
      </c>
    </row>
    <row r="198" spans="1:29" s="53" customFormat="1" ht="50" customHeight="1">
      <c r="A198" s="53" t="s">
        <v>435</v>
      </c>
      <c r="B198" s="64"/>
      <c r="C198" s="53" t="s">
        <v>32</v>
      </c>
      <c r="D198" s="53" t="s">
        <v>174</v>
      </c>
      <c r="E198" s="65" t="s">
        <v>436</v>
      </c>
      <c r="F198" s="53" t="s">
        <v>187</v>
      </c>
      <c r="G198" s="53" t="s">
        <v>36</v>
      </c>
      <c r="H198" s="53">
        <f>STOCK[[#This Row],[Precio Final]]</f>
        <v>25</v>
      </c>
      <c r="I198" s="53">
        <f>STOCK[[#This Row],[Precio Venta Ideal (x1.5)]]</f>
        <v>28.135000000000048</v>
      </c>
      <c r="J198" s="69">
        <v>1</v>
      </c>
      <c r="K198" s="69">
        <f>SUMIFS(VENTAS[Cantidad],VENTAS[Código del producto Vendido],STOCK[[#This Row],[Code]])</f>
        <v>1</v>
      </c>
      <c r="L198" s="69">
        <f>STOCK[[#This Row],[Entradas]]-STOCK[[#This Row],[Salidas]]</f>
        <v>0</v>
      </c>
      <c r="M198" s="53">
        <f>STOCK[[#This Row],[Precio Final]]*10%</f>
        <v>2.5</v>
      </c>
      <c r="N198" s="53">
        <v>266.7</v>
      </c>
      <c r="O198" s="53">
        <v>18</v>
      </c>
      <c r="P198" s="53">
        <v>14.8166666666667</v>
      </c>
      <c r="Q198" s="69">
        <v>180</v>
      </c>
      <c r="R198" s="53">
        <v>8</v>
      </c>
      <c r="S198" s="53">
        <f>STOCK[[#This Row],[Peso (g)]]*STOCK[[#This Row],[Precio Envío Kilogramo (USD)]]/1000</f>
        <v>1.44</v>
      </c>
      <c r="T198" s="53">
        <f>STOCK[[#This Row],[Costo Unitario (USD)]]+STOCK[[#This Row],[Costo Envío (USD)]]+STOCK[[#This Row],[Comisión 10%]]</f>
        <v>18.7566666666667</v>
      </c>
      <c r="U198" s="53">
        <f>STOCK[[#This Row],[Costo total]]*1.5</f>
        <v>28.135000000000048</v>
      </c>
      <c r="V198" s="53">
        <v>25</v>
      </c>
      <c r="W198" s="53">
        <f>STOCK[[#This Row],[Precio Final]]-STOCK[[#This Row],[Costo total]]</f>
        <v>6.2433333333333003</v>
      </c>
      <c r="X198" s="53">
        <f>STOCK[[#This Row],[Ganancia Unitaria]]*STOCK[[#This Row],[Salidas]]</f>
        <v>6.2433333333333003</v>
      </c>
      <c r="AA198" s="53">
        <f>STOCK[[#This Row],[Costo total]]*STOCK[[#This Row],[Entradas]]</f>
        <v>18.7566666666667</v>
      </c>
      <c r="AB198" s="53">
        <f>STOCK[[#This Row],[Stock Actual]]*STOCK[[#This Row],[Costo total]]</f>
        <v>0</v>
      </c>
    </row>
    <row r="199" spans="1:29" s="54" customFormat="1" ht="50" customHeight="1">
      <c r="A199" s="54" t="s">
        <v>437</v>
      </c>
      <c r="B199" s="64"/>
      <c r="C199" s="54" t="s">
        <v>32</v>
      </c>
      <c r="D199" s="54" t="s">
        <v>38</v>
      </c>
      <c r="E199" s="66" t="s">
        <v>438</v>
      </c>
      <c r="F199" s="54" t="s">
        <v>42</v>
      </c>
      <c r="G199" s="54" t="s">
        <v>36</v>
      </c>
      <c r="H199" s="54">
        <f>STOCK[[#This Row],[Precio Final]]</f>
        <v>25</v>
      </c>
      <c r="I199" s="54">
        <f>STOCK[[#This Row],[Precio Venta Ideal (x1.5)]]</f>
        <v>28.656666666666602</v>
      </c>
      <c r="J199" s="70">
        <v>2</v>
      </c>
      <c r="K199" s="70">
        <f>SUMIFS(VENTAS[Cantidad],VENTAS[Código del producto Vendido],STOCK[[#This Row],[Code]])</f>
        <v>2</v>
      </c>
      <c r="L199" s="70">
        <f>STOCK[[#This Row],[Entradas]]-STOCK[[#This Row],[Salidas]]</f>
        <v>0</v>
      </c>
      <c r="M199" s="54">
        <f>STOCK[[#This Row],[Precio Final]]*10%</f>
        <v>2.5</v>
      </c>
      <c r="N199" s="54">
        <v>249.2</v>
      </c>
      <c r="O199" s="54">
        <v>18</v>
      </c>
      <c r="P199" s="54">
        <v>13.844444444444401</v>
      </c>
      <c r="Q199" s="70">
        <v>345</v>
      </c>
      <c r="R199" s="54">
        <v>8</v>
      </c>
      <c r="S199" s="54">
        <f>STOCK[[#This Row],[Peso (g)]]*STOCK[[#This Row],[Precio Envío Kilogramo (USD)]]/1000</f>
        <v>2.76</v>
      </c>
      <c r="T199" s="53">
        <f>STOCK[[#This Row],[Costo Unitario (USD)]]+STOCK[[#This Row],[Costo Envío (USD)]]+STOCK[[#This Row],[Comisión 10%]]</f>
        <v>19.1044444444444</v>
      </c>
      <c r="U199" s="54">
        <f>STOCK[[#This Row],[Costo total]]*1.5</f>
        <v>28.656666666666602</v>
      </c>
      <c r="V199" s="54">
        <v>25</v>
      </c>
      <c r="W199" s="54">
        <f>STOCK[[#This Row],[Precio Final]]-STOCK[[#This Row],[Costo total]]</f>
        <v>5.8955555555555996</v>
      </c>
      <c r="X199" s="54">
        <f>STOCK[[#This Row],[Ganancia Unitaria]]*STOCK[[#This Row],[Salidas]]</f>
        <v>11.791111111111199</v>
      </c>
      <c r="AA199" s="54">
        <f>STOCK[[#This Row],[Costo total]]*STOCK[[#This Row],[Entradas]]</f>
        <v>38.208888888888801</v>
      </c>
      <c r="AB199" s="54">
        <f>STOCK[[#This Row],[Stock Actual]]*STOCK[[#This Row],[Costo total]]</f>
        <v>0</v>
      </c>
    </row>
    <row r="200" spans="1:29" s="53" customFormat="1" ht="50" customHeight="1">
      <c r="A200" s="53" t="s">
        <v>439</v>
      </c>
      <c r="B200" s="64"/>
      <c r="C200" s="53" t="s">
        <v>32</v>
      </c>
      <c r="D200" s="53" t="s">
        <v>38</v>
      </c>
      <c r="E200" s="65" t="s">
        <v>100</v>
      </c>
      <c r="F200" s="53" t="s">
        <v>42</v>
      </c>
      <c r="G200" s="53" t="s">
        <v>36</v>
      </c>
      <c r="H200" s="53">
        <f>STOCK[[#This Row],[Precio Final]]</f>
        <v>28</v>
      </c>
      <c r="I200" s="53">
        <f>STOCK[[#This Row],[Precio Venta Ideal (x1.5)]]</f>
        <v>27.925000000000047</v>
      </c>
      <c r="J200" s="69">
        <v>0</v>
      </c>
      <c r="K200" s="69">
        <f>SUMIFS(VENTAS[Cantidad],VENTAS[Código del producto Vendido],STOCK[[#This Row],[Code]])</f>
        <v>0</v>
      </c>
      <c r="L200" s="69">
        <f>STOCK[[#This Row],[Entradas]]-STOCK[[#This Row],[Salidas]]</f>
        <v>0</v>
      </c>
      <c r="M200" s="53">
        <f>STOCK[[#This Row],[Precio Final]]*10%</f>
        <v>2.8000000000000003</v>
      </c>
      <c r="N200" s="53">
        <v>241.5</v>
      </c>
      <c r="O200" s="53">
        <v>18</v>
      </c>
      <c r="P200" s="53">
        <v>13.4166666666667</v>
      </c>
      <c r="Q200" s="69">
        <v>300</v>
      </c>
      <c r="R200" s="53">
        <v>8</v>
      </c>
      <c r="S200" s="53">
        <f>STOCK[[#This Row],[Peso (g)]]*STOCK[[#This Row],[Precio Envío Kilogramo (USD)]]/1000</f>
        <v>2.4</v>
      </c>
      <c r="T200" s="53">
        <f>STOCK[[#This Row],[Costo Unitario (USD)]]+STOCK[[#This Row],[Costo Envío (USD)]]+STOCK[[#This Row],[Comisión 10%]]</f>
        <v>18.616666666666699</v>
      </c>
      <c r="U200" s="53">
        <f>STOCK[[#This Row],[Costo total]]*1.5</f>
        <v>27.925000000000047</v>
      </c>
      <c r="V200" s="53">
        <v>28</v>
      </c>
      <c r="W200" s="53">
        <f>STOCK[[#This Row],[Precio Final]]-STOCK[[#This Row],[Costo total]]</f>
        <v>9.3833333333333009</v>
      </c>
      <c r="X200" s="53">
        <f>STOCK[[#This Row],[Ganancia Unitaria]]*STOCK[[#This Row],[Salidas]]</f>
        <v>0</v>
      </c>
      <c r="AA200" s="53">
        <f>STOCK[[#This Row],[Costo total]]*STOCK[[#This Row],[Entradas]]</f>
        <v>0</v>
      </c>
      <c r="AB200" s="53">
        <f>STOCK[[#This Row],[Stock Actual]]*STOCK[[#This Row],[Costo total]]</f>
        <v>0</v>
      </c>
    </row>
    <row r="201" spans="1:29" s="54" customFormat="1" ht="50" customHeight="1">
      <c r="A201" s="54" t="s">
        <v>440</v>
      </c>
      <c r="B201" s="64"/>
      <c r="C201" s="54" t="s">
        <v>32</v>
      </c>
      <c r="D201" s="54" t="s">
        <v>294</v>
      </c>
      <c r="E201" s="66" t="s">
        <v>441</v>
      </c>
      <c r="F201" s="54" t="s">
        <v>62</v>
      </c>
      <c r="G201" s="54" t="s">
        <v>36</v>
      </c>
      <c r="H201" s="54">
        <f>STOCK[[#This Row],[Precio Final]]</f>
        <v>12</v>
      </c>
      <c r="I201" s="54">
        <f>STOCK[[#This Row],[Precio Venta Ideal (x1.5)]]</f>
        <v>11.785000000000005</v>
      </c>
      <c r="J201" s="70">
        <v>1</v>
      </c>
      <c r="K201" s="70">
        <f>SUMIFS(VENTAS[Cantidad],VENTAS[Código del producto Vendido],STOCK[[#This Row],[Code]])</f>
        <v>1</v>
      </c>
      <c r="L201" s="70">
        <f>STOCK[[#This Row],[Entradas]]-STOCK[[#This Row],[Salidas]]</f>
        <v>0</v>
      </c>
      <c r="M201" s="54">
        <f>STOCK[[#This Row],[Precio Final]]*10%</f>
        <v>1.2000000000000002</v>
      </c>
      <c r="N201" s="54">
        <v>115.5</v>
      </c>
      <c r="O201" s="54">
        <v>18</v>
      </c>
      <c r="P201" s="54">
        <v>6.4166666666666696</v>
      </c>
      <c r="Q201" s="70">
        <v>30</v>
      </c>
      <c r="R201" s="54">
        <v>8</v>
      </c>
      <c r="S201" s="54">
        <f>STOCK[[#This Row],[Peso (g)]]*STOCK[[#This Row],[Precio Envío Kilogramo (USD)]]/1000</f>
        <v>0.24</v>
      </c>
      <c r="T201" s="53">
        <f>STOCK[[#This Row],[Costo Unitario (USD)]]+STOCK[[#This Row],[Costo Envío (USD)]]+STOCK[[#This Row],[Comisión 10%]]</f>
        <v>7.85666666666667</v>
      </c>
      <c r="U201" s="54">
        <f>STOCK[[#This Row],[Costo total]]*1.5</f>
        <v>11.785000000000005</v>
      </c>
      <c r="V201" s="54">
        <v>12</v>
      </c>
      <c r="W201" s="54">
        <f>STOCK[[#This Row],[Precio Final]]-STOCK[[#This Row],[Costo total]]</f>
        <v>4.14333333333333</v>
      </c>
      <c r="X201" s="54">
        <f>STOCK[[#This Row],[Ganancia Unitaria]]*STOCK[[#This Row],[Salidas]]</f>
        <v>4.14333333333333</v>
      </c>
      <c r="AA201" s="54">
        <f>STOCK[[#This Row],[Costo total]]*STOCK[[#This Row],[Entradas]]</f>
        <v>7.85666666666667</v>
      </c>
      <c r="AB201" s="54">
        <f>STOCK[[#This Row],[Stock Actual]]*STOCK[[#This Row],[Costo total]]</f>
        <v>0</v>
      </c>
      <c r="AC201" s="54">
        <v>10</v>
      </c>
    </row>
    <row r="202" spans="1:29" s="53" customFormat="1" ht="50" customHeight="1">
      <c r="A202" s="53" t="s">
        <v>442</v>
      </c>
      <c r="B202" s="64"/>
      <c r="C202" s="53" t="s">
        <v>32</v>
      </c>
      <c r="D202" s="53" t="s">
        <v>174</v>
      </c>
      <c r="E202" s="65" t="s">
        <v>443</v>
      </c>
      <c r="F202" s="53" t="s">
        <v>444</v>
      </c>
      <c r="G202" s="53" t="s">
        <v>36</v>
      </c>
      <c r="H202" s="53">
        <f>STOCK[[#This Row],[Precio Final]]</f>
        <v>12</v>
      </c>
      <c r="I202" s="53">
        <f>STOCK[[#This Row],[Precio Venta Ideal (x1.5)]]</f>
        <v>12.951666666666661</v>
      </c>
      <c r="J202" s="69">
        <v>1</v>
      </c>
      <c r="K202" s="69">
        <f>SUMIFS(VENTAS[Cantidad],VENTAS[Código del producto Vendido],STOCK[[#This Row],[Code]])</f>
        <v>1</v>
      </c>
      <c r="L202" s="69">
        <f>STOCK[[#This Row],[Entradas]]-STOCK[[#This Row],[Salidas]]</f>
        <v>0</v>
      </c>
      <c r="M202" s="53">
        <f>STOCK[[#This Row],[Precio Final]]*10%</f>
        <v>1.2000000000000002</v>
      </c>
      <c r="N202" s="53">
        <v>129.5</v>
      </c>
      <c r="O202" s="53">
        <v>18</v>
      </c>
      <c r="P202" s="53">
        <v>7.1944444444444402</v>
      </c>
      <c r="Q202" s="69">
        <v>30</v>
      </c>
      <c r="R202" s="53">
        <v>8</v>
      </c>
      <c r="S202" s="53">
        <f>STOCK[[#This Row],[Peso (g)]]*STOCK[[#This Row],[Precio Envío Kilogramo (USD)]]/1000</f>
        <v>0.24</v>
      </c>
      <c r="T202" s="53">
        <f>STOCK[[#This Row],[Costo Unitario (USD)]]+STOCK[[#This Row],[Costo Envío (USD)]]+STOCK[[#This Row],[Comisión 10%]]</f>
        <v>8.6344444444444406</v>
      </c>
      <c r="U202" s="53">
        <f>STOCK[[#This Row],[Costo total]]*1.5</f>
        <v>12.951666666666661</v>
      </c>
      <c r="V202" s="53">
        <v>12</v>
      </c>
      <c r="W202" s="53">
        <f>STOCK[[#This Row],[Precio Final]]-STOCK[[#This Row],[Costo total]]</f>
        <v>3.3655555555555594</v>
      </c>
      <c r="X202" s="53">
        <f>STOCK[[#This Row],[Ganancia Unitaria]]*STOCK[[#This Row],[Salidas]]</f>
        <v>3.3655555555555594</v>
      </c>
      <c r="AA202" s="53">
        <f>STOCK[[#This Row],[Costo total]]*STOCK[[#This Row],[Entradas]]</f>
        <v>8.6344444444444406</v>
      </c>
      <c r="AB202" s="53">
        <f>STOCK[[#This Row],[Stock Actual]]*STOCK[[#This Row],[Costo total]]</f>
        <v>0</v>
      </c>
    </row>
    <row r="203" spans="1:29" s="54" customFormat="1" ht="50" customHeight="1">
      <c r="A203" s="54" t="s">
        <v>445</v>
      </c>
      <c r="B203" s="64"/>
      <c r="C203" s="54" t="s">
        <v>32</v>
      </c>
      <c r="D203" s="54" t="s">
        <v>44</v>
      </c>
      <c r="E203" s="66" t="s">
        <v>446</v>
      </c>
      <c r="F203" s="54" t="s">
        <v>40</v>
      </c>
      <c r="G203" s="54" t="s">
        <v>36</v>
      </c>
      <c r="H203" s="54">
        <f>STOCK[[#This Row],[Precio Final]]</f>
        <v>16</v>
      </c>
      <c r="I203" s="54">
        <f>STOCK[[#This Row],[Precio Venta Ideal (x1.5)]]</f>
        <v>25.369999999999955</v>
      </c>
      <c r="J203" s="70">
        <v>1</v>
      </c>
      <c r="K203" s="70">
        <f>SUMIFS(VENTAS[Cantidad],VENTAS[Código del producto Vendido],STOCK[[#This Row],[Code]])</f>
        <v>1</v>
      </c>
      <c r="L203" s="70">
        <f>STOCK[[#This Row],[Entradas]]-STOCK[[#This Row],[Salidas]]</f>
        <v>0</v>
      </c>
      <c r="M203" s="54">
        <f>STOCK[[#This Row],[Precio Final]]*10%</f>
        <v>1.6</v>
      </c>
      <c r="N203" s="54">
        <v>256.2</v>
      </c>
      <c r="O203" s="54">
        <v>18</v>
      </c>
      <c r="P203" s="54">
        <v>14.233333333333301</v>
      </c>
      <c r="Q203" s="70">
        <v>135</v>
      </c>
      <c r="R203" s="54">
        <v>8</v>
      </c>
      <c r="S203" s="54">
        <f>STOCK[[#This Row],[Peso (g)]]*STOCK[[#This Row],[Precio Envío Kilogramo (USD)]]/1000</f>
        <v>1.08</v>
      </c>
      <c r="T203" s="53">
        <f>STOCK[[#This Row],[Costo Unitario (USD)]]+STOCK[[#This Row],[Costo Envío (USD)]]+STOCK[[#This Row],[Comisión 10%]]</f>
        <v>16.913333333333302</v>
      </c>
      <c r="U203" s="54">
        <f>STOCK[[#This Row],[Costo total]]*1.5</f>
        <v>25.369999999999955</v>
      </c>
      <c r="V203" s="54">
        <v>16</v>
      </c>
      <c r="W203" s="54">
        <f>STOCK[[#This Row],[Precio Final]]-STOCK[[#This Row],[Costo total]]</f>
        <v>-0.91333333333330202</v>
      </c>
      <c r="X203" s="54">
        <f>STOCK[[#This Row],[Ganancia Unitaria]]*STOCK[[#This Row],[Salidas]]</f>
        <v>-0.91333333333330202</v>
      </c>
      <c r="AA203" s="54">
        <f>STOCK[[#This Row],[Costo total]]*STOCK[[#This Row],[Entradas]]</f>
        <v>16.913333333333302</v>
      </c>
      <c r="AB203" s="54">
        <f>STOCK[[#This Row],[Stock Actual]]*STOCK[[#This Row],[Costo total]]</f>
        <v>0</v>
      </c>
    </row>
    <row r="204" spans="1:29" s="53" customFormat="1" ht="50" customHeight="1">
      <c r="A204" s="53" t="s">
        <v>447</v>
      </c>
      <c r="B204" s="64"/>
      <c r="C204" s="53" t="s">
        <v>32</v>
      </c>
      <c r="D204" s="53" t="s">
        <v>152</v>
      </c>
      <c r="E204" s="65" t="s">
        <v>448</v>
      </c>
      <c r="F204" s="53" t="s">
        <v>62</v>
      </c>
      <c r="G204" s="53" t="s">
        <v>36</v>
      </c>
      <c r="H204" s="53">
        <f>STOCK[[#This Row],[Precio Final]]</f>
        <v>15</v>
      </c>
      <c r="I204" s="53">
        <f>STOCK[[#This Row],[Precio Venta Ideal (x1.5)]]</f>
        <v>15.641666666666671</v>
      </c>
      <c r="J204" s="69">
        <v>1</v>
      </c>
      <c r="K204" s="69">
        <f>SUMIFS(VENTAS[Cantidad],VENTAS[Código del producto Vendido],STOCK[[#This Row],[Code]])</f>
        <v>1</v>
      </c>
      <c r="L204" s="69">
        <f>STOCK[[#This Row],[Entradas]]-STOCK[[#This Row],[Salidas]]</f>
        <v>0</v>
      </c>
      <c r="M204" s="53">
        <f>STOCK[[#This Row],[Precio Final]]*10%</f>
        <v>1.5</v>
      </c>
      <c r="N204" s="53">
        <v>146.30000000000001</v>
      </c>
      <c r="O204" s="53">
        <v>18</v>
      </c>
      <c r="P204" s="53">
        <v>8.12777777777778</v>
      </c>
      <c r="Q204" s="69">
        <v>100</v>
      </c>
      <c r="R204" s="53">
        <v>8</v>
      </c>
      <c r="S204" s="53">
        <f>STOCK[[#This Row],[Peso (g)]]*STOCK[[#This Row],[Precio Envío Kilogramo (USD)]]/1000</f>
        <v>0.8</v>
      </c>
      <c r="T204" s="53">
        <f>STOCK[[#This Row],[Costo Unitario (USD)]]+STOCK[[#This Row],[Costo Envío (USD)]]+STOCK[[#This Row],[Comisión 10%]]</f>
        <v>10.427777777777781</v>
      </c>
      <c r="U204" s="53">
        <f>STOCK[[#This Row],[Costo total]]*1.5</f>
        <v>15.641666666666671</v>
      </c>
      <c r="V204" s="53">
        <v>15</v>
      </c>
      <c r="W204" s="53">
        <f>STOCK[[#This Row],[Precio Final]]-STOCK[[#This Row],[Costo total]]</f>
        <v>4.5722222222222193</v>
      </c>
      <c r="X204" s="53">
        <f>STOCK[[#This Row],[Ganancia Unitaria]]*STOCK[[#This Row],[Salidas]]</f>
        <v>4.5722222222222193</v>
      </c>
      <c r="AA204" s="53">
        <f>STOCK[[#This Row],[Costo total]]*STOCK[[#This Row],[Entradas]]</f>
        <v>10.427777777777781</v>
      </c>
      <c r="AB204" s="53">
        <f>STOCK[[#This Row],[Stock Actual]]*STOCK[[#This Row],[Costo total]]</f>
        <v>0</v>
      </c>
    </row>
    <row r="205" spans="1:29" s="54" customFormat="1" ht="50" customHeight="1">
      <c r="A205" s="54" t="s">
        <v>449</v>
      </c>
      <c r="B205" s="64"/>
      <c r="C205" s="54" t="s">
        <v>32</v>
      </c>
      <c r="D205" s="54" t="s">
        <v>38</v>
      </c>
      <c r="E205" s="66" t="s">
        <v>100</v>
      </c>
      <c r="F205" s="54" t="s">
        <v>62</v>
      </c>
      <c r="G205" s="54" t="s">
        <v>36</v>
      </c>
      <c r="H205" s="54">
        <f>STOCK[[#This Row],[Precio Final]]</f>
        <v>25</v>
      </c>
      <c r="I205" s="54">
        <f>STOCK[[#This Row],[Precio Venta Ideal (x1.5)]]</f>
        <v>23.87500000000005</v>
      </c>
      <c r="J205" s="70">
        <v>2</v>
      </c>
      <c r="K205" s="70">
        <f>SUMIFS(VENTAS[Cantidad],VENTAS[Código del producto Vendido],STOCK[[#This Row],[Code]])</f>
        <v>2</v>
      </c>
      <c r="L205" s="70">
        <f>STOCK[[#This Row],[Entradas]]-STOCK[[#This Row],[Salidas]]</f>
        <v>0</v>
      </c>
      <c r="M205" s="54">
        <f>STOCK[[#This Row],[Precio Final]]*10%</f>
        <v>2.5</v>
      </c>
      <c r="N205" s="54">
        <v>241.5</v>
      </c>
      <c r="O205" s="54">
        <v>18</v>
      </c>
      <c r="P205" s="54">
        <v>13.4166666666667</v>
      </c>
      <c r="Q205" s="70"/>
      <c r="R205" s="54">
        <v>8</v>
      </c>
      <c r="S205" s="54">
        <f>STOCK[[#This Row],[Peso (g)]]*STOCK[[#This Row],[Precio Envío Kilogramo (USD)]]/1000</f>
        <v>0</v>
      </c>
      <c r="T205" s="53">
        <f>STOCK[[#This Row],[Costo Unitario (USD)]]+STOCK[[#This Row],[Costo Envío (USD)]]+STOCK[[#This Row],[Comisión 10%]]</f>
        <v>15.9166666666667</v>
      </c>
      <c r="U205" s="54">
        <f>STOCK[[#This Row],[Costo total]]*1.5</f>
        <v>23.87500000000005</v>
      </c>
      <c r="V205" s="54">
        <v>25</v>
      </c>
      <c r="W205" s="54">
        <f>STOCK[[#This Row],[Precio Final]]-STOCK[[#This Row],[Costo total]]</f>
        <v>9.0833333333333002</v>
      </c>
      <c r="X205" s="54">
        <f>STOCK[[#This Row],[Ganancia Unitaria]]*STOCK[[#This Row],[Salidas]]</f>
        <v>18.1666666666666</v>
      </c>
      <c r="AA205" s="54">
        <f>STOCK[[#This Row],[Costo total]]*STOCK[[#This Row],[Entradas]]</f>
        <v>31.8333333333334</v>
      </c>
      <c r="AB205" s="54">
        <f>STOCK[[#This Row],[Stock Actual]]*STOCK[[#This Row],[Costo total]]</f>
        <v>0</v>
      </c>
    </row>
    <row r="206" spans="1:29" s="53" customFormat="1" ht="50" customHeight="1">
      <c r="A206" s="53" t="s">
        <v>450</v>
      </c>
      <c r="B206" s="64"/>
      <c r="C206" s="53" t="s">
        <v>32</v>
      </c>
      <c r="D206" s="53" t="s">
        <v>38</v>
      </c>
      <c r="E206" s="65" t="s">
        <v>100</v>
      </c>
      <c r="F206" s="53" t="s">
        <v>49</v>
      </c>
      <c r="G206" s="53" t="s">
        <v>36</v>
      </c>
      <c r="H206" s="53">
        <f>STOCK[[#This Row],[Precio Final]]</f>
        <v>25</v>
      </c>
      <c r="I206" s="53">
        <f>STOCK[[#This Row],[Precio Venta Ideal (x1.5)]]</f>
        <v>23.87500000000005</v>
      </c>
      <c r="J206" s="69">
        <v>4</v>
      </c>
      <c r="K206" s="69">
        <f>SUMIFS(VENTAS[Cantidad],VENTAS[Código del producto Vendido],STOCK[[#This Row],[Code]])</f>
        <v>4</v>
      </c>
      <c r="L206" s="69">
        <f>STOCK[[#This Row],[Entradas]]-STOCK[[#This Row],[Salidas]]</f>
        <v>0</v>
      </c>
      <c r="M206" s="53">
        <f>STOCK[[#This Row],[Precio Final]]*10%</f>
        <v>2.5</v>
      </c>
      <c r="N206" s="53">
        <v>241.5</v>
      </c>
      <c r="O206" s="53">
        <v>18</v>
      </c>
      <c r="P206" s="53">
        <v>13.4166666666667</v>
      </c>
      <c r="Q206" s="69"/>
      <c r="R206" s="53">
        <v>8</v>
      </c>
      <c r="S206" s="53">
        <f>STOCK[[#This Row],[Peso (g)]]*STOCK[[#This Row],[Precio Envío Kilogramo (USD)]]/1000</f>
        <v>0</v>
      </c>
      <c r="T206" s="53">
        <f>STOCK[[#This Row],[Costo Unitario (USD)]]+STOCK[[#This Row],[Costo Envío (USD)]]+STOCK[[#This Row],[Comisión 10%]]</f>
        <v>15.9166666666667</v>
      </c>
      <c r="U206" s="53">
        <f>STOCK[[#This Row],[Costo total]]*1.5</f>
        <v>23.87500000000005</v>
      </c>
      <c r="V206" s="53">
        <v>25</v>
      </c>
      <c r="W206" s="53">
        <f>STOCK[[#This Row],[Precio Final]]-STOCK[[#This Row],[Costo total]]</f>
        <v>9.0833333333333002</v>
      </c>
      <c r="X206" s="53">
        <f>STOCK[[#This Row],[Ganancia Unitaria]]*STOCK[[#This Row],[Salidas]]</f>
        <v>36.333333333333201</v>
      </c>
      <c r="AA206" s="53">
        <f>STOCK[[#This Row],[Costo total]]*STOCK[[#This Row],[Entradas]]</f>
        <v>63.666666666666799</v>
      </c>
      <c r="AB206" s="53">
        <f>STOCK[[#This Row],[Stock Actual]]*STOCK[[#This Row],[Costo total]]</f>
        <v>0</v>
      </c>
    </row>
    <row r="207" spans="1:29" s="54" customFormat="1" ht="50" customHeight="1">
      <c r="A207" s="54" t="s">
        <v>451</v>
      </c>
      <c r="B207" s="64"/>
      <c r="C207" s="54" t="s">
        <v>32</v>
      </c>
      <c r="D207" s="54" t="s">
        <v>38</v>
      </c>
      <c r="E207" s="66" t="s">
        <v>100</v>
      </c>
      <c r="F207" s="54" t="s">
        <v>46</v>
      </c>
      <c r="G207" s="54" t="s">
        <v>36</v>
      </c>
      <c r="H207" s="54">
        <f>STOCK[[#This Row],[Precio Final]]</f>
        <v>25</v>
      </c>
      <c r="I207" s="54">
        <f>STOCK[[#This Row],[Precio Venta Ideal (x1.5)]]</f>
        <v>23.87500000000005</v>
      </c>
      <c r="J207" s="70">
        <v>2</v>
      </c>
      <c r="K207" s="70">
        <f>SUMIFS(VENTAS[Cantidad],VENTAS[Código del producto Vendido],STOCK[[#This Row],[Code]])</f>
        <v>2</v>
      </c>
      <c r="L207" s="70">
        <f>STOCK[[#This Row],[Entradas]]-STOCK[[#This Row],[Salidas]]</f>
        <v>0</v>
      </c>
      <c r="M207" s="54">
        <f>STOCK[[#This Row],[Precio Final]]*10%</f>
        <v>2.5</v>
      </c>
      <c r="N207" s="54">
        <v>241.5</v>
      </c>
      <c r="O207" s="54">
        <v>18</v>
      </c>
      <c r="P207" s="54">
        <v>13.4166666666667</v>
      </c>
      <c r="Q207" s="70"/>
      <c r="R207" s="54">
        <v>8</v>
      </c>
      <c r="S207" s="54">
        <f>STOCK[[#This Row],[Peso (g)]]*STOCK[[#This Row],[Precio Envío Kilogramo (USD)]]/1000</f>
        <v>0</v>
      </c>
      <c r="T207" s="53">
        <f>STOCK[[#This Row],[Costo Unitario (USD)]]+STOCK[[#This Row],[Costo Envío (USD)]]+STOCK[[#This Row],[Comisión 10%]]</f>
        <v>15.9166666666667</v>
      </c>
      <c r="U207" s="54">
        <f>STOCK[[#This Row],[Costo total]]*1.5</f>
        <v>23.87500000000005</v>
      </c>
      <c r="V207" s="54">
        <v>25</v>
      </c>
      <c r="W207" s="54">
        <f>STOCK[[#This Row],[Precio Final]]-STOCK[[#This Row],[Costo total]]</f>
        <v>9.0833333333333002</v>
      </c>
      <c r="X207" s="54">
        <f>STOCK[[#This Row],[Ganancia Unitaria]]*STOCK[[#This Row],[Salidas]]</f>
        <v>18.1666666666666</v>
      </c>
      <c r="AA207" s="54">
        <f>STOCK[[#This Row],[Costo total]]*STOCK[[#This Row],[Entradas]]</f>
        <v>31.8333333333334</v>
      </c>
      <c r="AB207" s="54">
        <f>STOCK[[#This Row],[Stock Actual]]*STOCK[[#This Row],[Costo total]]</f>
        <v>0</v>
      </c>
    </row>
    <row r="208" spans="1:29" s="53" customFormat="1" ht="50" customHeight="1">
      <c r="A208" s="53" t="s">
        <v>452</v>
      </c>
      <c r="B208" s="64"/>
      <c r="C208" s="53" t="s">
        <v>32</v>
      </c>
      <c r="D208" s="53" t="s">
        <v>38</v>
      </c>
      <c r="E208" s="65" t="s">
        <v>453</v>
      </c>
      <c r="F208" s="53" t="s">
        <v>46</v>
      </c>
      <c r="G208" s="53" t="s">
        <v>36</v>
      </c>
      <c r="H208" s="53">
        <f>STOCK[[#This Row],[Precio Final]]</f>
        <v>28</v>
      </c>
      <c r="I208" s="53">
        <f>STOCK[[#This Row],[Precio Venta Ideal (x1.5)]]</f>
        <v>33.891666666666602</v>
      </c>
      <c r="J208" s="69">
        <v>4</v>
      </c>
      <c r="K208" s="69">
        <f>SUMIFS(VENTAS[Cantidad],VENTAS[Código del producto Vendido],STOCK[[#This Row],[Code]])</f>
        <v>4</v>
      </c>
      <c r="L208" s="69">
        <f>STOCK[[#This Row],[Entradas]]-STOCK[[#This Row],[Salidas]]</f>
        <v>0</v>
      </c>
      <c r="M208" s="53">
        <f>STOCK[[#This Row],[Precio Final]]*10%</f>
        <v>2.8000000000000003</v>
      </c>
      <c r="N208" s="53">
        <v>249.2</v>
      </c>
      <c r="O208" s="53">
        <v>18</v>
      </c>
      <c r="P208" s="53">
        <v>13.844444444444401</v>
      </c>
      <c r="Q208" s="69">
        <v>340</v>
      </c>
      <c r="R208" s="53">
        <v>17.5</v>
      </c>
      <c r="S208" s="53">
        <f>STOCK[[#This Row],[Peso (g)]]*STOCK[[#This Row],[Precio Envío Kilogramo (USD)]]/1000</f>
        <v>5.95</v>
      </c>
      <c r="T208" s="53">
        <f>STOCK[[#This Row],[Costo Unitario (USD)]]+STOCK[[#This Row],[Costo Envío (USD)]]+STOCK[[#This Row],[Comisión 10%]]</f>
        <v>22.594444444444402</v>
      </c>
      <c r="U208" s="53">
        <f>STOCK[[#This Row],[Costo total]]*1.5</f>
        <v>33.891666666666602</v>
      </c>
      <c r="V208" s="53">
        <v>28</v>
      </c>
      <c r="W208" s="53">
        <f>STOCK[[#This Row],[Precio Final]]-STOCK[[#This Row],[Costo total]]</f>
        <v>5.4055555555555976</v>
      </c>
      <c r="X208" s="53">
        <f>STOCK[[#This Row],[Ganancia Unitaria]]*STOCK[[#This Row],[Salidas]]</f>
        <v>21.622222222222391</v>
      </c>
      <c r="AA208" s="53">
        <f>STOCK[[#This Row],[Costo total]]*STOCK[[#This Row],[Entradas]]</f>
        <v>90.377777777777609</v>
      </c>
      <c r="AB208" s="53">
        <f>STOCK[[#This Row],[Stock Actual]]*STOCK[[#This Row],[Costo total]]</f>
        <v>0</v>
      </c>
    </row>
    <row r="209" spans="1:29" s="54" customFormat="1" ht="50" customHeight="1">
      <c r="A209" s="54" t="s">
        <v>454</v>
      </c>
      <c r="B209" s="64"/>
      <c r="C209" s="54" t="s">
        <v>32</v>
      </c>
      <c r="D209" s="54" t="s">
        <v>38</v>
      </c>
      <c r="E209" s="66" t="s">
        <v>453</v>
      </c>
      <c r="F209" s="54" t="s">
        <v>49</v>
      </c>
      <c r="G209" s="54" t="s">
        <v>36</v>
      </c>
      <c r="H209" s="54">
        <f>STOCK[[#This Row],[Precio Final]]</f>
        <v>25</v>
      </c>
      <c r="I209" s="54">
        <f>STOCK[[#This Row],[Precio Venta Ideal (x1.5)]]</f>
        <v>33.441666666666606</v>
      </c>
      <c r="J209" s="70">
        <v>4</v>
      </c>
      <c r="K209" s="70">
        <f>SUMIFS(VENTAS[Cantidad],VENTAS[Código del producto Vendido],STOCK[[#This Row],[Code]])</f>
        <v>4</v>
      </c>
      <c r="L209" s="70">
        <f>STOCK[[#This Row],[Entradas]]-STOCK[[#This Row],[Salidas]]</f>
        <v>0</v>
      </c>
      <c r="M209" s="54">
        <f>STOCK[[#This Row],[Precio Final]]*10%</f>
        <v>2.5</v>
      </c>
      <c r="N209" s="54">
        <v>249.2</v>
      </c>
      <c r="O209" s="54">
        <v>18</v>
      </c>
      <c r="P209" s="54">
        <v>13.844444444444401</v>
      </c>
      <c r="Q209" s="70">
        <v>340</v>
      </c>
      <c r="R209" s="54">
        <v>17.5</v>
      </c>
      <c r="S209" s="54">
        <f>STOCK[[#This Row],[Peso (g)]]*STOCK[[#This Row],[Precio Envío Kilogramo (USD)]]/1000</f>
        <v>5.95</v>
      </c>
      <c r="T209" s="53">
        <f>STOCK[[#This Row],[Costo Unitario (USD)]]+STOCK[[#This Row],[Costo Envío (USD)]]+STOCK[[#This Row],[Comisión 10%]]</f>
        <v>22.294444444444402</v>
      </c>
      <c r="U209" s="54">
        <f>STOCK[[#This Row],[Costo total]]*1.5</f>
        <v>33.441666666666606</v>
      </c>
      <c r="V209" s="54">
        <v>25</v>
      </c>
      <c r="W209" s="54">
        <f>STOCK[[#This Row],[Precio Final]]-STOCK[[#This Row],[Costo total]]</f>
        <v>2.7055555555555983</v>
      </c>
      <c r="X209" s="54">
        <f>STOCK[[#This Row],[Ganancia Unitaria]]*STOCK[[#This Row],[Salidas]]</f>
        <v>10.822222222222393</v>
      </c>
      <c r="AA209" s="54">
        <f>STOCK[[#This Row],[Costo total]]*STOCK[[#This Row],[Entradas]]</f>
        <v>89.177777777777607</v>
      </c>
      <c r="AB209" s="54">
        <f>STOCK[[#This Row],[Stock Actual]]*STOCK[[#This Row],[Costo total]]</f>
        <v>0</v>
      </c>
    </row>
    <row r="210" spans="1:29" s="53" customFormat="1" ht="50" customHeight="1">
      <c r="A210" s="53" t="s">
        <v>455</v>
      </c>
      <c r="B210" s="64"/>
      <c r="C210" s="53" t="s">
        <v>32</v>
      </c>
      <c r="D210" s="53" t="s">
        <v>38</v>
      </c>
      <c r="E210" s="65" t="s">
        <v>456</v>
      </c>
      <c r="F210" s="53" t="s">
        <v>62</v>
      </c>
      <c r="G210" s="53" t="s">
        <v>36</v>
      </c>
      <c r="H210" s="53">
        <f>STOCK[[#This Row],[Precio Final]]</f>
        <v>25</v>
      </c>
      <c r="I210" s="53">
        <f>STOCK[[#This Row],[Precio Venta Ideal (x1.5)]]</f>
        <v>28.716666666666598</v>
      </c>
      <c r="J210" s="69">
        <v>1</v>
      </c>
      <c r="K210" s="69">
        <f>SUMIFS(VENTAS[Cantidad],VENTAS[Código del producto Vendido],STOCK[[#This Row],[Code]])</f>
        <v>1</v>
      </c>
      <c r="L210" s="69">
        <f>STOCK[[#This Row],[Entradas]]-STOCK[[#This Row],[Salidas]]</f>
        <v>0</v>
      </c>
      <c r="M210" s="53">
        <f>STOCK[[#This Row],[Precio Final]]*10%</f>
        <v>2.5</v>
      </c>
      <c r="N210" s="53">
        <v>249.2</v>
      </c>
      <c r="O210" s="53">
        <v>18</v>
      </c>
      <c r="P210" s="53">
        <v>13.844444444444401</v>
      </c>
      <c r="Q210" s="69">
        <v>350</v>
      </c>
      <c r="R210" s="53">
        <v>8</v>
      </c>
      <c r="S210" s="53">
        <f>STOCK[[#This Row],[Peso (g)]]*STOCK[[#This Row],[Precio Envío Kilogramo (USD)]]/1000</f>
        <v>2.8</v>
      </c>
      <c r="T210" s="53">
        <f>STOCK[[#This Row],[Costo Unitario (USD)]]+STOCK[[#This Row],[Costo Envío (USD)]]+STOCK[[#This Row],[Comisión 10%]]</f>
        <v>19.1444444444444</v>
      </c>
      <c r="U210" s="53">
        <f>STOCK[[#This Row],[Costo total]]*1.5</f>
        <v>28.716666666666598</v>
      </c>
      <c r="V210" s="53">
        <v>25</v>
      </c>
      <c r="W210" s="53">
        <f>STOCK[[#This Row],[Precio Final]]-STOCK[[#This Row],[Costo total]]</f>
        <v>5.8555555555556005</v>
      </c>
      <c r="X210" s="53">
        <f>STOCK[[#This Row],[Ganancia Unitaria]]*STOCK[[#This Row],[Salidas]]</f>
        <v>5.8555555555556005</v>
      </c>
      <c r="AA210" s="53">
        <f>STOCK[[#This Row],[Costo total]]*STOCK[[#This Row],[Entradas]]</f>
        <v>19.1444444444444</v>
      </c>
      <c r="AB210" s="53">
        <f>STOCK[[#This Row],[Stock Actual]]*STOCK[[#This Row],[Costo total]]</f>
        <v>0</v>
      </c>
    </row>
    <row r="211" spans="1:29" s="54" customFormat="1" ht="50" customHeight="1">
      <c r="A211" s="54" t="s">
        <v>457</v>
      </c>
      <c r="B211" s="64"/>
      <c r="C211" s="54" t="s">
        <v>32</v>
      </c>
      <c r="D211" s="54" t="s">
        <v>351</v>
      </c>
      <c r="E211" s="66" t="s">
        <v>458</v>
      </c>
      <c r="F211" s="54" t="s">
        <v>388</v>
      </c>
      <c r="G211" s="54" t="s">
        <v>36</v>
      </c>
      <c r="H211" s="54">
        <f>STOCK[[#This Row],[Precio Final]]</f>
        <v>15</v>
      </c>
      <c r="I211" s="54">
        <f>STOCK[[#This Row],[Precio Venta Ideal (x1.5)]]</f>
        <v>16.575000000000003</v>
      </c>
      <c r="J211" s="70">
        <v>2</v>
      </c>
      <c r="K211" s="70">
        <f>SUMIFS(VENTAS[Cantidad],VENTAS[Código del producto Vendido],STOCK[[#This Row],[Code]])</f>
        <v>2</v>
      </c>
      <c r="L211" s="70">
        <f>STOCK[[#This Row],[Entradas]]-STOCK[[#This Row],[Salidas]]</f>
        <v>0</v>
      </c>
      <c r="M211" s="54">
        <f>STOCK[[#This Row],[Precio Final]]*10%</f>
        <v>1.5</v>
      </c>
      <c r="N211" s="54">
        <v>143.1</v>
      </c>
      <c r="O211" s="54">
        <v>18</v>
      </c>
      <c r="P211" s="54">
        <v>7.95</v>
      </c>
      <c r="Q211" s="70">
        <v>200</v>
      </c>
      <c r="R211" s="54">
        <v>8</v>
      </c>
      <c r="S211" s="54">
        <f>STOCK[[#This Row],[Peso (g)]]*STOCK[[#This Row],[Precio Envío Kilogramo (USD)]]/1000</f>
        <v>1.6</v>
      </c>
      <c r="T211" s="53">
        <f>STOCK[[#This Row],[Costo Unitario (USD)]]+STOCK[[#This Row],[Costo Envío (USD)]]+STOCK[[#This Row],[Comisión 10%]]</f>
        <v>11.05</v>
      </c>
      <c r="U211" s="54">
        <f>STOCK[[#This Row],[Costo total]]*1.5</f>
        <v>16.575000000000003</v>
      </c>
      <c r="V211" s="54">
        <v>15</v>
      </c>
      <c r="W211" s="54">
        <f>STOCK[[#This Row],[Precio Final]]-STOCK[[#This Row],[Costo total]]</f>
        <v>3.9499999999999993</v>
      </c>
      <c r="X211" s="54">
        <f>STOCK[[#This Row],[Ganancia Unitaria]]*STOCK[[#This Row],[Salidas]]</f>
        <v>7.8999999999999986</v>
      </c>
      <c r="AA211" s="54">
        <f>STOCK[[#This Row],[Costo total]]*STOCK[[#This Row],[Entradas]]</f>
        <v>22.1</v>
      </c>
      <c r="AB211" s="54">
        <f>STOCK[[#This Row],[Stock Actual]]*STOCK[[#This Row],[Costo total]]</f>
        <v>0</v>
      </c>
    </row>
    <row r="212" spans="1:29" s="53" customFormat="1" ht="50" customHeight="1">
      <c r="A212" s="53" t="s">
        <v>459</v>
      </c>
      <c r="B212" s="64"/>
      <c r="C212" s="53" t="s">
        <v>32</v>
      </c>
      <c r="D212" s="53" t="s">
        <v>38</v>
      </c>
      <c r="E212" s="65" t="s">
        <v>460</v>
      </c>
      <c r="F212" s="53" t="s">
        <v>49</v>
      </c>
      <c r="G212" s="53" t="s">
        <v>36</v>
      </c>
      <c r="H212" s="53">
        <f>STOCK[[#This Row],[Precio Final]]</f>
        <v>22</v>
      </c>
      <c r="I212" s="53">
        <f>STOCK[[#This Row],[Precio Venta Ideal (x1.5)]]</f>
        <v>20.1033333333333</v>
      </c>
      <c r="J212" s="69">
        <v>1</v>
      </c>
      <c r="K212" s="69">
        <f>SUMIFS(VENTAS[Cantidad],VENTAS[Código del producto Vendido],STOCK[[#This Row],[Code]])</f>
        <v>1</v>
      </c>
      <c r="L212" s="69">
        <f>STOCK[[#This Row],[Entradas]]-STOCK[[#This Row],[Salidas]]</f>
        <v>0</v>
      </c>
      <c r="M212" s="53">
        <f>STOCK[[#This Row],[Precio Final]]*10%</f>
        <v>2.2000000000000002</v>
      </c>
      <c r="N212" s="53">
        <v>201.64</v>
      </c>
      <c r="O212" s="53">
        <v>18</v>
      </c>
      <c r="P212" s="53">
        <v>11.202222222222201</v>
      </c>
      <c r="Q212" s="69"/>
      <c r="S212" s="53">
        <f>STOCK[[#This Row],[Peso (g)]]*STOCK[[#This Row],[Precio Envío Kilogramo (USD)]]/1000</f>
        <v>0</v>
      </c>
      <c r="T212" s="53">
        <f>STOCK[[#This Row],[Costo Unitario (USD)]]+STOCK[[#This Row],[Costo Envío (USD)]]+STOCK[[#This Row],[Comisión 10%]]</f>
        <v>13.4022222222222</v>
      </c>
      <c r="U212" s="53">
        <f>STOCK[[#This Row],[Costo total]]*1.5</f>
        <v>20.1033333333333</v>
      </c>
      <c r="V212" s="53">
        <v>22</v>
      </c>
      <c r="W212" s="53">
        <f>STOCK[[#This Row],[Precio Final]]-STOCK[[#This Row],[Costo total]]</f>
        <v>8.5977777777778002</v>
      </c>
      <c r="X212" s="53">
        <f>STOCK[[#This Row],[Ganancia Unitaria]]*STOCK[[#This Row],[Salidas]]</f>
        <v>8.5977777777778002</v>
      </c>
      <c r="AA212" s="53">
        <f>STOCK[[#This Row],[Costo total]]*STOCK[[#This Row],[Entradas]]</f>
        <v>13.4022222222222</v>
      </c>
      <c r="AB212" s="53">
        <f>STOCK[[#This Row],[Stock Actual]]*STOCK[[#This Row],[Costo total]]</f>
        <v>0</v>
      </c>
    </row>
    <row r="213" spans="1:29" s="54" customFormat="1" ht="50" customHeight="1">
      <c r="A213" s="54" t="s">
        <v>461</v>
      </c>
      <c r="B213" s="64"/>
      <c r="C213" s="54" t="s">
        <v>32</v>
      </c>
      <c r="D213" s="54" t="s">
        <v>38</v>
      </c>
      <c r="E213" s="66" t="s">
        <v>462</v>
      </c>
      <c r="F213" s="54" t="s">
        <v>49</v>
      </c>
      <c r="G213" s="54" t="s">
        <v>36</v>
      </c>
      <c r="H213" s="54">
        <f>STOCK[[#This Row],[Precio Final]]</f>
        <v>22</v>
      </c>
      <c r="I213" s="54">
        <f>STOCK[[#This Row],[Precio Venta Ideal (x1.5)]]</f>
        <v>20.404166666666697</v>
      </c>
      <c r="J213" s="70">
        <v>1</v>
      </c>
      <c r="K213" s="70">
        <f>SUMIFS(VENTAS[Cantidad],VENTAS[Código del producto Vendido],STOCK[[#This Row],[Code]])</f>
        <v>1</v>
      </c>
      <c r="L213" s="70">
        <f>STOCK[[#This Row],[Entradas]]-STOCK[[#This Row],[Salidas]]</f>
        <v>0</v>
      </c>
      <c r="M213" s="54">
        <f>STOCK[[#This Row],[Precio Final]]*10%</f>
        <v>2.2000000000000002</v>
      </c>
      <c r="N213" s="54">
        <v>205.25</v>
      </c>
      <c r="O213" s="54">
        <v>18</v>
      </c>
      <c r="P213" s="54">
        <v>11.4027777777778</v>
      </c>
      <c r="Q213" s="70"/>
      <c r="S213" s="54">
        <f>STOCK[[#This Row],[Peso (g)]]*STOCK[[#This Row],[Precio Envío Kilogramo (USD)]]/1000</f>
        <v>0</v>
      </c>
      <c r="T213" s="53">
        <f>STOCK[[#This Row],[Costo Unitario (USD)]]+STOCK[[#This Row],[Costo Envío (USD)]]+STOCK[[#This Row],[Comisión 10%]]</f>
        <v>13.602777777777799</v>
      </c>
      <c r="U213" s="54">
        <f>STOCK[[#This Row],[Costo total]]*1.5</f>
        <v>20.404166666666697</v>
      </c>
      <c r="V213" s="54">
        <v>22</v>
      </c>
      <c r="W213" s="54">
        <f>STOCK[[#This Row],[Precio Final]]-STOCK[[#This Row],[Costo total]]</f>
        <v>8.3972222222222008</v>
      </c>
      <c r="X213" s="54">
        <f>STOCK[[#This Row],[Ganancia Unitaria]]*STOCK[[#This Row],[Salidas]]</f>
        <v>8.3972222222222008</v>
      </c>
      <c r="AA213" s="54">
        <f>STOCK[[#This Row],[Costo total]]*STOCK[[#This Row],[Entradas]]</f>
        <v>13.602777777777799</v>
      </c>
      <c r="AB213" s="54">
        <f>STOCK[[#This Row],[Stock Actual]]*STOCK[[#This Row],[Costo total]]</f>
        <v>0</v>
      </c>
    </row>
    <row r="214" spans="1:29" s="53" customFormat="1" ht="50" customHeight="1">
      <c r="A214" s="53" t="s">
        <v>463</v>
      </c>
      <c r="B214" s="64"/>
      <c r="C214" s="53" t="s">
        <v>32</v>
      </c>
      <c r="D214" s="53" t="s">
        <v>44</v>
      </c>
      <c r="E214" s="65" t="s">
        <v>464</v>
      </c>
      <c r="F214" s="53" t="s">
        <v>40</v>
      </c>
      <c r="G214" s="53" t="s">
        <v>36</v>
      </c>
      <c r="H214" s="53">
        <f>STOCK[[#This Row],[Precio Final]]</f>
        <v>25</v>
      </c>
      <c r="I214" s="53">
        <f>STOCK[[#This Row],[Precio Venta Ideal (x1.5)]]</f>
        <v>20.539999999999996</v>
      </c>
      <c r="J214" s="69">
        <v>1</v>
      </c>
      <c r="K214" s="69">
        <f>SUMIFS(VENTAS[Cantidad],VENTAS[Código del producto Vendido],STOCK[[#This Row],[Code]])</f>
        <v>1</v>
      </c>
      <c r="L214" s="69">
        <f>STOCK[[#This Row],[Entradas]]-STOCK[[#This Row],[Salidas]]</f>
        <v>0</v>
      </c>
      <c r="M214" s="53">
        <f>STOCK[[#This Row],[Precio Final]]*10%</f>
        <v>2.5</v>
      </c>
      <c r="N214" s="53">
        <v>159</v>
      </c>
      <c r="O214" s="53">
        <v>18</v>
      </c>
      <c r="P214" s="53">
        <v>8.8333333333333304</v>
      </c>
      <c r="Q214" s="69">
        <v>295</v>
      </c>
      <c r="R214" s="53">
        <v>8</v>
      </c>
      <c r="S214" s="53">
        <f>STOCK[[#This Row],[Peso (g)]]*STOCK[[#This Row],[Precio Envío Kilogramo (USD)]]/1000</f>
        <v>2.36</v>
      </c>
      <c r="T214" s="53">
        <f>STOCK[[#This Row],[Costo Unitario (USD)]]+STOCK[[#This Row],[Costo Envío (USD)]]+STOCK[[#This Row],[Comisión 10%]]</f>
        <v>13.69333333333333</v>
      </c>
      <c r="U214" s="53">
        <f>STOCK[[#This Row],[Costo total]]*1.5</f>
        <v>20.539999999999996</v>
      </c>
      <c r="V214" s="53">
        <v>25</v>
      </c>
      <c r="W214" s="53">
        <f>STOCK[[#This Row],[Precio Final]]-STOCK[[#This Row],[Costo total]]</f>
        <v>11.30666666666667</v>
      </c>
      <c r="X214" s="53">
        <f>STOCK[[#This Row],[Ganancia Unitaria]]*STOCK[[#This Row],[Salidas]]</f>
        <v>11.30666666666667</v>
      </c>
      <c r="AA214" s="53">
        <f>STOCK[[#This Row],[Costo total]]*STOCK[[#This Row],[Entradas]]</f>
        <v>13.69333333333333</v>
      </c>
      <c r="AB214" s="53">
        <f>STOCK[[#This Row],[Stock Actual]]*STOCK[[#This Row],[Costo total]]</f>
        <v>0</v>
      </c>
    </row>
    <row r="215" spans="1:29" s="54" customFormat="1" ht="50" customHeight="1">
      <c r="A215" s="54" t="s">
        <v>465</v>
      </c>
      <c r="B215" s="64"/>
      <c r="C215" s="54" t="s">
        <v>32</v>
      </c>
      <c r="D215" s="54" t="s">
        <v>216</v>
      </c>
      <c r="E215" s="66" t="s">
        <v>466</v>
      </c>
      <c r="F215" s="54" t="s">
        <v>40</v>
      </c>
      <c r="G215" s="54" t="s">
        <v>36</v>
      </c>
      <c r="H215" s="54">
        <f>STOCK[[#This Row],[Precio Final]]</f>
        <v>25</v>
      </c>
      <c r="I215" s="54">
        <f>STOCK[[#This Row],[Precio Venta Ideal (x1.5)]]</f>
        <v>28.482499999999952</v>
      </c>
      <c r="J215" s="70">
        <v>1</v>
      </c>
      <c r="K215" s="70">
        <f>SUMIFS(VENTAS[Cantidad],VENTAS[Código del producto Vendido],STOCK[[#This Row],[Code]])</f>
        <v>0</v>
      </c>
      <c r="L215" s="70">
        <f>STOCK[[#This Row],[Entradas]]-STOCK[[#This Row],[Salidas]]</f>
        <v>1</v>
      </c>
      <c r="M215" s="54">
        <f>STOCK[[#This Row],[Precio Final]]*10%</f>
        <v>2.5</v>
      </c>
      <c r="N215" s="54">
        <v>249.99</v>
      </c>
      <c r="O215" s="54">
        <v>18</v>
      </c>
      <c r="P215" s="54">
        <v>13.8883333333333</v>
      </c>
      <c r="Q215" s="70">
        <v>325</v>
      </c>
      <c r="R215" s="54">
        <v>8</v>
      </c>
      <c r="S215" s="54">
        <f>STOCK[[#This Row],[Peso (g)]]*STOCK[[#This Row],[Precio Envío Kilogramo (USD)]]/1000</f>
        <v>2.6</v>
      </c>
      <c r="T215" s="53">
        <f>STOCK[[#This Row],[Costo Unitario (USD)]]+STOCK[[#This Row],[Costo Envío (USD)]]+STOCK[[#This Row],[Comisión 10%]]</f>
        <v>18.988333333333301</v>
      </c>
      <c r="U215" s="54">
        <f>STOCK[[#This Row],[Costo total]]*1.5</f>
        <v>28.482499999999952</v>
      </c>
      <c r="V215" s="54">
        <v>25</v>
      </c>
      <c r="W215" s="54">
        <f>STOCK[[#This Row],[Precio Final]]-STOCK[[#This Row],[Costo total]]</f>
        <v>6.0116666666666987</v>
      </c>
      <c r="X215" s="54">
        <f>STOCK[[#This Row],[Ganancia Unitaria]]*STOCK[[#This Row],[Salidas]]</f>
        <v>0</v>
      </c>
      <c r="AA215" s="54">
        <f>STOCK[[#This Row],[Costo total]]*STOCK[[#This Row],[Entradas]]</f>
        <v>18.988333333333301</v>
      </c>
      <c r="AB215" s="54">
        <f>STOCK[[#This Row],[Stock Actual]]*STOCK[[#This Row],[Costo total]]</f>
        <v>18.988333333333301</v>
      </c>
      <c r="AC215" s="54">
        <v>20</v>
      </c>
    </row>
    <row r="216" spans="1:29" s="53" customFormat="1" ht="50" customHeight="1">
      <c r="A216" s="53" t="s">
        <v>467</v>
      </c>
      <c r="B216" s="64"/>
      <c r="C216" s="53" t="s">
        <v>32</v>
      </c>
      <c r="D216" s="54" t="s">
        <v>216</v>
      </c>
      <c r="E216" s="65" t="s">
        <v>466</v>
      </c>
      <c r="F216" s="53" t="s">
        <v>49</v>
      </c>
      <c r="G216" s="53" t="s">
        <v>36</v>
      </c>
      <c r="H216" s="53">
        <f>STOCK[[#This Row],[Precio Final]]</f>
        <v>25</v>
      </c>
      <c r="I216" s="53">
        <f>STOCK[[#This Row],[Precio Venta Ideal (x1.5)]]</f>
        <v>28.482499999999952</v>
      </c>
      <c r="J216" s="69">
        <v>1</v>
      </c>
      <c r="K216" s="69">
        <f>SUMIFS(VENTAS[Cantidad],VENTAS[Código del producto Vendido],STOCK[[#This Row],[Code]])</f>
        <v>0</v>
      </c>
      <c r="L216" s="69">
        <f>STOCK[[#This Row],[Entradas]]-STOCK[[#This Row],[Salidas]]</f>
        <v>1</v>
      </c>
      <c r="M216" s="53">
        <f>STOCK[[#This Row],[Precio Final]]*10%</f>
        <v>2.5</v>
      </c>
      <c r="N216" s="53">
        <v>249.99</v>
      </c>
      <c r="O216" s="53">
        <v>18</v>
      </c>
      <c r="P216" s="53">
        <v>13.8883333333333</v>
      </c>
      <c r="Q216" s="69">
        <v>325</v>
      </c>
      <c r="R216" s="53">
        <v>8</v>
      </c>
      <c r="S216" s="53">
        <f>STOCK[[#This Row],[Peso (g)]]*STOCK[[#This Row],[Precio Envío Kilogramo (USD)]]/1000</f>
        <v>2.6</v>
      </c>
      <c r="T216" s="53">
        <f>STOCK[[#This Row],[Costo Unitario (USD)]]+STOCK[[#This Row],[Costo Envío (USD)]]+STOCK[[#This Row],[Comisión 10%]]</f>
        <v>18.988333333333301</v>
      </c>
      <c r="U216" s="53">
        <f>STOCK[[#This Row],[Costo total]]*1.5</f>
        <v>28.482499999999952</v>
      </c>
      <c r="V216" s="53">
        <v>25</v>
      </c>
      <c r="W216" s="53">
        <f>STOCK[[#This Row],[Precio Final]]-STOCK[[#This Row],[Costo total]]</f>
        <v>6.0116666666666987</v>
      </c>
      <c r="X216" s="53">
        <f>STOCK[[#This Row],[Ganancia Unitaria]]*STOCK[[#This Row],[Salidas]]</f>
        <v>0</v>
      </c>
      <c r="AA216" s="53">
        <f>STOCK[[#This Row],[Costo total]]*STOCK[[#This Row],[Entradas]]</f>
        <v>18.988333333333301</v>
      </c>
      <c r="AB216" s="53">
        <f>STOCK[[#This Row],[Stock Actual]]*STOCK[[#This Row],[Costo total]]</f>
        <v>18.988333333333301</v>
      </c>
      <c r="AC216" s="53">
        <v>20</v>
      </c>
    </row>
    <row r="217" spans="1:29" s="54" customFormat="1" ht="50" customHeight="1">
      <c r="A217" s="54" t="s">
        <v>468</v>
      </c>
      <c r="B217" s="64"/>
      <c r="C217" s="54" t="s">
        <v>32</v>
      </c>
      <c r="D217" s="54" t="s">
        <v>469</v>
      </c>
      <c r="E217" s="66" t="s">
        <v>470</v>
      </c>
      <c r="F217" s="54" t="s">
        <v>471</v>
      </c>
      <c r="G217" s="54" t="s">
        <v>36</v>
      </c>
      <c r="H217" s="54">
        <f>STOCK[[#This Row],[Precio Final]]</f>
        <v>35</v>
      </c>
      <c r="I217" s="54">
        <f>STOCK[[#This Row],[Precio Venta Ideal (x1.5)]]</f>
        <v>30.59083333333335</v>
      </c>
      <c r="J217" s="70">
        <v>1</v>
      </c>
      <c r="K217" s="70">
        <f>SUMIFS(VENTAS[Cantidad],VENTAS[Código del producto Vendido],STOCK[[#This Row],[Code]])</f>
        <v>0</v>
      </c>
      <c r="L217" s="70">
        <f>STOCK[[#This Row],[Entradas]]-STOCK[[#This Row],[Salidas]]</f>
        <v>1</v>
      </c>
      <c r="M217" s="54">
        <f>STOCK[[#This Row],[Precio Final]]*10%</f>
        <v>3.5</v>
      </c>
      <c r="N217" s="54">
        <v>239.29</v>
      </c>
      <c r="O217" s="54">
        <v>18</v>
      </c>
      <c r="P217" s="54">
        <v>13.293888888888899</v>
      </c>
      <c r="Q217" s="70">
        <v>450</v>
      </c>
      <c r="R217" s="54">
        <v>8</v>
      </c>
      <c r="S217" s="54">
        <f>STOCK[[#This Row],[Peso (g)]]*STOCK[[#This Row],[Precio Envío Kilogramo (USD)]]/1000</f>
        <v>3.6</v>
      </c>
      <c r="T217" s="53">
        <f>STOCK[[#This Row],[Costo Unitario (USD)]]+STOCK[[#This Row],[Costo Envío (USD)]]+STOCK[[#This Row],[Comisión 10%]]</f>
        <v>20.393888888888899</v>
      </c>
      <c r="U217" s="54">
        <f>STOCK[[#This Row],[Costo total]]*1.5</f>
        <v>30.59083333333335</v>
      </c>
      <c r="V217" s="54">
        <v>35</v>
      </c>
      <c r="W217" s="54">
        <f>STOCK[[#This Row],[Precio Final]]-STOCK[[#This Row],[Costo total]]</f>
        <v>14.606111111111101</v>
      </c>
      <c r="X217" s="54">
        <f>STOCK[[#This Row],[Ganancia Unitaria]]*STOCK[[#This Row],[Salidas]]</f>
        <v>0</v>
      </c>
      <c r="AA217" s="54">
        <f>STOCK[[#This Row],[Costo total]]*STOCK[[#This Row],[Entradas]]</f>
        <v>20.393888888888899</v>
      </c>
      <c r="AB217" s="54">
        <f>STOCK[[#This Row],[Stock Actual]]*STOCK[[#This Row],[Costo total]]</f>
        <v>20.393888888888899</v>
      </c>
      <c r="AC217" s="54">
        <v>25</v>
      </c>
    </row>
    <row r="218" spans="1:29" s="53" customFormat="1" ht="50" customHeight="1">
      <c r="A218" s="53" t="s">
        <v>472</v>
      </c>
      <c r="B218" s="64"/>
      <c r="C218" s="53" t="s">
        <v>32</v>
      </c>
      <c r="D218" s="54" t="s">
        <v>469</v>
      </c>
      <c r="E218" s="65" t="s">
        <v>470</v>
      </c>
      <c r="F218" s="53" t="s">
        <v>92</v>
      </c>
      <c r="G218" s="53" t="s">
        <v>36</v>
      </c>
      <c r="H218" s="53">
        <f>STOCK[[#This Row],[Precio Final]]</f>
        <v>35</v>
      </c>
      <c r="I218" s="53">
        <f>STOCK[[#This Row],[Precio Venta Ideal (x1.5)]]</f>
        <v>30.59083333333335</v>
      </c>
      <c r="J218" s="69">
        <v>1</v>
      </c>
      <c r="K218" s="69">
        <f>SUMIFS(VENTAS[Cantidad],VENTAS[Código del producto Vendido],STOCK[[#This Row],[Code]])</f>
        <v>0</v>
      </c>
      <c r="L218" s="69">
        <f>STOCK[[#This Row],[Entradas]]-STOCK[[#This Row],[Salidas]]</f>
        <v>1</v>
      </c>
      <c r="M218" s="53">
        <f>STOCK[[#This Row],[Precio Final]]*10%</f>
        <v>3.5</v>
      </c>
      <c r="N218" s="53">
        <v>239.29</v>
      </c>
      <c r="O218" s="53">
        <v>18</v>
      </c>
      <c r="P218" s="53">
        <v>13.293888888888899</v>
      </c>
      <c r="Q218" s="69">
        <v>450</v>
      </c>
      <c r="R218" s="53">
        <v>8</v>
      </c>
      <c r="S218" s="53">
        <f>STOCK[[#This Row],[Peso (g)]]*STOCK[[#This Row],[Precio Envío Kilogramo (USD)]]/1000</f>
        <v>3.6</v>
      </c>
      <c r="T218" s="53">
        <f>STOCK[[#This Row],[Costo Unitario (USD)]]+STOCK[[#This Row],[Costo Envío (USD)]]+STOCK[[#This Row],[Comisión 10%]]</f>
        <v>20.393888888888899</v>
      </c>
      <c r="U218" s="53">
        <f>STOCK[[#This Row],[Costo total]]*1.5</f>
        <v>30.59083333333335</v>
      </c>
      <c r="V218" s="53">
        <v>35</v>
      </c>
      <c r="W218" s="53">
        <f>STOCK[[#This Row],[Precio Final]]-STOCK[[#This Row],[Costo total]]</f>
        <v>14.606111111111101</v>
      </c>
      <c r="X218" s="53">
        <f>STOCK[[#This Row],[Ganancia Unitaria]]*STOCK[[#This Row],[Salidas]]</f>
        <v>0</v>
      </c>
      <c r="AA218" s="53">
        <f>STOCK[[#This Row],[Costo total]]*STOCK[[#This Row],[Entradas]]</f>
        <v>20.393888888888899</v>
      </c>
      <c r="AB218" s="53">
        <f>STOCK[[#This Row],[Stock Actual]]*STOCK[[#This Row],[Costo total]]</f>
        <v>20.393888888888899</v>
      </c>
      <c r="AC218" s="53">
        <v>25</v>
      </c>
    </row>
    <row r="219" spans="1:29" s="54" customFormat="1" ht="50" customHeight="1">
      <c r="A219" s="54" t="s">
        <v>473</v>
      </c>
      <c r="B219" s="64"/>
      <c r="C219" s="54" t="s">
        <v>32</v>
      </c>
      <c r="D219" s="54" t="s">
        <v>44</v>
      </c>
      <c r="E219" s="66" t="s">
        <v>474</v>
      </c>
      <c r="G219" s="54" t="s">
        <v>36</v>
      </c>
      <c r="H219" s="54">
        <f>STOCK[[#This Row],[Precio Final]]</f>
        <v>25</v>
      </c>
      <c r="I219" s="54">
        <f>STOCK[[#This Row],[Precio Venta Ideal (x1.5)]]</f>
        <v>29.640833333333397</v>
      </c>
      <c r="J219" s="70">
        <v>1</v>
      </c>
      <c r="K219" s="70">
        <f>SUMIFS(VENTAS[Cantidad],VENTAS[Código del producto Vendido],STOCK[[#This Row],[Code]])</f>
        <v>1</v>
      </c>
      <c r="L219" s="70">
        <f>STOCK[[#This Row],[Entradas]]-STOCK[[#This Row],[Salidas]]</f>
        <v>0</v>
      </c>
      <c r="M219" s="54">
        <f>STOCK[[#This Row],[Precio Final]]*10%</f>
        <v>2.5</v>
      </c>
      <c r="N219" s="54">
        <v>267.49</v>
      </c>
      <c r="O219" s="54">
        <v>18</v>
      </c>
      <c r="P219" s="54">
        <v>14.860555555555599</v>
      </c>
      <c r="Q219" s="70">
        <v>300</v>
      </c>
      <c r="R219" s="54">
        <v>8</v>
      </c>
      <c r="S219" s="54">
        <f>STOCK[[#This Row],[Peso (g)]]*STOCK[[#This Row],[Precio Envío Kilogramo (USD)]]/1000</f>
        <v>2.4</v>
      </c>
      <c r="T219" s="53">
        <f>STOCK[[#This Row],[Costo Unitario (USD)]]+STOCK[[#This Row],[Costo Envío (USD)]]+STOCK[[#This Row],[Comisión 10%]]</f>
        <v>19.760555555555598</v>
      </c>
      <c r="U219" s="54">
        <f>STOCK[[#This Row],[Costo total]]*1.5</f>
        <v>29.640833333333397</v>
      </c>
      <c r="V219" s="54">
        <v>25</v>
      </c>
      <c r="W219" s="54">
        <f>STOCK[[#This Row],[Precio Final]]-STOCK[[#This Row],[Costo total]]</f>
        <v>5.2394444444444019</v>
      </c>
      <c r="X219" s="54">
        <f>STOCK[[#This Row],[Ganancia Unitaria]]*STOCK[[#This Row],[Salidas]]</f>
        <v>5.2394444444444019</v>
      </c>
      <c r="AA219" s="54">
        <f>STOCK[[#This Row],[Costo total]]*STOCK[[#This Row],[Entradas]]</f>
        <v>19.760555555555598</v>
      </c>
      <c r="AB219" s="54">
        <f>STOCK[[#This Row],[Stock Actual]]*STOCK[[#This Row],[Costo total]]</f>
        <v>0</v>
      </c>
    </row>
    <row r="220" spans="1:29" s="53" customFormat="1" ht="50" customHeight="1">
      <c r="A220" s="53" t="s">
        <v>475</v>
      </c>
      <c r="B220" s="64"/>
      <c r="C220" s="53" t="s">
        <v>32</v>
      </c>
      <c r="D220" s="53" t="s">
        <v>38</v>
      </c>
      <c r="E220" s="65" t="s">
        <v>476</v>
      </c>
      <c r="F220" s="53" t="s">
        <v>46</v>
      </c>
      <c r="G220" s="53" t="s">
        <v>36</v>
      </c>
      <c r="H220" s="53">
        <f>STOCK[[#This Row],[Precio Final]]</f>
        <v>20</v>
      </c>
      <c r="I220" s="53">
        <f>STOCK[[#This Row],[Precio Venta Ideal (x1.5)]]</f>
        <v>19.501666666666651</v>
      </c>
      <c r="J220" s="69">
        <v>1</v>
      </c>
      <c r="K220" s="69">
        <f>SUMIFS(VENTAS[Cantidad],VENTAS[Código del producto Vendido],STOCK[[#This Row],[Code]])</f>
        <v>1</v>
      </c>
      <c r="L220" s="69">
        <f>STOCK[[#This Row],[Entradas]]-STOCK[[#This Row],[Salidas]]</f>
        <v>0</v>
      </c>
      <c r="M220" s="53">
        <f>STOCK[[#This Row],[Precio Final]]*10%</f>
        <v>2</v>
      </c>
      <c r="N220" s="53">
        <v>198.02</v>
      </c>
      <c r="O220" s="53">
        <v>18</v>
      </c>
      <c r="P220" s="53">
        <v>11.001111111111101</v>
      </c>
      <c r="Q220" s="69"/>
      <c r="S220" s="53">
        <f>STOCK[[#This Row],[Peso (g)]]*STOCK[[#This Row],[Precio Envío Kilogramo (USD)]]/1000</f>
        <v>0</v>
      </c>
      <c r="T220" s="53">
        <f>STOCK[[#This Row],[Costo Unitario (USD)]]+STOCK[[#This Row],[Costo Envío (USD)]]+STOCK[[#This Row],[Comisión 10%]]</f>
        <v>13.001111111111101</v>
      </c>
      <c r="U220" s="53">
        <f>STOCK[[#This Row],[Costo total]]*1.5</f>
        <v>19.501666666666651</v>
      </c>
      <c r="V220" s="53">
        <v>20</v>
      </c>
      <c r="W220" s="53">
        <f>STOCK[[#This Row],[Precio Final]]-STOCK[[#This Row],[Costo total]]</f>
        <v>6.9988888888888994</v>
      </c>
      <c r="X220" s="53">
        <f>STOCK[[#This Row],[Ganancia Unitaria]]*STOCK[[#This Row],[Salidas]]</f>
        <v>6.9988888888888994</v>
      </c>
      <c r="AA220" s="53">
        <f>STOCK[[#This Row],[Costo total]]*STOCK[[#This Row],[Entradas]]</f>
        <v>13.001111111111101</v>
      </c>
      <c r="AB220" s="53">
        <f>STOCK[[#This Row],[Stock Actual]]*STOCK[[#This Row],[Costo total]]</f>
        <v>0</v>
      </c>
    </row>
    <row r="221" spans="1:29" s="54" customFormat="1" ht="50" customHeight="1">
      <c r="A221" s="54" t="s">
        <v>477</v>
      </c>
      <c r="B221" s="64"/>
      <c r="C221" s="54" t="s">
        <v>32</v>
      </c>
      <c r="D221" s="54" t="s">
        <v>44</v>
      </c>
      <c r="E221" s="66" t="s">
        <v>478</v>
      </c>
      <c r="F221" s="54" t="s">
        <v>40</v>
      </c>
      <c r="G221" s="54" t="s">
        <v>36</v>
      </c>
      <c r="H221" s="54">
        <f>STOCK[[#This Row],[Precio Final]]</f>
        <v>18</v>
      </c>
      <c r="I221" s="54">
        <f>STOCK[[#This Row],[Precio Venta Ideal (x1.5)]]</f>
        <v>19.675000000000004</v>
      </c>
      <c r="J221" s="70">
        <v>1</v>
      </c>
      <c r="K221" s="70">
        <f>SUMIFS(VENTAS[Cantidad],VENTAS[Código del producto Vendido],STOCK[[#This Row],[Code]])</f>
        <v>1</v>
      </c>
      <c r="L221" s="70">
        <f>STOCK[[#This Row],[Entradas]]-STOCK[[#This Row],[Salidas]]</f>
        <v>0</v>
      </c>
      <c r="M221" s="54">
        <f>STOCK[[#This Row],[Precio Final]]*10%</f>
        <v>1.8</v>
      </c>
      <c r="N221" s="54">
        <v>160.5</v>
      </c>
      <c r="O221" s="54">
        <v>18</v>
      </c>
      <c r="P221" s="54">
        <v>8.9166666666666696</v>
      </c>
      <c r="Q221" s="70">
        <v>300</v>
      </c>
      <c r="R221" s="54">
        <v>8</v>
      </c>
      <c r="S221" s="54">
        <f>STOCK[[#This Row],[Peso (g)]]*STOCK[[#This Row],[Precio Envío Kilogramo (USD)]]/1000</f>
        <v>2.4</v>
      </c>
      <c r="T221" s="53">
        <f>STOCK[[#This Row],[Costo Unitario (USD)]]+STOCK[[#This Row],[Costo Envío (USD)]]+STOCK[[#This Row],[Comisión 10%]]</f>
        <v>13.116666666666671</v>
      </c>
      <c r="U221" s="54">
        <f>STOCK[[#This Row],[Costo total]]*1.5</f>
        <v>19.675000000000004</v>
      </c>
      <c r="V221" s="54">
        <v>18</v>
      </c>
      <c r="W221" s="54">
        <f>STOCK[[#This Row],[Precio Final]]-STOCK[[#This Row],[Costo total]]</f>
        <v>4.8833333333333293</v>
      </c>
      <c r="X221" s="54">
        <f>STOCK[[#This Row],[Ganancia Unitaria]]*STOCK[[#This Row],[Salidas]]</f>
        <v>4.8833333333333293</v>
      </c>
      <c r="AA221" s="54">
        <f>STOCK[[#This Row],[Costo total]]*STOCK[[#This Row],[Entradas]]</f>
        <v>13.116666666666671</v>
      </c>
      <c r="AB221" s="54">
        <f>STOCK[[#This Row],[Stock Actual]]*STOCK[[#This Row],[Costo total]]</f>
        <v>0</v>
      </c>
    </row>
    <row r="222" spans="1:29" s="53" customFormat="1" ht="50" customHeight="1">
      <c r="A222" s="53" t="s">
        <v>479</v>
      </c>
      <c r="B222" s="64"/>
      <c r="C222" s="53" t="s">
        <v>32</v>
      </c>
      <c r="D222" s="53" t="s">
        <v>351</v>
      </c>
      <c r="E222" s="65" t="s">
        <v>480</v>
      </c>
      <c r="F222" s="53" t="s">
        <v>388</v>
      </c>
      <c r="G222" s="53" t="s">
        <v>36</v>
      </c>
      <c r="H222" s="53">
        <f>STOCK[[#This Row],[Precio Final]]</f>
        <v>15</v>
      </c>
      <c r="I222" s="53">
        <f>STOCK[[#This Row],[Precio Venta Ideal (x1.5)]]</f>
        <v>11.756666666666671</v>
      </c>
      <c r="J222" s="69">
        <v>2</v>
      </c>
      <c r="K222" s="69">
        <f>SUMIFS(VENTAS[Cantidad],VENTAS[Código del producto Vendido],STOCK[[#This Row],[Code]])</f>
        <v>2</v>
      </c>
      <c r="L222" s="69">
        <f>STOCK[[#This Row],[Entradas]]-STOCK[[#This Row],[Salidas]]</f>
        <v>0</v>
      </c>
      <c r="M222" s="53">
        <f>STOCK[[#This Row],[Precio Final]]*10%</f>
        <v>1.5</v>
      </c>
      <c r="N222" s="53">
        <v>85.28</v>
      </c>
      <c r="O222" s="53">
        <v>18</v>
      </c>
      <c r="P222" s="53">
        <v>4.7377777777777803</v>
      </c>
      <c r="Q222" s="69">
        <v>200</v>
      </c>
      <c r="R222" s="53">
        <v>8</v>
      </c>
      <c r="S222" s="53">
        <f>STOCK[[#This Row],[Peso (g)]]*STOCK[[#This Row],[Precio Envío Kilogramo (USD)]]/1000</f>
        <v>1.6</v>
      </c>
      <c r="T222" s="53">
        <f>STOCK[[#This Row],[Costo Unitario (USD)]]+STOCK[[#This Row],[Costo Envío (USD)]]+STOCK[[#This Row],[Comisión 10%]]</f>
        <v>7.8377777777777808</v>
      </c>
      <c r="U222" s="53">
        <f>STOCK[[#This Row],[Costo total]]*1.5</f>
        <v>11.756666666666671</v>
      </c>
      <c r="V222" s="53">
        <v>15</v>
      </c>
      <c r="W222" s="53">
        <f>STOCK[[#This Row],[Precio Final]]-STOCK[[#This Row],[Costo total]]</f>
        <v>7.1622222222222192</v>
      </c>
      <c r="X222" s="53">
        <f>STOCK[[#This Row],[Ganancia Unitaria]]*STOCK[[#This Row],[Salidas]]</f>
        <v>14.324444444444438</v>
      </c>
      <c r="AA222" s="53">
        <f>STOCK[[#This Row],[Costo total]]*STOCK[[#This Row],[Entradas]]</f>
        <v>15.675555555555562</v>
      </c>
      <c r="AB222" s="53">
        <f>STOCK[[#This Row],[Stock Actual]]*STOCK[[#This Row],[Costo total]]</f>
        <v>0</v>
      </c>
    </row>
    <row r="223" spans="1:29" s="54" customFormat="1" ht="50" customHeight="1">
      <c r="A223" s="54" t="s">
        <v>481</v>
      </c>
      <c r="B223" s="64"/>
      <c r="C223" s="54" t="s">
        <v>32</v>
      </c>
      <c r="D223" s="54" t="s">
        <v>38</v>
      </c>
      <c r="E223" s="66" t="s">
        <v>482</v>
      </c>
      <c r="F223" s="54" t="s">
        <v>62</v>
      </c>
      <c r="G223" s="54" t="s">
        <v>36</v>
      </c>
      <c r="H223" s="54">
        <f>STOCK[[#This Row],[Precio Final]]</f>
        <v>15</v>
      </c>
      <c r="I223" s="54">
        <f>STOCK[[#This Row],[Precio Venta Ideal (x1.5)]]</f>
        <v>15.430833333333332</v>
      </c>
      <c r="J223" s="70">
        <v>1</v>
      </c>
      <c r="K223" s="70">
        <f>SUMIFS(VENTAS[Cantidad],VENTAS[Código del producto Vendido],STOCK[[#This Row],[Code]])</f>
        <v>1</v>
      </c>
      <c r="L223" s="70">
        <f>STOCK[[#This Row],[Entradas]]-STOCK[[#This Row],[Salidas]]</f>
        <v>0</v>
      </c>
      <c r="M223" s="54">
        <f>STOCK[[#This Row],[Precio Final]]*10%</f>
        <v>1.5</v>
      </c>
      <c r="N223" s="54">
        <v>129.37</v>
      </c>
      <c r="O223" s="54">
        <v>18</v>
      </c>
      <c r="P223" s="54">
        <v>7.1872222222222204</v>
      </c>
      <c r="Q223" s="70">
        <v>200</v>
      </c>
      <c r="R223" s="54">
        <v>8</v>
      </c>
      <c r="S223" s="54">
        <f>STOCK[[#This Row],[Peso (g)]]*STOCK[[#This Row],[Precio Envío Kilogramo (USD)]]/1000</f>
        <v>1.6</v>
      </c>
      <c r="T223" s="53">
        <f>STOCK[[#This Row],[Costo Unitario (USD)]]+STOCK[[#This Row],[Costo Envío (USD)]]+STOCK[[#This Row],[Comisión 10%]]</f>
        <v>10.287222222222221</v>
      </c>
      <c r="U223" s="54">
        <f>STOCK[[#This Row],[Costo total]]*1.5</f>
        <v>15.430833333333332</v>
      </c>
      <c r="V223" s="54">
        <v>15</v>
      </c>
      <c r="W223" s="54">
        <f>STOCK[[#This Row],[Precio Final]]-STOCK[[#This Row],[Costo total]]</f>
        <v>4.7127777777777791</v>
      </c>
      <c r="X223" s="54">
        <f>STOCK[[#This Row],[Ganancia Unitaria]]*STOCK[[#This Row],[Salidas]]</f>
        <v>4.7127777777777791</v>
      </c>
      <c r="AA223" s="54">
        <f>STOCK[[#This Row],[Costo total]]*STOCK[[#This Row],[Entradas]]</f>
        <v>10.287222222222221</v>
      </c>
      <c r="AB223" s="54">
        <f>STOCK[[#This Row],[Stock Actual]]*STOCK[[#This Row],[Costo total]]</f>
        <v>0</v>
      </c>
    </row>
    <row r="224" spans="1:29" s="53" customFormat="1" ht="50" customHeight="1">
      <c r="A224" s="53" t="s">
        <v>483</v>
      </c>
      <c r="B224" s="64"/>
      <c r="C224" s="53" t="s">
        <v>32</v>
      </c>
      <c r="D224" s="53" t="s">
        <v>484</v>
      </c>
      <c r="E224" s="65" t="s">
        <v>482</v>
      </c>
      <c r="F224" s="53" t="s">
        <v>49</v>
      </c>
      <c r="G224" s="53" t="s">
        <v>36</v>
      </c>
      <c r="H224" s="53">
        <f>STOCK[[#This Row],[Precio Final]]</f>
        <v>15</v>
      </c>
      <c r="I224" s="53">
        <f>STOCK[[#This Row],[Precio Venta Ideal (x1.5)]]</f>
        <v>15.430833333333332</v>
      </c>
      <c r="J224" s="69">
        <v>2</v>
      </c>
      <c r="K224" s="69">
        <f>SUMIFS(VENTAS[Cantidad],VENTAS[Código del producto Vendido],STOCK[[#This Row],[Code]])</f>
        <v>2</v>
      </c>
      <c r="L224" s="69">
        <f>STOCK[[#This Row],[Entradas]]-STOCK[[#This Row],[Salidas]]</f>
        <v>0</v>
      </c>
      <c r="M224" s="53">
        <f>STOCK[[#This Row],[Precio Final]]*10%</f>
        <v>1.5</v>
      </c>
      <c r="N224" s="53">
        <v>129.37</v>
      </c>
      <c r="O224" s="53">
        <v>18</v>
      </c>
      <c r="P224" s="53">
        <v>7.1872222222222204</v>
      </c>
      <c r="Q224" s="69">
        <v>200</v>
      </c>
      <c r="R224" s="53">
        <v>8</v>
      </c>
      <c r="S224" s="53">
        <f>STOCK[[#This Row],[Peso (g)]]*STOCK[[#This Row],[Precio Envío Kilogramo (USD)]]/1000</f>
        <v>1.6</v>
      </c>
      <c r="T224" s="53">
        <f>STOCK[[#This Row],[Costo Unitario (USD)]]+STOCK[[#This Row],[Costo Envío (USD)]]+STOCK[[#This Row],[Comisión 10%]]</f>
        <v>10.287222222222221</v>
      </c>
      <c r="U224" s="53">
        <f>STOCK[[#This Row],[Costo total]]*1.5</f>
        <v>15.430833333333332</v>
      </c>
      <c r="V224" s="53">
        <v>15</v>
      </c>
      <c r="W224" s="53">
        <f>STOCK[[#This Row],[Precio Final]]-STOCK[[#This Row],[Costo total]]</f>
        <v>4.7127777777777791</v>
      </c>
      <c r="X224" s="53">
        <f>STOCK[[#This Row],[Ganancia Unitaria]]*STOCK[[#This Row],[Salidas]]</f>
        <v>9.4255555555555581</v>
      </c>
      <c r="AA224" s="53">
        <f>STOCK[[#This Row],[Costo total]]*STOCK[[#This Row],[Entradas]]</f>
        <v>20.574444444444442</v>
      </c>
      <c r="AB224" s="53">
        <f>STOCK[[#This Row],[Stock Actual]]*STOCK[[#This Row],[Costo total]]</f>
        <v>0</v>
      </c>
      <c r="AC224" s="53">
        <v>12</v>
      </c>
    </row>
    <row r="225" spans="1:28" s="54" customFormat="1" ht="50" customHeight="1">
      <c r="A225" s="54" t="s">
        <v>485</v>
      </c>
      <c r="B225" s="64"/>
      <c r="C225" s="54" t="s">
        <v>32</v>
      </c>
      <c r="D225" s="54" t="s">
        <v>351</v>
      </c>
      <c r="E225" s="66" t="s">
        <v>486</v>
      </c>
      <c r="F225" s="54" t="s">
        <v>388</v>
      </c>
      <c r="G225" s="54" t="s">
        <v>36</v>
      </c>
      <c r="H225" s="54">
        <f>STOCK[[#This Row],[Precio Final]]</f>
        <v>15</v>
      </c>
      <c r="I225" s="54">
        <f>STOCK[[#This Row],[Precio Venta Ideal (x1.5)]]</f>
        <v>15.54666666666666</v>
      </c>
      <c r="J225" s="70">
        <v>2</v>
      </c>
      <c r="K225" s="70">
        <f>SUMIFS(VENTAS[Cantidad],VENTAS[Código del producto Vendido],STOCK[[#This Row],[Code]])</f>
        <v>2</v>
      </c>
      <c r="L225" s="70">
        <f>STOCK[[#This Row],[Entradas]]-STOCK[[#This Row],[Salidas]]</f>
        <v>0</v>
      </c>
      <c r="M225" s="54">
        <f>STOCK[[#This Row],[Precio Final]]*10%</f>
        <v>1.5</v>
      </c>
      <c r="N225" s="54">
        <v>116.36</v>
      </c>
      <c r="O225" s="54">
        <v>18</v>
      </c>
      <c r="P225" s="54">
        <v>6.4644444444444398</v>
      </c>
      <c r="Q225" s="70">
        <v>300</v>
      </c>
      <c r="R225" s="54">
        <v>8</v>
      </c>
      <c r="S225" s="54">
        <f>STOCK[[#This Row],[Peso (g)]]*STOCK[[#This Row],[Precio Envío Kilogramo (USD)]]/1000</f>
        <v>2.4</v>
      </c>
      <c r="T225" s="53">
        <f>STOCK[[#This Row],[Costo Unitario (USD)]]+STOCK[[#This Row],[Costo Envío (USD)]]+STOCK[[#This Row],[Comisión 10%]]</f>
        <v>10.364444444444439</v>
      </c>
      <c r="U225" s="54">
        <f>STOCK[[#This Row],[Costo total]]*1.5</f>
        <v>15.54666666666666</v>
      </c>
      <c r="V225" s="54">
        <v>15</v>
      </c>
      <c r="W225" s="54">
        <f>STOCK[[#This Row],[Precio Final]]-STOCK[[#This Row],[Costo total]]</f>
        <v>4.6355555555555608</v>
      </c>
      <c r="X225" s="54">
        <f>STOCK[[#This Row],[Ganancia Unitaria]]*STOCK[[#This Row],[Salidas]]</f>
        <v>9.2711111111111215</v>
      </c>
      <c r="AA225" s="54">
        <f>STOCK[[#This Row],[Costo total]]*STOCK[[#This Row],[Entradas]]</f>
        <v>20.728888888888878</v>
      </c>
      <c r="AB225" s="54">
        <f>STOCK[[#This Row],[Stock Actual]]*STOCK[[#This Row],[Costo total]]</f>
        <v>0</v>
      </c>
    </row>
    <row r="226" spans="1:28" s="53" customFormat="1" ht="50" customHeight="1">
      <c r="A226" s="53" t="s">
        <v>487</v>
      </c>
      <c r="B226" s="64"/>
      <c r="C226" s="53" t="s">
        <v>32</v>
      </c>
      <c r="D226" s="53" t="s">
        <v>488</v>
      </c>
      <c r="E226" s="65" t="s">
        <v>489</v>
      </c>
      <c r="F226" s="53" t="s">
        <v>490</v>
      </c>
      <c r="G226" s="53" t="s">
        <v>36</v>
      </c>
      <c r="H226" s="53">
        <f>STOCK[[#This Row],[Precio Final]]</f>
        <v>12</v>
      </c>
      <c r="I226" s="53">
        <f>STOCK[[#This Row],[Precio Venta Ideal (x1.5)]]</f>
        <v>15.216666666666658</v>
      </c>
      <c r="J226" s="69">
        <v>2</v>
      </c>
      <c r="K226" s="69">
        <f>SUMIFS(VENTAS[Cantidad],VENTAS[Código del producto Vendido],STOCK[[#This Row],[Code]])</f>
        <v>2</v>
      </c>
      <c r="L226" s="69">
        <f>STOCK[[#This Row],[Entradas]]-STOCK[[#This Row],[Salidas]]</f>
        <v>0</v>
      </c>
      <c r="M226" s="53">
        <f>STOCK[[#This Row],[Precio Final]]*10%</f>
        <v>1.2000000000000002</v>
      </c>
      <c r="N226" s="53">
        <v>117.8</v>
      </c>
      <c r="O226" s="53">
        <v>18</v>
      </c>
      <c r="P226" s="53">
        <v>6.5444444444444398</v>
      </c>
      <c r="Q226" s="69">
        <v>300</v>
      </c>
      <c r="R226" s="53">
        <v>8</v>
      </c>
      <c r="S226" s="53">
        <f>STOCK[[#This Row],[Peso (g)]]*STOCK[[#This Row],[Precio Envío Kilogramo (USD)]]/1000</f>
        <v>2.4</v>
      </c>
      <c r="T226" s="53">
        <f>STOCK[[#This Row],[Costo Unitario (USD)]]+STOCK[[#This Row],[Costo Envío (USD)]]+STOCK[[#This Row],[Comisión 10%]]</f>
        <v>10.144444444444439</v>
      </c>
      <c r="U226" s="53">
        <f>STOCK[[#This Row],[Costo total]]*1.5</f>
        <v>15.216666666666658</v>
      </c>
      <c r="V226" s="53">
        <v>12</v>
      </c>
      <c r="W226" s="53">
        <f>STOCK[[#This Row],[Precio Final]]-STOCK[[#This Row],[Costo total]]</f>
        <v>1.8555555555555614</v>
      </c>
      <c r="X226" s="53">
        <f>STOCK[[#This Row],[Ganancia Unitaria]]*STOCK[[#This Row],[Salidas]]</f>
        <v>3.7111111111111228</v>
      </c>
      <c r="AA226" s="53">
        <f>STOCK[[#This Row],[Costo total]]*STOCK[[#This Row],[Entradas]]</f>
        <v>20.288888888888877</v>
      </c>
      <c r="AB226" s="53">
        <f>STOCK[[#This Row],[Stock Actual]]*STOCK[[#This Row],[Costo total]]</f>
        <v>0</v>
      </c>
    </row>
    <row r="227" spans="1:28" s="54" customFormat="1" ht="50" customHeight="1">
      <c r="A227" s="54" t="s">
        <v>491</v>
      </c>
      <c r="B227" s="64"/>
      <c r="C227" s="54" t="s">
        <v>32</v>
      </c>
      <c r="D227" s="54" t="s">
        <v>351</v>
      </c>
      <c r="E227" s="66" t="s">
        <v>492</v>
      </c>
      <c r="F227" s="54" t="s">
        <v>388</v>
      </c>
      <c r="G227" s="54" t="s">
        <v>36</v>
      </c>
      <c r="H227" s="54">
        <f>STOCK[[#This Row],[Precio Final]]</f>
        <v>10</v>
      </c>
      <c r="I227" s="54">
        <f>STOCK[[#This Row],[Precio Venta Ideal (x1.5)]]</f>
        <v>9.19583333333334</v>
      </c>
      <c r="J227" s="70">
        <v>2</v>
      </c>
      <c r="K227" s="70">
        <f>SUMIFS(VENTAS[Cantidad],VENTAS[Código del producto Vendido],STOCK[[#This Row],[Code]])</f>
        <v>2</v>
      </c>
      <c r="L227" s="70">
        <f>STOCK[[#This Row],[Entradas]]-STOCK[[#This Row],[Salidas]]</f>
        <v>0</v>
      </c>
      <c r="M227" s="54">
        <f>STOCK[[#This Row],[Precio Final]]*10%</f>
        <v>1</v>
      </c>
      <c r="N227" s="54">
        <v>49.15</v>
      </c>
      <c r="O227" s="54">
        <v>18</v>
      </c>
      <c r="P227" s="54">
        <v>2.7305555555555601</v>
      </c>
      <c r="Q227" s="70">
        <v>300</v>
      </c>
      <c r="R227" s="54">
        <v>8</v>
      </c>
      <c r="S227" s="54">
        <f>STOCK[[#This Row],[Peso (g)]]*STOCK[[#This Row],[Precio Envío Kilogramo (USD)]]/1000</f>
        <v>2.4</v>
      </c>
      <c r="T227" s="53">
        <f>STOCK[[#This Row],[Costo Unitario (USD)]]+STOCK[[#This Row],[Costo Envío (USD)]]+STOCK[[#This Row],[Comisión 10%]]</f>
        <v>6.13055555555556</v>
      </c>
      <c r="U227" s="54">
        <f>STOCK[[#This Row],[Costo total]]*1.5</f>
        <v>9.19583333333334</v>
      </c>
      <c r="V227" s="54">
        <v>10</v>
      </c>
      <c r="W227" s="54">
        <f>STOCK[[#This Row],[Precio Final]]-STOCK[[#This Row],[Costo total]]</f>
        <v>3.86944444444444</v>
      </c>
      <c r="X227" s="54">
        <f>STOCK[[#This Row],[Ganancia Unitaria]]*STOCK[[#This Row],[Salidas]]</f>
        <v>7.73888888888888</v>
      </c>
      <c r="AA227" s="54">
        <f>STOCK[[#This Row],[Costo total]]*STOCK[[#This Row],[Entradas]]</f>
        <v>12.26111111111112</v>
      </c>
      <c r="AB227" s="54">
        <f>STOCK[[#This Row],[Stock Actual]]*STOCK[[#This Row],[Costo total]]</f>
        <v>0</v>
      </c>
    </row>
    <row r="228" spans="1:28" s="53" customFormat="1" ht="50" customHeight="1">
      <c r="A228" s="53" t="s">
        <v>493</v>
      </c>
      <c r="B228" s="64"/>
      <c r="C228" s="53" t="s">
        <v>32</v>
      </c>
      <c r="D228" s="54" t="s">
        <v>38</v>
      </c>
      <c r="E228" s="65" t="s">
        <v>494</v>
      </c>
      <c r="F228" s="53" t="s">
        <v>211</v>
      </c>
      <c r="G228" s="53" t="s">
        <v>36</v>
      </c>
      <c r="H228" s="53">
        <f>STOCK[[#This Row],[Precio Final]]</f>
        <v>25</v>
      </c>
      <c r="I228" s="53">
        <f>STOCK[[#This Row],[Precio Venta Ideal (x1.5)]]</f>
        <v>22.470833333333402</v>
      </c>
      <c r="J228" s="69">
        <v>2</v>
      </c>
      <c r="K228" s="69">
        <f>SUMIFS(VENTAS[Cantidad],VENTAS[Código del producto Vendido],STOCK[[#This Row],[Code]])</f>
        <v>2</v>
      </c>
      <c r="L228" s="69">
        <f>STOCK[[#This Row],[Entradas]]-STOCK[[#This Row],[Salidas]]</f>
        <v>0</v>
      </c>
      <c r="M228" s="53">
        <f>STOCK[[#This Row],[Precio Final]]*10%</f>
        <v>2.5</v>
      </c>
      <c r="N228" s="53">
        <v>195.85</v>
      </c>
      <c r="O228" s="53">
        <v>18</v>
      </c>
      <c r="P228" s="53">
        <v>10.880555555555601</v>
      </c>
      <c r="Q228" s="69">
        <v>200</v>
      </c>
      <c r="R228" s="53">
        <v>8</v>
      </c>
      <c r="S228" s="53">
        <f>STOCK[[#This Row],[Peso (g)]]*STOCK[[#This Row],[Precio Envío Kilogramo (USD)]]/1000</f>
        <v>1.6</v>
      </c>
      <c r="T228" s="53">
        <f>STOCK[[#This Row],[Costo Unitario (USD)]]+STOCK[[#This Row],[Costo Envío (USD)]]+STOCK[[#This Row],[Comisión 10%]]</f>
        <v>14.9805555555556</v>
      </c>
      <c r="U228" s="53">
        <f>STOCK[[#This Row],[Costo total]]*1.5</f>
        <v>22.470833333333402</v>
      </c>
      <c r="V228" s="53">
        <v>25</v>
      </c>
      <c r="W228" s="53">
        <f>STOCK[[#This Row],[Precio Final]]-STOCK[[#This Row],[Costo total]]</f>
        <v>10.0194444444444</v>
      </c>
      <c r="X228" s="53">
        <f>STOCK[[#This Row],[Ganancia Unitaria]]*STOCK[[#This Row],[Salidas]]</f>
        <v>20.038888888888799</v>
      </c>
      <c r="AA228" s="53">
        <f>STOCK[[#This Row],[Costo total]]*STOCK[[#This Row],[Entradas]]</f>
        <v>29.961111111111201</v>
      </c>
      <c r="AB228" s="53">
        <f>STOCK[[#This Row],[Stock Actual]]*STOCK[[#This Row],[Costo total]]</f>
        <v>0</v>
      </c>
    </row>
    <row r="229" spans="1:28" s="54" customFormat="1" ht="50" customHeight="1">
      <c r="A229" s="54" t="s">
        <v>495</v>
      </c>
      <c r="B229" s="64"/>
      <c r="C229" s="54" t="s">
        <v>32</v>
      </c>
      <c r="D229" s="54" t="s">
        <v>38</v>
      </c>
      <c r="E229" s="66" t="s">
        <v>496</v>
      </c>
      <c r="F229" s="54" t="s">
        <v>62</v>
      </c>
      <c r="G229" s="54" t="s">
        <v>36</v>
      </c>
      <c r="H229" s="54">
        <f>STOCK[[#This Row],[Precio Final]]</f>
        <v>22</v>
      </c>
      <c r="I229" s="54">
        <f>STOCK[[#This Row],[Precio Venta Ideal (x1.5)]]</f>
        <v>22.0208333333334</v>
      </c>
      <c r="J229" s="70">
        <v>1</v>
      </c>
      <c r="K229" s="70">
        <f>SUMIFS(VENTAS[Cantidad],VENTAS[Código del producto Vendido],STOCK[[#This Row],[Code]])</f>
        <v>1</v>
      </c>
      <c r="L229" s="70">
        <f>STOCK[[#This Row],[Entradas]]-STOCK[[#This Row],[Salidas]]</f>
        <v>0</v>
      </c>
      <c r="M229" s="54">
        <f>STOCK[[#This Row],[Precio Final]]*10%</f>
        <v>2.2000000000000002</v>
      </c>
      <c r="N229" s="54">
        <v>195.85</v>
      </c>
      <c r="O229" s="54">
        <v>18</v>
      </c>
      <c r="P229" s="54">
        <v>10.880555555555601</v>
      </c>
      <c r="Q229" s="70">
        <v>200</v>
      </c>
      <c r="R229" s="54">
        <v>8</v>
      </c>
      <c r="S229" s="54">
        <f>STOCK[[#This Row],[Peso (g)]]*STOCK[[#This Row],[Precio Envío Kilogramo (USD)]]/1000</f>
        <v>1.6</v>
      </c>
      <c r="T229" s="53">
        <f>STOCK[[#This Row],[Costo Unitario (USD)]]+STOCK[[#This Row],[Costo Envío (USD)]]+STOCK[[#This Row],[Comisión 10%]]</f>
        <v>14.6805555555556</v>
      </c>
      <c r="U229" s="54">
        <f>STOCK[[#This Row],[Costo total]]*1.5</f>
        <v>22.0208333333334</v>
      </c>
      <c r="V229" s="54">
        <v>22</v>
      </c>
      <c r="W229" s="54">
        <f>STOCK[[#This Row],[Precio Final]]-STOCK[[#This Row],[Costo total]]</f>
        <v>7.3194444444444002</v>
      </c>
      <c r="X229" s="54">
        <f>STOCK[[#This Row],[Ganancia Unitaria]]*STOCK[[#This Row],[Salidas]]</f>
        <v>7.3194444444444002</v>
      </c>
      <c r="AA229" s="54">
        <f>STOCK[[#This Row],[Costo total]]*STOCK[[#This Row],[Entradas]]</f>
        <v>14.6805555555556</v>
      </c>
      <c r="AB229" s="54">
        <f>STOCK[[#This Row],[Stock Actual]]*STOCK[[#This Row],[Costo total]]</f>
        <v>0</v>
      </c>
    </row>
    <row r="230" spans="1:28" s="53" customFormat="1" ht="50" customHeight="1">
      <c r="A230" s="53" t="s">
        <v>497</v>
      </c>
      <c r="B230" s="64"/>
      <c r="C230" s="53" t="s">
        <v>32</v>
      </c>
      <c r="D230" s="54" t="s">
        <v>38</v>
      </c>
      <c r="E230" s="65" t="s">
        <v>498</v>
      </c>
      <c r="F230" s="53" t="s">
        <v>40</v>
      </c>
      <c r="G230" s="53" t="s">
        <v>36</v>
      </c>
      <c r="H230" s="53">
        <f>STOCK[[#This Row],[Precio Final]]</f>
        <v>15</v>
      </c>
      <c r="I230" s="53">
        <f>STOCK[[#This Row],[Precio Venta Ideal (x1.5)]]</f>
        <v>15.430833333333332</v>
      </c>
      <c r="J230" s="69">
        <v>2</v>
      </c>
      <c r="K230" s="69">
        <f>SUMIFS(VENTAS[Cantidad],VENTAS[Código del producto Vendido],STOCK[[#This Row],[Code]])</f>
        <v>2</v>
      </c>
      <c r="L230" s="69">
        <f>STOCK[[#This Row],[Entradas]]-STOCK[[#This Row],[Salidas]]</f>
        <v>0</v>
      </c>
      <c r="M230" s="53">
        <f>STOCK[[#This Row],[Precio Final]]*10%</f>
        <v>1.5</v>
      </c>
      <c r="N230" s="53">
        <v>129.37</v>
      </c>
      <c r="O230" s="53">
        <v>18</v>
      </c>
      <c r="P230" s="53">
        <v>7.1872222222222204</v>
      </c>
      <c r="Q230" s="69">
        <v>200</v>
      </c>
      <c r="R230" s="53">
        <v>8</v>
      </c>
      <c r="S230" s="53">
        <f>STOCK[[#This Row],[Peso (g)]]*STOCK[[#This Row],[Precio Envío Kilogramo (USD)]]/1000</f>
        <v>1.6</v>
      </c>
      <c r="T230" s="53">
        <f>STOCK[[#This Row],[Costo Unitario (USD)]]+STOCK[[#This Row],[Costo Envío (USD)]]+STOCK[[#This Row],[Comisión 10%]]</f>
        <v>10.287222222222221</v>
      </c>
      <c r="U230" s="53">
        <f>STOCK[[#This Row],[Costo total]]*1.5</f>
        <v>15.430833333333332</v>
      </c>
      <c r="V230" s="53">
        <v>15</v>
      </c>
      <c r="W230" s="53">
        <f>STOCK[[#This Row],[Precio Final]]-STOCK[[#This Row],[Costo total]]</f>
        <v>4.7127777777777791</v>
      </c>
      <c r="X230" s="53">
        <f>STOCK[[#This Row],[Ganancia Unitaria]]*STOCK[[#This Row],[Salidas]]</f>
        <v>9.4255555555555581</v>
      </c>
      <c r="AA230" s="53">
        <f>STOCK[[#This Row],[Costo total]]*STOCK[[#This Row],[Entradas]]</f>
        <v>20.574444444444442</v>
      </c>
      <c r="AB230" s="53">
        <f>STOCK[[#This Row],[Stock Actual]]*STOCK[[#This Row],[Costo total]]</f>
        <v>0</v>
      </c>
    </row>
    <row r="231" spans="1:28" s="54" customFormat="1" ht="50" customHeight="1">
      <c r="A231" s="54" t="s">
        <v>499</v>
      </c>
      <c r="B231" s="64"/>
      <c r="C231" s="54" t="s">
        <v>32</v>
      </c>
      <c r="D231" s="54" t="s">
        <v>213</v>
      </c>
      <c r="E231" s="66" t="s">
        <v>406</v>
      </c>
      <c r="F231" s="54" t="s">
        <v>42</v>
      </c>
      <c r="G231" s="54" t="s">
        <v>36</v>
      </c>
      <c r="H231" s="54">
        <f>STOCK[[#This Row],[Precio Final]]</f>
        <v>20</v>
      </c>
      <c r="I231" s="54">
        <f>STOCK[[#This Row],[Precio Venta Ideal (x1.5)]]</f>
        <v>18.284166666666675</v>
      </c>
      <c r="J231" s="70">
        <v>2</v>
      </c>
      <c r="K231" s="70">
        <f>SUMIFS(VENTAS[Cantidad],VENTAS[Código del producto Vendido],STOCK[[#This Row],[Code]])</f>
        <v>2</v>
      </c>
      <c r="L231" s="70">
        <f>STOCK[[#This Row],[Entradas]]-STOCK[[#This Row],[Salidas]]</f>
        <v>0</v>
      </c>
      <c r="M231" s="54">
        <f>STOCK[[#This Row],[Precio Final]]*10%</f>
        <v>2</v>
      </c>
      <c r="N231" s="54">
        <v>140.21</v>
      </c>
      <c r="O231" s="54">
        <v>18</v>
      </c>
      <c r="P231" s="54">
        <v>7.7894444444444497</v>
      </c>
      <c r="Q231" s="70">
        <v>300</v>
      </c>
      <c r="R231" s="54">
        <v>8</v>
      </c>
      <c r="S231" s="54">
        <f>STOCK[[#This Row],[Peso (g)]]*STOCK[[#This Row],[Precio Envío Kilogramo (USD)]]/1000</f>
        <v>2.4</v>
      </c>
      <c r="T231" s="53">
        <f>STOCK[[#This Row],[Costo Unitario (USD)]]+STOCK[[#This Row],[Costo Envío (USD)]]+STOCK[[#This Row],[Comisión 10%]]</f>
        <v>12.189444444444449</v>
      </c>
      <c r="U231" s="54">
        <f>STOCK[[#This Row],[Costo total]]*1.5</f>
        <v>18.284166666666675</v>
      </c>
      <c r="V231" s="54">
        <v>20</v>
      </c>
      <c r="W231" s="54">
        <f>STOCK[[#This Row],[Precio Final]]-STOCK[[#This Row],[Costo total]]</f>
        <v>7.8105555555555508</v>
      </c>
      <c r="X231" s="54">
        <f>STOCK[[#This Row],[Ganancia Unitaria]]*STOCK[[#This Row],[Salidas]]</f>
        <v>15.621111111111102</v>
      </c>
      <c r="AA231" s="54">
        <f>STOCK[[#This Row],[Costo total]]*STOCK[[#This Row],[Entradas]]</f>
        <v>24.378888888888898</v>
      </c>
      <c r="AB231" s="54">
        <f>STOCK[[#This Row],[Stock Actual]]*STOCK[[#This Row],[Costo total]]</f>
        <v>0</v>
      </c>
    </row>
    <row r="232" spans="1:28" s="53" customFormat="1" ht="50" customHeight="1">
      <c r="A232" s="53" t="s">
        <v>500</v>
      </c>
      <c r="B232" s="64"/>
      <c r="C232" s="53" t="s">
        <v>32</v>
      </c>
      <c r="D232" s="53" t="s">
        <v>44</v>
      </c>
      <c r="E232" s="65" t="s">
        <v>406</v>
      </c>
      <c r="F232" s="53" t="s">
        <v>88</v>
      </c>
      <c r="G232" s="53" t="s">
        <v>36</v>
      </c>
      <c r="H232" s="53">
        <f>STOCK[[#This Row],[Precio Final]]</f>
        <v>20</v>
      </c>
      <c r="I232" s="53">
        <f>STOCK[[#This Row],[Precio Venta Ideal (x1.5)]]</f>
        <v>17.684166666666673</v>
      </c>
      <c r="J232" s="69">
        <v>1</v>
      </c>
      <c r="K232" s="69">
        <f>SUMIFS(VENTAS[Cantidad],VENTAS[Código del producto Vendido],STOCK[[#This Row],[Code]])</f>
        <v>1</v>
      </c>
      <c r="L232" s="69">
        <f>STOCK[[#This Row],[Entradas]]-STOCK[[#This Row],[Salidas]]</f>
        <v>0</v>
      </c>
      <c r="M232" s="53">
        <f>STOCK[[#This Row],[Precio Final]]*10%</f>
        <v>2</v>
      </c>
      <c r="N232" s="53">
        <v>140.21</v>
      </c>
      <c r="O232" s="53">
        <v>18</v>
      </c>
      <c r="P232" s="53">
        <v>7.7894444444444497</v>
      </c>
      <c r="Q232" s="69">
        <v>250</v>
      </c>
      <c r="R232" s="53">
        <v>8</v>
      </c>
      <c r="S232" s="53">
        <f>STOCK[[#This Row],[Peso (g)]]*STOCK[[#This Row],[Precio Envío Kilogramo (USD)]]/1000</f>
        <v>2</v>
      </c>
      <c r="T232" s="53">
        <f>STOCK[[#This Row],[Costo Unitario (USD)]]+STOCK[[#This Row],[Costo Envío (USD)]]+STOCK[[#This Row],[Comisión 10%]]</f>
        <v>11.789444444444449</v>
      </c>
      <c r="U232" s="53">
        <f>STOCK[[#This Row],[Costo total]]*1.5</f>
        <v>17.684166666666673</v>
      </c>
      <c r="V232" s="53">
        <v>20</v>
      </c>
      <c r="W232" s="53">
        <f>STOCK[[#This Row],[Precio Final]]-STOCK[[#This Row],[Costo total]]</f>
        <v>8.2105555555555512</v>
      </c>
      <c r="X232" s="53">
        <f>STOCK[[#This Row],[Ganancia Unitaria]]*STOCK[[#This Row],[Salidas]]</f>
        <v>8.2105555555555512</v>
      </c>
      <c r="AA232" s="53">
        <f>STOCK[[#This Row],[Costo total]]*STOCK[[#This Row],[Entradas]]</f>
        <v>11.789444444444449</v>
      </c>
      <c r="AB232" s="53">
        <f>STOCK[[#This Row],[Stock Actual]]*STOCK[[#This Row],[Costo total]]</f>
        <v>0</v>
      </c>
    </row>
    <row r="233" spans="1:28" s="54" customFormat="1" ht="50" customHeight="1">
      <c r="A233" s="54" t="s">
        <v>501</v>
      </c>
      <c r="B233" s="64"/>
      <c r="C233" s="54" t="s">
        <v>32</v>
      </c>
      <c r="D233" s="54" t="s">
        <v>38</v>
      </c>
      <c r="E233" s="66" t="s">
        <v>502</v>
      </c>
      <c r="F233" s="54" t="s">
        <v>49</v>
      </c>
      <c r="G233" s="54" t="s">
        <v>36</v>
      </c>
      <c r="H233" s="54">
        <f>STOCK[[#This Row],[Precio Final]]</f>
        <v>25</v>
      </c>
      <c r="I233" s="54">
        <f>STOCK[[#This Row],[Precio Venta Ideal (x1.5)]]</f>
        <v>28.5833333333334</v>
      </c>
      <c r="J233" s="70">
        <v>2</v>
      </c>
      <c r="K233" s="70">
        <f>SUMIFS(VENTAS[Cantidad],VENTAS[Código del producto Vendido],STOCK[[#This Row],[Code]])</f>
        <v>2</v>
      </c>
      <c r="L233" s="70">
        <f>STOCK[[#This Row],[Entradas]]-STOCK[[#This Row],[Salidas]]</f>
        <v>0</v>
      </c>
      <c r="M233" s="54">
        <f>STOCK[[#This Row],[Precio Final]]*10%</f>
        <v>2.5</v>
      </c>
      <c r="N233" s="54">
        <v>254.8</v>
      </c>
      <c r="O233" s="54">
        <v>18</v>
      </c>
      <c r="P233" s="54">
        <v>14.155555555555599</v>
      </c>
      <c r="Q233" s="70">
        <v>300</v>
      </c>
      <c r="R233" s="54">
        <v>8</v>
      </c>
      <c r="S233" s="54">
        <f>STOCK[[#This Row],[Peso (g)]]*STOCK[[#This Row],[Precio Envío Kilogramo (USD)]]/1000</f>
        <v>2.4</v>
      </c>
      <c r="T233" s="53">
        <f>STOCK[[#This Row],[Costo Unitario (USD)]]+STOCK[[#This Row],[Costo Envío (USD)]]+STOCK[[#This Row],[Comisión 10%]]</f>
        <v>19.0555555555556</v>
      </c>
      <c r="U233" s="54">
        <f>STOCK[[#This Row],[Costo total]]*1.5</f>
        <v>28.5833333333334</v>
      </c>
      <c r="V233" s="54">
        <v>25</v>
      </c>
      <c r="W233" s="54">
        <f>STOCK[[#This Row],[Precio Final]]-STOCK[[#This Row],[Costo total]]</f>
        <v>5.9444444444444002</v>
      </c>
      <c r="X233" s="54">
        <f>STOCK[[#This Row],[Ganancia Unitaria]]*STOCK[[#This Row],[Salidas]]</f>
        <v>11.8888888888888</v>
      </c>
      <c r="AA233" s="54">
        <f>STOCK[[#This Row],[Costo total]]*STOCK[[#This Row],[Entradas]]</f>
        <v>38.1111111111112</v>
      </c>
      <c r="AB233" s="54">
        <f>STOCK[[#This Row],[Stock Actual]]*STOCK[[#This Row],[Costo total]]</f>
        <v>0</v>
      </c>
    </row>
    <row r="234" spans="1:28" s="53" customFormat="1" ht="50" customHeight="1">
      <c r="A234" s="53" t="s">
        <v>503</v>
      </c>
      <c r="B234" s="64"/>
      <c r="C234" s="53" t="s">
        <v>32</v>
      </c>
      <c r="D234" s="53" t="s">
        <v>38</v>
      </c>
      <c r="E234" s="65" t="s">
        <v>504</v>
      </c>
      <c r="F234" s="53" t="s">
        <v>62</v>
      </c>
      <c r="G234" s="53" t="s">
        <v>36</v>
      </c>
      <c r="H234" s="53">
        <f>STOCK[[#This Row],[Precio Final]]</f>
        <v>25</v>
      </c>
      <c r="I234" s="53">
        <f>STOCK[[#This Row],[Precio Venta Ideal (x1.5)]]</f>
        <v>28.5833333333334</v>
      </c>
      <c r="J234" s="69">
        <v>2</v>
      </c>
      <c r="K234" s="69">
        <f>SUMIFS(VENTAS[Cantidad],VENTAS[Código del producto Vendido],STOCK[[#This Row],[Code]])</f>
        <v>2</v>
      </c>
      <c r="L234" s="69">
        <f>STOCK[[#This Row],[Entradas]]-STOCK[[#This Row],[Salidas]]</f>
        <v>0</v>
      </c>
      <c r="M234" s="53">
        <f>STOCK[[#This Row],[Precio Final]]*10%</f>
        <v>2.5</v>
      </c>
      <c r="N234" s="53">
        <v>254.8</v>
      </c>
      <c r="O234" s="53">
        <v>18</v>
      </c>
      <c r="P234" s="53">
        <v>14.155555555555599</v>
      </c>
      <c r="Q234" s="69">
        <v>300</v>
      </c>
      <c r="R234" s="53">
        <v>8</v>
      </c>
      <c r="S234" s="53">
        <f>STOCK[[#This Row],[Peso (g)]]*STOCK[[#This Row],[Precio Envío Kilogramo (USD)]]/1000</f>
        <v>2.4</v>
      </c>
      <c r="T234" s="53">
        <f>STOCK[[#This Row],[Costo Unitario (USD)]]+STOCK[[#This Row],[Costo Envío (USD)]]+STOCK[[#This Row],[Comisión 10%]]</f>
        <v>19.0555555555556</v>
      </c>
      <c r="U234" s="53">
        <f>STOCK[[#This Row],[Costo total]]*1.5</f>
        <v>28.5833333333334</v>
      </c>
      <c r="V234" s="53">
        <v>25</v>
      </c>
      <c r="W234" s="53">
        <f>STOCK[[#This Row],[Precio Final]]-STOCK[[#This Row],[Costo total]]</f>
        <v>5.9444444444444002</v>
      </c>
      <c r="X234" s="53">
        <f>STOCK[[#This Row],[Ganancia Unitaria]]*STOCK[[#This Row],[Salidas]]</f>
        <v>11.8888888888888</v>
      </c>
      <c r="AA234" s="53">
        <f>STOCK[[#This Row],[Costo total]]*STOCK[[#This Row],[Entradas]]</f>
        <v>38.1111111111112</v>
      </c>
      <c r="AB234" s="53">
        <f>STOCK[[#This Row],[Stock Actual]]*STOCK[[#This Row],[Costo total]]</f>
        <v>0</v>
      </c>
    </row>
    <row r="235" spans="1:28" s="54" customFormat="1" ht="50" customHeight="1">
      <c r="A235" s="54" t="s">
        <v>505</v>
      </c>
      <c r="B235" s="64"/>
      <c r="C235" s="54" t="s">
        <v>32</v>
      </c>
      <c r="D235" s="54" t="s">
        <v>506</v>
      </c>
      <c r="E235" s="66" t="s">
        <v>507</v>
      </c>
      <c r="F235" s="54" t="s">
        <v>46</v>
      </c>
      <c r="G235" s="54" t="s">
        <v>36</v>
      </c>
      <c r="H235" s="54">
        <f>STOCK[[#This Row],[Precio Final]]</f>
        <v>21</v>
      </c>
      <c r="I235" s="54">
        <f>STOCK[[#This Row],[Precio Venta Ideal (x1.5)]]</f>
        <v>23.920833333333299</v>
      </c>
      <c r="J235" s="70">
        <v>1</v>
      </c>
      <c r="K235" s="70">
        <f>SUMIFS(VENTAS[Cantidad],VENTAS[Código del producto Vendido],STOCK[[#This Row],[Code]])</f>
        <v>0</v>
      </c>
      <c r="L235" s="70">
        <f>STOCK[[#This Row],[Entradas]]-STOCK[[#This Row],[Salidas]]</f>
        <v>1</v>
      </c>
      <c r="M235" s="54">
        <f>STOCK[[#This Row],[Precio Final]]*10%</f>
        <v>2.1</v>
      </c>
      <c r="N235" s="54">
        <v>206.05</v>
      </c>
      <c r="O235" s="54">
        <v>18</v>
      </c>
      <c r="P235" s="54">
        <v>11.4472222222222</v>
      </c>
      <c r="Q235" s="70">
        <v>300</v>
      </c>
      <c r="R235" s="54">
        <v>8</v>
      </c>
      <c r="S235" s="54">
        <f>STOCK[[#This Row],[Peso (g)]]*STOCK[[#This Row],[Precio Envío Kilogramo (USD)]]/1000</f>
        <v>2.4</v>
      </c>
      <c r="T235" s="53">
        <f>STOCK[[#This Row],[Costo Unitario (USD)]]+STOCK[[#This Row],[Costo Envío (USD)]]+STOCK[[#This Row],[Comisión 10%]]</f>
        <v>15.9472222222222</v>
      </c>
      <c r="U235" s="54">
        <f>STOCK[[#This Row],[Costo total]]*1.5</f>
        <v>23.920833333333299</v>
      </c>
      <c r="V235" s="54">
        <v>21</v>
      </c>
      <c r="W235" s="54">
        <f>STOCK[[#This Row],[Precio Final]]-STOCK[[#This Row],[Costo total]]</f>
        <v>5.0527777777778002</v>
      </c>
      <c r="X235" s="54">
        <f>STOCK[[#This Row],[Ganancia Unitaria]]*STOCK[[#This Row],[Salidas]]</f>
        <v>0</v>
      </c>
      <c r="AA235" s="54">
        <f>STOCK[[#This Row],[Costo total]]*STOCK[[#This Row],[Entradas]]</f>
        <v>15.9472222222222</v>
      </c>
      <c r="AB235" s="54">
        <f>STOCK[[#This Row],[Stock Actual]]*STOCK[[#This Row],[Costo total]]</f>
        <v>15.9472222222222</v>
      </c>
    </row>
    <row r="236" spans="1:28" s="53" customFormat="1" ht="50" customHeight="1">
      <c r="A236" s="53" t="s">
        <v>508</v>
      </c>
      <c r="B236" s="64"/>
      <c r="C236" s="53" t="s">
        <v>32</v>
      </c>
      <c r="D236" s="53" t="s">
        <v>38</v>
      </c>
      <c r="E236" s="65" t="s">
        <v>509</v>
      </c>
      <c r="F236" s="53" t="s">
        <v>49</v>
      </c>
      <c r="G236" s="53" t="s">
        <v>36</v>
      </c>
      <c r="H236" s="53">
        <f>STOCK[[#This Row],[Precio Final]]</f>
        <v>25</v>
      </c>
      <c r="I236" s="53">
        <f>STOCK[[#This Row],[Precio Venta Ideal (x1.5)]]</f>
        <v>27.816666666666602</v>
      </c>
      <c r="J236" s="69">
        <v>2</v>
      </c>
      <c r="K236" s="69">
        <f>SUMIFS(VENTAS[Cantidad],VENTAS[Código del producto Vendido],STOCK[[#This Row],[Code]])</f>
        <v>2</v>
      </c>
      <c r="L236" s="69">
        <f>STOCK[[#This Row],[Entradas]]-STOCK[[#This Row],[Salidas]]</f>
        <v>0</v>
      </c>
      <c r="M236" s="53">
        <f>STOCK[[#This Row],[Precio Final]]*10%</f>
        <v>2.5</v>
      </c>
      <c r="N236" s="53">
        <v>260</v>
      </c>
      <c r="O236" s="53">
        <v>18</v>
      </c>
      <c r="P236" s="53">
        <v>14.4444444444444</v>
      </c>
      <c r="Q236" s="69">
        <v>200</v>
      </c>
      <c r="R236" s="53">
        <v>8</v>
      </c>
      <c r="S236" s="53">
        <f>STOCK[[#This Row],[Peso (g)]]*STOCK[[#This Row],[Precio Envío Kilogramo (USD)]]/1000</f>
        <v>1.6</v>
      </c>
      <c r="T236" s="53">
        <f>STOCK[[#This Row],[Costo Unitario (USD)]]+STOCK[[#This Row],[Costo Envío (USD)]]+STOCK[[#This Row],[Comisión 10%]]</f>
        <v>18.544444444444402</v>
      </c>
      <c r="U236" s="53">
        <f>STOCK[[#This Row],[Costo total]]*1.5</f>
        <v>27.816666666666602</v>
      </c>
      <c r="V236" s="53">
        <v>25</v>
      </c>
      <c r="W236" s="53">
        <f>STOCK[[#This Row],[Precio Final]]-STOCK[[#This Row],[Costo total]]</f>
        <v>6.4555555555555983</v>
      </c>
      <c r="X236" s="53">
        <f>STOCK[[#This Row],[Ganancia Unitaria]]*STOCK[[#This Row],[Salidas]]</f>
        <v>12.911111111111197</v>
      </c>
      <c r="AA236" s="53">
        <f>STOCK[[#This Row],[Costo total]]*STOCK[[#This Row],[Entradas]]</f>
        <v>37.088888888888803</v>
      </c>
      <c r="AB236" s="53">
        <f>STOCK[[#This Row],[Stock Actual]]*STOCK[[#This Row],[Costo total]]</f>
        <v>0</v>
      </c>
    </row>
    <row r="237" spans="1:28" s="54" customFormat="1" ht="50" customHeight="1">
      <c r="A237" s="54" t="s">
        <v>510</v>
      </c>
      <c r="B237" s="64"/>
      <c r="C237" s="54" t="s">
        <v>32</v>
      </c>
      <c r="D237" s="54" t="s">
        <v>38</v>
      </c>
      <c r="E237" s="66" t="s">
        <v>511</v>
      </c>
      <c r="F237" s="54" t="s">
        <v>88</v>
      </c>
      <c r="G237" s="54" t="s">
        <v>36</v>
      </c>
      <c r="H237" s="54">
        <f>STOCK[[#This Row],[Precio Final]]</f>
        <v>25</v>
      </c>
      <c r="I237" s="54">
        <f>STOCK[[#This Row],[Precio Venta Ideal (x1.5)]]</f>
        <v>27.816666666666602</v>
      </c>
      <c r="J237" s="70">
        <v>2</v>
      </c>
      <c r="K237" s="70">
        <f>SUMIFS(VENTAS[Cantidad],VENTAS[Código del producto Vendido],STOCK[[#This Row],[Code]])</f>
        <v>2</v>
      </c>
      <c r="L237" s="70">
        <f>STOCK[[#This Row],[Entradas]]-STOCK[[#This Row],[Salidas]]</f>
        <v>0</v>
      </c>
      <c r="M237" s="54">
        <f>STOCK[[#This Row],[Precio Final]]*10%</f>
        <v>2.5</v>
      </c>
      <c r="N237" s="54">
        <v>260</v>
      </c>
      <c r="O237" s="54">
        <v>18</v>
      </c>
      <c r="P237" s="54">
        <v>14.4444444444444</v>
      </c>
      <c r="Q237" s="70">
        <v>200</v>
      </c>
      <c r="R237" s="54">
        <v>8</v>
      </c>
      <c r="S237" s="54">
        <f>STOCK[[#This Row],[Peso (g)]]*STOCK[[#This Row],[Precio Envío Kilogramo (USD)]]/1000</f>
        <v>1.6</v>
      </c>
      <c r="T237" s="53">
        <f>STOCK[[#This Row],[Costo Unitario (USD)]]+STOCK[[#This Row],[Costo Envío (USD)]]+STOCK[[#This Row],[Comisión 10%]]</f>
        <v>18.544444444444402</v>
      </c>
      <c r="U237" s="54">
        <f>STOCK[[#This Row],[Costo total]]*1.5</f>
        <v>27.816666666666602</v>
      </c>
      <c r="V237" s="54">
        <v>25</v>
      </c>
      <c r="W237" s="54">
        <f>STOCK[[#This Row],[Precio Final]]-STOCK[[#This Row],[Costo total]]</f>
        <v>6.4555555555555983</v>
      </c>
      <c r="X237" s="54">
        <f>STOCK[[#This Row],[Ganancia Unitaria]]*STOCK[[#This Row],[Salidas]]</f>
        <v>12.911111111111197</v>
      </c>
      <c r="AA237" s="54">
        <f>STOCK[[#This Row],[Costo total]]*STOCK[[#This Row],[Entradas]]</f>
        <v>37.088888888888803</v>
      </c>
      <c r="AB237" s="54">
        <f>STOCK[[#This Row],[Stock Actual]]*STOCK[[#This Row],[Costo total]]</f>
        <v>0</v>
      </c>
    </row>
    <row r="238" spans="1:28" s="53" customFormat="1" ht="50" customHeight="1">
      <c r="A238" s="53" t="s">
        <v>512</v>
      </c>
      <c r="B238" s="64"/>
      <c r="C238" s="53" t="s">
        <v>32</v>
      </c>
      <c r="E238" s="65" t="s">
        <v>513</v>
      </c>
      <c r="F238" s="53" t="s">
        <v>394</v>
      </c>
      <c r="G238" s="53" t="s">
        <v>36</v>
      </c>
      <c r="H238" s="53">
        <f>STOCK[[#This Row],[Precio Final]]</f>
        <v>5</v>
      </c>
      <c r="I238" s="53">
        <f>STOCK[[#This Row],[Precio Venta Ideal (x1.5)]]</f>
        <v>4.8291666666666604</v>
      </c>
      <c r="J238" s="69">
        <v>0</v>
      </c>
      <c r="K238" s="69">
        <f>SUMIFS(VENTAS[Cantidad],VENTAS[Código del producto Vendido],STOCK[[#This Row],[Code]])</f>
        <v>0</v>
      </c>
      <c r="L238" s="69">
        <f>STOCK[[#This Row],[Entradas]]-STOCK[[#This Row],[Salidas]]</f>
        <v>0</v>
      </c>
      <c r="M238" s="53">
        <f>STOCK[[#This Row],[Precio Final]]*10%</f>
        <v>0.5</v>
      </c>
      <c r="N238" s="53">
        <v>46.07</v>
      </c>
      <c r="O238" s="53">
        <v>18</v>
      </c>
      <c r="P238" s="53">
        <v>2.55944444444444</v>
      </c>
      <c r="Q238" s="69">
        <v>20</v>
      </c>
      <c r="R238" s="53">
        <v>8</v>
      </c>
      <c r="S238" s="53">
        <f>STOCK[[#This Row],[Peso (g)]]*STOCK[[#This Row],[Precio Envío Kilogramo (USD)]]/1000</f>
        <v>0.16</v>
      </c>
      <c r="T238" s="53">
        <f>STOCK[[#This Row],[Costo Unitario (USD)]]+STOCK[[#This Row],[Costo Envío (USD)]]+STOCK[[#This Row],[Comisión 10%]]</f>
        <v>3.2194444444444401</v>
      </c>
      <c r="U238" s="53">
        <f>STOCK[[#This Row],[Costo total]]*1.5</f>
        <v>4.8291666666666604</v>
      </c>
      <c r="V238" s="53">
        <v>5</v>
      </c>
      <c r="W238" s="53">
        <f>STOCK[[#This Row],[Precio Final]]-STOCK[[#This Row],[Costo total]]</f>
        <v>1.7805555555555599</v>
      </c>
      <c r="X238" s="53">
        <f>STOCK[[#This Row],[Ganancia Unitaria]]*STOCK[[#This Row],[Salidas]]</f>
        <v>0</v>
      </c>
      <c r="AA238" s="53">
        <f>STOCK[[#This Row],[Costo total]]*STOCK[[#This Row],[Entradas]]</f>
        <v>0</v>
      </c>
      <c r="AB238" s="53">
        <f>STOCK[[#This Row],[Stock Actual]]*STOCK[[#This Row],[Costo total]]</f>
        <v>0</v>
      </c>
    </row>
    <row r="239" spans="1:28" s="54" customFormat="1" ht="50" customHeight="1">
      <c r="A239" s="54" t="s">
        <v>514</v>
      </c>
      <c r="B239" s="64"/>
      <c r="C239" s="54" t="s">
        <v>32</v>
      </c>
      <c r="D239" s="54" t="s">
        <v>515</v>
      </c>
      <c r="E239" s="66" t="s">
        <v>516</v>
      </c>
      <c r="F239" s="54" t="s">
        <v>517</v>
      </c>
      <c r="G239" s="54" t="s">
        <v>36</v>
      </c>
      <c r="H239" s="54">
        <f>STOCK[[#This Row],[Precio Final]]</f>
        <v>20</v>
      </c>
      <c r="I239" s="54">
        <f>STOCK[[#This Row],[Precio Venta Ideal (x1.5)]]</f>
        <v>21.955833333333302</v>
      </c>
      <c r="J239" s="70">
        <v>1</v>
      </c>
      <c r="K239" s="70">
        <f>SUMIFS(VENTAS[Cantidad],VENTAS[Código del producto Vendido],STOCK[[#This Row],[Code]])</f>
        <v>1</v>
      </c>
      <c r="L239" s="70">
        <f>STOCK[[#This Row],[Entradas]]-STOCK[[#This Row],[Salidas]]</f>
        <v>0</v>
      </c>
      <c r="M239" s="54">
        <f>STOCK[[#This Row],[Precio Final]]*10%</f>
        <v>2</v>
      </c>
      <c r="N239" s="54">
        <v>184.27</v>
      </c>
      <c r="O239" s="54">
        <v>18</v>
      </c>
      <c r="P239" s="54">
        <v>10.237222222222201</v>
      </c>
      <c r="Q239" s="70">
        <v>300</v>
      </c>
      <c r="R239" s="54">
        <v>8</v>
      </c>
      <c r="S239" s="54">
        <f>STOCK[[#This Row],[Peso (g)]]*STOCK[[#This Row],[Precio Envío Kilogramo (USD)]]/1000</f>
        <v>2.4</v>
      </c>
      <c r="T239" s="53">
        <f>STOCK[[#This Row],[Costo Unitario (USD)]]+STOCK[[#This Row],[Costo Envío (USD)]]+STOCK[[#This Row],[Comisión 10%]]</f>
        <v>14.637222222222201</v>
      </c>
      <c r="U239" s="54">
        <f>STOCK[[#This Row],[Costo total]]*1.5</f>
        <v>21.955833333333302</v>
      </c>
      <c r="V239" s="54">
        <v>20</v>
      </c>
      <c r="W239" s="54">
        <f>STOCK[[#This Row],[Precio Final]]-STOCK[[#This Row],[Costo total]]</f>
        <v>5.362777777777799</v>
      </c>
      <c r="X239" s="54">
        <f>STOCK[[#This Row],[Ganancia Unitaria]]*STOCK[[#This Row],[Salidas]]</f>
        <v>5.362777777777799</v>
      </c>
      <c r="AA239" s="54">
        <f>STOCK[[#This Row],[Costo total]]*STOCK[[#This Row],[Entradas]]</f>
        <v>14.637222222222201</v>
      </c>
      <c r="AB239" s="54">
        <f>STOCK[[#This Row],[Stock Actual]]*STOCK[[#This Row],[Costo total]]</f>
        <v>0</v>
      </c>
    </row>
    <row r="240" spans="1:28" s="53" customFormat="1" ht="50" customHeight="1">
      <c r="A240" s="53" t="s">
        <v>518</v>
      </c>
      <c r="B240" s="64"/>
      <c r="C240" s="53" t="s">
        <v>32</v>
      </c>
      <c r="D240" s="53" t="s">
        <v>351</v>
      </c>
      <c r="E240" s="65" t="s">
        <v>519</v>
      </c>
      <c r="F240" s="53" t="s">
        <v>394</v>
      </c>
      <c r="G240" s="53" t="s">
        <v>36</v>
      </c>
      <c r="H240" s="53">
        <f>STOCK[[#This Row],[Precio Final]]</f>
        <v>2</v>
      </c>
      <c r="I240" s="53">
        <f>STOCK[[#This Row],[Precio Venta Ideal (x1.5)]]</f>
        <v>1.566666666666666</v>
      </c>
      <c r="J240" s="69">
        <v>10</v>
      </c>
      <c r="K240" s="69">
        <f>SUMIFS(VENTAS[Cantidad],VENTAS[Código del producto Vendido],STOCK[[#This Row],[Code]])</f>
        <v>10</v>
      </c>
      <c r="L240" s="69">
        <f>STOCK[[#This Row],[Entradas]]-STOCK[[#This Row],[Salidas]]</f>
        <v>0</v>
      </c>
      <c r="M240" s="53">
        <f>STOCK[[#This Row],[Precio Final]]*10%</f>
        <v>0.2</v>
      </c>
      <c r="N240" s="53">
        <v>8</v>
      </c>
      <c r="O240" s="53">
        <v>18</v>
      </c>
      <c r="P240" s="53">
        <v>0.44444444444444398</v>
      </c>
      <c r="Q240" s="69">
        <v>50</v>
      </c>
      <c r="R240" s="53">
        <v>8</v>
      </c>
      <c r="S240" s="53">
        <f>STOCK[[#This Row],[Peso (g)]]*STOCK[[#This Row],[Precio Envío Kilogramo (USD)]]/1000</f>
        <v>0.4</v>
      </c>
      <c r="T240" s="53">
        <f>STOCK[[#This Row],[Costo Unitario (USD)]]+STOCK[[#This Row],[Costo Envío (USD)]]+STOCK[[#This Row],[Comisión 10%]]</f>
        <v>1.0444444444444441</v>
      </c>
      <c r="U240" s="53">
        <f>STOCK[[#This Row],[Costo total]]*1.5</f>
        <v>1.566666666666666</v>
      </c>
      <c r="V240" s="53">
        <v>2</v>
      </c>
      <c r="W240" s="53">
        <f>STOCK[[#This Row],[Precio Final]]-STOCK[[#This Row],[Costo total]]</f>
        <v>0.95555555555555594</v>
      </c>
      <c r="X240" s="53">
        <f>STOCK[[#This Row],[Ganancia Unitaria]]*STOCK[[#This Row],[Salidas]]</f>
        <v>9.5555555555555589</v>
      </c>
      <c r="AA240" s="53">
        <f>STOCK[[#This Row],[Costo total]]*STOCK[[#This Row],[Entradas]]</f>
        <v>10.444444444444441</v>
      </c>
      <c r="AB240" s="53">
        <f>STOCK[[#This Row],[Stock Actual]]*STOCK[[#This Row],[Costo total]]</f>
        <v>0</v>
      </c>
    </row>
    <row r="241" spans="1:29" s="54" customFormat="1" ht="50" customHeight="1">
      <c r="A241" s="54" t="s">
        <v>520</v>
      </c>
      <c r="B241" s="64"/>
      <c r="C241" s="54" t="s">
        <v>32</v>
      </c>
      <c r="D241" s="54" t="s">
        <v>515</v>
      </c>
      <c r="E241" s="66" t="s">
        <v>521</v>
      </c>
      <c r="F241" s="54" t="s">
        <v>517</v>
      </c>
      <c r="G241" s="54" t="s">
        <v>36</v>
      </c>
      <c r="H241" s="54">
        <f>STOCK[[#This Row],[Precio Final]]</f>
        <v>26</v>
      </c>
      <c r="I241" s="54">
        <f>STOCK[[#This Row],[Precio Venta Ideal (x1.5)]]</f>
        <v>29.289166666666649</v>
      </c>
      <c r="J241" s="70">
        <v>1</v>
      </c>
      <c r="K241" s="70">
        <f>SUMIFS(VENTAS[Cantidad],VENTAS[Código del producto Vendido],STOCK[[#This Row],[Code]])</f>
        <v>1</v>
      </c>
      <c r="L241" s="70">
        <f>STOCK[[#This Row],[Entradas]]-STOCK[[#This Row],[Salidas]]</f>
        <v>0</v>
      </c>
      <c r="M241" s="54">
        <f>STOCK[[#This Row],[Precio Final]]*10%</f>
        <v>2.6</v>
      </c>
      <c r="N241" s="54">
        <v>261.47000000000003</v>
      </c>
      <c r="O241" s="54">
        <v>18</v>
      </c>
      <c r="P241" s="54">
        <v>14.526111111111099</v>
      </c>
      <c r="Q241" s="70">
        <v>300</v>
      </c>
      <c r="R241" s="54">
        <v>8</v>
      </c>
      <c r="S241" s="54">
        <f>STOCK[[#This Row],[Peso (g)]]*STOCK[[#This Row],[Precio Envío Kilogramo (USD)]]/1000</f>
        <v>2.4</v>
      </c>
      <c r="T241" s="53">
        <f>STOCK[[#This Row],[Costo Unitario (USD)]]+STOCK[[#This Row],[Costo Envío (USD)]]+STOCK[[#This Row],[Comisión 10%]]</f>
        <v>19.526111111111099</v>
      </c>
      <c r="U241" s="54">
        <f>STOCK[[#This Row],[Costo total]]*1.5</f>
        <v>29.289166666666649</v>
      </c>
      <c r="V241" s="54">
        <v>26</v>
      </c>
      <c r="W241" s="54">
        <f>STOCK[[#This Row],[Precio Final]]-STOCK[[#This Row],[Costo total]]</f>
        <v>6.4738888888889008</v>
      </c>
      <c r="X241" s="54">
        <f>STOCK[[#This Row],[Ganancia Unitaria]]*STOCK[[#This Row],[Salidas]]</f>
        <v>6.4738888888889008</v>
      </c>
      <c r="AA241" s="54">
        <f>STOCK[[#This Row],[Costo total]]*STOCK[[#This Row],[Entradas]]</f>
        <v>19.526111111111099</v>
      </c>
      <c r="AB241" s="54">
        <f>STOCK[[#This Row],[Stock Actual]]*STOCK[[#This Row],[Costo total]]</f>
        <v>0</v>
      </c>
    </row>
    <row r="242" spans="1:29" s="53" customFormat="1" ht="50" customHeight="1">
      <c r="A242" s="53" t="s">
        <v>522</v>
      </c>
      <c r="B242" s="64"/>
      <c r="C242" s="53" t="s">
        <v>32</v>
      </c>
      <c r="D242" s="53" t="s">
        <v>523</v>
      </c>
      <c r="E242" s="65" t="s">
        <v>524</v>
      </c>
      <c r="F242" s="53" t="s">
        <v>525</v>
      </c>
      <c r="G242" s="53" t="s">
        <v>36</v>
      </c>
      <c r="H242" s="53">
        <f>STOCK[[#This Row],[Precio Final]]</f>
        <v>1</v>
      </c>
      <c r="I242" s="53">
        <f>STOCK[[#This Row],[Precio Venta Ideal (x1.5)]]</f>
        <v>0.51208333333333322</v>
      </c>
      <c r="J242" s="69">
        <v>8</v>
      </c>
      <c r="K242" s="69">
        <f>SUMIFS(VENTAS[Cantidad],VENTAS[Código del producto Vendido],STOCK[[#This Row],[Code]])</f>
        <v>3</v>
      </c>
      <c r="L242" s="69">
        <f>STOCK[[#This Row],[Entradas]]-STOCK[[#This Row],[Salidas]]</f>
        <v>5</v>
      </c>
      <c r="M242" s="53">
        <f>STOCK[[#This Row],[Precio Final]]*10%</f>
        <v>0.1</v>
      </c>
      <c r="N242" s="53">
        <v>2.5000000000000001E-2</v>
      </c>
      <c r="O242" s="53">
        <v>18</v>
      </c>
      <c r="P242" s="53">
        <v>1.38888888888889E-3</v>
      </c>
      <c r="Q242" s="69">
        <v>30</v>
      </c>
      <c r="R242" s="53">
        <v>8</v>
      </c>
      <c r="S242" s="53">
        <f>STOCK[[#This Row],[Peso (g)]]*STOCK[[#This Row],[Precio Envío Kilogramo (USD)]]/1000</f>
        <v>0.24</v>
      </c>
      <c r="T242" s="53">
        <f>STOCK[[#This Row],[Costo Unitario (USD)]]+STOCK[[#This Row],[Costo Envío (USD)]]+STOCK[[#This Row],[Comisión 10%]]</f>
        <v>0.34138888888888885</v>
      </c>
      <c r="U242" s="53">
        <f>STOCK[[#This Row],[Costo total]]*1.5</f>
        <v>0.51208333333333322</v>
      </c>
      <c r="V242" s="53">
        <v>1</v>
      </c>
      <c r="W242" s="53">
        <f>STOCK[[#This Row],[Precio Final]]-STOCK[[#This Row],[Costo total]]</f>
        <v>0.65861111111111115</v>
      </c>
      <c r="X242" s="53">
        <f>STOCK[[#This Row],[Ganancia Unitaria]]*STOCK[[#This Row],[Salidas]]</f>
        <v>1.9758333333333336</v>
      </c>
      <c r="AA242" s="53">
        <f>STOCK[[#This Row],[Costo total]]*STOCK[[#This Row],[Entradas]]</f>
        <v>2.7311111111111108</v>
      </c>
      <c r="AB242" s="53">
        <f>STOCK[[#This Row],[Stock Actual]]*STOCK[[#This Row],[Costo total]]</f>
        <v>1.7069444444444444</v>
      </c>
      <c r="AC242" s="53">
        <v>0.8</v>
      </c>
    </row>
    <row r="243" spans="1:29" s="54" customFormat="1" ht="50" customHeight="1">
      <c r="A243" s="54" t="s">
        <v>526</v>
      </c>
      <c r="B243" s="64"/>
      <c r="C243" s="54" t="s">
        <v>32</v>
      </c>
      <c r="D243" s="54" t="s">
        <v>527</v>
      </c>
      <c r="E243" s="66" t="s">
        <v>528</v>
      </c>
      <c r="F243" s="54" t="s">
        <v>529</v>
      </c>
      <c r="G243" s="54" t="s">
        <v>36</v>
      </c>
      <c r="H243" s="54">
        <f>STOCK[[#This Row],[Precio Final]]</f>
        <v>30</v>
      </c>
      <c r="I243" s="54">
        <f>STOCK[[#This Row],[Precio Venta Ideal (x1.5)]]</f>
        <v>29.576666666666696</v>
      </c>
      <c r="J243" s="70">
        <v>1</v>
      </c>
      <c r="K243" s="70">
        <f>SUMIFS(VENTAS[Cantidad],VENTAS[Código del producto Vendido],STOCK[[#This Row],[Code]])</f>
        <v>1</v>
      </c>
      <c r="L243" s="70">
        <f>STOCK[[#This Row],[Entradas]]-STOCK[[#This Row],[Salidas]]</f>
        <v>0</v>
      </c>
      <c r="M243" s="54">
        <f>STOCK[[#This Row],[Precio Final]]*10%</f>
        <v>3</v>
      </c>
      <c r="N243" s="54">
        <v>228.92</v>
      </c>
      <c r="O243" s="54">
        <v>18</v>
      </c>
      <c r="P243" s="54">
        <v>12.717777777777799</v>
      </c>
      <c r="Q243" s="70">
        <v>500</v>
      </c>
      <c r="R243" s="54">
        <v>8</v>
      </c>
      <c r="S243" s="54">
        <f>STOCK[[#This Row],[Peso (g)]]*STOCK[[#This Row],[Precio Envío Kilogramo (USD)]]/1000</f>
        <v>4</v>
      </c>
      <c r="T243" s="53">
        <f>STOCK[[#This Row],[Costo Unitario (USD)]]+STOCK[[#This Row],[Costo Envío (USD)]]+STOCK[[#This Row],[Comisión 10%]]</f>
        <v>19.717777777777798</v>
      </c>
      <c r="U243" s="54">
        <f>STOCK[[#This Row],[Costo total]]*1.5</f>
        <v>29.576666666666696</v>
      </c>
      <c r="V243" s="54">
        <v>30</v>
      </c>
      <c r="W243" s="54">
        <f>STOCK[[#This Row],[Precio Final]]-STOCK[[#This Row],[Costo total]]</f>
        <v>10.282222222222202</v>
      </c>
      <c r="X243" s="54">
        <f>STOCK[[#This Row],[Ganancia Unitaria]]*STOCK[[#This Row],[Salidas]]</f>
        <v>10.282222222222202</v>
      </c>
      <c r="AA243" s="54">
        <f>STOCK[[#This Row],[Costo total]]*STOCK[[#This Row],[Entradas]]</f>
        <v>19.717777777777798</v>
      </c>
      <c r="AB243" s="54">
        <f>STOCK[[#This Row],[Stock Actual]]*STOCK[[#This Row],[Costo total]]</f>
        <v>0</v>
      </c>
    </row>
    <row r="244" spans="1:29" s="53" customFormat="1" ht="50" customHeight="1">
      <c r="A244" s="53" t="s">
        <v>530</v>
      </c>
      <c r="B244" s="64"/>
      <c r="C244" s="53" t="s">
        <v>32</v>
      </c>
      <c r="D244" s="53" t="s">
        <v>523</v>
      </c>
      <c r="E244" s="65" t="s">
        <v>531</v>
      </c>
      <c r="F244" s="53" t="s">
        <v>525</v>
      </c>
      <c r="G244" s="53" t="s">
        <v>36</v>
      </c>
      <c r="H244" s="53">
        <f>STOCK[[#This Row],[Precio Final]]</f>
        <v>1</v>
      </c>
      <c r="I244" s="53">
        <f>STOCK[[#This Row],[Precio Venta Ideal (x1.5)]]</f>
        <v>0.8041666666666667</v>
      </c>
      <c r="J244" s="69">
        <v>7</v>
      </c>
      <c r="K244" s="69">
        <f>SUMIFS(VENTAS[Cantidad],VENTAS[Código del producto Vendido],STOCK[[#This Row],[Code]])</f>
        <v>4</v>
      </c>
      <c r="L244" s="69">
        <f>STOCK[[#This Row],[Entradas]]-STOCK[[#This Row],[Salidas]]</f>
        <v>3</v>
      </c>
      <c r="M244" s="53">
        <f>STOCK[[#This Row],[Precio Final]]*10%</f>
        <v>0.1</v>
      </c>
      <c r="N244" s="53">
        <v>0.65</v>
      </c>
      <c r="O244" s="53">
        <v>18</v>
      </c>
      <c r="P244" s="53">
        <v>3.6111111111111101E-2</v>
      </c>
      <c r="Q244" s="69">
        <v>50</v>
      </c>
      <c r="R244" s="53">
        <v>8</v>
      </c>
      <c r="S244" s="53">
        <f>STOCK[[#This Row],[Peso (g)]]*STOCK[[#This Row],[Precio Envío Kilogramo (USD)]]/1000</f>
        <v>0.4</v>
      </c>
      <c r="T244" s="53">
        <f>STOCK[[#This Row],[Costo Unitario (USD)]]+STOCK[[#This Row],[Costo Envío (USD)]]+STOCK[[#This Row],[Comisión 10%]]</f>
        <v>0.53611111111111109</v>
      </c>
      <c r="U244" s="53">
        <f>STOCK[[#This Row],[Costo total]]*1.5</f>
        <v>0.8041666666666667</v>
      </c>
      <c r="V244" s="53">
        <v>1</v>
      </c>
      <c r="W244" s="53">
        <f>STOCK[[#This Row],[Precio Final]]-STOCK[[#This Row],[Costo total]]</f>
        <v>0.46388888888888891</v>
      </c>
      <c r="X244" s="53">
        <f>STOCK[[#This Row],[Ganancia Unitaria]]*STOCK[[#This Row],[Salidas]]</f>
        <v>1.8555555555555556</v>
      </c>
      <c r="AA244" s="53">
        <f>STOCK[[#This Row],[Costo total]]*STOCK[[#This Row],[Entradas]]</f>
        <v>3.7527777777777778</v>
      </c>
      <c r="AB244" s="53">
        <f>STOCK[[#This Row],[Stock Actual]]*STOCK[[#This Row],[Costo total]]</f>
        <v>1.6083333333333334</v>
      </c>
      <c r="AC244" s="53">
        <v>0.6</v>
      </c>
    </row>
    <row r="245" spans="1:29" s="54" customFormat="1" ht="50" customHeight="1">
      <c r="A245" s="54" t="s">
        <v>532</v>
      </c>
      <c r="B245" s="64"/>
      <c r="C245" s="54" t="s">
        <v>32</v>
      </c>
      <c r="D245" s="54" t="s">
        <v>174</v>
      </c>
      <c r="E245" s="66" t="s">
        <v>533</v>
      </c>
      <c r="G245" s="54" t="s">
        <v>36</v>
      </c>
      <c r="H245" s="54">
        <f>STOCK[[#This Row],[Precio Final]]</f>
        <v>1</v>
      </c>
      <c r="I245" s="54">
        <f>STOCK[[#This Row],[Precio Venta Ideal (x1.5)]]</f>
        <v>3.2216666666666702</v>
      </c>
      <c r="J245" s="70">
        <v>1</v>
      </c>
      <c r="K245" s="70">
        <f>SUMIFS(VENTAS[Cantidad],VENTAS[Código del producto Vendido],STOCK[[#This Row],[Code]])</f>
        <v>1</v>
      </c>
      <c r="L245" s="70">
        <f>STOCK[[#This Row],[Entradas]]-STOCK[[#This Row],[Salidas]]</f>
        <v>0</v>
      </c>
      <c r="M245" s="54">
        <f>STOCK[[#This Row],[Precio Final]]*10%</f>
        <v>0.1</v>
      </c>
      <c r="N245" s="54">
        <v>36.86</v>
      </c>
      <c r="O245" s="54">
        <v>18</v>
      </c>
      <c r="P245" s="54">
        <v>2.0477777777777799</v>
      </c>
      <c r="Q245" s="70"/>
      <c r="R245" s="54">
        <v>8</v>
      </c>
      <c r="S245" s="54">
        <f>STOCK[[#This Row],[Peso (g)]]*STOCK[[#This Row],[Precio Envío Kilogramo (USD)]]/1000</f>
        <v>0</v>
      </c>
      <c r="T245" s="53">
        <f>STOCK[[#This Row],[Costo Unitario (USD)]]+STOCK[[#This Row],[Costo Envío (USD)]]+STOCK[[#This Row],[Comisión 10%]]</f>
        <v>2.14777777777778</v>
      </c>
      <c r="U245" s="54">
        <f>STOCK[[#This Row],[Costo total]]*1.5</f>
        <v>3.2216666666666702</v>
      </c>
      <c r="V245" s="54">
        <v>1</v>
      </c>
      <c r="W245" s="54">
        <f>STOCK[[#This Row],[Precio Final]]-STOCK[[#This Row],[Costo total]]</f>
        <v>-1.14777777777778</v>
      </c>
      <c r="X245" s="54">
        <f>STOCK[[#This Row],[Ganancia Unitaria]]*STOCK[[#This Row],[Salidas]]</f>
        <v>-1.14777777777778</v>
      </c>
      <c r="AA245" s="54">
        <f>STOCK[[#This Row],[Costo total]]*STOCK[[#This Row],[Entradas]]</f>
        <v>2.14777777777778</v>
      </c>
      <c r="AB245" s="54">
        <f>STOCK[[#This Row],[Stock Actual]]*STOCK[[#This Row],[Costo total]]</f>
        <v>0</v>
      </c>
    </row>
    <row r="246" spans="1:29" s="53" customFormat="1" ht="50" customHeight="1">
      <c r="A246" s="53" t="s">
        <v>534</v>
      </c>
      <c r="B246" s="64"/>
      <c r="C246" s="53" t="s">
        <v>32</v>
      </c>
      <c r="D246" s="53" t="s">
        <v>44</v>
      </c>
      <c r="E246" s="65" t="s">
        <v>535</v>
      </c>
      <c r="F246" s="53" t="s">
        <v>187</v>
      </c>
      <c r="G246" s="53" t="s">
        <v>36</v>
      </c>
      <c r="H246" s="53">
        <f>STOCK[[#This Row],[Precio Final]]</f>
        <v>18</v>
      </c>
      <c r="I246" s="53">
        <f>STOCK[[#This Row],[Precio Venta Ideal (x1.5)]]</f>
        <v>24.766666666666648</v>
      </c>
      <c r="J246" s="69">
        <v>1</v>
      </c>
      <c r="K246" s="69">
        <f>SUMIFS(VENTAS[Cantidad],VENTAS[Código del producto Vendido],STOCK[[#This Row],[Code]])</f>
        <v>1</v>
      </c>
      <c r="L246" s="69">
        <f>STOCK[[#This Row],[Entradas]]-STOCK[[#This Row],[Salidas]]</f>
        <v>0</v>
      </c>
      <c r="M246" s="53">
        <f>STOCK[[#This Row],[Precio Final]]*10%</f>
        <v>1.8</v>
      </c>
      <c r="N246" s="53">
        <v>228.8</v>
      </c>
      <c r="O246" s="53">
        <v>18</v>
      </c>
      <c r="P246" s="53">
        <v>12.7111111111111</v>
      </c>
      <c r="Q246" s="69">
        <v>250</v>
      </c>
      <c r="R246" s="53">
        <v>8</v>
      </c>
      <c r="S246" s="53">
        <f>STOCK[[#This Row],[Peso (g)]]*STOCK[[#This Row],[Precio Envío Kilogramo (USD)]]/1000</f>
        <v>2</v>
      </c>
      <c r="T246" s="53">
        <f>STOCK[[#This Row],[Costo Unitario (USD)]]+STOCK[[#This Row],[Costo Envío (USD)]]+STOCK[[#This Row],[Comisión 10%]]</f>
        <v>16.511111111111099</v>
      </c>
      <c r="U246" s="53">
        <f>STOCK[[#This Row],[Costo total]]*1.5</f>
        <v>24.766666666666648</v>
      </c>
      <c r="V246" s="53">
        <v>18</v>
      </c>
      <c r="W246" s="53">
        <f>STOCK[[#This Row],[Precio Final]]-STOCK[[#This Row],[Costo total]]</f>
        <v>1.4888888888889014</v>
      </c>
      <c r="X246" s="53">
        <f>STOCK[[#This Row],[Ganancia Unitaria]]*STOCK[[#This Row],[Salidas]]</f>
        <v>1.4888888888889014</v>
      </c>
      <c r="AA246" s="53">
        <f>STOCK[[#This Row],[Costo total]]*STOCK[[#This Row],[Entradas]]</f>
        <v>16.511111111111099</v>
      </c>
      <c r="AB246" s="53">
        <f>STOCK[[#This Row],[Stock Actual]]*STOCK[[#This Row],[Costo total]]</f>
        <v>0</v>
      </c>
    </row>
    <row r="247" spans="1:29" s="54" customFormat="1" ht="50" customHeight="1">
      <c r="A247" s="54" t="s">
        <v>536</v>
      </c>
      <c r="B247" s="64"/>
      <c r="C247" s="54" t="s">
        <v>32</v>
      </c>
      <c r="D247" s="54" t="s">
        <v>351</v>
      </c>
      <c r="E247" s="66" t="s">
        <v>537</v>
      </c>
      <c r="F247" s="54" t="s">
        <v>35</v>
      </c>
      <c r="G247" s="54" t="s">
        <v>36</v>
      </c>
      <c r="H247" s="54">
        <f>STOCK[[#This Row],[Precio Final]]</f>
        <v>12</v>
      </c>
      <c r="I247" s="54">
        <f>STOCK[[#This Row],[Precio Venta Ideal (x1.5)]]</f>
        <v>10.545833333333341</v>
      </c>
      <c r="J247" s="70">
        <v>2</v>
      </c>
      <c r="K247" s="70">
        <f>SUMIFS(VENTAS[Cantidad],VENTAS[Código del producto Vendido],STOCK[[#This Row],[Code]])</f>
        <v>2</v>
      </c>
      <c r="L247" s="70">
        <f>STOCK[[#This Row],[Entradas]]-STOCK[[#This Row],[Salidas]]</f>
        <v>0</v>
      </c>
      <c r="M247" s="54">
        <f>STOCK[[#This Row],[Precio Final]]*10%</f>
        <v>1.2000000000000002</v>
      </c>
      <c r="N247" s="54">
        <v>97.75</v>
      </c>
      <c r="O247" s="54">
        <v>18</v>
      </c>
      <c r="P247" s="54">
        <v>5.4305555555555598</v>
      </c>
      <c r="Q247" s="70">
        <v>50</v>
      </c>
      <c r="R247" s="54">
        <v>8</v>
      </c>
      <c r="S247" s="54">
        <f>STOCK[[#This Row],[Peso (g)]]*STOCK[[#This Row],[Precio Envío Kilogramo (USD)]]/1000</f>
        <v>0.4</v>
      </c>
      <c r="T247" s="53">
        <f>STOCK[[#This Row],[Costo Unitario (USD)]]+STOCK[[#This Row],[Costo Envío (USD)]]+STOCK[[#This Row],[Comisión 10%]]</f>
        <v>7.0305555555555603</v>
      </c>
      <c r="U247" s="54">
        <f>STOCK[[#This Row],[Costo total]]*1.5</f>
        <v>10.545833333333341</v>
      </c>
      <c r="V247" s="54">
        <v>12</v>
      </c>
      <c r="W247" s="54">
        <f>STOCK[[#This Row],[Precio Final]]-STOCK[[#This Row],[Costo total]]</f>
        <v>4.9694444444444397</v>
      </c>
      <c r="X247" s="54">
        <f>STOCK[[#This Row],[Ganancia Unitaria]]*STOCK[[#This Row],[Salidas]]</f>
        <v>9.9388888888888793</v>
      </c>
      <c r="AA247" s="54">
        <f>STOCK[[#This Row],[Costo total]]*STOCK[[#This Row],[Entradas]]</f>
        <v>14.061111111111121</v>
      </c>
      <c r="AB247" s="54">
        <f>STOCK[[#This Row],[Stock Actual]]*STOCK[[#This Row],[Costo total]]</f>
        <v>0</v>
      </c>
    </row>
    <row r="248" spans="1:29" s="53" customFormat="1" ht="50" customHeight="1">
      <c r="A248" s="53" t="s">
        <v>538</v>
      </c>
      <c r="B248" s="64"/>
      <c r="C248" s="53" t="s">
        <v>32</v>
      </c>
      <c r="D248" s="53" t="s">
        <v>515</v>
      </c>
      <c r="E248" s="65" t="s">
        <v>539</v>
      </c>
      <c r="F248" s="53" t="s">
        <v>540</v>
      </c>
      <c r="G248" s="53" t="s">
        <v>36</v>
      </c>
      <c r="H248" s="53">
        <f>STOCK[[#This Row],[Precio Final]]</f>
        <v>38</v>
      </c>
      <c r="I248" s="53">
        <f>STOCK[[#This Row],[Precio Venta Ideal (x1.5)]]</f>
        <v>47.5833333333333</v>
      </c>
      <c r="J248" s="69">
        <v>1</v>
      </c>
      <c r="K248" s="69">
        <f>SUMIFS(VENTAS[Cantidad],VENTAS[Código del producto Vendido],STOCK[[#This Row],[Code]])</f>
        <v>1</v>
      </c>
      <c r="L248" s="69">
        <f>STOCK[[#This Row],[Entradas]]-STOCK[[#This Row],[Salidas]]</f>
        <v>0</v>
      </c>
      <c r="M248" s="53">
        <f>STOCK[[#This Row],[Precio Final]]*10%</f>
        <v>3.8000000000000003</v>
      </c>
      <c r="N248" s="53">
        <v>452.2</v>
      </c>
      <c r="O248" s="53">
        <v>18</v>
      </c>
      <c r="P248" s="53">
        <v>25.122222222222199</v>
      </c>
      <c r="Q248" s="69">
        <v>350</v>
      </c>
      <c r="R248" s="53">
        <v>8</v>
      </c>
      <c r="S248" s="53">
        <f>STOCK[[#This Row],[Peso (g)]]*STOCK[[#This Row],[Precio Envío Kilogramo (USD)]]/1000</f>
        <v>2.8</v>
      </c>
      <c r="T248" s="53">
        <f>STOCK[[#This Row],[Costo Unitario (USD)]]+STOCK[[#This Row],[Costo Envío (USD)]]+STOCK[[#This Row],[Comisión 10%]]</f>
        <v>31.7222222222222</v>
      </c>
      <c r="U248" s="53">
        <f>STOCK[[#This Row],[Costo total]]*1.5</f>
        <v>47.5833333333333</v>
      </c>
      <c r="V248" s="53">
        <v>38</v>
      </c>
      <c r="W248" s="53">
        <f>STOCK[[#This Row],[Precio Final]]-STOCK[[#This Row],[Costo total]]</f>
        <v>6.2777777777777999</v>
      </c>
      <c r="X248" s="53">
        <f>STOCK[[#This Row],[Ganancia Unitaria]]*STOCK[[#This Row],[Salidas]]</f>
        <v>6.2777777777777999</v>
      </c>
      <c r="AA248" s="53">
        <f>STOCK[[#This Row],[Costo total]]*STOCK[[#This Row],[Entradas]]</f>
        <v>31.7222222222222</v>
      </c>
      <c r="AB248" s="53">
        <f>STOCK[[#This Row],[Stock Actual]]*STOCK[[#This Row],[Costo total]]</f>
        <v>0</v>
      </c>
    </row>
    <row r="249" spans="1:29" s="54" customFormat="1" ht="50" customHeight="1">
      <c r="A249" s="54" t="s">
        <v>541</v>
      </c>
      <c r="B249" s="64"/>
      <c r="C249" s="54" t="s">
        <v>32</v>
      </c>
      <c r="D249" s="54" t="s">
        <v>152</v>
      </c>
      <c r="E249" s="66" t="s">
        <v>542</v>
      </c>
      <c r="F249" s="54" t="s">
        <v>62</v>
      </c>
      <c r="G249" s="54" t="s">
        <v>36</v>
      </c>
      <c r="H249" s="54">
        <f>STOCK[[#This Row],[Precio Final]]</f>
        <v>20</v>
      </c>
      <c r="I249" s="54">
        <f>STOCK[[#This Row],[Precio Venta Ideal (x1.5)]]</f>
        <v>21.783333333333303</v>
      </c>
      <c r="J249" s="70">
        <v>1</v>
      </c>
      <c r="K249" s="70">
        <f>SUMIFS(VENTAS[Cantidad],VENTAS[Código del producto Vendido],STOCK[[#This Row],[Code]])</f>
        <v>1</v>
      </c>
      <c r="L249" s="70">
        <f>STOCK[[#This Row],[Entradas]]-STOCK[[#This Row],[Salidas]]</f>
        <v>0</v>
      </c>
      <c r="M249" s="54">
        <f>STOCK[[#This Row],[Precio Final]]*10%</f>
        <v>2</v>
      </c>
      <c r="N249" s="54">
        <v>211</v>
      </c>
      <c r="O249" s="54">
        <v>18</v>
      </c>
      <c r="P249" s="54">
        <v>11.7222222222222</v>
      </c>
      <c r="Q249" s="70">
        <v>100</v>
      </c>
      <c r="R249" s="54">
        <v>8</v>
      </c>
      <c r="S249" s="54">
        <f>STOCK[[#This Row],[Peso (g)]]*STOCK[[#This Row],[Precio Envío Kilogramo (USD)]]/1000</f>
        <v>0.8</v>
      </c>
      <c r="T249" s="53">
        <f>STOCK[[#This Row],[Costo Unitario (USD)]]+STOCK[[#This Row],[Costo Envío (USD)]]+STOCK[[#This Row],[Comisión 10%]]</f>
        <v>14.522222222222201</v>
      </c>
      <c r="U249" s="54">
        <f>STOCK[[#This Row],[Costo total]]*1.5</f>
        <v>21.783333333333303</v>
      </c>
      <c r="V249" s="54">
        <v>20</v>
      </c>
      <c r="W249" s="54">
        <f>STOCK[[#This Row],[Precio Final]]-STOCK[[#This Row],[Costo total]]</f>
        <v>5.4777777777777992</v>
      </c>
      <c r="X249" s="54">
        <f>STOCK[[#This Row],[Ganancia Unitaria]]*STOCK[[#This Row],[Salidas]]</f>
        <v>5.4777777777777992</v>
      </c>
      <c r="AA249" s="54">
        <f>STOCK[[#This Row],[Costo total]]*STOCK[[#This Row],[Entradas]]</f>
        <v>14.522222222222201</v>
      </c>
      <c r="AB249" s="54">
        <f>STOCK[[#This Row],[Stock Actual]]*STOCK[[#This Row],[Costo total]]</f>
        <v>0</v>
      </c>
    </row>
    <row r="250" spans="1:29" s="53" customFormat="1" ht="50" customHeight="1">
      <c r="A250" s="53" t="s">
        <v>543</v>
      </c>
      <c r="B250" s="64"/>
      <c r="C250" s="53" t="s">
        <v>32</v>
      </c>
      <c r="D250" s="53" t="s">
        <v>174</v>
      </c>
      <c r="E250" s="65" t="s">
        <v>544</v>
      </c>
      <c r="F250" s="53" t="s">
        <v>62</v>
      </c>
      <c r="G250" s="53" t="s">
        <v>36</v>
      </c>
      <c r="H250" s="53">
        <f>STOCK[[#This Row],[Precio Final]]</f>
        <v>15</v>
      </c>
      <c r="I250" s="53">
        <f>STOCK[[#This Row],[Precio Venta Ideal (x1.5)]]</f>
        <v>17.856666666666662</v>
      </c>
      <c r="J250" s="69">
        <v>1</v>
      </c>
      <c r="K250" s="69">
        <f>SUMIFS(VENTAS[Cantidad],VENTAS[Código del producto Vendido],STOCK[[#This Row],[Code]])</f>
        <v>1</v>
      </c>
      <c r="L250" s="69">
        <f>STOCK[[#This Row],[Entradas]]-STOCK[[#This Row],[Salidas]]</f>
        <v>0</v>
      </c>
      <c r="M250" s="53">
        <f>STOCK[[#This Row],[Precio Final]]*10%</f>
        <v>1.5</v>
      </c>
      <c r="N250" s="53">
        <v>170</v>
      </c>
      <c r="O250" s="53">
        <v>18</v>
      </c>
      <c r="P250" s="53">
        <v>9.4444444444444393</v>
      </c>
      <c r="Q250" s="69">
        <v>120</v>
      </c>
      <c r="R250" s="53">
        <v>8</v>
      </c>
      <c r="S250" s="53">
        <f>STOCK[[#This Row],[Peso (g)]]*STOCK[[#This Row],[Precio Envío Kilogramo (USD)]]/1000</f>
        <v>0.96</v>
      </c>
      <c r="T250" s="53">
        <f>STOCK[[#This Row],[Costo Unitario (USD)]]+STOCK[[#This Row],[Costo Envío (USD)]]+STOCK[[#This Row],[Comisión 10%]]</f>
        <v>11.90444444444444</v>
      </c>
      <c r="U250" s="53">
        <f>STOCK[[#This Row],[Costo total]]*1.5</f>
        <v>17.856666666666662</v>
      </c>
      <c r="V250" s="53">
        <v>15</v>
      </c>
      <c r="W250" s="53">
        <f>STOCK[[#This Row],[Precio Final]]-STOCK[[#This Row],[Costo total]]</f>
        <v>3.0955555555555598</v>
      </c>
      <c r="X250" s="53">
        <f>STOCK[[#This Row],[Ganancia Unitaria]]*STOCK[[#This Row],[Salidas]]</f>
        <v>3.0955555555555598</v>
      </c>
      <c r="AA250" s="53">
        <f>STOCK[[#This Row],[Costo total]]*STOCK[[#This Row],[Entradas]]</f>
        <v>11.90444444444444</v>
      </c>
      <c r="AB250" s="53">
        <f>STOCK[[#This Row],[Stock Actual]]*STOCK[[#This Row],[Costo total]]</f>
        <v>0</v>
      </c>
    </row>
    <row r="251" spans="1:29" s="54" customFormat="1" ht="50" customHeight="1">
      <c r="A251" s="54" t="s">
        <v>545</v>
      </c>
      <c r="B251" s="64"/>
      <c r="C251" s="54" t="s">
        <v>32</v>
      </c>
      <c r="D251" s="54" t="s">
        <v>546</v>
      </c>
      <c r="E251" s="66" t="s">
        <v>547</v>
      </c>
      <c r="F251" s="54" t="s">
        <v>548</v>
      </c>
      <c r="G251" s="54" t="s">
        <v>36</v>
      </c>
      <c r="H251" s="54">
        <f>STOCK[[#This Row],[Precio Final]]</f>
        <v>8</v>
      </c>
      <c r="I251" s="54">
        <f>STOCK[[#This Row],[Precio Venta Ideal (x1.5)]]</f>
        <v>6.9966666666666599</v>
      </c>
      <c r="J251" s="70">
        <v>1</v>
      </c>
      <c r="K251" s="70">
        <f>SUMIFS(VENTAS[Cantidad],VENTAS[Código del producto Vendido],STOCK[[#This Row],[Code]])</f>
        <v>1</v>
      </c>
      <c r="L251" s="70">
        <f>STOCK[[#This Row],[Entradas]]-STOCK[[#This Row],[Salidas]]</f>
        <v>0</v>
      </c>
      <c r="M251" s="54">
        <f>STOCK[[#This Row],[Precio Final]]*10%</f>
        <v>0.8</v>
      </c>
      <c r="N251" s="54">
        <v>62.36</v>
      </c>
      <c r="O251" s="54">
        <v>18</v>
      </c>
      <c r="P251" s="54">
        <v>3.4644444444444402</v>
      </c>
      <c r="Q251" s="70">
        <v>50</v>
      </c>
      <c r="R251" s="54">
        <v>8</v>
      </c>
      <c r="S251" s="54">
        <f>STOCK[[#This Row],[Peso (g)]]*STOCK[[#This Row],[Precio Envío Kilogramo (USD)]]/1000</f>
        <v>0.4</v>
      </c>
      <c r="T251" s="53">
        <f>STOCK[[#This Row],[Costo Unitario (USD)]]+STOCK[[#This Row],[Costo Envío (USD)]]+STOCK[[#This Row],[Comisión 10%]]</f>
        <v>4.66444444444444</v>
      </c>
      <c r="U251" s="54">
        <f>STOCK[[#This Row],[Costo total]]*1.5</f>
        <v>6.9966666666666599</v>
      </c>
      <c r="V251" s="54">
        <v>8</v>
      </c>
      <c r="W251" s="54">
        <f>STOCK[[#This Row],[Precio Final]]-STOCK[[#This Row],[Costo total]]</f>
        <v>3.33555555555556</v>
      </c>
      <c r="X251" s="54">
        <f>STOCK[[#This Row],[Ganancia Unitaria]]*STOCK[[#This Row],[Salidas]]</f>
        <v>3.33555555555556</v>
      </c>
      <c r="AA251" s="54">
        <f>STOCK[[#This Row],[Costo total]]*STOCK[[#This Row],[Entradas]]</f>
        <v>4.66444444444444</v>
      </c>
      <c r="AB251" s="54">
        <f>STOCK[[#This Row],[Stock Actual]]*STOCK[[#This Row],[Costo total]]</f>
        <v>0</v>
      </c>
    </row>
    <row r="252" spans="1:29" s="53" customFormat="1" ht="50" customHeight="1">
      <c r="A252" s="53" t="s">
        <v>549</v>
      </c>
      <c r="B252" s="64"/>
      <c r="C252" s="53" t="s">
        <v>32</v>
      </c>
      <c r="D252" s="53" t="s">
        <v>152</v>
      </c>
      <c r="E252" s="65" t="s">
        <v>550</v>
      </c>
      <c r="F252" s="53" t="s">
        <v>40</v>
      </c>
      <c r="G252" s="53" t="s">
        <v>36</v>
      </c>
      <c r="H252" s="53">
        <f>STOCK[[#This Row],[Precio Final]]</f>
        <v>13</v>
      </c>
      <c r="I252" s="53">
        <f>STOCK[[#This Row],[Precio Venta Ideal (x1.5)]]</f>
        <v>14.214166666666667</v>
      </c>
      <c r="J252" s="69">
        <v>1</v>
      </c>
      <c r="K252" s="69">
        <f>SUMIFS(VENTAS[Cantidad],VENTAS[Código del producto Vendido],STOCK[[#This Row],[Code]])</f>
        <v>1</v>
      </c>
      <c r="L252" s="69">
        <f>STOCK[[#This Row],[Entradas]]-STOCK[[#This Row],[Salidas]]</f>
        <v>0</v>
      </c>
      <c r="M252" s="53">
        <f>STOCK[[#This Row],[Precio Final]]*10%</f>
        <v>1.3</v>
      </c>
      <c r="N252" s="53">
        <v>132.77000000000001</v>
      </c>
      <c r="O252" s="53">
        <v>18</v>
      </c>
      <c r="P252" s="53">
        <v>7.3761111111111104</v>
      </c>
      <c r="Q252" s="69">
        <v>100</v>
      </c>
      <c r="R252" s="53">
        <v>8</v>
      </c>
      <c r="S252" s="53">
        <f>STOCK[[#This Row],[Peso (g)]]*STOCK[[#This Row],[Precio Envío Kilogramo (USD)]]/1000</f>
        <v>0.8</v>
      </c>
      <c r="T252" s="53">
        <f>STOCK[[#This Row],[Costo Unitario (USD)]]+STOCK[[#This Row],[Costo Envío (USD)]]+STOCK[[#This Row],[Comisión 10%]]</f>
        <v>9.4761111111111109</v>
      </c>
      <c r="U252" s="53">
        <f>STOCK[[#This Row],[Costo total]]*1.5</f>
        <v>14.214166666666667</v>
      </c>
      <c r="V252" s="53">
        <v>13</v>
      </c>
      <c r="W252" s="53">
        <f>STOCK[[#This Row],[Precio Final]]-STOCK[[#This Row],[Costo total]]</f>
        <v>3.5238888888888891</v>
      </c>
      <c r="X252" s="53">
        <f>STOCK[[#This Row],[Ganancia Unitaria]]*STOCK[[#This Row],[Salidas]]</f>
        <v>3.5238888888888891</v>
      </c>
      <c r="AA252" s="53">
        <f>STOCK[[#This Row],[Costo total]]*STOCK[[#This Row],[Entradas]]</f>
        <v>9.4761111111111109</v>
      </c>
      <c r="AB252" s="53">
        <f>STOCK[[#This Row],[Stock Actual]]*STOCK[[#This Row],[Costo total]]</f>
        <v>0</v>
      </c>
    </row>
    <row r="253" spans="1:29" s="54" customFormat="1" ht="50" customHeight="1">
      <c r="A253" s="54" t="s">
        <v>551</v>
      </c>
      <c r="B253" s="64"/>
      <c r="C253" s="54" t="s">
        <v>32</v>
      </c>
      <c r="D253" s="54" t="s">
        <v>515</v>
      </c>
      <c r="E253" s="66" t="s">
        <v>552</v>
      </c>
      <c r="F253" s="54" t="s">
        <v>540</v>
      </c>
      <c r="G253" s="54" t="s">
        <v>36</v>
      </c>
      <c r="H253" s="54">
        <f>STOCK[[#This Row],[Precio Final]]</f>
        <v>45</v>
      </c>
      <c r="I253" s="54">
        <f>STOCK[[#This Row],[Precio Venta Ideal (x1.5)]]</f>
        <v>48.429166666666646</v>
      </c>
      <c r="J253" s="70">
        <v>1</v>
      </c>
      <c r="K253" s="70">
        <f>SUMIFS(VENTAS[Cantidad],VENTAS[Código del producto Vendido],STOCK[[#This Row],[Code]])</f>
        <v>1</v>
      </c>
      <c r="L253" s="70">
        <f>STOCK[[#This Row],[Entradas]]-STOCK[[#This Row],[Salidas]]</f>
        <v>0</v>
      </c>
      <c r="M253" s="54">
        <f>STOCK[[#This Row],[Precio Final]]*10%</f>
        <v>4.5</v>
      </c>
      <c r="N253" s="54">
        <v>442.55</v>
      </c>
      <c r="O253" s="54">
        <v>18</v>
      </c>
      <c r="P253" s="54">
        <v>24.586111111111101</v>
      </c>
      <c r="Q253" s="70">
        <v>400</v>
      </c>
      <c r="R253" s="54">
        <v>8</v>
      </c>
      <c r="S253" s="54">
        <f>STOCK[[#This Row],[Peso (g)]]*STOCK[[#This Row],[Precio Envío Kilogramo (USD)]]/1000</f>
        <v>3.2</v>
      </c>
      <c r="T253" s="53">
        <f>STOCK[[#This Row],[Costo Unitario (USD)]]+STOCK[[#This Row],[Costo Envío (USD)]]+STOCK[[#This Row],[Comisión 10%]]</f>
        <v>32.286111111111097</v>
      </c>
      <c r="U253" s="54">
        <f>STOCK[[#This Row],[Costo total]]*1.5</f>
        <v>48.429166666666646</v>
      </c>
      <c r="V253" s="54">
        <v>45</v>
      </c>
      <c r="W253" s="54">
        <f>STOCK[[#This Row],[Precio Final]]-STOCK[[#This Row],[Costo total]]</f>
        <v>12.713888888888903</v>
      </c>
      <c r="X253" s="54">
        <f>STOCK[[#This Row],[Ganancia Unitaria]]*STOCK[[#This Row],[Salidas]]</f>
        <v>12.713888888888903</v>
      </c>
      <c r="AA253" s="54">
        <f>STOCK[[#This Row],[Costo total]]*STOCK[[#This Row],[Entradas]]</f>
        <v>32.286111111111097</v>
      </c>
      <c r="AB253" s="54">
        <f>STOCK[[#This Row],[Stock Actual]]*STOCK[[#This Row],[Costo total]]</f>
        <v>0</v>
      </c>
    </row>
    <row r="254" spans="1:29" s="53" customFormat="1" ht="50" customHeight="1">
      <c r="A254" s="53" t="s">
        <v>553</v>
      </c>
      <c r="B254" s="64"/>
      <c r="C254" s="53" t="s">
        <v>32</v>
      </c>
      <c r="D254" s="53" t="s">
        <v>152</v>
      </c>
      <c r="E254" s="65" t="s">
        <v>554</v>
      </c>
      <c r="F254" s="53" t="s">
        <v>40</v>
      </c>
      <c r="G254" s="53" t="s">
        <v>36</v>
      </c>
      <c r="H254" s="53">
        <f>STOCK[[#This Row],[Precio Final]]</f>
        <v>15</v>
      </c>
      <c r="I254" s="53">
        <f>STOCK[[#This Row],[Precio Venta Ideal (x1.5)]]</f>
        <v>17.084166666666675</v>
      </c>
      <c r="J254" s="69">
        <v>1</v>
      </c>
      <c r="K254" s="69">
        <f>SUMIFS(VENTAS[Cantidad],VENTAS[Código del producto Vendido],STOCK[[#This Row],[Code]])</f>
        <v>1</v>
      </c>
      <c r="L254" s="69">
        <f>STOCK[[#This Row],[Entradas]]-STOCK[[#This Row],[Salidas]]</f>
        <v>0</v>
      </c>
      <c r="M254" s="53">
        <f>STOCK[[#This Row],[Precio Final]]*10%</f>
        <v>1.5</v>
      </c>
      <c r="N254" s="53">
        <v>163.61000000000001</v>
      </c>
      <c r="O254" s="53">
        <v>18</v>
      </c>
      <c r="P254" s="53">
        <v>9.0894444444444495</v>
      </c>
      <c r="Q254" s="69">
        <v>100</v>
      </c>
      <c r="R254" s="53">
        <v>8</v>
      </c>
      <c r="S254" s="53">
        <f>STOCK[[#This Row],[Peso (g)]]*STOCK[[#This Row],[Precio Envío Kilogramo (USD)]]/1000</f>
        <v>0.8</v>
      </c>
      <c r="T254" s="53">
        <f>STOCK[[#This Row],[Costo Unitario (USD)]]+STOCK[[#This Row],[Costo Envío (USD)]]+STOCK[[#This Row],[Comisión 10%]]</f>
        <v>11.38944444444445</v>
      </c>
      <c r="U254" s="53">
        <f>STOCK[[#This Row],[Costo total]]*1.5</f>
        <v>17.084166666666675</v>
      </c>
      <c r="V254" s="53">
        <v>15</v>
      </c>
      <c r="W254" s="53">
        <f>STOCK[[#This Row],[Precio Final]]-STOCK[[#This Row],[Costo total]]</f>
        <v>3.6105555555555497</v>
      </c>
      <c r="X254" s="53">
        <f>STOCK[[#This Row],[Ganancia Unitaria]]*STOCK[[#This Row],[Salidas]]</f>
        <v>3.6105555555555497</v>
      </c>
      <c r="AA254" s="53">
        <f>STOCK[[#This Row],[Costo total]]*STOCK[[#This Row],[Entradas]]</f>
        <v>11.38944444444445</v>
      </c>
      <c r="AB254" s="53">
        <f>STOCK[[#This Row],[Stock Actual]]*STOCK[[#This Row],[Costo total]]</f>
        <v>0</v>
      </c>
    </row>
    <row r="255" spans="1:29" s="54" customFormat="1" ht="50" customHeight="1">
      <c r="A255" s="54" t="s">
        <v>555</v>
      </c>
      <c r="B255" s="64"/>
      <c r="C255" s="54" t="s">
        <v>32</v>
      </c>
      <c r="D255" s="53" t="s">
        <v>556</v>
      </c>
      <c r="E255" s="66" t="s">
        <v>557</v>
      </c>
      <c r="F255" s="54" t="s">
        <v>540</v>
      </c>
      <c r="G255" s="54" t="s">
        <v>36</v>
      </c>
      <c r="H255" s="54">
        <f>STOCK[[#This Row],[Precio Final]]</f>
        <v>45</v>
      </c>
      <c r="I255" s="54">
        <f>STOCK[[#This Row],[Precio Venta Ideal (x1.5)]]</f>
        <v>45.802500000000002</v>
      </c>
      <c r="J255" s="70">
        <v>1</v>
      </c>
      <c r="K255" s="70">
        <f>SUMIFS(VENTAS[Cantidad],VENTAS[Código del producto Vendido],STOCK[[#This Row],[Code]])</f>
        <v>1</v>
      </c>
      <c r="L255" s="70">
        <f>STOCK[[#This Row],[Entradas]]-STOCK[[#This Row],[Salidas]]</f>
        <v>0</v>
      </c>
      <c r="M255" s="54">
        <f>STOCK[[#This Row],[Precio Final]]*10%</f>
        <v>4.5</v>
      </c>
      <c r="N255" s="54">
        <v>411.03</v>
      </c>
      <c r="O255" s="54">
        <v>18</v>
      </c>
      <c r="P255" s="54">
        <v>22.835000000000001</v>
      </c>
      <c r="Q255" s="70">
        <v>400</v>
      </c>
      <c r="R255" s="54">
        <v>8</v>
      </c>
      <c r="S255" s="54">
        <f>STOCK[[#This Row],[Peso (g)]]*STOCK[[#This Row],[Precio Envío Kilogramo (USD)]]/1000</f>
        <v>3.2</v>
      </c>
      <c r="T255" s="53">
        <f>STOCK[[#This Row],[Costo Unitario (USD)]]+STOCK[[#This Row],[Costo Envío (USD)]]+STOCK[[#This Row],[Comisión 10%]]</f>
        <v>30.535</v>
      </c>
      <c r="U255" s="54">
        <f>STOCK[[#This Row],[Costo total]]*1.5</f>
        <v>45.802500000000002</v>
      </c>
      <c r="V255" s="54">
        <v>45</v>
      </c>
      <c r="W255" s="54">
        <f>STOCK[[#This Row],[Precio Final]]-STOCK[[#This Row],[Costo total]]</f>
        <v>14.465</v>
      </c>
      <c r="X255" s="54">
        <f>STOCK[[#This Row],[Ganancia Unitaria]]*STOCK[[#This Row],[Salidas]]</f>
        <v>14.465</v>
      </c>
      <c r="AA255" s="54">
        <f>STOCK[[#This Row],[Costo total]]*STOCK[[#This Row],[Entradas]]</f>
        <v>30.535</v>
      </c>
      <c r="AB255" s="54">
        <f>STOCK[[#This Row],[Stock Actual]]*STOCK[[#This Row],[Costo total]]</f>
        <v>0</v>
      </c>
      <c r="AC255" s="54">
        <v>25</v>
      </c>
    </row>
    <row r="256" spans="1:29" s="53" customFormat="1" ht="50" customHeight="1">
      <c r="A256" s="53" t="s">
        <v>558</v>
      </c>
      <c r="B256" s="64"/>
      <c r="C256" s="53" t="s">
        <v>32</v>
      </c>
      <c r="D256" s="53" t="s">
        <v>44</v>
      </c>
      <c r="E256" s="65" t="s">
        <v>559</v>
      </c>
      <c r="F256" s="53" t="s">
        <v>40</v>
      </c>
      <c r="G256" s="53" t="s">
        <v>36</v>
      </c>
      <c r="H256" s="53">
        <f>STOCK[[#This Row],[Precio Final]]</f>
        <v>55</v>
      </c>
      <c r="I256" s="53">
        <f>STOCK[[#This Row],[Precio Venta Ideal (x1.5)]]</f>
        <v>62.329166666666694</v>
      </c>
      <c r="J256" s="69">
        <v>1</v>
      </c>
      <c r="K256" s="69">
        <f>SUMIFS(VENTAS[Cantidad],VENTAS[Código del producto Vendido],STOCK[[#This Row],[Code]])</f>
        <v>0</v>
      </c>
      <c r="L256" s="69">
        <f>STOCK[[#This Row],[Entradas]]-STOCK[[#This Row],[Salidas]]</f>
        <v>1</v>
      </c>
      <c r="M256" s="53">
        <f>STOCK[[#This Row],[Precio Final]]*10%</f>
        <v>5.5</v>
      </c>
      <c r="N256" s="53">
        <v>572.63</v>
      </c>
      <c r="O256" s="53">
        <v>18</v>
      </c>
      <c r="P256" s="53">
        <v>31.8127777777778</v>
      </c>
      <c r="Q256" s="69">
        <v>530</v>
      </c>
      <c r="R256" s="53">
        <v>8</v>
      </c>
      <c r="S256" s="53">
        <f>STOCK[[#This Row],[Peso (g)]]*STOCK[[#This Row],[Precio Envío Kilogramo (USD)]]/1000</f>
        <v>4.24</v>
      </c>
      <c r="T256" s="53">
        <f>STOCK[[#This Row],[Costo Unitario (USD)]]+STOCK[[#This Row],[Costo Envío (USD)]]+STOCK[[#This Row],[Comisión 10%]]</f>
        <v>41.552777777777798</v>
      </c>
      <c r="U256" s="53">
        <f>STOCK[[#This Row],[Costo total]]*1.5</f>
        <v>62.329166666666694</v>
      </c>
      <c r="V256" s="53">
        <v>55</v>
      </c>
      <c r="W256" s="53">
        <f>STOCK[[#This Row],[Precio Final]]-STOCK[[#This Row],[Costo total]]</f>
        <v>13.447222222222202</v>
      </c>
      <c r="X256" s="53">
        <f>STOCK[[#This Row],[Ganancia Unitaria]]*STOCK[[#This Row],[Salidas]]</f>
        <v>0</v>
      </c>
      <c r="AA256" s="53">
        <f>STOCK[[#This Row],[Costo total]]*STOCK[[#This Row],[Entradas]]</f>
        <v>41.552777777777798</v>
      </c>
      <c r="AB256" s="53">
        <f>STOCK[[#This Row],[Stock Actual]]*STOCK[[#This Row],[Costo total]]</f>
        <v>41.552777777777798</v>
      </c>
    </row>
    <row r="257" spans="1:29" s="54" customFormat="1" ht="50" customHeight="1">
      <c r="A257" s="54" t="s">
        <v>560</v>
      </c>
      <c r="B257" s="64"/>
      <c r="C257" s="54" t="s">
        <v>32</v>
      </c>
      <c r="D257" s="54" t="s">
        <v>152</v>
      </c>
      <c r="E257" s="66" t="s">
        <v>561</v>
      </c>
      <c r="F257" s="54" t="s">
        <v>40</v>
      </c>
      <c r="G257" s="54" t="s">
        <v>36</v>
      </c>
      <c r="H257" s="54">
        <f>STOCK[[#This Row],[Precio Final]]</f>
        <v>15</v>
      </c>
      <c r="I257" s="54">
        <f>STOCK[[#This Row],[Precio Venta Ideal (x1.5)]]</f>
        <v>12.24833333333334</v>
      </c>
      <c r="J257" s="70">
        <v>1</v>
      </c>
      <c r="K257" s="70">
        <f>SUMIFS(VENTAS[Cantidad],VENTAS[Código del producto Vendido],STOCK[[#This Row],[Code]])</f>
        <v>1</v>
      </c>
      <c r="L257" s="70">
        <f>STOCK[[#This Row],[Entradas]]-STOCK[[#This Row],[Salidas]]</f>
        <v>0</v>
      </c>
      <c r="M257" s="54">
        <f>STOCK[[#This Row],[Precio Final]]*10%</f>
        <v>1.5</v>
      </c>
      <c r="N257" s="54">
        <v>109.9</v>
      </c>
      <c r="O257" s="54">
        <v>18</v>
      </c>
      <c r="P257" s="54">
        <v>6.1055555555555596</v>
      </c>
      <c r="Q257" s="70">
        <v>70</v>
      </c>
      <c r="R257" s="54">
        <v>8</v>
      </c>
      <c r="S257" s="54">
        <f>STOCK[[#This Row],[Peso (g)]]*STOCK[[#This Row],[Precio Envío Kilogramo (USD)]]/1000</f>
        <v>0.56000000000000005</v>
      </c>
      <c r="T257" s="53">
        <f>STOCK[[#This Row],[Costo Unitario (USD)]]+STOCK[[#This Row],[Costo Envío (USD)]]+STOCK[[#This Row],[Comisión 10%]]</f>
        <v>8.1655555555555601</v>
      </c>
      <c r="U257" s="54">
        <f>STOCK[[#This Row],[Costo total]]*1.5</f>
        <v>12.24833333333334</v>
      </c>
      <c r="V257" s="54">
        <v>15</v>
      </c>
      <c r="W257" s="54">
        <f>STOCK[[#This Row],[Precio Final]]-STOCK[[#This Row],[Costo total]]</f>
        <v>6.8344444444444399</v>
      </c>
      <c r="X257" s="54">
        <f>STOCK[[#This Row],[Ganancia Unitaria]]*STOCK[[#This Row],[Salidas]]</f>
        <v>6.8344444444444399</v>
      </c>
      <c r="AA257" s="54">
        <f>STOCK[[#This Row],[Costo total]]*STOCK[[#This Row],[Entradas]]</f>
        <v>8.1655555555555601</v>
      </c>
      <c r="AB257" s="54">
        <f>STOCK[[#This Row],[Stock Actual]]*STOCK[[#This Row],[Costo total]]</f>
        <v>0</v>
      </c>
    </row>
    <row r="258" spans="1:29" s="53" customFormat="1" ht="50" customHeight="1">
      <c r="A258" s="53" t="s">
        <v>562</v>
      </c>
      <c r="B258" s="64"/>
      <c r="C258" s="53" t="s">
        <v>32</v>
      </c>
      <c r="D258" s="53" t="s">
        <v>44</v>
      </c>
      <c r="E258" s="65" t="s">
        <v>563</v>
      </c>
      <c r="F258" s="53" t="s">
        <v>40</v>
      </c>
      <c r="G258" s="53" t="s">
        <v>36</v>
      </c>
      <c r="H258" s="53">
        <f>STOCK[[#This Row],[Precio Final]]</f>
        <v>45</v>
      </c>
      <c r="I258" s="53">
        <f>STOCK[[#This Row],[Precio Venta Ideal (x1.5)]]</f>
        <v>64.607500000000044</v>
      </c>
      <c r="J258" s="69">
        <v>1</v>
      </c>
      <c r="K258" s="69">
        <f>SUMIFS(VENTAS[Cantidad],VENTAS[Código del producto Vendido],STOCK[[#This Row],[Code]])</f>
        <v>1</v>
      </c>
      <c r="L258" s="69">
        <f>STOCK[[#This Row],[Entradas]]-STOCK[[#This Row],[Salidas]]</f>
        <v>0</v>
      </c>
      <c r="M258" s="53">
        <f>STOCK[[#This Row],[Precio Final]]*10%</f>
        <v>4.5</v>
      </c>
      <c r="N258" s="53">
        <v>629.49</v>
      </c>
      <c r="O258" s="53">
        <v>18</v>
      </c>
      <c r="P258" s="53">
        <v>34.9716666666667</v>
      </c>
      <c r="Q258" s="69">
        <v>450</v>
      </c>
      <c r="R258" s="53">
        <v>8</v>
      </c>
      <c r="S258" s="53">
        <f>STOCK[[#This Row],[Peso (g)]]*STOCK[[#This Row],[Precio Envío Kilogramo (USD)]]/1000</f>
        <v>3.6</v>
      </c>
      <c r="T258" s="53">
        <f>STOCK[[#This Row],[Costo Unitario (USD)]]+STOCK[[#This Row],[Costo Envío (USD)]]+STOCK[[#This Row],[Comisión 10%]]</f>
        <v>43.071666666666701</v>
      </c>
      <c r="U258" s="53">
        <f>STOCK[[#This Row],[Costo total]]*1.5</f>
        <v>64.607500000000044</v>
      </c>
      <c r="V258" s="53">
        <v>45</v>
      </c>
      <c r="W258" s="53">
        <f>STOCK[[#This Row],[Precio Final]]-STOCK[[#This Row],[Costo total]]</f>
        <v>1.928333333333299</v>
      </c>
      <c r="X258" s="53">
        <f>STOCK[[#This Row],[Ganancia Unitaria]]*STOCK[[#This Row],[Salidas]]</f>
        <v>1.928333333333299</v>
      </c>
      <c r="AA258" s="53">
        <f>STOCK[[#This Row],[Costo total]]*STOCK[[#This Row],[Entradas]]</f>
        <v>43.071666666666701</v>
      </c>
      <c r="AB258" s="53">
        <f>STOCK[[#This Row],[Stock Actual]]*STOCK[[#This Row],[Costo total]]</f>
        <v>0</v>
      </c>
    </row>
    <row r="259" spans="1:29" s="54" customFormat="1" ht="50" customHeight="1">
      <c r="A259" s="54" t="s">
        <v>564</v>
      </c>
      <c r="B259" s="64"/>
      <c r="C259" s="54" t="s">
        <v>32</v>
      </c>
      <c r="D259" s="54" t="s">
        <v>44</v>
      </c>
      <c r="E259" s="66" t="s">
        <v>565</v>
      </c>
      <c r="F259" s="54" t="s">
        <v>62</v>
      </c>
      <c r="G259" s="54" t="s">
        <v>36</v>
      </c>
      <c r="H259" s="54">
        <f>STOCK[[#This Row],[Precio Final]]</f>
        <v>20</v>
      </c>
      <c r="I259" s="54">
        <f>STOCK[[#This Row],[Precio Venta Ideal (x1.5)]]</f>
        <v>19.083333333333329</v>
      </c>
      <c r="J259" s="70">
        <v>3</v>
      </c>
      <c r="K259" s="70">
        <f>SUMIFS(VENTAS[Cantidad],VENTAS[Código del producto Vendido],STOCK[[#This Row],[Code]])</f>
        <v>3</v>
      </c>
      <c r="L259" s="70">
        <f>STOCK[[#This Row],[Entradas]]-STOCK[[#This Row],[Salidas]]</f>
        <v>0</v>
      </c>
      <c r="M259" s="54">
        <f>STOCK[[#This Row],[Precio Final]]*10%</f>
        <v>2</v>
      </c>
      <c r="N259" s="54">
        <v>166</v>
      </c>
      <c r="O259" s="54">
        <v>18</v>
      </c>
      <c r="P259" s="54">
        <v>9.2222222222222197</v>
      </c>
      <c r="Q259" s="70">
        <v>150</v>
      </c>
      <c r="R259" s="54">
        <v>10</v>
      </c>
      <c r="S259" s="54">
        <f>STOCK[[#This Row],[Peso (g)]]*STOCK[[#This Row],[Precio Envío Kilogramo (USD)]]/1000</f>
        <v>1.5</v>
      </c>
      <c r="T259" s="53">
        <f>STOCK[[#This Row],[Costo Unitario (USD)]]+STOCK[[#This Row],[Costo Envío (USD)]]+STOCK[[#This Row],[Comisión 10%]]</f>
        <v>12.72222222222222</v>
      </c>
      <c r="U259" s="54">
        <f>STOCK[[#This Row],[Costo total]]*1.5</f>
        <v>19.083333333333329</v>
      </c>
      <c r="V259" s="54">
        <v>20</v>
      </c>
      <c r="W259" s="54">
        <f>STOCK[[#This Row],[Precio Final]]-STOCK[[#This Row],[Costo total]]</f>
        <v>7.2777777777777803</v>
      </c>
      <c r="X259" s="54">
        <f>STOCK[[#This Row],[Ganancia Unitaria]]*STOCK[[#This Row],[Salidas]]</f>
        <v>21.833333333333343</v>
      </c>
      <c r="AA259" s="54">
        <f>STOCK[[#This Row],[Costo total]]*STOCK[[#This Row],[Entradas]]</f>
        <v>38.166666666666657</v>
      </c>
      <c r="AB259" s="54">
        <f>STOCK[[#This Row],[Stock Actual]]*STOCK[[#This Row],[Costo total]]</f>
        <v>0</v>
      </c>
    </row>
    <row r="260" spans="1:29" s="53" customFormat="1" ht="50" customHeight="1">
      <c r="A260" s="53" t="s">
        <v>566</v>
      </c>
      <c r="B260" s="64"/>
      <c r="C260" s="53" t="s">
        <v>32</v>
      </c>
      <c r="D260" s="53" t="s">
        <v>44</v>
      </c>
      <c r="E260" s="65" t="s">
        <v>567</v>
      </c>
      <c r="F260" s="53" t="s">
        <v>40</v>
      </c>
      <c r="G260" s="53" t="s">
        <v>36</v>
      </c>
      <c r="H260" s="53">
        <f>STOCK[[#This Row],[Precio Final]]</f>
        <v>20</v>
      </c>
      <c r="I260" s="53">
        <f>STOCK[[#This Row],[Precio Venta Ideal (x1.5)]]</f>
        <v>19.083333333333329</v>
      </c>
      <c r="J260" s="69">
        <v>3</v>
      </c>
      <c r="K260" s="69">
        <f>SUMIFS(VENTAS[Cantidad],VENTAS[Código del producto Vendido],STOCK[[#This Row],[Code]])</f>
        <v>3</v>
      </c>
      <c r="L260" s="69">
        <f>STOCK[[#This Row],[Entradas]]-STOCK[[#This Row],[Salidas]]</f>
        <v>0</v>
      </c>
      <c r="M260" s="53">
        <f>STOCK[[#This Row],[Precio Final]]*10%</f>
        <v>2</v>
      </c>
      <c r="N260" s="53">
        <v>166</v>
      </c>
      <c r="O260" s="53">
        <v>18</v>
      </c>
      <c r="P260" s="53">
        <v>9.2222222222222197</v>
      </c>
      <c r="Q260" s="69">
        <v>150</v>
      </c>
      <c r="R260" s="53">
        <v>10</v>
      </c>
      <c r="S260" s="53">
        <f>STOCK[[#This Row],[Peso (g)]]*STOCK[[#This Row],[Precio Envío Kilogramo (USD)]]/1000</f>
        <v>1.5</v>
      </c>
      <c r="T260" s="53">
        <f>STOCK[[#This Row],[Costo Unitario (USD)]]+STOCK[[#This Row],[Costo Envío (USD)]]+STOCK[[#This Row],[Comisión 10%]]</f>
        <v>12.72222222222222</v>
      </c>
      <c r="U260" s="53">
        <f>STOCK[[#This Row],[Costo total]]*1.5</f>
        <v>19.083333333333329</v>
      </c>
      <c r="V260" s="53">
        <v>20</v>
      </c>
      <c r="W260" s="53">
        <f>STOCK[[#This Row],[Precio Final]]-STOCK[[#This Row],[Costo total]]</f>
        <v>7.2777777777777803</v>
      </c>
      <c r="X260" s="53">
        <f>STOCK[[#This Row],[Ganancia Unitaria]]*STOCK[[#This Row],[Salidas]]</f>
        <v>21.833333333333343</v>
      </c>
      <c r="AA260" s="53">
        <f>STOCK[[#This Row],[Costo total]]*STOCK[[#This Row],[Entradas]]</f>
        <v>38.166666666666657</v>
      </c>
      <c r="AB260" s="53">
        <f>STOCK[[#This Row],[Stock Actual]]*STOCK[[#This Row],[Costo total]]</f>
        <v>0</v>
      </c>
    </row>
    <row r="261" spans="1:29" s="54" customFormat="1" ht="50" customHeight="1">
      <c r="A261" s="54" t="s">
        <v>568</v>
      </c>
      <c r="B261" s="64"/>
      <c r="C261" s="54" t="s">
        <v>32</v>
      </c>
      <c r="D261" s="54" t="s">
        <v>44</v>
      </c>
      <c r="E261" s="66" t="s">
        <v>569</v>
      </c>
      <c r="F261" s="54" t="s">
        <v>46</v>
      </c>
      <c r="G261" s="54" t="s">
        <v>36</v>
      </c>
      <c r="H261" s="54">
        <f>STOCK[[#This Row],[Precio Final]]</f>
        <v>20</v>
      </c>
      <c r="I261" s="54">
        <f>STOCK[[#This Row],[Precio Venta Ideal (x1.5)]]</f>
        <v>19.083333333333329</v>
      </c>
      <c r="J261" s="70">
        <v>3</v>
      </c>
      <c r="K261" s="70">
        <f>SUMIFS(VENTAS[Cantidad],VENTAS[Código del producto Vendido],STOCK[[#This Row],[Code]])</f>
        <v>3</v>
      </c>
      <c r="L261" s="70">
        <f>STOCK[[#This Row],[Entradas]]-STOCK[[#This Row],[Salidas]]</f>
        <v>0</v>
      </c>
      <c r="M261" s="54">
        <f>STOCK[[#This Row],[Precio Final]]*10%</f>
        <v>2</v>
      </c>
      <c r="N261" s="54">
        <v>166</v>
      </c>
      <c r="O261" s="54">
        <v>18</v>
      </c>
      <c r="P261" s="54">
        <v>9.2222222222222197</v>
      </c>
      <c r="Q261" s="70">
        <v>150</v>
      </c>
      <c r="R261" s="54">
        <v>10</v>
      </c>
      <c r="S261" s="54">
        <f>STOCK[[#This Row],[Peso (g)]]*STOCK[[#This Row],[Precio Envío Kilogramo (USD)]]/1000</f>
        <v>1.5</v>
      </c>
      <c r="T261" s="53">
        <f>STOCK[[#This Row],[Costo Unitario (USD)]]+STOCK[[#This Row],[Costo Envío (USD)]]+STOCK[[#This Row],[Comisión 10%]]</f>
        <v>12.72222222222222</v>
      </c>
      <c r="U261" s="54">
        <f>STOCK[[#This Row],[Costo total]]*1.5</f>
        <v>19.083333333333329</v>
      </c>
      <c r="V261" s="54">
        <v>20</v>
      </c>
      <c r="W261" s="54">
        <f>STOCK[[#This Row],[Precio Final]]-STOCK[[#This Row],[Costo total]]</f>
        <v>7.2777777777777803</v>
      </c>
      <c r="X261" s="54">
        <f>STOCK[[#This Row],[Ganancia Unitaria]]*STOCK[[#This Row],[Salidas]]</f>
        <v>21.833333333333343</v>
      </c>
      <c r="AA261" s="54">
        <f>STOCK[[#This Row],[Costo total]]*STOCK[[#This Row],[Entradas]]</f>
        <v>38.166666666666657</v>
      </c>
      <c r="AB261" s="54">
        <f>STOCK[[#This Row],[Stock Actual]]*STOCK[[#This Row],[Costo total]]</f>
        <v>0</v>
      </c>
    </row>
    <row r="262" spans="1:29" s="53" customFormat="1" ht="50" customHeight="1">
      <c r="A262" s="53" t="s">
        <v>570</v>
      </c>
      <c r="B262" s="64"/>
      <c r="C262" s="53" t="s">
        <v>32</v>
      </c>
      <c r="D262" s="53" t="s">
        <v>44</v>
      </c>
      <c r="E262" s="65" t="s">
        <v>571</v>
      </c>
      <c r="F262" s="53" t="s">
        <v>49</v>
      </c>
      <c r="G262" s="53" t="s">
        <v>36</v>
      </c>
      <c r="H262" s="53">
        <f>STOCK[[#This Row],[Precio Final]]</f>
        <v>20</v>
      </c>
      <c r="I262" s="53">
        <f>STOCK[[#This Row],[Precio Venta Ideal (x1.5)]]</f>
        <v>19.083333333333329</v>
      </c>
      <c r="J262" s="69">
        <v>3</v>
      </c>
      <c r="K262" s="69">
        <f>SUMIFS(VENTAS[Cantidad],VENTAS[Código del producto Vendido],STOCK[[#This Row],[Code]])</f>
        <v>3</v>
      </c>
      <c r="L262" s="69">
        <f>STOCK[[#This Row],[Entradas]]-STOCK[[#This Row],[Salidas]]</f>
        <v>0</v>
      </c>
      <c r="M262" s="53">
        <f>STOCK[[#This Row],[Precio Final]]*10%</f>
        <v>2</v>
      </c>
      <c r="N262" s="53">
        <v>166</v>
      </c>
      <c r="O262" s="53">
        <v>18</v>
      </c>
      <c r="P262" s="53">
        <v>9.2222222222222197</v>
      </c>
      <c r="Q262" s="69">
        <v>150</v>
      </c>
      <c r="R262" s="53">
        <v>10</v>
      </c>
      <c r="S262" s="53">
        <f>STOCK[[#This Row],[Peso (g)]]*STOCK[[#This Row],[Precio Envío Kilogramo (USD)]]/1000</f>
        <v>1.5</v>
      </c>
      <c r="T262" s="53">
        <f>STOCK[[#This Row],[Costo Unitario (USD)]]+STOCK[[#This Row],[Costo Envío (USD)]]+STOCK[[#This Row],[Comisión 10%]]</f>
        <v>12.72222222222222</v>
      </c>
      <c r="U262" s="53">
        <f>STOCK[[#This Row],[Costo total]]*1.5</f>
        <v>19.083333333333329</v>
      </c>
      <c r="V262" s="53">
        <v>20</v>
      </c>
      <c r="W262" s="53">
        <f>STOCK[[#This Row],[Precio Final]]-STOCK[[#This Row],[Costo total]]</f>
        <v>7.2777777777777803</v>
      </c>
      <c r="X262" s="53">
        <f>STOCK[[#This Row],[Ganancia Unitaria]]*STOCK[[#This Row],[Salidas]]</f>
        <v>21.833333333333343</v>
      </c>
      <c r="AA262" s="53">
        <f>STOCK[[#This Row],[Costo total]]*STOCK[[#This Row],[Entradas]]</f>
        <v>38.166666666666657</v>
      </c>
      <c r="AB262" s="53">
        <f>STOCK[[#This Row],[Stock Actual]]*STOCK[[#This Row],[Costo total]]</f>
        <v>0</v>
      </c>
    </row>
    <row r="263" spans="1:29" s="54" customFormat="1" ht="50" customHeight="1">
      <c r="A263" s="54" t="s">
        <v>572</v>
      </c>
      <c r="B263" s="64"/>
      <c r="C263" s="54" t="s">
        <v>32</v>
      </c>
      <c r="D263" s="54" t="s">
        <v>44</v>
      </c>
      <c r="E263" s="66" t="s">
        <v>573</v>
      </c>
      <c r="F263" s="54" t="s">
        <v>62</v>
      </c>
      <c r="G263" s="54" t="s">
        <v>36</v>
      </c>
      <c r="H263" s="54">
        <f>STOCK[[#This Row],[Precio Final]]</f>
        <v>20</v>
      </c>
      <c r="I263" s="54">
        <f>STOCK[[#This Row],[Precio Venta Ideal (x1.5)]]</f>
        <v>19.083333333333329</v>
      </c>
      <c r="J263" s="70">
        <v>3</v>
      </c>
      <c r="K263" s="70">
        <f>SUMIFS(VENTAS[Cantidad],VENTAS[Código del producto Vendido],STOCK[[#This Row],[Code]])</f>
        <v>3</v>
      </c>
      <c r="L263" s="70">
        <f>STOCK[[#This Row],[Entradas]]-STOCK[[#This Row],[Salidas]]</f>
        <v>0</v>
      </c>
      <c r="M263" s="54">
        <f>STOCK[[#This Row],[Precio Final]]*10%</f>
        <v>2</v>
      </c>
      <c r="N263" s="54">
        <v>166</v>
      </c>
      <c r="O263" s="54">
        <v>18</v>
      </c>
      <c r="P263" s="54">
        <v>9.2222222222222197</v>
      </c>
      <c r="Q263" s="70">
        <v>150</v>
      </c>
      <c r="R263" s="54">
        <v>10</v>
      </c>
      <c r="S263" s="54">
        <f>STOCK[[#This Row],[Peso (g)]]*STOCK[[#This Row],[Precio Envío Kilogramo (USD)]]/1000</f>
        <v>1.5</v>
      </c>
      <c r="T263" s="53">
        <f>STOCK[[#This Row],[Costo Unitario (USD)]]+STOCK[[#This Row],[Costo Envío (USD)]]+STOCK[[#This Row],[Comisión 10%]]</f>
        <v>12.72222222222222</v>
      </c>
      <c r="U263" s="54">
        <f>STOCK[[#This Row],[Costo total]]*1.5</f>
        <v>19.083333333333329</v>
      </c>
      <c r="V263" s="54">
        <v>20</v>
      </c>
      <c r="W263" s="54">
        <f>STOCK[[#This Row],[Precio Final]]-STOCK[[#This Row],[Costo total]]</f>
        <v>7.2777777777777803</v>
      </c>
      <c r="X263" s="54">
        <f>STOCK[[#This Row],[Ganancia Unitaria]]*STOCK[[#This Row],[Salidas]]</f>
        <v>21.833333333333343</v>
      </c>
      <c r="AA263" s="54">
        <f>STOCK[[#This Row],[Costo total]]*STOCK[[#This Row],[Entradas]]</f>
        <v>38.166666666666657</v>
      </c>
      <c r="AB263" s="54">
        <f>STOCK[[#This Row],[Stock Actual]]*STOCK[[#This Row],[Costo total]]</f>
        <v>0</v>
      </c>
    </row>
    <row r="264" spans="1:29" s="53" customFormat="1" ht="50" customHeight="1">
      <c r="A264" s="53" t="s">
        <v>574</v>
      </c>
      <c r="B264" s="64"/>
      <c r="C264" s="53" t="s">
        <v>32</v>
      </c>
      <c r="D264" s="53" t="s">
        <v>44</v>
      </c>
      <c r="E264" s="65" t="s">
        <v>575</v>
      </c>
      <c r="F264" s="53" t="s">
        <v>40</v>
      </c>
      <c r="G264" s="53" t="s">
        <v>36</v>
      </c>
      <c r="H264" s="53">
        <f>STOCK[[#This Row],[Precio Final]]</f>
        <v>20</v>
      </c>
      <c r="I264" s="53">
        <f>STOCK[[#This Row],[Precio Venta Ideal (x1.5)]]</f>
        <v>19.083333333333329</v>
      </c>
      <c r="J264" s="69">
        <v>3</v>
      </c>
      <c r="K264" s="69">
        <f>SUMIFS(VENTAS[Cantidad],VENTAS[Código del producto Vendido],STOCK[[#This Row],[Code]])</f>
        <v>3</v>
      </c>
      <c r="L264" s="69">
        <f>STOCK[[#This Row],[Entradas]]-STOCK[[#This Row],[Salidas]]</f>
        <v>0</v>
      </c>
      <c r="M264" s="53">
        <f>STOCK[[#This Row],[Precio Final]]*10%</f>
        <v>2</v>
      </c>
      <c r="N264" s="53">
        <v>166</v>
      </c>
      <c r="O264" s="53">
        <v>18</v>
      </c>
      <c r="P264" s="53">
        <v>9.2222222222222197</v>
      </c>
      <c r="Q264" s="69">
        <v>150</v>
      </c>
      <c r="R264" s="53">
        <v>10</v>
      </c>
      <c r="S264" s="53">
        <f>STOCK[[#This Row],[Peso (g)]]*STOCK[[#This Row],[Precio Envío Kilogramo (USD)]]/1000</f>
        <v>1.5</v>
      </c>
      <c r="T264" s="53">
        <f>STOCK[[#This Row],[Costo Unitario (USD)]]+STOCK[[#This Row],[Costo Envío (USD)]]+STOCK[[#This Row],[Comisión 10%]]</f>
        <v>12.72222222222222</v>
      </c>
      <c r="U264" s="53">
        <f>STOCK[[#This Row],[Costo total]]*1.5</f>
        <v>19.083333333333329</v>
      </c>
      <c r="V264" s="53">
        <v>20</v>
      </c>
      <c r="W264" s="53">
        <f>STOCK[[#This Row],[Precio Final]]-STOCK[[#This Row],[Costo total]]</f>
        <v>7.2777777777777803</v>
      </c>
      <c r="X264" s="53">
        <f>STOCK[[#This Row],[Ganancia Unitaria]]*STOCK[[#This Row],[Salidas]]</f>
        <v>21.833333333333343</v>
      </c>
      <c r="AA264" s="53">
        <f>STOCK[[#This Row],[Costo total]]*STOCK[[#This Row],[Entradas]]</f>
        <v>38.166666666666657</v>
      </c>
      <c r="AB264" s="53">
        <f>STOCK[[#This Row],[Stock Actual]]*STOCK[[#This Row],[Costo total]]</f>
        <v>0</v>
      </c>
    </row>
    <row r="265" spans="1:29" s="54" customFormat="1" ht="50" customHeight="1">
      <c r="A265" s="54" t="s">
        <v>576</v>
      </c>
      <c r="B265" s="64"/>
      <c r="C265" s="54" t="s">
        <v>32</v>
      </c>
      <c r="D265" s="54" t="s">
        <v>174</v>
      </c>
      <c r="E265" s="66" t="s">
        <v>577</v>
      </c>
      <c r="F265" s="54" t="s">
        <v>62</v>
      </c>
      <c r="G265" s="54" t="s">
        <v>36</v>
      </c>
      <c r="H265" s="54">
        <f>STOCK[[#This Row],[Precio Final]]</f>
        <v>10</v>
      </c>
      <c r="I265" s="54">
        <f>STOCK[[#This Row],[Precio Venta Ideal (x1.5)]]</f>
        <v>9.1375000000000046</v>
      </c>
      <c r="J265" s="70">
        <v>3</v>
      </c>
      <c r="K265" s="70">
        <f>SUMIFS(VENTAS[Cantidad],VENTAS[Código del producto Vendido],STOCK[[#This Row],[Code]])</f>
        <v>3</v>
      </c>
      <c r="L265" s="70">
        <f>STOCK[[#This Row],[Entradas]]-STOCK[[#This Row],[Salidas]]</f>
        <v>0</v>
      </c>
      <c r="M265" s="54">
        <f>STOCK[[#This Row],[Precio Final]]*10%</f>
        <v>1</v>
      </c>
      <c r="N265" s="54">
        <v>77.25</v>
      </c>
      <c r="O265" s="54">
        <v>18</v>
      </c>
      <c r="P265" s="54">
        <v>4.2916666666666696</v>
      </c>
      <c r="Q265" s="70">
        <v>100</v>
      </c>
      <c r="R265" s="54">
        <v>8</v>
      </c>
      <c r="S265" s="54">
        <f>STOCK[[#This Row],[Peso (g)]]*STOCK[[#This Row],[Precio Envío Kilogramo (USD)]]/1000</f>
        <v>0.8</v>
      </c>
      <c r="T265" s="53">
        <f>STOCK[[#This Row],[Costo Unitario (USD)]]+STOCK[[#This Row],[Costo Envío (USD)]]+STOCK[[#This Row],[Comisión 10%]]</f>
        <v>6.0916666666666694</v>
      </c>
      <c r="U265" s="54">
        <f>STOCK[[#This Row],[Costo total]]*1.5</f>
        <v>9.1375000000000046</v>
      </c>
      <c r="V265" s="54">
        <v>10</v>
      </c>
      <c r="W265" s="54">
        <f>STOCK[[#This Row],[Precio Final]]-STOCK[[#This Row],[Costo total]]</f>
        <v>3.9083333333333306</v>
      </c>
      <c r="X265" s="54">
        <f>STOCK[[#This Row],[Ganancia Unitaria]]*STOCK[[#This Row],[Salidas]]</f>
        <v>11.724999999999991</v>
      </c>
      <c r="AA265" s="54">
        <f>STOCK[[#This Row],[Costo total]]*STOCK[[#This Row],[Entradas]]</f>
        <v>18.275000000000009</v>
      </c>
      <c r="AB265" s="54">
        <f>STOCK[[#This Row],[Stock Actual]]*STOCK[[#This Row],[Costo total]]</f>
        <v>0</v>
      </c>
    </row>
    <row r="266" spans="1:29" s="53" customFormat="1" ht="50" customHeight="1">
      <c r="A266" s="53" t="s">
        <v>578</v>
      </c>
      <c r="B266" s="64"/>
      <c r="C266" s="53" t="s">
        <v>32</v>
      </c>
      <c r="D266" s="53" t="s">
        <v>174</v>
      </c>
      <c r="E266" s="65" t="s">
        <v>579</v>
      </c>
      <c r="F266" s="53" t="s">
        <v>40</v>
      </c>
      <c r="G266" s="53" t="s">
        <v>36</v>
      </c>
      <c r="H266" s="53">
        <f>STOCK[[#This Row],[Precio Final]]</f>
        <v>10</v>
      </c>
      <c r="I266" s="53">
        <f>STOCK[[#This Row],[Precio Venta Ideal (x1.5)]]</f>
        <v>9.7000000000000046</v>
      </c>
      <c r="J266" s="69">
        <v>3</v>
      </c>
      <c r="K266" s="69">
        <f>SUMIFS(VENTAS[Cantidad],VENTAS[Código del producto Vendido],STOCK[[#This Row],[Code]])</f>
        <v>3</v>
      </c>
      <c r="L266" s="69">
        <f>STOCK[[#This Row],[Entradas]]-STOCK[[#This Row],[Salidas]]</f>
        <v>0</v>
      </c>
      <c r="M266" s="53">
        <f>STOCK[[#This Row],[Precio Final]]*10%</f>
        <v>1</v>
      </c>
      <c r="N266" s="53">
        <v>84</v>
      </c>
      <c r="O266" s="53">
        <v>18</v>
      </c>
      <c r="P266" s="53">
        <v>4.6666666666666696</v>
      </c>
      <c r="Q266" s="69">
        <v>100</v>
      </c>
      <c r="R266" s="53">
        <v>8</v>
      </c>
      <c r="S266" s="53">
        <f>STOCK[[#This Row],[Peso (g)]]*STOCK[[#This Row],[Precio Envío Kilogramo (USD)]]/1000</f>
        <v>0.8</v>
      </c>
      <c r="T266" s="53">
        <f>STOCK[[#This Row],[Costo Unitario (USD)]]+STOCK[[#This Row],[Costo Envío (USD)]]+STOCK[[#This Row],[Comisión 10%]]</f>
        <v>6.4666666666666694</v>
      </c>
      <c r="U266" s="53">
        <f>STOCK[[#This Row],[Costo total]]*1.5</f>
        <v>9.7000000000000046</v>
      </c>
      <c r="V266" s="53">
        <v>10</v>
      </c>
      <c r="W266" s="53">
        <f>STOCK[[#This Row],[Precio Final]]-STOCK[[#This Row],[Costo total]]</f>
        <v>3.5333333333333306</v>
      </c>
      <c r="X266" s="53">
        <f>STOCK[[#This Row],[Ganancia Unitaria]]*STOCK[[#This Row],[Salidas]]</f>
        <v>10.599999999999991</v>
      </c>
      <c r="AA266" s="53">
        <f>STOCK[[#This Row],[Costo total]]*STOCK[[#This Row],[Entradas]]</f>
        <v>19.400000000000009</v>
      </c>
      <c r="AB266" s="53">
        <f>STOCK[[#This Row],[Stock Actual]]*STOCK[[#This Row],[Costo total]]</f>
        <v>0</v>
      </c>
    </row>
    <row r="267" spans="1:29" s="54" customFormat="1" ht="50" customHeight="1">
      <c r="A267" s="54" t="s">
        <v>580</v>
      </c>
      <c r="B267" s="64"/>
      <c r="C267" s="54" t="s">
        <v>32</v>
      </c>
      <c r="D267" s="54" t="s">
        <v>174</v>
      </c>
      <c r="E267" s="66" t="s">
        <v>581</v>
      </c>
      <c r="F267" s="54" t="s">
        <v>62</v>
      </c>
      <c r="G267" s="54" t="s">
        <v>36</v>
      </c>
      <c r="H267" s="54">
        <f>STOCK[[#This Row],[Precio Final]]</f>
        <v>10</v>
      </c>
      <c r="I267" s="54">
        <f>STOCK[[#This Row],[Precio Venta Ideal (x1.5)]]</f>
        <v>9.0400000000000045</v>
      </c>
      <c r="J267" s="70">
        <v>3</v>
      </c>
      <c r="K267" s="70">
        <f>SUMIFS(VENTAS[Cantidad],VENTAS[Código del producto Vendido],STOCK[[#This Row],[Code]])</f>
        <v>3</v>
      </c>
      <c r="L267" s="70">
        <f>STOCK[[#This Row],[Entradas]]-STOCK[[#This Row],[Salidas]]</f>
        <v>0</v>
      </c>
      <c r="M267" s="54">
        <f>STOCK[[#This Row],[Precio Final]]*10%</f>
        <v>1</v>
      </c>
      <c r="N267" s="54">
        <v>84</v>
      </c>
      <c r="O267" s="54">
        <v>18</v>
      </c>
      <c r="P267" s="54">
        <v>4.6666666666666696</v>
      </c>
      <c r="Q267" s="70">
        <v>45</v>
      </c>
      <c r="R267" s="54">
        <v>8</v>
      </c>
      <c r="S267" s="54">
        <f>STOCK[[#This Row],[Peso (g)]]*STOCK[[#This Row],[Precio Envío Kilogramo (USD)]]/1000</f>
        <v>0.36</v>
      </c>
      <c r="T267" s="53">
        <f>STOCK[[#This Row],[Costo Unitario (USD)]]+STOCK[[#This Row],[Costo Envío (USD)]]+STOCK[[#This Row],[Comisión 10%]]</f>
        <v>6.0266666666666699</v>
      </c>
      <c r="U267" s="54">
        <f>STOCK[[#This Row],[Costo total]]*1.5</f>
        <v>9.0400000000000045</v>
      </c>
      <c r="V267" s="54">
        <v>10</v>
      </c>
      <c r="W267" s="54">
        <f>STOCK[[#This Row],[Precio Final]]-STOCK[[#This Row],[Costo total]]</f>
        <v>3.9733333333333301</v>
      </c>
      <c r="X267" s="54">
        <f>STOCK[[#This Row],[Ganancia Unitaria]]*STOCK[[#This Row],[Salidas]]</f>
        <v>11.919999999999991</v>
      </c>
      <c r="AA267" s="54">
        <f>STOCK[[#This Row],[Costo total]]*STOCK[[#This Row],[Entradas]]</f>
        <v>18.080000000000009</v>
      </c>
      <c r="AB267" s="54">
        <f>STOCK[[#This Row],[Stock Actual]]*STOCK[[#This Row],[Costo total]]</f>
        <v>0</v>
      </c>
    </row>
    <row r="268" spans="1:29" s="53" customFormat="1" ht="50" customHeight="1">
      <c r="A268" s="53" t="s">
        <v>582</v>
      </c>
      <c r="B268" s="64"/>
      <c r="C268" s="53" t="s">
        <v>32</v>
      </c>
      <c r="D268" s="53" t="s">
        <v>174</v>
      </c>
      <c r="E268" s="65" t="s">
        <v>583</v>
      </c>
      <c r="F268" s="53" t="s">
        <v>49</v>
      </c>
      <c r="G268" s="53" t="s">
        <v>36</v>
      </c>
      <c r="H268" s="53">
        <f>STOCK[[#This Row],[Precio Final]]</f>
        <v>10</v>
      </c>
      <c r="I268" s="53">
        <f>STOCK[[#This Row],[Precio Venta Ideal (x1.5)]]</f>
        <v>9.0400000000000045</v>
      </c>
      <c r="J268" s="69">
        <v>3</v>
      </c>
      <c r="K268" s="69">
        <f>SUMIFS(VENTAS[Cantidad],VENTAS[Código del producto Vendido],STOCK[[#This Row],[Code]])</f>
        <v>3</v>
      </c>
      <c r="L268" s="69">
        <f>STOCK[[#This Row],[Entradas]]-STOCK[[#This Row],[Salidas]]</f>
        <v>0</v>
      </c>
      <c r="M268" s="53">
        <f>STOCK[[#This Row],[Precio Final]]*10%</f>
        <v>1</v>
      </c>
      <c r="N268" s="53">
        <v>84</v>
      </c>
      <c r="O268" s="53">
        <v>18</v>
      </c>
      <c r="P268" s="53">
        <v>4.6666666666666696</v>
      </c>
      <c r="Q268" s="69">
        <v>45</v>
      </c>
      <c r="R268" s="53">
        <v>8</v>
      </c>
      <c r="S268" s="53">
        <f>STOCK[[#This Row],[Peso (g)]]*STOCK[[#This Row],[Precio Envío Kilogramo (USD)]]/1000</f>
        <v>0.36</v>
      </c>
      <c r="T268" s="53">
        <f>STOCK[[#This Row],[Costo Unitario (USD)]]+STOCK[[#This Row],[Costo Envío (USD)]]+STOCK[[#This Row],[Comisión 10%]]</f>
        <v>6.0266666666666699</v>
      </c>
      <c r="U268" s="53">
        <f>STOCK[[#This Row],[Costo total]]*1.5</f>
        <v>9.0400000000000045</v>
      </c>
      <c r="V268" s="53">
        <v>10</v>
      </c>
      <c r="W268" s="53">
        <f>STOCK[[#This Row],[Precio Final]]-STOCK[[#This Row],[Costo total]]</f>
        <v>3.9733333333333301</v>
      </c>
      <c r="X268" s="53">
        <f>STOCK[[#This Row],[Ganancia Unitaria]]*STOCK[[#This Row],[Salidas]]</f>
        <v>11.919999999999991</v>
      </c>
      <c r="AA268" s="53">
        <f>STOCK[[#This Row],[Costo total]]*STOCK[[#This Row],[Entradas]]</f>
        <v>18.080000000000009</v>
      </c>
      <c r="AB268" s="53">
        <f>STOCK[[#This Row],[Stock Actual]]*STOCK[[#This Row],[Costo total]]</f>
        <v>0</v>
      </c>
    </row>
    <row r="269" spans="1:29" s="54" customFormat="1" ht="50" customHeight="1">
      <c r="A269" s="54" t="s">
        <v>584</v>
      </c>
      <c r="B269" s="64"/>
      <c r="C269" s="54" t="s">
        <v>32</v>
      </c>
      <c r="D269" s="54" t="s">
        <v>174</v>
      </c>
      <c r="E269" s="66" t="s">
        <v>585</v>
      </c>
      <c r="F269" s="54" t="s">
        <v>586</v>
      </c>
      <c r="G269" s="54" t="s">
        <v>36</v>
      </c>
      <c r="H269" s="54">
        <f>STOCK[[#This Row],[Precio Final]]</f>
        <v>9</v>
      </c>
      <c r="I269" s="54">
        <f>STOCK[[#This Row],[Precio Venta Ideal (x1.5)]]</f>
        <v>9.139999999999997</v>
      </c>
      <c r="J269" s="70">
        <v>4</v>
      </c>
      <c r="K269" s="70">
        <f>SUMIFS(VENTAS[Cantidad],VENTAS[Código del producto Vendido],STOCK[[#This Row],[Code]])</f>
        <v>4</v>
      </c>
      <c r="L269" s="70">
        <f>STOCK[[#This Row],[Entradas]]-STOCK[[#This Row],[Salidas]]</f>
        <v>0</v>
      </c>
      <c r="M269" s="54">
        <f>STOCK[[#This Row],[Precio Final]]*10%</f>
        <v>0.9</v>
      </c>
      <c r="N269" s="54">
        <v>87</v>
      </c>
      <c r="O269" s="54">
        <v>18</v>
      </c>
      <c r="P269" s="54">
        <v>4.8333333333333304</v>
      </c>
      <c r="Q269" s="70">
        <v>45</v>
      </c>
      <c r="R269" s="54">
        <v>8</v>
      </c>
      <c r="S269" s="54">
        <f>STOCK[[#This Row],[Peso (g)]]*STOCK[[#This Row],[Precio Envío Kilogramo (USD)]]/1000</f>
        <v>0.36</v>
      </c>
      <c r="T269" s="53">
        <f>STOCK[[#This Row],[Costo Unitario (USD)]]+STOCK[[#This Row],[Costo Envío (USD)]]+STOCK[[#This Row],[Comisión 10%]]</f>
        <v>6.093333333333331</v>
      </c>
      <c r="U269" s="54">
        <f>STOCK[[#This Row],[Costo total]]*1.5</f>
        <v>9.139999999999997</v>
      </c>
      <c r="V269" s="54">
        <v>9</v>
      </c>
      <c r="W269" s="54">
        <f>STOCK[[#This Row],[Precio Final]]-STOCK[[#This Row],[Costo total]]</f>
        <v>2.906666666666669</v>
      </c>
      <c r="X269" s="54">
        <f>STOCK[[#This Row],[Ganancia Unitaria]]*STOCK[[#This Row],[Salidas]]</f>
        <v>11.626666666666676</v>
      </c>
      <c r="AA269" s="54">
        <f>STOCK[[#This Row],[Costo total]]*STOCK[[#This Row],[Entradas]]</f>
        <v>24.373333333333324</v>
      </c>
      <c r="AB269" s="54">
        <f>STOCK[[#This Row],[Stock Actual]]*STOCK[[#This Row],[Costo total]]</f>
        <v>0</v>
      </c>
    </row>
    <row r="270" spans="1:29" s="53" customFormat="1" ht="50" customHeight="1">
      <c r="A270" s="53" t="s">
        <v>587</v>
      </c>
      <c r="B270" s="64"/>
      <c r="C270" s="53" t="s">
        <v>32</v>
      </c>
      <c r="D270" s="53" t="s">
        <v>294</v>
      </c>
      <c r="E270" s="65" t="s">
        <v>585</v>
      </c>
      <c r="F270" s="53" t="s">
        <v>62</v>
      </c>
      <c r="G270" s="53" t="s">
        <v>36</v>
      </c>
      <c r="H270" s="53">
        <f>STOCK[[#This Row],[Precio Final]]</f>
        <v>12</v>
      </c>
      <c r="I270" s="53">
        <f>STOCK[[#This Row],[Precio Venta Ideal (x1.5)]]</f>
        <v>9.5899999999999963</v>
      </c>
      <c r="J270" s="69">
        <v>4</v>
      </c>
      <c r="K270" s="69">
        <f>SUMIFS(VENTAS[Cantidad],VENTAS[Código del producto Vendido],STOCK[[#This Row],[Code]])</f>
        <v>4</v>
      </c>
      <c r="L270" s="69">
        <f>STOCK[[#This Row],[Entradas]]-STOCK[[#This Row],[Salidas]]</f>
        <v>0</v>
      </c>
      <c r="M270" s="53">
        <f>STOCK[[#This Row],[Precio Final]]*10%</f>
        <v>1.2000000000000002</v>
      </c>
      <c r="N270" s="53">
        <v>87</v>
      </c>
      <c r="O270" s="53">
        <v>18</v>
      </c>
      <c r="P270" s="53">
        <v>4.8333333333333304</v>
      </c>
      <c r="Q270" s="69">
        <v>45</v>
      </c>
      <c r="R270" s="53">
        <v>8</v>
      </c>
      <c r="S270" s="53">
        <f>STOCK[[#This Row],[Peso (g)]]*STOCK[[#This Row],[Precio Envío Kilogramo (USD)]]/1000</f>
        <v>0.36</v>
      </c>
      <c r="T270" s="53">
        <f>STOCK[[#This Row],[Costo Unitario (USD)]]+STOCK[[#This Row],[Costo Envío (USD)]]+STOCK[[#This Row],[Comisión 10%]]</f>
        <v>6.3933333333333309</v>
      </c>
      <c r="U270" s="53">
        <f>STOCK[[#This Row],[Costo total]]*1.5</f>
        <v>9.5899999999999963</v>
      </c>
      <c r="V270" s="53">
        <v>12</v>
      </c>
      <c r="W270" s="53">
        <f>STOCK[[#This Row],[Precio Final]]-STOCK[[#This Row],[Costo total]]</f>
        <v>5.6066666666666691</v>
      </c>
      <c r="X270" s="53">
        <f>STOCK[[#This Row],[Ganancia Unitaria]]*STOCK[[#This Row],[Salidas]]</f>
        <v>22.426666666666677</v>
      </c>
      <c r="AA270" s="53">
        <f>STOCK[[#This Row],[Costo total]]*STOCK[[#This Row],[Entradas]]</f>
        <v>25.573333333333323</v>
      </c>
      <c r="AB270" s="53">
        <f>STOCK[[#This Row],[Stock Actual]]*STOCK[[#This Row],[Costo total]]</f>
        <v>0</v>
      </c>
      <c r="AC270" s="53">
        <v>9</v>
      </c>
    </row>
    <row r="271" spans="1:29" s="54" customFormat="1" ht="50" customHeight="1">
      <c r="A271" s="54" t="s">
        <v>588</v>
      </c>
      <c r="B271" s="64"/>
      <c r="C271" s="54" t="s">
        <v>32</v>
      </c>
      <c r="D271" s="53" t="s">
        <v>294</v>
      </c>
      <c r="E271" s="66" t="s">
        <v>589</v>
      </c>
      <c r="F271" s="54" t="s">
        <v>40</v>
      </c>
      <c r="G271" s="54" t="s">
        <v>36</v>
      </c>
      <c r="H271" s="54">
        <f>STOCK[[#This Row],[Precio Final]]</f>
        <v>12</v>
      </c>
      <c r="I271" s="54">
        <f>STOCK[[#This Row],[Precio Venta Ideal (x1.5)]]</f>
        <v>10.4025</v>
      </c>
      <c r="J271" s="70">
        <v>3</v>
      </c>
      <c r="K271" s="70">
        <f>SUMIFS(VENTAS[Cantidad],VENTAS[Código del producto Vendido],STOCK[[#This Row],[Code]])</f>
        <v>2</v>
      </c>
      <c r="L271" s="70">
        <f>STOCK[[#This Row],[Entradas]]-STOCK[[#This Row],[Salidas]]</f>
        <v>1</v>
      </c>
      <c r="M271" s="54">
        <f>STOCK[[#This Row],[Precio Final]]*10%</f>
        <v>1.2000000000000002</v>
      </c>
      <c r="N271" s="54">
        <v>96.75</v>
      </c>
      <c r="O271" s="54">
        <v>18</v>
      </c>
      <c r="P271" s="54">
        <v>5.375</v>
      </c>
      <c r="Q271" s="70">
        <v>45</v>
      </c>
      <c r="R271" s="54">
        <v>8</v>
      </c>
      <c r="S271" s="54">
        <f>STOCK[[#This Row],[Peso (g)]]*STOCK[[#This Row],[Precio Envío Kilogramo (USD)]]/1000</f>
        <v>0.36</v>
      </c>
      <c r="T271" s="53">
        <f>STOCK[[#This Row],[Costo Unitario (USD)]]+STOCK[[#This Row],[Costo Envío (USD)]]+STOCK[[#This Row],[Comisión 10%]]</f>
        <v>6.9350000000000005</v>
      </c>
      <c r="U271" s="54">
        <f>STOCK[[#This Row],[Costo total]]*1.5</f>
        <v>10.4025</v>
      </c>
      <c r="V271" s="54">
        <v>12</v>
      </c>
      <c r="W271" s="54">
        <f>STOCK[[#This Row],[Precio Final]]-STOCK[[#This Row],[Costo total]]</f>
        <v>5.0649999999999995</v>
      </c>
      <c r="X271" s="54">
        <f>STOCK[[#This Row],[Ganancia Unitaria]]*STOCK[[#This Row],[Salidas]]</f>
        <v>10.129999999999999</v>
      </c>
      <c r="AA271" s="54">
        <f>STOCK[[#This Row],[Costo total]]*STOCK[[#This Row],[Entradas]]</f>
        <v>20.805</v>
      </c>
      <c r="AB271" s="54">
        <f>STOCK[[#This Row],[Stock Actual]]*STOCK[[#This Row],[Costo total]]</f>
        <v>6.9350000000000005</v>
      </c>
      <c r="AC271" s="54">
        <v>9</v>
      </c>
    </row>
    <row r="272" spans="1:29" s="53" customFormat="1" ht="50" customHeight="1">
      <c r="A272" s="53" t="s">
        <v>590</v>
      </c>
      <c r="B272" s="64"/>
      <c r="C272" s="53" t="s">
        <v>32</v>
      </c>
      <c r="D272" s="53" t="s">
        <v>294</v>
      </c>
      <c r="E272" s="65" t="s">
        <v>591</v>
      </c>
      <c r="F272" s="53" t="s">
        <v>62</v>
      </c>
      <c r="G272" s="53" t="s">
        <v>36</v>
      </c>
      <c r="H272" s="53">
        <f>STOCK[[#This Row],[Precio Final]]</f>
        <v>15</v>
      </c>
      <c r="I272" s="53">
        <f>STOCK[[#This Row],[Precio Venta Ideal (x1.5)]]</f>
        <v>10.852500000000001</v>
      </c>
      <c r="J272" s="69">
        <v>1</v>
      </c>
      <c r="K272" s="69">
        <f>SUMIFS(VENTAS[Cantidad],VENTAS[Código del producto Vendido],STOCK[[#This Row],[Code]])</f>
        <v>1</v>
      </c>
      <c r="L272" s="69">
        <f>STOCK[[#This Row],[Entradas]]-STOCK[[#This Row],[Salidas]]</f>
        <v>0</v>
      </c>
      <c r="M272" s="53">
        <f>STOCK[[#This Row],[Precio Final]]*10%</f>
        <v>1.5</v>
      </c>
      <c r="N272" s="53">
        <v>96.75</v>
      </c>
      <c r="O272" s="53">
        <v>18</v>
      </c>
      <c r="P272" s="53">
        <v>5.375</v>
      </c>
      <c r="Q272" s="69">
        <v>45</v>
      </c>
      <c r="R272" s="53">
        <v>8</v>
      </c>
      <c r="S272" s="53">
        <f>STOCK[[#This Row],[Peso (g)]]*STOCK[[#This Row],[Precio Envío Kilogramo (USD)]]/1000</f>
        <v>0.36</v>
      </c>
      <c r="T272" s="53">
        <f>STOCK[[#This Row],[Costo Unitario (USD)]]+STOCK[[#This Row],[Costo Envío (USD)]]+STOCK[[#This Row],[Comisión 10%]]</f>
        <v>7.2350000000000003</v>
      </c>
      <c r="U272" s="53">
        <f>STOCK[[#This Row],[Costo total]]*1.5</f>
        <v>10.852500000000001</v>
      </c>
      <c r="V272" s="53">
        <v>15</v>
      </c>
      <c r="W272" s="53">
        <f>STOCK[[#This Row],[Precio Final]]-STOCK[[#This Row],[Costo total]]</f>
        <v>7.7649999999999997</v>
      </c>
      <c r="X272" s="53">
        <f>STOCK[[#This Row],[Ganancia Unitaria]]*STOCK[[#This Row],[Salidas]]</f>
        <v>7.7649999999999997</v>
      </c>
      <c r="AA272" s="53">
        <f>STOCK[[#This Row],[Costo total]]*STOCK[[#This Row],[Entradas]]</f>
        <v>7.2350000000000003</v>
      </c>
      <c r="AB272" s="53">
        <f>STOCK[[#This Row],[Stock Actual]]*STOCK[[#This Row],[Costo total]]</f>
        <v>0</v>
      </c>
    </row>
    <row r="273" spans="1:29" s="54" customFormat="1" ht="50" customHeight="1">
      <c r="A273" s="54" t="s">
        <v>592</v>
      </c>
      <c r="B273" s="64"/>
      <c r="C273" s="54" t="s">
        <v>32</v>
      </c>
      <c r="D273" s="53" t="s">
        <v>294</v>
      </c>
      <c r="E273" s="66" t="s">
        <v>593</v>
      </c>
      <c r="F273" s="54" t="s">
        <v>49</v>
      </c>
      <c r="G273" s="54" t="s">
        <v>36</v>
      </c>
      <c r="H273" s="54">
        <f>STOCK[[#This Row],[Precio Final]]</f>
        <v>15</v>
      </c>
      <c r="I273" s="54">
        <f>STOCK[[#This Row],[Precio Venta Ideal (x1.5)]]</f>
        <v>10.852500000000001</v>
      </c>
      <c r="J273" s="70">
        <v>3</v>
      </c>
      <c r="K273" s="70">
        <f>SUMIFS(VENTAS[Cantidad],VENTAS[Código del producto Vendido],STOCK[[#This Row],[Code]])</f>
        <v>3</v>
      </c>
      <c r="L273" s="70">
        <f>STOCK[[#This Row],[Entradas]]-STOCK[[#This Row],[Salidas]]</f>
        <v>0</v>
      </c>
      <c r="M273" s="54">
        <f>STOCK[[#This Row],[Precio Final]]*10%</f>
        <v>1.5</v>
      </c>
      <c r="N273" s="54">
        <v>96.75</v>
      </c>
      <c r="O273" s="54">
        <v>18</v>
      </c>
      <c r="P273" s="54">
        <v>5.375</v>
      </c>
      <c r="Q273" s="70">
        <v>45</v>
      </c>
      <c r="R273" s="54">
        <v>8</v>
      </c>
      <c r="S273" s="54">
        <f>STOCK[[#This Row],[Peso (g)]]*STOCK[[#This Row],[Precio Envío Kilogramo (USD)]]/1000</f>
        <v>0.36</v>
      </c>
      <c r="T273" s="53">
        <f>STOCK[[#This Row],[Costo Unitario (USD)]]+STOCK[[#This Row],[Costo Envío (USD)]]+STOCK[[#This Row],[Comisión 10%]]</f>
        <v>7.2350000000000003</v>
      </c>
      <c r="U273" s="54">
        <f>STOCK[[#This Row],[Costo total]]*1.5</f>
        <v>10.852500000000001</v>
      </c>
      <c r="V273" s="54">
        <v>15</v>
      </c>
      <c r="W273" s="54">
        <f>STOCK[[#This Row],[Precio Final]]-STOCK[[#This Row],[Costo total]]</f>
        <v>7.7649999999999997</v>
      </c>
      <c r="X273" s="54">
        <f>STOCK[[#This Row],[Ganancia Unitaria]]*STOCK[[#This Row],[Salidas]]</f>
        <v>23.294999999999998</v>
      </c>
      <c r="AA273" s="54">
        <f>STOCK[[#This Row],[Costo total]]*STOCK[[#This Row],[Entradas]]</f>
        <v>21.705000000000002</v>
      </c>
      <c r="AB273" s="54">
        <f>STOCK[[#This Row],[Stock Actual]]*STOCK[[#This Row],[Costo total]]</f>
        <v>0</v>
      </c>
    </row>
    <row r="274" spans="1:29" s="53" customFormat="1" ht="50" customHeight="1">
      <c r="A274" s="53" t="s">
        <v>594</v>
      </c>
      <c r="B274" s="64"/>
      <c r="C274" s="53" t="s">
        <v>32</v>
      </c>
      <c r="D274" s="53" t="s">
        <v>294</v>
      </c>
      <c r="E274" s="65" t="s">
        <v>595</v>
      </c>
      <c r="F274" s="53" t="s">
        <v>40</v>
      </c>
      <c r="G274" s="53" t="s">
        <v>36</v>
      </c>
      <c r="H274" s="53">
        <f>STOCK[[#This Row],[Precio Final]]</f>
        <v>12</v>
      </c>
      <c r="I274" s="53">
        <f>STOCK[[#This Row],[Precio Venta Ideal (x1.5)]]</f>
        <v>9.4024999999999963</v>
      </c>
      <c r="J274" s="69">
        <v>3</v>
      </c>
      <c r="K274" s="69">
        <f>SUMIFS(VENTAS[Cantidad],VENTAS[Código del producto Vendido],STOCK[[#This Row],[Code]])</f>
        <v>0</v>
      </c>
      <c r="L274" s="69">
        <f>STOCK[[#This Row],[Entradas]]-STOCK[[#This Row],[Salidas]]</f>
        <v>3</v>
      </c>
      <c r="M274" s="53">
        <f>STOCK[[#This Row],[Precio Final]]*10%</f>
        <v>1.2000000000000002</v>
      </c>
      <c r="N274" s="53">
        <v>84.75</v>
      </c>
      <c r="O274" s="53">
        <v>18</v>
      </c>
      <c r="P274" s="53">
        <v>4.7083333333333304</v>
      </c>
      <c r="Q274" s="69">
        <v>45</v>
      </c>
      <c r="R274" s="53">
        <v>8</v>
      </c>
      <c r="S274" s="53">
        <f>STOCK[[#This Row],[Peso (g)]]*STOCK[[#This Row],[Precio Envío Kilogramo (USD)]]/1000</f>
        <v>0.36</v>
      </c>
      <c r="T274" s="53">
        <f>STOCK[[#This Row],[Costo Unitario (USD)]]+STOCK[[#This Row],[Costo Envío (USD)]]+STOCK[[#This Row],[Comisión 10%]]</f>
        <v>6.2683333333333309</v>
      </c>
      <c r="U274" s="53">
        <f>STOCK[[#This Row],[Costo total]]*1.5</f>
        <v>9.4024999999999963</v>
      </c>
      <c r="V274" s="53">
        <v>12</v>
      </c>
      <c r="W274" s="53">
        <f>STOCK[[#This Row],[Precio Final]]-STOCK[[#This Row],[Costo total]]</f>
        <v>5.7316666666666691</v>
      </c>
      <c r="X274" s="53">
        <f>STOCK[[#This Row],[Ganancia Unitaria]]*STOCK[[#This Row],[Salidas]]</f>
        <v>0</v>
      </c>
      <c r="AA274" s="53">
        <f>STOCK[[#This Row],[Costo total]]*STOCK[[#This Row],[Entradas]]</f>
        <v>18.804999999999993</v>
      </c>
      <c r="AB274" s="53">
        <f>STOCK[[#This Row],[Stock Actual]]*STOCK[[#This Row],[Costo total]]</f>
        <v>18.804999999999993</v>
      </c>
      <c r="AC274" s="53">
        <v>9</v>
      </c>
    </row>
    <row r="275" spans="1:29" s="54" customFormat="1" ht="50" customHeight="1">
      <c r="A275" s="54" t="s">
        <v>596</v>
      </c>
      <c r="B275" s="64"/>
      <c r="C275" s="54" t="s">
        <v>32</v>
      </c>
      <c r="D275" s="54" t="s">
        <v>174</v>
      </c>
      <c r="E275" s="66" t="s">
        <v>595</v>
      </c>
      <c r="F275" s="54" t="s">
        <v>62</v>
      </c>
      <c r="G275" s="54" t="s">
        <v>36</v>
      </c>
      <c r="H275" s="54">
        <f>STOCK[[#This Row],[Precio Final]]</f>
        <v>9</v>
      </c>
      <c r="I275" s="54">
        <f>STOCK[[#This Row],[Precio Venta Ideal (x1.5)]]</f>
        <v>8.952499999999997</v>
      </c>
      <c r="J275" s="70">
        <v>4</v>
      </c>
      <c r="K275" s="70">
        <f>SUMIFS(VENTAS[Cantidad],VENTAS[Código del producto Vendido],STOCK[[#This Row],[Code]])</f>
        <v>4</v>
      </c>
      <c r="L275" s="70">
        <f>STOCK[[#This Row],[Entradas]]-STOCK[[#This Row],[Salidas]]</f>
        <v>0</v>
      </c>
      <c r="M275" s="54">
        <f>STOCK[[#This Row],[Precio Final]]*10%</f>
        <v>0.9</v>
      </c>
      <c r="N275" s="54">
        <v>84.75</v>
      </c>
      <c r="O275" s="54">
        <v>18</v>
      </c>
      <c r="P275" s="54">
        <v>4.7083333333333304</v>
      </c>
      <c r="Q275" s="70">
        <v>45</v>
      </c>
      <c r="R275" s="54">
        <v>8</v>
      </c>
      <c r="S275" s="54">
        <f>STOCK[[#This Row],[Peso (g)]]*STOCK[[#This Row],[Precio Envío Kilogramo (USD)]]/1000</f>
        <v>0.36</v>
      </c>
      <c r="T275" s="53">
        <f>STOCK[[#This Row],[Costo Unitario (USD)]]+STOCK[[#This Row],[Costo Envío (USD)]]+STOCK[[#This Row],[Comisión 10%]]</f>
        <v>5.968333333333331</v>
      </c>
      <c r="U275" s="54">
        <f>STOCK[[#This Row],[Costo total]]*1.5</f>
        <v>8.952499999999997</v>
      </c>
      <c r="V275" s="54">
        <v>9</v>
      </c>
      <c r="W275" s="54">
        <f>STOCK[[#This Row],[Precio Final]]-STOCK[[#This Row],[Costo total]]</f>
        <v>3.031666666666669</v>
      </c>
      <c r="X275" s="54">
        <f>STOCK[[#This Row],[Ganancia Unitaria]]*STOCK[[#This Row],[Salidas]]</f>
        <v>12.126666666666676</v>
      </c>
      <c r="AA275" s="54">
        <f>STOCK[[#This Row],[Costo total]]*STOCK[[#This Row],[Entradas]]</f>
        <v>23.873333333333324</v>
      </c>
      <c r="AB275" s="54">
        <f>STOCK[[#This Row],[Stock Actual]]*STOCK[[#This Row],[Costo total]]</f>
        <v>0</v>
      </c>
    </row>
    <row r="276" spans="1:29" s="53" customFormat="1" ht="50" customHeight="1">
      <c r="A276" s="53" t="s">
        <v>597</v>
      </c>
      <c r="B276" s="64"/>
      <c r="C276" s="53" t="s">
        <v>32</v>
      </c>
      <c r="D276" s="53" t="s">
        <v>294</v>
      </c>
      <c r="E276" s="65" t="s">
        <v>595</v>
      </c>
      <c r="F276" s="53" t="s">
        <v>49</v>
      </c>
      <c r="G276" s="53" t="s">
        <v>36</v>
      </c>
      <c r="H276" s="53">
        <f>STOCK[[#This Row],[Precio Final]]</f>
        <v>12</v>
      </c>
      <c r="I276" s="53">
        <f>STOCK[[#This Row],[Precio Venta Ideal (x1.5)]]</f>
        <v>9.4024999999999963</v>
      </c>
      <c r="J276" s="69">
        <v>3</v>
      </c>
      <c r="K276" s="69">
        <f>SUMIFS(VENTAS[Cantidad],VENTAS[Código del producto Vendido],STOCK[[#This Row],[Code]])</f>
        <v>3</v>
      </c>
      <c r="L276" s="69">
        <f>STOCK[[#This Row],[Entradas]]-STOCK[[#This Row],[Salidas]]</f>
        <v>0</v>
      </c>
      <c r="M276" s="53">
        <f>STOCK[[#This Row],[Precio Final]]*10%</f>
        <v>1.2000000000000002</v>
      </c>
      <c r="N276" s="53">
        <v>84.75</v>
      </c>
      <c r="O276" s="53">
        <v>18</v>
      </c>
      <c r="P276" s="53">
        <v>4.7083333333333304</v>
      </c>
      <c r="Q276" s="69">
        <v>45</v>
      </c>
      <c r="R276" s="53">
        <v>8</v>
      </c>
      <c r="S276" s="53">
        <f>STOCK[[#This Row],[Peso (g)]]*STOCK[[#This Row],[Precio Envío Kilogramo (USD)]]/1000</f>
        <v>0.36</v>
      </c>
      <c r="T276" s="53">
        <f>STOCK[[#This Row],[Costo Unitario (USD)]]+STOCK[[#This Row],[Costo Envío (USD)]]+STOCK[[#This Row],[Comisión 10%]]</f>
        <v>6.2683333333333309</v>
      </c>
      <c r="U276" s="53">
        <f>STOCK[[#This Row],[Costo total]]*1.5</f>
        <v>9.4024999999999963</v>
      </c>
      <c r="V276" s="53">
        <v>12</v>
      </c>
      <c r="W276" s="53">
        <f>STOCK[[#This Row],[Precio Final]]-STOCK[[#This Row],[Costo total]]</f>
        <v>5.7316666666666691</v>
      </c>
      <c r="X276" s="53">
        <f>STOCK[[#This Row],[Ganancia Unitaria]]*STOCK[[#This Row],[Salidas]]</f>
        <v>17.195000000000007</v>
      </c>
      <c r="AA276" s="53">
        <f>STOCK[[#This Row],[Costo total]]*STOCK[[#This Row],[Entradas]]</f>
        <v>18.804999999999993</v>
      </c>
      <c r="AB276" s="53">
        <f>STOCK[[#This Row],[Stock Actual]]*STOCK[[#This Row],[Costo total]]</f>
        <v>0</v>
      </c>
      <c r="AC276" s="53">
        <v>9</v>
      </c>
    </row>
    <row r="277" spans="1:29" s="54" customFormat="1" ht="50" customHeight="1">
      <c r="A277" s="54" t="s">
        <v>598</v>
      </c>
      <c r="B277" s="64"/>
      <c r="C277" s="54" t="s">
        <v>32</v>
      </c>
      <c r="D277" s="53" t="s">
        <v>294</v>
      </c>
      <c r="E277" s="66" t="s">
        <v>599</v>
      </c>
      <c r="F277" s="54" t="s">
        <v>40</v>
      </c>
      <c r="G277" s="54" t="s">
        <v>36</v>
      </c>
      <c r="H277" s="54">
        <f>STOCK[[#This Row],[Precio Final]]</f>
        <v>12</v>
      </c>
      <c r="I277" s="54">
        <f>STOCK[[#This Row],[Precio Venta Ideal (x1.5)]]</f>
        <v>10.152499999999996</v>
      </c>
      <c r="J277" s="70">
        <v>3</v>
      </c>
      <c r="K277" s="70">
        <f>SUMIFS(VENTAS[Cantidad],VENTAS[Código del producto Vendido],STOCK[[#This Row],[Code]])</f>
        <v>2</v>
      </c>
      <c r="L277" s="70">
        <f>STOCK[[#This Row],[Entradas]]-STOCK[[#This Row],[Salidas]]</f>
        <v>1</v>
      </c>
      <c r="M277" s="54">
        <f>STOCK[[#This Row],[Precio Final]]*10%</f>
        <v>1.2000000000000002</v>
      </c>
      <c r="N277" s="54">
        <v>93.75</v>
      </c>
      <c r="O277" s="54">
        <v>18</v>
      </c>
      <c r="P277" s="54">
        <v>5.2083333333333304</v>
      </c>
      <c r="Q277" s="70">
        <v>45</v>
      </c>
      <c r="R277" s="54">
        <v>8</v>
      </c>
      <c r="S277" s="54">
        <f>STOCK[[#This Row],[Peso (g)]]*STOCK[[#This Row],[Precio Envío Kilogramo (USD)]]/1000</f>
        <v>0.36</v>
      </c>
      <c r="T277" s="53">
        <f>STOCK[[#This Row],[Costo Unitario (USD)]]+STOCK[[#This Row],[Costo Envío (USD)]]+STOCK[[#This Row],[Comisión 10%]]</f>
        <v>6.7683333333333309</v>
      </c>
      <c r="U277" s="54">
        <f>STOCK[[#This Row],[Costo total]]*1.5</f>
        <v>10.152499999999996</v>
      </c>
      <c r="V277" s="54">
        <v>12</v>
      </c>
      <c r="W277" s="54">
        <f>STOCK[[#This Row],[Precio Final]]-STOCK[[#This Row],[Costo total]]</f>
        <v>5.2316666666666691</v>
      </c>
      <c r="X277" s="54">
        <f>STOCK[[#This Row],[Ganancia Unitaria]]*STOCK[[#This Row],[Salidas]]</f>
        <v>10.463333333333338</v>
      </c>
      <c r="AA277" s="54">
        <f>STOCK[[#This Row],[Costo total]]*STOCK[[#This Row],[Entradas]]</f>
        <v>20.304999999999993</v>
      </c>
      <c r="AB277" s="54">
        <f>STOCK[[#This Row],[Stock Actual]]*STOCK[[#This Row],[Costo total]]</f>
        <v>6.7683333333333309</v>
      </c>
      <c r="AC277" s="54">
        <v>9</v>
      </c>
    </row>
    <row r="278" spans="1:29" s="53" customFormat="1" ht="50" customHeight="1">
      <c r="A278" s="53" t="s">
        <v>600</v>
      </c>
      <c r="B278" s="64"/>
      <c r="C278" s="53" t="s">
        <v>32</v>
      </c>
      <c r="D278" s="53" t="s">
        <v>294</v>
      </c>
      <c r="E278" s="65" t="s">
        <v>599</v>
      </c>
      <c r="F278" s="53" t="s">
        <v>62</v>
      </c>
      <c r="G278" s="53" t="s">
        <v>36</v>
      </c>
      <c r="H278" s="53">
        <f>STOCK[[#This Row],[Precio Final]]</f>
        <v>12</v>
      </c>
      <c r="I278" s="53">
        <f>STOCK[[#This Row],[Precio Venta Ideal (x1.5)]]</f>
        <v>10.152499999999996</v>
      </c>
      <c r="J278" s="69">
        <v>3</v>
      </c>
      <c r="K278" s="69">
        <f>SUMIFS(VENTAS[Cantidad],VENTAS[Código del producto Vendido],STOCK[[#This Row],[Code]])</f>
        <v>2</v>
      </c>
      <c r="L278" s="69">
        <f>STOCK[[#This Row],[Entradas]]-STOCK[[#This Row],[Salidas]]</f>
        <v>1</v>
      </c>
      <c r="M278" s="53">
        <f>STOCK[[#This Row],[Precio Final]]*10%</f>
        <v>1.2000000000000002</v>
      </c>
      <c r="N278" s="53">
        <v>93.75</v>
      </c>
      <c r="O278" s="53">
        <v>18</v>
      </c>
      <c r="P278" s="53">
        <v>5.2083333333333304</v>
      </c>
      <c r="Q278" s="69">
        <v>45</v>
      </c>
      <c r="R278" s="53">
        <v>8</v>
      </c>
      <c r="S278" s="53">
        <f>STOCK[[#This Row],[Peso (g)]]*STOCK[[#This Row],[Precio Envío Kilogramo (USD)]]/1000</f>
        <v>0.36</v>
      </c>
      <c r="T278" s="53">
        <f>STOCK[[#This Row],[Costo Unitario (USD)]]+STOCK[[#This Row],[Costo Envío (USD)]]+STOCK[[#This Row],[Comisión 10%]]</f>
        <v>6.7683333333333309</v>
      </c>
      <c r="U278" s="53">
        <f>STOCK[[#This Row],[Costo total]]*1.5</f>
        <v>10.152499999999996</v>
      </c>
      <c r="V278" s="53">
        <v>12</v>
      </c>
      <c r="W278" s="53">
        <f>STOCK[[#This Row],[Precio Final]]-STOCK[[#This Row],[Costo total]]</f>
        <v>5.2316666666666691</v>
      </c>
      <c r="X278" s="53">
        <f>STOCK[[#This Row],[Ganancia Unitaria]]*STOCK[[#This Row],[Salidas]]</f>
        <v>10.463333333333338</v>
      </c>
      <c r="AA278" s="53">
        <f>STOCK[[#This Row],[Costo total]]*STOCK[[#This Row],[Entradas]]</f>
        <v>20.304999999999993</v>
      </c>
      <c r="AB278" s="53">
        <f>STOCK[[#This Row],[Stock Actual]]*STOCK[[#This Row],[Costo total]]</f>
        <v>6.7683333333333309</v>
      </c>
      <c r="AC278" s="53">
        <v>9</v>
      </c>
    </row>
    <row r="279" spans="1:29" s="54" customFormat="1" ht="50" customHeight="1">
      <c r="A279" s="54" t="s">
        <v>601</v>
      </c>
      <c r="B279" s="64"/>
      <c r="C279" s="54" t="s">
        <v>32</v>
      </c>
      <c r="D279" s="54" t="s">
        <v>294</v>
      </c>
      <c r="E279" s="66" t="s">
        <v>599</v>
      </c>
      <c r="F279" s="54" t="s">
        <v>49</v>
      </c>
      <c r="G279" s="54" t="s">
        <v>36</v>
      </c>
      <c r="H279" s="54">
        <f>STOCK[[#This Row],[Precio Final]]</f>
        <v>12</v>
      </c>
      <c r="I279" s="54">
        <f>STOCK[[#This Row],[Precio Venta Ideal (x1.5)]]</f>
        <v>10.152499999999996</v>
      </c>
      <c r="J279" s="70">
        <v>3</v>
      </c>
      <c r="K279" s="70">
        <f>SUMIFS(VENTAS[Cantidad],VENTAS[Código del producto Vendido],STOCK[[#This Row],[Code]])</f>
        <v>2</v>
      </c>
      <c r="L279" s="70">
        <f>STOCK[[#This Row],[Entradas]]-STOCK[[#This Row],[Salidas]]</f>
        <v>1</v>
      </c>
      <c r="M279" s="54">
        <f>STOCK[[#This Row],[Precio Final]]*10%</f>
        <v>1.2000000000000002</v>
      </c>
      <c r="N279" s="54">
        <v>93.75</v>
      </c>
      <c r="O279" s="54">
        <v>18</v>
      </c>
      <c r="P279" s="54">
        <v>5.2083333333333304</v>
      </c>
      <c r="Q279" s="70">
        <v>45</v>
      </c>
      <c r="R279" s="54">
        <v>8</v>
      </c>
      <c r="S279" s="54">
        <f>STOCK[[#This Row],[Peso (g)]]*STOCK[[#This Row],[Precio Envío Kilogramo (USD)]]/1000</f>
        <v>0.36</v>
      </c>
      <c r="T279" s="53">
        <f>STOCK[[#This Row],[Costo Unitario (USD)]]+STOCK[[#This Row],[Costo Envío (USD)]]+STOCK[[#This Row],[Comisión 10%]]</f>
        <v>6.7683333333333309</v>
      </c>
      <c r="U279" s="54">
        <f>STOCK[[#This Row],[Costo total]]*1.5</f>
        <v>10.152499999999996</v>
      </c>
      <c r="V279" s="54">
        <v>12</v>
      </c>
      <c r="W279" s="54">
        <f>STOCK[[#This Row],[Precio Final]]-STOCK[[#This Row],[Costo total]]</f>
        <v>5.2316666666666691</v>
      </c>
      <c r="X279" s="54">
        <f>STOCK[[#This Row],[Ganancia Unitaria]]*STOCK[[#This Row],[Salidas]]</f>
        <v>10.463333333333338</v>
      </c>
      <c r="AA279" s="54">
        <f>STOCK[[#This Row],[Costo total]]*STOCK[[#This Row],[Entradas]]</f>
        <v>20.304999999999993</v>
      </c>
      <c r="AB279" s="54">
        <f>STOCK[[#This Row],[Stock Actual]]*STOCK[[#This Row],[Costo total]]</f>
        <v>6.7683333333333309</v>
      </c>
      <c r="AC279" s="54">
        <v>9</v>
      </c>
    </row>
    <row r="280" spans="1:29" s="53" customFormat="1" ht="50" customHeight="1">
      <c r="A280" s="53" t="s">
        <v>602</v>
      </c>
      <c r="B280" s="64"/>
      <c r="C280" s="53" t="s">
        <v>32</v>
      </c>
      <c r="D280" s="53" t="s">
        <v>44</v>
      </c>
      <c r="E280" s="65" t="s">
        <v>603</v>
      </c>
      <c r="F280" s="53" t="s">
        <v>40</v>
      </c>
      <c r="G280" s="53" t="s">
        <v>36</v>
      </c>
      <c r="H280" s="53">
        <f>STOCK[[#This Row],[Precio Final]]</f>
        <v>20</v>
      </c>
      <c r="I280" s="53">
        <f>STOCK[[#This Row],[Precio Venta Ideal (x1.5)]]</f>
        <v>19.083333333333329</v>
      </c>
      <c r="J280" s="69">
        <v>4</v>
      </c>
      <c r="K280" s="69">
        <f>SUMIFS(VENTAS[Cantidad],VENTAS[Código del producto Vendido],STOCK[[#This Row],[Code]])</f>
        <v>2</v>
      </c>
      <c r="L280" s="69">
        <f>STOCK[[#This Row],[Entradas]]-STOCK[[#This Row],[Salidas]]</f>
        <v>2</v>
      </c>
      <c r="M280" s="53">
        <f>STOCK[[#This Row],[Precio Final]]*10%</f>
        <v>2</v>
      </c>
      <c r="N280" s="53">
        <v>166</v>
      </c>
      <c r="O280" s="53">
        <v>18</v>
      </c>
      <c r="P280" s="53">
        <v>9.2222222222222197</v>
      </c>
      <c r="Q280" s="69">
        <v>150</v>
      </c>
      <c r="R280" s="53">
        <v>10</v>
      </c>
      <c r="S280" s="53">
        <f>STOCK[[#This Row],[Peso (g)]]*STOCK[[#This Row],[Precio Envío Kilogramo (USD)]]/1000</f>
        <v>1.5</v>
      </c>
      <c r="T280" s="53">
        <f>STOCK[[#This Row],[Costo Unitario (USD)]]+STOCK[[#This Row],[Costo Envío (USD)]]+STOCK[[#This Row],[Comisión 10%]]</f>
        <v>12.72222222222222</v>
      </c>
      <c r="U280" s="53">
        <f>STOCK[[#This Row],[Costo total]]*1.5</f>
        <v>19.083333333333329</v>
      </c>
      <c r="V280" s="53">
        <v>20</v>
      </c>
      <c r="W280" s="53">
        <f>STOCK[[#This Row],[Precio Final]]-STOCK[[#This Row],[Costo total]]</f>
        <v>7.2777777777777803</v>
      </c>
      <c r="X280" s="53">
        <f>STOCK[[#This Row],[Ganancia Unitaria]]*STOCK[[#This Row],[Salidas]]</f>
        <v>14.555555555555561</v>
      </c>
      <c r="AA280" s="53">
        <f>STOCK[[#This Row],[Costo total]]*STOCK[[#This Row],[Entradas]]</f>
        <v>50.888888888888879</v>
      </c>
      <c r="AB280" s="53">
        <f>STOCK[[#This Row],[Stock Actual]]*STOCK[[#This Row],[Costo total]]</f>
        <v>25.444444444444439</v>
      </c>
      <c r="AC280" s="53">
        <v>18</v>
      </c>
    </row>
    <row r="281" spans="1:29" s="54" customFormat="1" ht="50" customHeight="1">
      <c r="A281" s="54" t="s">
        <v>604</v>
      </c>
      <c r="B281" s="64"/>
      <c r="C281" s="54" t="s">
        <v>32</v>
      </c>
      <c r="D281" s="54" t="s">
        <v>44</v>
      </c>
      <c r="E281" s="66" t="s">
        <v>603</v>
      </c>
      <c r="F281" s="54" t="s">
        <v>62</v>
      </c>
      <c r="G281" s="54" t="s">
        <v>36</v>
      </c>
      <c r="H281" s="54">
        <f>STOCK[[#This Row],[Precio Final]]</f>
        <v>20</v>
      </c>
      <c r="I281" s="54">
        <f>STOCK[[#This Row],[Precio Venta Ideal (x1.5)]]</f>
        <v>19.083333333333329</v>
      </c>
      <c r="J281" s="70">
        <v>3</v>
      </c>
      <c r="K281" s="70">
        <f>SUMIFS(VENTAS[Cantidad],VENTAS[Código del producto Vendido],STOCK[[#This Row],[Code]])</f>
        <v>3</v>
      </c>
      <c r="L281" s="70">
        <f>STOCK[[#This Row],[Entradas]]-STOCK[[#This Row],[Salidas]]</f>
        <v>0</v>
      </c>
      <c r="M281" s="54">
        <f>STOCK[[#This Row],[Precio Final]]*10%</f>
        <v>2</v>
      </c>
      <c r="N281" s="54">
        <v>166</v>
      </c>
      <c r="O281" s="54">
        <v>18</v>
      </c>
      <c r="P281" s="54">
        <v>9.2222222222222197</v>
      </c>
      <c r="Q281" s="70">
        <v>150</v>
      </c>
      <c r="R281" s="54">
        <v>10</v>
      </c>
      <c r="S281" s="54">
        <f>STOCK[[#This Row],[Peso (g)]]*STOCK[[#This Row],[Precio Envío Kilogramo (USD)]]/1000</f>
        <v>1.5</v>
      </c>
      <c r="T281" s="53">
        <f>STOCK[[#This Row],[Costo Unitario (USD)]]+STOCK[[#This Row],[Costo Envío (USD)]]+STOCK[[#This Row],[Comisión 10%]]</f>
        <v>12.72222222222222</v>
      </c>
      <c r="U281" s="54">
        <f>STOCK[[#This Row],[Costo total]]*1.5</f>
        <v>19.083333333333329</v>
      </c>
      <c r="V281" s="54">
        <v>20</v>
      </c>
      <c r="W281" s="54">
        <f>STOCK[[#This Row],[Precio Final]]-STOCK[[#This Row],[Costo total]]</f>
        <v>7.2777777777777803</v>
      </c>
      <c r="X281" s="54">
        <f>STOCK[[#This Row],[Ganancia Unitaria]]*STOCK[[#This Row],[Salidas]]</f>
        <v>21.833333333333343</v>
      </c>
      <c r="AA281" s="54">
        <f>STOCK[[#This Row],[Costo total]]*STOCK[[#This Row],[Entradas]]</f>
        <v>38.166666666666657</v>
      </c>
      <c r="AB281" s="54">
        <f>STOCK[[#This Row],[Stock Actual]]*STOCK[[#This Row],[Costo total]]</f>
        <v>0</v>
      </c>
      <c r="AC281" s="54">
        <v>18</v>
      </c>
    </row>
    <row r="282" spans="1:29" s="53" customFormat="1" ht="50" customHeight="1">
      <c r="A282" s="53" t="s">
        <v>605</v>
      </c>
      <c r="B282" s="64"/>
      <c r="C282" s="53" t="s">
        <v>32</v>
      </c>
      <c r="D282" s="53" t="s">
        <v>44</v>
      </c>
      <c r="E282" s="65" t="s">
        <v>603</v>
      </c>
      <c r="F282" s="53" t="s">
        <v>49</v>
      </c>
      <c r="G282" s="53" t="s">
        <v>36</v>
      </c>
      <c r="H282" s="53">
        <f>STOCK[[#This Row],[Precio Final]]</f>
        <v>20</v>
      </c>
      <c r="I282" s="53">
        <f>STOCK[[#This Row],[Precio Venta Ideal (x1.5)]]</f>
        <v>19.083333333333329</v>
      </c>
      <c r="J282" s="69">
        <v>4</v>
      </c>
      <c r="K282" s="69">
        <f>SUMIFS(VENTAS[Cantidad],VENTAS[Código del producto Vendido],STOCK[[#This Row],[Code]])</f>
        <v>2</v>
      </c>
      <c r="L282" s="69">
        <f>STOCK[[#This Row],[Entradas]]-STOCK[[#This Row],[Salidas]]</f>
        <v>2</v>
      </c>
      <c r="M282" s="53">
        <f>STOCK[[#This Row],[Precio Final]]*10%</f>
        <v>2</v>
      </c>
      <c r="N282" s="53">
        <v>166</v>
      </c>
      <c r="O282" s="53">
        <v>18</v>
      </c>
      <c r="P282" s="53">
        <v>9.2222222222222197</v>
      </c>
      <c r="Q282" s="69">
        <v>150</v>
      </c>
      <c r="R282" s="53">
        <v>10</v>
      </c>
      <c r="S282" s="53">
        <f>STOCK[[#This Row],[Peso (g)]]*STOCK[[#This Row],[Precio Envío Kilogramo (USD)]]/1000</f>
        <v>1.5</v>
      </c>
      <c r="T282" s="53">
        <f>STOCK[[#This Row],[Costo Unitario (USD)]]+STOCK[[#This Row],[Costo Envío (USD)]]+STOCK[[#This Row],[Comisión 10%]]</f>
        <v>12.72222222222222</v>
      </c>
      <c r="U282" s="53">
        <f>STOCK[[#This Row],[Costo total]]*1.5</f>
        <v>19.083333333333329</v>
      </c>
      <c r="V282" s="53">
        <v>20</v>
      </c>
      <c r="W282" s="53">
        <f>STOCK[[#This Row],[Precio Final]]-STOCK[[#This Row],[Costo total]]</f>
        <v>7.2777777777777803</v>
      </c>
      <c r="X282" s="53">
        <f>STOCK[[#This Row],[Ganancia Unitaria]]*STOCK[[#This Row],[Salidas]]</f>
        <v>14.555555555555561</v>
      </c>
      <c r="AA282" s="53">
        <f>STOCK[[#This Row],[Costo total]]*STOCK[[#This Row],[Entradas]]</f>
        <v>50.888888888888879</v>
      </c>
      <c r="AB282" s="53">
        <f>STOCK[[#This Row],[Stock Actual]]*STOCK[[#This Row],[Costo total]]</f>
        <v>25.444444444444439</v>
      </c>
      <c r="AC282" s="53">
        <v>18</v>
      </c>
    </row>
    <row r="283" spans="1:29" s="54" customFormat="1" ht="50" customHeight="1">
      <c r="A283" s="54" t="s">
        <v>606</v>
      </c>
      <c r="B283" s="64"/>
      <c r="C283" s="54" t="s">
        <v>32</v>
      </c>
      <c r="D283" s="54" t="s">
        <v>44</v>
      </c>
      <c r="E283" s="66" t="s">
        <v>607</v>
      </c>
      <c r="F283" s="54" t="s">
        <v>46</v>
      </c>
      <c r="G283" s="54" t="s">
        <v>36</v>
      </c>
      <c r="H283" s="54">
        <f>STOCK[[#This Row],[Precio Final]]</f>
        <v>20</v>
      </c>
      <c r="I283" s="54">
        <f>STOCK[[#This Row],[Precio Venta Ideal (x1.5)]]</f>
        <v>19.083333333333329</v>
      </c>
      <c r="J283" s="70">
        <v>1</v>
      </c>
      <c r="K283" s="70">
        <f>SUMIFS(VENTAS[Cantidad],VENTAS[Código del producto Vendido],STOCK[[#This Row],[Code]])</f>
        <v>1</v>
      </c>
      <c r="L283" s="70">
        <f>STOCK[[#This Row],[Entradas]]-STOCK[[#This Row],[Salidas]]</f>
        <v>0</v>
      </c>
      <c r="M283" s="54">
        <f>STOCK[[#This Row],[Precio Final]]*10%</f>
        <v>2</v>
      </c>
      <c r="N283" s="54">
        <v>166</v>
      </c>
      <c r="O283" s="54">
        <v>18</v>
      </c>
      <c r="P283" s="54">
        <v>9.2222222222222197</v>
      </c>
      <c r="Q283" s="70">
        <v>150</v>
      </c>
      <c r="R283" s="54">
        <v>10</v>
      </c>
      <c r="S283" s="54">
        <f>STOCK[[#This Row],[Peso (g)]]*STOCK[[#This Row],[Precio Envío Kilogramo (USD)]]/1000</f>
        <v>1.5</v>
      </c>
      <c r="T283" s="53">
        <f>STOCK[[#This Row],[Costo Unitario (USD)]]+STOCK[[#This Row],[Costo Envío (USD)]]+STOCK[[#This Row],[Comisión 10%]]</f>
        <v>12.72222222222222</v>
      </c>
      <c r="U283" s="54">
        <f>STOCK[[#This Row],[Costo total]]*1.5</f>
        <v>19.083333333333329</v>
      </c>
      <c r="V283" s="54">
        <v>20</v>
      </c>
      <c r="W283" s="54">
        <f>STOCK[[#This Row],[Precio Final]]-STOCK[[#This Row],[Costo total]]</f>
        <v>7.2777777777777803</v>
      </c>
      <c r="X283" s="54">
        <f>STOCK[[#This Row],[Ganancia Unitaria]]*STOCK[[#This Row],[Salidas]]</f>
        <v>7.2777777777777803</v>
      </c>
      <c r="AA283" s="54">
        <f>STOCK[[#This Row],[Costo total]]*STOCK[[#This Row],[Entradas]]</f>
        <v>12.72222222222222</v>
      </c>
      <c r="AB283" s="54">
        <f>STOCK[[#This Row],[Stock Actual]]*STOCK[[#This Row],[Costo total]]</f>
        <v>0</v>
      </c>
    </row>
    <row r="284" spans="1:29" s="53" customFormat="1" ht="50" customHeight="1">
      <c r="A284" s="53" t="s">
        <v>608</v>
      </c>
      <c r="B284" s="64"/>
      <c r="C284" s="53" t="s">
        <v>32</v>
      </c>
      <c r="D284" s="53" t="s">
        <v>174</v>
      </c>
      <c r="E284" s="65" t="s">
        <v>609</v>
      </c>
      <c r="F284" s="53" t="s">
        <v>62</v>
      </c>
      <c r="G284" s="53" t="s">
        <v>36</v>
      </c>
      <c r="H284" s="53">
        <f>STOCK[[#This Row],[Precio Final]]</f>
        <v>10</v>
      </c>
      <c r="I284" s="53">
        <f>STOCK[[#This Row],[Precio Venta Ideal (x1.5)]]</f>
        <v>10.102500000000001</v>
      </c>
      <c r="J284" s="69">
        <v>5</v>
      </c>
      <c r="K284" s="69">
        <f>SUMIFS(VENTAS[Cantidad],VENTAS[Código del producto Vendido],STOCK[[#This Row],[Code]])</f>
        <v>0</v>
      </c>
      <c r="L284" s="69">
        <f>STOCK[[#This Row],[Entradas]]-STOCK[[#This Row],[Salidas]]</f>
        <v>5</v>
      </c>
      <c r="M284" s="53">
        <f>STOCK[[#This Row],[Precio Final]]*10%</f>
        <v>1</v>
      </c>
      <c r="N284" s="53">
        <v>96.75</v>
      </c>
      <c r="O284" s="53">
        <v>18</v>
      </c>
      <c r="P284" s="53">
        <v>5.375</v>
      </c>
      <c r="Q284" s="69">
        <v>45</v>
      </c>
      <c r="R284" s="53">
        <v>8</v>
      </c>
      <c r="S284" s="53">
        <f>STOCK[[#This Row],[Peso (g)]]*STOCK[[#This Row],[Precio Envío Kilogramo (USD)]]/1000</f>
        <v>0.36</v>
      </c>
      <c r="T284" s="53">
        <f>STOCK[[#This Row],[Costo Unitario (USD)]]+STOCK[[#This Row],[Costo Envío (USD)]]+STOCK[[#This Row],[Comisión 10%]]</f>
        <v>6.7350000000000003</v>
      </c>
      <c r="U284" s="53">
        <f>STOCK[[#This Row],[Costo total]]*1.5</f>
        <v>10.102500000000001</v>
      </c>
      <c r="V284" s="53">
        <v>10</v>
      </c>
      <c r="W284" s="53">
        <f>STOCK[[#This Row],[Precio Final]]-STOCK[[#This Row],[Costo total]]</f>
        <v>3.2649999999999997</v>
      </c>
      <c r="X284" s="53">
        <f>STOCK[[#This Row],[Ganancia Unitaria]]*STOCK[[#This Row],[Salidas]]</f>
        <v>0</v>
      </c>
      <c r="AA284" s="53">
        <f>STOCK[[#This Row],[Costo total]]*STOCK[[#This Row],[Entradas]]</f>
        <v>33.675000000000004</v>
      </c>
      <c r="AB284" s="53">
        <f>STOCK[[#This Row],[Stock Actual]]*STOCK[[#This Row],[Costo total]]</f>
        <v>33.675000000000004</v>
      </c>
      <c r="AC284" s="53">
        <v>9</v>
      </c>
    </row>
    <row r="285" spans="1:29" s="54" customFormat="1" ht="50" customHeight="1">
      <c r="A285" s="54" t="s">
        <v>610</v>
      </c>
      <c r="B285" s="64"/>
      <c r="C285" s="54" t="s">
        <v>32</v>
      </c>
      <c r="D285" s="54" t="s">
        <v>44</v>
      </c>
      <c r="E285" s="66" t="s">
        <v>611</v>
      </c>
      <c r="F285" s="54" t="s">
        <v>46</v>
      </c>
      <c r="G285" s="54" t="s">
        <v>36</v>
      </c>
      <c r="H285" s="54">
        <f>STOCK[[#This Row],[Precio Final]]</f>
        <v>25</v>
      </c>
      <c r="I285" s="54">
        <f>STOCK[[#This Row],[Precio Venta Ideal (x1.5)]]</f>
        <v>19.833333333333329</v>
      </c>
      <c r="J285" s="70">
        <v>3</v>
      </c>
      <c r="K285" s="70">
        <f>SUMIFS(VENTAS[Cantidad],VENTAS[Código del producto Vendido],STOCK[[#This Row],[Code]])</f>
        <v>3</v>
      </c>
      <c r="L285" s="70">
        <f>STOCK[[#This Row],[Entradas]]-STOCK[[#This Row],[Salidas]]</f>
        <v>0</v>
      </c>
      <c r="M285" s="54">
        <f>STOCK[[#This Row],[Precio Final]]*10%</f>
        <v>2.5</v>
      </c>
      <c r="N285" s="54">
        <v>166</v>
      </c>
      <c r="O285" s="54">
        <v>18</v>
      </c>
      <c r="P285" s="54">
        <v>9.2222222222222197</v>
      </c>
      <c r="Q285" s="70">
        <v>150</v>
      </c>
      <c r="R285" s="54">
        <v>10</v>
      </c>
      <c r="S285" s="54">
        <f>STOCK[[#This Row],[Peso (g)]]*STOCK[[#This Row],[Precio Envío Kilogramo (USD)]]/1000</f>
        <v>1.5</v>
      </c>
      <c r="T285" s="53">
        <f>STOCK[[#This Row],[Costo Unitario (USD)]]+STOCK[[#This Row],[Costo Envío (USD)]]+STOCK[[#This Row],[Comisión 10%]]</f>
        <v>13.22222222222222</v>
      </c>
      <c r="U285" s="54">
        <f>STOCK[[#This Row],[Costo total]]*1.5</f>
        <v>19.833333333333329</v>
      </c>
      <c r="V285" s="54">
        <v>25</v>
      </c>
      <c r="W285" s="54">
        <f>STOCK[[#This Row],[Precio Final]]-STOCK[[#This Row],[Costo total]]</f>
        <v>11.77777777777778</v>
      </c>
      <c r="X285" s="54">
        <f>STOCK[[#This Row],[Ganancia Unitaria]]*STOCK[[#This Row],[Salidas]]</f>
        <v>35.333333333333343</v>
      </c>
      <c r="AA285" s="54">
        <f>STOCK[[#This Row],[Costo total]]*STOCK[[#This Row],[Entradas]]</f>
        <v>39.666666666666657</v>
      </c>
      <c r="AB285" s="54">
        <f>STOCK[[#This Row],[Stock Actual]]*STOCK[[#This Row],[Costo total]]</f>
        <v>0</v>
      </c>
    </row>
    <row r="286" spans="1:29" s="53" customFormat="1" ht="50" customHeight="1">
      <c r="A286" s="53" t="s">
        <v>612</v>
      </c>
      <c r="B286" s="64"/>
      <c r="C286" s="53" t="s">
        <v>32</v>
      </c>
      <c r="D286" s="53" t="s">
        <v>44</v>
      </c>
      <c r="E286" s="65" t="s">
        <v>613</v>
      </c>
      <c r="F286" s="53" t="s">
        <v>46</v>
      </c>
      <c r="G286" s="53" t="s">
        <v>36</v>
      </c>
      <c r="H286" s="53">
        <f>STOCK[[#This Row],[Precio Final]]</f>
        <v>25</v>
      </c>
      <c r="I286" s="53">
        <f>STOCK[[#This Row],[Precio Venta Ideal (x1.5)]]</f>
        <v>19.833333333333329</v>
      </c>
      <c r="J286" s="69">
        <v>3</v>
      </c>
      <c r="K286" s="69">
        <f>SUMIFS(VENTAS[Cantidad],VENTAS[Código del producto Vendido],STOCK[[#This Row],[Code]])</f>
        <v>3</v>
      </c>
      <c r="L286" s="69">
        <f>STOCK[[#This Row],[Entradas]]-STOCK[[#This Row],[Salidas]]</f>
        <v>0</v>
      </c>
      <c r="M286" s="53">
        <f>STOCK[[#This Row],[Precio Final]]*10%</f>
        <v>2.5</v>
      </c>
      <c r="N286" s="53">
        <v>166</v>
      </c>
      <c r="O286" s="53">
        <v>18</v>
      </c>
      <c r="P286" s="53">
        <v>9.2222222222222197</v>
      </c>
      <c r="Q286" s="69">
        <v>150</v>
      </c>
      <c r="R286" s="53">
        <v>10</v>
      </c>
      <c r="S286" s="53">
        <f>STOCK[[#This Row],[Peso (g)]]*STOCK[[#This Row],[Precio Envío Kilogramo (USD)]]/1000</f>
        <v>1.5</v>
      </c>
      <c r="T286" s="53">
        <f>STOCK[[#This Row],[Costo Unitario (USD)]]+STOCK[[#This Row],[Costo Envío (USD)]]+STOCK[[#This Row],[Comisión 10%]]</f>
        <v>13.22222222222222</v>
      </c>
      <c r="U286" s="53">
        <f>STOCK[[#This Row],[Costo total]]*1.5</f>
        <v>19.833333333333329</v>
      </c>
      <c r="V286" s="53">
        <v>25</v>
      </c>
      <c r="W286" s="53">
        <f>STOCK[[#This Row],[Precio Final]]-STOCK[[#This Row],[Costo total]]</f>
        <v>11.77777777777778</v>
      </c>
      <c r="X286" s="53">
        <f>STOCK[[#This Row],[Ganancia Unitaria]]*STOCK[[#This Row],[Salidas]]</f>
        <v>35.333333333333343</v>
      </c>
      <c r="AA286" s="53">
        <f>STOCK[[#This Row],[Costo total]]*STOCK[[#This Row],[Entradas]]</f>
        <v>39.666666666666657</v>
      </c>
      <c r="AB286" s="53">
        <f>STOCK[[#This Row],[Stock Actual]]*STOCK[[#This Row],[Costo total]]</f>
        <v>0</v>
      </c>
    </row>
    <row r="287" spans="1:29" s="54" customFormat="1" ht="50" customHeight="1">
      <c r="A287" s="54" t="s">
        <v>614</v>
      </c>
      <c r="B287" s="64"/>
      <c r="C287" s="54" t="s">
        <v>32</v>
      </c>
      <c r="D287" s="54" t="s">
        <v>174</v>
      </c>
      <c r="E287" s="66" t="s">
        <v>615</v>
      </c>
      <c r="F287" s="54" t="s">
        <v>62</v>
      </c>
      <c r="G287" s="54" t="s">
        <v>36</v>
      </c>
      <c r="H287" s="54">
        <f>STOCK[[#This Row],[Precio Final]]</f>
        <v>15</v>
      </c>
      <c r="I287" s="54">
        <f>STOCK[[#This Row],[Precio Venta Ideal (x1.5)]]</f>
        <v>10.852500000000001</v>
      </c>
      <c r="J287" s="70">
        <v>3</v>
      </c>
      <c r="K287" s="70">
        <f>SUMIFS(VENTAS[Cantidad],VENTAS[Código del producto Vendido],STOCK[[#This Row],[Code]])</f>
        <v>3</v>
      </c>
      <c r="L287" s="70">
        <f>STOCK[[#This Row],[Entradas]]-STOCK[[#This Row],[Salidas]]</f>
        <v>0</v>
      </c>
      <c r="M287" s="54">
        <f>STOCK[[#This Row],[Precio Final]]*10%</f>
        <v>1.5</v>
      </c>
      <c r="N287" s="54">
        <v>96.75</v>
      </c>
      <c r="O287" s="54">
        <v>18</v>
      </c>
      <c r="P287" s="54">
        <v>5.375</v>
      </c>
      <c r="Q287" s="70">
        <v>45</v>
      </c>
      <c r="R287" s="54">
        <v>8</v>
      </c>
      <c r="S287" s="54">
        <f>STOCK[[#This Row],[Peso (g)]]*STOCK[[#This Row],[Precio Envío Kilogramo (USD)]]/1000</f>
        <v>0.36</v>
      </c>
      <c r="T287" s="53">
        <f>STOCK[[#This Row],[Costo Unitario (USD)]]+STOCK[[#This Row],[Costo Envío (USD)]]+STOCK[[#This Row],[Comisión 10%]]</f>
        <v>7.2350000000000003</v>
      </c>
      <c r="U287" s="54">
        <f>STOCK[[#This Row],[Costo total]]*1.5</f>
        <v>10.852500000000001</v>
      </c>
      <c r="V287" s="54">
        <v>15</v>
      </c>
      <c r="W287" s="54">
        <f>STOCK[[#This Row],[Precio Final]]-STOCK[[#This Row],[Costo total]]</f>
        <v>7.7649999999999997</v>
      </c>
      <c r="X287" s="54">
        <f>STOCK[[#This Row],[Ganancia Unitaria]]*STOCK[[#This Row],[Salidas]]</f>
        <v>23.294999999999998</v>
      </c>
      <c r="AA287" s="54">
        <f>STOCK[[#This Row],[Costo total]]*STOCK[[#This Row],[Entradas]]</f>
        <v>21.705000000000002</v>
      </c>
      <c r="AB287" s="54">
        <f>STOCK[[#This Row],[Stock Actual]]*STOCK[[#This Row],[Costo total]]</f>
        <v>0</v>
      </c>
    </row>
    <row r="288" spans="1:29" s="53" customFormat="1" ht="50" customHeight="1">
      <c r="A288" s="53" t="s">
        <v>616</v>
      </c>
      <c r="B288" s="64"/>
      <c r="C288" s="53" t="s">
        <v>32</v>
      </c>
      <c r="D288" s="53" t="s">
        <v>174</v>
      </c>
      <c r="E288" s="65" t="s">
        <v>615</v>
      </c>
      <c r="F288" s="53" t="s">
        <v>40</v>
      </c>
      <c r="G288" s="53" t="s">
        <v>36</v>
      </c>
      <c r="H288" s="53">
        <f>STOCK[[#This Row],[Precio Final]]</f>
        <v>15</v>
      </c>
      <c r="I288" s="53">
        <f>STOCK[[#This Row],[Precio Venta Ideal (x1.5)]]</f>
        <v>10.852500000000001</v>
      </c>
      <c r="J288" s="69">
        <v>3</v>
      </c>
      <c r="K288" s="69">
        <f>SUMIFS(VENTAS[Cantidad],VENTAS[Código del producto Vendido],STOCK[[#This Row],[Code]])</f>
        <v>3</v>
      </c>
      <c r="L288" s="69">
        <f>STOCK[[#This Row],[Entradas]]-STOCK[[#This Row],[Salidas]]</f>
        <v>0</v>
      </c>
      <c r="M288" s="53">
        <f>STOCK[[#This Row],[Precio Final]]*10%</f>
        <v>1.5</v>
      </c>
      <c r="N288" s="53">
        <v>96.75</v>
      </c>
      <c r="O288" s="53">
        <v>18</v>
      </c>
      <c r="P288" s="53">
        <v>5.375</v>
      </c>
      <c r="Q288" s="69">
        <v>45</v>
      </c>
      <c r="R288" s="53">
        <v>8</v>
      </c>
      <c r="S288" s="53">
        <f>STOCK[[#This Row],[Peso (g)]]*STOCK[[#This Row],[Precio Envío Kilogramo (USD)]]/1000</f>
        <v>0.36</v>
      </c>
      <c r="T288" s="53">
        <f>STOCK[[#This Row],[Costo Unitario (USD)]]+STOCK[[#This Row],[Costo Envío (USD)]]+STOCK[[#This Row],[Comisión 10%]]</f>
        <v>7.2350000000000003</v>
      </c>
      <c r="U288" s="53">
        <f>STOCK[[#This Row],[Costo total]]*1.5</f>
        <v>10.852500000000001</v>
      </c>
      <c r="V288" s="53">
        <v>15</v>
      </c>
      <c r="W288" s="53">
        <f>STOCK[[#This Row],[Precio Final]]-STOCK[[#This Row],[Costo total]]</f>
        <v>7.7649999999999997</v>
      </c>
      <c r="X288" s="53">
        <f>STOCK[[#This Row],[Ganancia Unitaria]]*STOCK[[#This Row],[Salidas]]</f>
        <v>23.294999999999998</v>
      </c>
      <c r="AA288" s="53">
        <f>STOCK[[#This Row],[Costo total]]*STOCK[[#This Row],[Entradas]]</f>
        <v>21.705000000000002</v>
      </c>
      <c r="AB288" s="53">
        <f>STOCK[[#This Row],[Stock Actual]]*STOCK[[#This Row],[Costo total]]</f>
        <v>0</v>
      </c>
    </row>
    <row r="289" spans="1:29" s="54" customFormat="1" ht="50" customHeight="1">
      <c r="A289" s="54" t="s">
        <v>617</v>
      </c>
      <c r="B289" s="64"/>
      <c r="C289" s="54" t="s">
        <v>32</v>
      </c>
      <c r="D289" s="54" t="s">
        <v>351</v>
      </c>
      <c r="E289" s="66" t="s">
        <v>618</v>
      </c>
      <c r="F289" s="54" t="s">
        <v>525</v>
      </c>
      <c r="G289" s="54" t="s">
        <v>36</v>
      </c>
      <c r="H289" s="54">
        <f>STOCK[[#This Row],[Precio Final]]</f>
        <v>12</v>
      </c>
      <c r="I289" s="54">
        <f>STOCK[[#This Row],[Precio Venta Ideal (x1.5)]]</f>
        <v>8.0250000000000004</v>
      </c>
      <c r="J289" s="70">
        <v>6</v>
      </c>
      <c r="K289" s="70">
        <f>SUMIFS(VENTAS[Cantidad],VENTAS[Código del producto Vendido],STOCK[[#This Row],[Code]])</f>
        <v>4</v>
      </c>
      <c r="L289" s="70">
        <f>STOCK[[#This Row],[Entradas]]-STOCK[[#This Row],[Salidas]]</f>
        <v>2</v>
      </c>
      <c r="M289" s="54">
        <f>STOCK[[#This Row],[Precio Final]]*10%</f>
        <v>1.2000000000000002</v>
      </c>
      <c r="N289" s="54">
        <v>67.5</v>
      </c>
      <c r="O289" s="54">
        <v>18</v>
      </c>
      <c r="P289" s="54">
        <v>3.75</v>
      </c>
      <c r="Q289" s="70">
        <v>50</v>
      </c>
      <c r="R289" s="54">
        <v>8</v>
      </c>
      <c r="S289" s="54">
        <f>STOCK[[#This Row],[Peso (g)]]*STOCK[[#This Row],[Precio Envío Kilogramo (USD)]]/1000</f>
        <v>0.4</v>
      </c>
      <c r="T289" s="53">
        <f>STOCK[[#This Row],[Costo Unitario (USD)]]+STOCK[[#This Row],[Costo Envío (USD)]]+STOCK[[#This Row],[Comisión 10%]]</f>
        <v>5.3500000000000005</v>
      </c>
      <c r="U289" s="54">
        <f>STOCK[[#This Row],[Costo total]]*1.5</f>
        <v>8.0250000000000004</v>
      </c>
      <c r="V289" s="54">
        <v>12</v>
      </c>
      <c r="W289" s="54">
        <f>STOCK[[#This Row],[Precio Final]]-STOCK[[#This Row],[Costo total]]</f>
        <v>6.6499999999999995</v>
      </c>
      <c r="X289" s="54">
        <f>STOCK[[#This Row],[Ganancia Unitaria]]*STOCK[[#This Row],[Salidas]]</f>
        <v>26.599999999999998</v>
      </c>
      <c r="AA289" s="54">
        <f>STOCK[[#This Row],[Costo total]]*STOCK[[#This Row],[Entradas]]</f>
        <v>32.1</v>
      </c>
      <c r="AB289" s="54">
        <f>STOCK[[#This Row],[Stock Actual]]*STOCK[[#This Row],[Costo total]]</f>
        <v>10.700000000000001</v>
      </c>
      <c r="AC289" s="54">
        <v>7</v>
      </c>
    </row>
    <row r="290" spans="1:29" s="53" customFormat="1" ht="50" customHeight="1">
      <c r="A290" s="53" t="s">
        <v>619</v>
      </c>
      <c r="B290" s="64"/>
      <c r="C290" s="53" t="s">
        <v>32</v>
      </c>
      <c r="D290" s="53" t="s">
        <v>44</v>
      </c>
      <c r="E290" s="65" t="s">
        <v>620</v>
      </c>
      <c r="F290" s="53" t="s">
        <v>40</v>
      </c>
      <c r="G290" s="53" t="s">
        <v>36</v>
      </c>
      <c r="H290" s="53">
        <f>STOCK[[#This Row],[Precio Final]]</f>
        <v>15</v>
      </c>
      <c r="I290" s="53">
        <f>STOCK[[#This Row],[Precio Venta Ideal (x1.5)]]</f>
        <v>18.333333333333329</v>
      </c>
      <c r="J290" s="69">
        <v>3</v>
      </c>
      <c r="K290" s="69">
        <f>SUMIFS(VENTAS[Cantidad],VENTAS[Código del producto Vendido],STOCK[[#This Row],[Code]])</f>
        <v>3</v>
      </c>
      <c r="L290" s="69">
        <f>STOCK[[#This Row],[Entradas]]-STOCK[[#This Row],[Salidas]]</f>
        <v>0</v>
      </c>
      <c r="M290" s="53">
        <f>STOCK[[#This Row],[Precio Final]]*10%</f>
        <v>1.5</v>
      </c>
      <c r="N290" s="53">
        <v>166</v>
      </c>
      <c r="O290" s="53">
        <v>18</v>
      </c>
      <c r="P290" s="53">
        <v>9.2222222222222197</v>
      </c>
      <c r="Q290" s="69">
        <v>150</v>
      </c>
      <c r="R290" s="53">
        <v>10</v>
      </c>
      <c r="S290" s="53">
        <f>STOCK[[#This Row],[Peso (g)]]*STOCK[[#This Row],[Precio Envío Kilogramo (USD)]]/1000</f>
        <v>1.5</v>
      </c>
      <c r="T290" s="53">
        <f>STOCK[[#This Row],[Costo Unitario (USD)]]+STOCK[[#This Row],[Costo Envío (USD)]]+STOCK[[#This Row],[Comisión 10%]]</f>
        <v>12.22222222222222</v>
      </c>
      <c r="U290" s="53">
        <f>STOCK[[#This Row],[Costo total]]*1.5</f>
        <v>18.333333333333329</v>
      </c>
      <c r="V290" s="53">
        <v>15</v>
      </c>
      <c r="W290" s="53">
        <f>STOCK[[#This Row],[Precio Final]]-STOCK[[#This Row],[Costo total]]</f>
        <v>2.7777777777777803</v>
      </c>
      <c r="X290" s="53">
        <f>STOCK[[#This Row],[Ganancia Unitaria]]*STOCK[[#This Row],[Salidas]]</f>
        <v>8.333333333333341</v>
      </c>
      <c r="AA290" s="53">
        <f>STOCK[[#This Row],[Costo total]]*STOCK[[#This Row],[Entradas]]</f>
        <v>36.666666666666657</v>
      </c>
      <c r="AB290" s="53">
        <f>STOCK[[#This Row],[Stock Actual]]*STOCK[[#This Row],[Costo total]]</f>
        <v>0</v>
      </c>
    </row>
    <row r="291" spans="1:29" s="54" customFormat="1" ht="50" customHeight="1">
      <c r="A291" s="54" t="s">
        <v>621</v>
      </c>
      <c r="B291" s="64"/>
      <c r="C291" s="54" t="s">
        <v>32</v>
      </c>
      <c r="D291" s="54" t="s">
        <v>44</v>
      </c>
      <c r="E291" s="66" t="s">
        <v>622</v>
      </c>
      <c r="F291" s="54" t="s">
        <v>46</v>
      </c>
      <c r="G291" s="54" t="s">
        <v>36</v>
      </c>
      <c r="H291" s="54">
        <f>STOCK[[#This Row],[Precio Final]]</f>
        <v>16</v>
      </c>
      <c r="I291" s="54">
        <f>STOCK[[#This Row],[Precio Venta Ideal (x1.5)]]</f>
        <v>18.483333333333327</v>
      </c>
      <c r="J291" s="70">
        <v>3</v>
      </c>
      <c r="K291" s="70">
        <f>SUMIFS(VENTAS[Cantidad],VENTAS[Código del producto Vendido],STOCK[[#This Row],[Code]])</f>
        <v>3</v>
      </c>
      <c r="L291" s="70">
        <f>STOCK[[#This Row],[Entradas]]-STOCK[[#This Row],[Salidas]]</f>
        <v>0</v>
      </c>
      <c r="M291" s="54">
        <f>STOCK[[#This Row],[Precio Final]]*10%</f>
        <v>1.6</v>
      </c>
      <c r="N291" s="54">
        <v>166</v>
      </c>
      <c r="O291" s="54">
        <v>18</v>
      </c>
      <c r="P291" s="54">
        <v>9.2222222222222197</v>
      </c>
      <c r="Q291" s="70">
        <v>150</v>
      </c>
      <c r="R291" s="54">
        <v>10</v>
      </c>
      <c r="S291" s="54">
        <f>STOCK[[#This Row],[Peso (g)]]*STOCK[[#This Row],[Precio Envío Kilogramo (USD)]]/1000</f>
        <v>1.5</v>
      </c>
      <c r="T291" s="53">
        <f>STOCK[[#This Row],[Costo Unitario (USD)]]+STOCK[[#This Row],[Costo Envío (USD)]]+STOCK[[#This Row],[Comisión 10%]]</f>
        <v>12.322222222222219</v>
      </c>
      <c r="U291" s="54">
        <f>STOCK[[#This Row],[Costo total]]*1.5</f>
        <v>18.483333333333327</v>
      </c>
      <c r="V291" s="54">
        <v>16</v>
      </c>
      <c r="W291" s="54">
        <f>STOCK[[#This Row],[Precio Final]]-STOCK[[#This Row],[Costo total]]</f>
        <v>3.6777777777777807</v>
      </c>
      <c r="X291" s="54">
        <f>STOCK[[#This Row],[Ganancia Unitaria]]*STOCK[[#This Row],[Salidas]]</f>
        <v>11.033333333333342</v>
      </c>
      <c r="AA291" s="54">
        <f>STOCK[[#This Row],[Costo total]]*STOCK[[#This Row],[Entradas]]</f>
        <v>36.966666666666654</v>
      </c>
      <c r="AB291" s="54">
        <f>STOCK[[#This Row],[Stock Actual]]*STOCK[[#This Row],[Costo total]]</f>
        <v>0</v>
      </c>
    </row>
    <row r="292" spans="1:29" s="53" customFormat="1" ht="50" customHeight="1">
      <c r="A292" s="53" t="s">
        <v>623</v>
      </c>
      <c r="B292" s="64"/>
      <c r="C292" s="53" t="s">
        <v>32</v>
      </c>
      <c r="D292" s="53" t="s">
        <v>44</v>
      </c>
      <c r="E292" s="65" t="s">
        <v>624</v>
      </c>
      <c r="F292" s="53" t="s">
        <v>46</v>
      </c>
      <c r="G292" s="53" t="s">
        <v>36</v>
      </c>
      <c r="H292" s="53">
        <f>STOCK[[#This Row],[Precio Final]]</f>
        <v>216</v>
      </c>
      <c r="I292" s="53">
        <f>STOCK[[#This Row],[Precio Venta Ideal (x1.5)]]</f>
        <v>48.483333333333334</v>
      </c>
      <c r="J292" s="69">
        <v>3</v>
      </c>
      <c r="K292" s="69">
        <f>SUMIFS(VENTAS[Cantidad],VENTAS[Código del producto Vendido],STOCK[[#This Row],[Code]])</f>
        <v>3</v>
      </c>
      <c r="L292" s="69">
        <f>STOCK[[#This Row],[Entradas]]-STOCK[[#This Row],[Salidas]]</f>
        <v>0</v>
      </c>
      <c r="M292" s="53">
        <f>STOCK[[#This Row],[Precio Final]]*10%</f>
        <v>21.6</v>
      </c>
      <c r="N292" s="53">
        <v>166</v>
      </c>
      <c r="O292" s="53">
        <v>18</v>
      </c>
      <c r="P292" s="53">
        <v>9.2222222222222197</v>
      </c>
      <c r="Q292" s="69">
        <v>150</v>
      </c>
      <c r="R292" s="53">
        <v>10</v>
      </c>
      <c r="S292" s="53">
        <f>STOCK[[#This Row],[Peso (g)]]*STOCK[[#This Row],[Precio Envío Kilogramo (USD)]]/1000</f>
        <v>1.5</v>
      </c>
      <c r="T292" s="53">
        <f>STOCK[[#This Row],[Costo Unitario (USD)]]+STOCK[[#This Row],[Costo Envío (USD)]]+STOCK[[#This Row],[Comisión 10%]]</f>
        <v>32.322222222222223</v>
      </c>
      <c r="U292" s="53">
        <f>STOCK[[#This Row],[Costo total]]*1.5</f>
        <v>48.483333333333334</v>
      </c>
      <c r="V292" s="53">
        <v>216</v>
      </c>
      <c r="W292" s="53">
        <f>STOCK[[#This Row],[Precio Final]]-STOCK[[#This Row],[Costo total]]</f>
        <v>183.67777777777778</v>
      </c>
      <c r="X292" s="53">
        <f>STOCK[[#This Row],[Ganancia Unitaria]]*STOCK[[#This Row],[Salidas]]</f>
        <v>551.0333333333333</v>
      </c>
      <c r="AA292" s="53">
        <f>STOCK[[#This Row],[Costo total]]*STOCK[[#This Row],[Entradas]]</f>
        <v>96.966666666666669</v>
      </c>
      <c r="AB292" s="53">
        <f>STOCK[[#This Row],[Stock Actual]]*STOCK[[#This Row],[Costo total]]</f>
        <v>0</v>
      </c>
    </row>
    <row r="293" spans="1:29" s="54" customFormat="1" ht="50" customHeight="1">
      <c r="A293" s="54" t="s">
        <v>625</v>
      </c>
      <c r="B293" s="64"/>
      <c r="C293" s="54" t="s">
        <v>32</v>
      </c>
      <c r="D293" s="54" t="s">
        <v>44</v>
      </c>
      <c r="E293" s="66" t="s">
        <v>626</v>
      </c>
      <c r="F293" s="54" t="s">
        <v>46</v>
      </c>
      <c r="G293" s="54" t="s">
        <v>36</v>
      </c>
      <c r="H293" s="54">
        <f>STOCK[[#This Row],[Precio Final]]</f>
        <v>16</v>
      </c>
      <c r="I293" s="54">
        <f>STOCK[[#This Row],[Precio Venta Ideal (x1.5)]]</f>
        <v>18.483333333333327</v>
      </c>
      <c r="J293" s="70">
        <v>3</v>
      </c>
      <c r="K293" s="70">
        <f>SUMIFS(VENTAS[Cantidad],VENTAS[Código del producto Vendido],STOCK[[#This Row],[Code]])</f>
        <v>3</v>
      </c>
      <c r="L293" s="70">
        <f>STOCK[[#This Row],[Entradas]]-STOCK[[#This Row],[Salidas]]</f>
        <v>0</v>
      </c>
      <c r="M293" s="54">
        <f>STOCK[[#This Row],[Precio Final]]*10%</f>
        <v>1.6</v>
      </c>
      <c r="N293" s="54">
        <v>166</v>
      </c>
      <c r="O293" s="54">
        <v>18</v>
      </c>
      <c r="P293" s="54">
        <v>9.2222222222222197</v>
      </c>
      <c r="Q293" s="70">
        <v>150</v>
      </c>
      <c r="R293" s="54">
        <v>10</v>
      </c>
      <c r="S293" s="54">
        <f>STOCK[[#This Row],[Peso (g)]]*STOCK[[#This Row],[Precio Envío Kilogramo (USD)]]/1000</f>
        <v>1.5</v>
      </c>
      <c r="T293" s="53">
        <f>STOCK[[#This Row],[Costo Unitario (USD)]]+STOCK[[#This Row],[Costo Envío (USD)]]+STOCK[[#This Row],[Comisión 10%]]</f>
        <v>12.322222222222219</v>
      </c>
      <c r="U293" s="54">
        <f>STOCK[[#This Row],[Costo total]]*1.5</f>
        <v>18.483333333333327</v>
      </c>
      <c r="V293" s="54">
        <v>16</v>
      </c>
      <c r="W293" s="54">
        <f>STOCK[[#This Row],[Precio Final]]-STOCK[[#This Row],[Costo total]]</f>
        <v>3.6777777777777807</v>
      </c>
      <c r="X293" s="54">
        <f>STOCK[[#This Row],[Ganancia Unitaria]]*STOCK[[#This Row],[Salidas]]</f>
        <v>11.033333333333342</v>
      </c>
      <c r="AA293" s="54">
        <f>STOCK[[#This Row],[Costo total]]*STOCK[[#This Row],[Entradas]]</f>
        <v>36.966666666666654</v>
      </c>
      <c r="AB293" s="54">
        <f>STOCK[[#This Row],[Stock Actual]]*STOCK[[#This Row],[Costo total]]</f>
        <v>0</v>
      </c>
    </row>
    <row r="294" spans="1:29" s="53" customFormat="1" ht="50" customHeight="1">
      <c r="A294" s="53" t="s">
        <v>627</v>
      </c>
      <c r="B294" s="64"/>
      <c r="C294" s="53" t="s">
        <v>32</v>
      </c>
      <c r="D294" s="53" t="s">
        <v>44</v>
      </c>
      <c r="E294" s="65" t="s">
        <v>628</v>
      </c>
      <c r="F294" s="53" t="s">
        <v>187</v>
      </c>
      <c r="G294" s="53" t="s">
        <v>36</v>
      </c>
      <c r="H294" s="53">
        <f>STOCK[[#This Row],[Precio Final]]</f>
        <v>20</v>
      </c>
      <c r="I294" s="53">
        <f>STOCK[[#This Row],[Precio Venta Ideal (x1.5)]]</f>
        <v>19.083333333333329</v>
      </c>
      <c r="J294" s="69">
        <v>3</v>
      </c>
      <c r="K294" s="69">
        <f>SUMIFS(VENTAS[Cantidad],VENTAS[Código del producto Vendido],STOCK[[#This Row],[Code]])</f>
        <v>3</v>
      </c>
      <c r="L294" s="69">
        <f>STOCK[[#This Row],[Entradas]]-STOCK[[#This Row],[Salidas]]</f>
        <v>0</v>
      </c>
      <c r="M294" s="53">
        <f>STOCK[[#This Row],[Precio Final]]*10%</f>
        <v>2</v>
      </c>
      <c r="N294" s="53">
        <v>166</v>
      </c>
      <c r="O294" s="53">
        <v>18</v>
      </c>
      <c r="P294" s="53">
        <v>9.2222222222222197</v>
      </c>
      <c r="Q294" s="69">
        <v>150</v>
      </c>
      <c r="R294" s="53">
        <v>10</v>
      </c>
      <c r="S294" s="53">
        <f>STOCK[[#This Row],[Peso (g)]]*STOCK[[#This Row],[Precio Envío Kilogramo (USD)]]/1000</f>
        <v>1.5</v>
      </c>
      <c r="T294" s="53">
        <f>STOCK[[#This Row],[Costo Unitario (USD)]]+STOCK[[#This Row],[Costo Envío (USD)]]+STOCK[[#This Row],[Comisión 10%]]</f>
        <v>12.72222222222222</v>
      </c>
      <c r="U294" s="53">
        <f>STOCK[[#This Row],[Costo total]]*1.5</f>
        <v>19.083333333333329</v>
      </c>
      <c r="V294" s="53">
        <v>20</v>
      </c>
      <c r="W294" s="53">
        <f>STOCK[[#This Row],[Precio Final]]-STOCK[[#This Row],[Costo total]]</f>
        <v>7.2777777777777803</v>
      </c>
      <c r="X294" s="53">
        <f>STOCK[[#This Row],[Ganancia Unitaria]]*STOCK[[#This Row],[Salidas]]</f>
        <v>21.833333333333343</v>
      </c>
      <c r="AA294" s="53">
        <f>STOCK[[#This Row],[Costo total]]*STOCK[[#This Row],[Entradas]]</f>
        <v>38.166666666666657</v>
      </c>
      <c r="AB294" s="53">
        <f>STOCK[[#This Row],[Stock Actual]]*STOCK[[#This Row],[Costo total]]</f>
        <v>0</v>
      </c>
    </row>
    <row r="295" spans="1:29" s="54" customFormat="1" ht="50" customHeight="1">
      <c r="A295" s="54" t="s">
        <v>629</v>
      </c>
      <c r="B295" s="64"/>
      <c r="C295" s="54" t="s">
        <v>32</v>
      </c>
      <c r="D295" s="54" t="s">
        <v>216</v>
      </c>
      <c r="E295" s="66" t="s">
        <v>630</v>
      </c>
      <c r="F295" s="54" t="s">
        <v>62</v>
      </c>
      <c r="G295" s="54" t="s">
        <v>36</v>
      </c>
      <c r="H295" s="54">
        <f>STOCK[[#This Row],[Precio Final]]</f>
        <v>20</v>
      </c>
      <c r="I295" s="54">
        <f>STOCK[[#This Row],[Precio Venta Ideal (x1.5)]]</f>
        <v>19.083333333333329</v>
      </c>
      <c r="J295" s="70">
        <v>2</v>
      </c>
      <c r="K295" s="70">
        <f>SUMIFS(VENTAS[Cantidad],VENTAS[Código del producto Vendido],STOCK[[#This Row],[Code]])</f>
        <v>0</v>
      </c>
      <c r="L295" s="70">
        <f>STOCK[[#This Row],[Entradas]]-STOCK[[#This Row],[Salidas]]</f>
        <v>2</v>
      </c>
      <c r="M295" s="54">
        <f>STOCK[[#This Row],[Precio Final]]*10%</f>
        <v>2</v>
      </c>
      <c r="N295" s="54">
        <v>166</v>
      </c>
      <c r="O295" s="54">
        <v>18</v>
      </c>
      <c r="P295" s="54">
        <v>9.2222222222222197</v>
      </c>
      <c r="Q295" s="70">
        <v>150</v>
      </c>
      <c r="R295" s="54">
        <v>10</v>
      </c>
      <c r="S295" s="54">
        <f>STOCK[[#This Row],[Peso (g)]]*STOCK[[#This Row],[Precio Envío Kilogramo (USD)]]/1000</f>
        <v>1.5</v>
      </c>
      <c r="T295" s="53">
        <f>STOCK[[#This Row],[Costo Unitario (USD)]]+STOCK[[#This Row],[Costo Envío (USD)]]+STOCK[[#This Row],[Comisión 10%]]</f>
        <v>12.72222222222222</v>
      </c>
      <c r="U295" s="54">
        <f>STOCK[[#This Row],[Costo total]]*1.5</f>
        <v>19.083333333333329</v>
      </c>
      <c r="V295" s="54">
        <v>20</v>
      </c>
      <c r="W295" s="54">
        <f>STOCK[[#This Row],[Precio Final]]-STOCK[[#This Row],[Costo total]]</f>
        <v>7.2777777777777803</v>
      </c>
      <c r="X295" s="54">
        <f>STOCK[[#This Row],[Ganancia Unitaria]]*STOCK[[#This Row],[Salidas]]</f>
        <v>0</v>
      </c>
      <c r="AA295" s="54">
        <f>STOCK[[#This Row],[Costo total]]*STOCK[[#This Row],[Entradas]]</f>
        <v>25.444444444444439</v>
      </c>
      <c r="AB295" s="54">
        <f>STOCK[[#This Row],[Stock Actual]]*STOCK[[#This Row],[Costo total]]</f>
        <v>25.444444444444439</v>
      </c>
      <c r="AC295" s="54">
        <v>15</v>
      </c>
    </row>
    <row r="296" spans="1:29" s="53" customFormat="1" ht="50" customHeight="1">
      <c r="A296" s="53" t="s">
        <v>631</v>
      </c>
      <c r="B296" s="64"/>
      <c r="C296" s="53" t="s">
        <v>32</v>
      </c>
      <c r="D296" s="53" t="s">
        <v>44</v>
      </c>
      <c r="E296" s="65" t="s">
        <v>632</v>
      </c>
      <c r="F296" s="53" t="s">
        <v>40</v>
      </c>
      <c r="G296" s="53" t="s">
        <v>36</v>
      </c>
      <c r="H296" s="53">
        <f>STOCK[[#This Row],[Precio Final]]</f>
        <v>20</v>
      </c>
      <c r="I296" s="53">
        <f>STOCK[[#This Row],[Precio Venta Ideal (x1.5)]]</f>
        <v>19.083333333333329</v>
      </c>
      <c r="J296" s="69">
        <v>3</v>
      </c>
      <c r="K296" s="69">
        <f>SUMIFS(VENTAS[Cantidad],VENTAS[Código del producto Vendido],STOCK[[#This Row],[Code]])</f>
        <v>3</v>
      </c>
      <c r="L296" s="69">
        <f>STOCK[[#This Row],[Entradas]]-STOCK[[#This Row],[Salidas]]</f>
        <v>0</v>
      </c>
      <c r="M296" s="53">
        <f>STOCK[[#This Row],[Precio Final]]*10%</f>
        <v>2</v>
      </c>
      <c r="N296" s="53">
        <v>166</v>
      </c>
      <c r="O296" s="53">
        <v>18</v>
      </c>
      <c r="P296" s="53">
        <v>9.2222222222222197</v>
      </c>
      <c r="Q296" s="69">
        <v>150</v>
      </c>
      <c r="R296" s="53">
        <v>10</v>
      </c>
      <c r="S296" s="53">
        <f>STOCK[[#This Row],[Peso (g)]]*STOCK[[#This Row],[Precio Envío Kilogramo (USD)]]/1000</f>
        <v>1.5</v>
      </c>
      <c r="T296" s="53">
        <f>STOCK[[#This Row],[Costo Unitario (USD)]]+STOCK[[#This Row],[Costo Envío (USD)]]+STOCK[[#This Row],[Comisión 10%]]</f>
        <v>12.72222222222222</v>
      </c>
      <c r="U296" s="53">
        <f>STOCK[[#This Row],[Costo total]]*1.5</f>
        <v>19.083333333333329</v>
      </c>
      <c r="V296" s="53">
        <v>20</v>
      </c>
      <c r="W296" s="53">
        <f>STOCK[[#This Row],[Precio Final]]-STOCK[[#This Row],[Costo total]]</f>
        <v>7.2777777777777803</v>
      </c>
      <c r="X296" s="53">
        <f>STOCK[[#This Row],[Ganancia Unitaria]]*STOCK[[#This Row],[Salidas]]</f>
        <v>21.833333333333343</v>
      </c>
      <c r="AA296" s="53">
        <f>STOCK[[#This Row],[Costo total]]*STOCK[[#This Row],[Entradas]]</f>
        <v>38.166666666666657</v>
      </c>
      <c r="AB296" s="53">
        <f>STOCK[[#This Row],[Stock Actual]]*STOCK[[#This Row],[Costo total]]</f>
        <v>0</v>
      </c>
    </row>
    <row r="297" spans="1:29" s="54" customFormat="1" ht="50" customHeight="1">
      <c r="A297" s="54" t="s">
        <v>633</v>
      </c>
      <c r="B297" s="64"/>
      <c r="C297" s="54" t="s">
        <v>32</v>
      </c>
      <c r="D297" s="54" t="s">
        <v>44</v>
      </c>
      <c r="E297" s="66" t="s">
        <v>632</v>
      </c>
      <c r="F297" s="54" t="s">
        <v>62</v>
      </c>
      <c r="G297" s="54" t="s">
        <v>36</v>
      </c>
      <c r="H297" s="54">
        <f>STOCK[[#This Row],[Precio Final]]</f>
        <v>15</v>
      </c>
      <c r="I297" s="54">
        <f>STOCK[[#This Row],[Precio Venta Ideal (x1.5)]]</f>
        <v>18.333333333333329</v>
      </c>
      <c r="J297" s="70">
        <v>3</v>
      </c>
      <c r="K297" s="70">
        <f>SUMIFS(VENTAS[Cantidad],VENTAS[Código del producto Vendido],STOCK[[#This Row],[Code]])</f>
        <v>3</v>
      </c>
      <c r="L297" s="70">
        <f>STOCK[[#This Row],[Entradas]]-STOCK[[#This Row],[Salidas]]</f>
        <v>0</v>
      </c>
      <c r="M297" s="54">
        <f>STOCK[[#This Row],[Precio Final]]*10%</f>
        <v>1.5</v>
      </c>
      <c r="N297" s="54">
        <v>166</v>
      </c>
      <c r="O297" s="54">
        <v>18</v>
      </c>
      <c r="P297" s="54">
        <v>9.2222222222222197</v>
      </c>
      <c r="Q297" s="70">
        <v>150</v>
      </c>
      <c r="R297" s="54">
        <v>10</v>
      </c>
      <c r="S297" s="54">
        <f>STOCK[[#This Row],[Peso (g)]]*STOCK[[#This Row],[Precio Envío Kilogramo (USD)]]/1000</f>
        <v>1.5</v>
      </c>
      <c r="T297" s="53">
        <f>STOCK[[#This Row],[Costo Unitario (USD)]]+STOCK[[#This Row],[Costo Envío (USD)]]+STOCK[[#This Row],[Comisión 10%]]</f>
        <v>12.22222222222222</v>
      </c>
      <c r="U297" s="54">
        <f>STOCK[[#This Row],[Costo total]]*1.5</f>
        <v>18.333333333333329</v>
      </c>
      <c r="V297" s="54">
        <v>15</v>
      </c>
      <c r="W297" s="54">
        <f>STOCK[[#This Row],[Precio Final]]-STOCK[[#This Row],[Costo total]]</f>
        <v>2.7777777777777803</v>
      </c>
      <c r="X297" s="54">
        <f>STOCK[[#This Row],[Ganancia Unitaria]]*STOCK[[#This Row],[Salidas]]</f>
        <v>8.333333333333341</v>
      </c>
      <c r="AA297" s="54">
        <f>STOCK[[#This Row],[Costo total]]*STOCK[[#This Row],[Entradas]]</f>
        <v>36.666666666666657</v>
      </c>
      <c r="AB297" s="54">
        <f>STOCK[[#This Row],[Stock Actual]]*STOCK[[#This Row],[Costo total]]</f>
        <v>0</v>
      </c>
    </row>
    <row r="298" spans="1:29" s="53" customFormat="1" ht="50" customHeight="1">
      <c r="A298" s="53" t="s">
        <v>634</v>
      </c>
      <c r="B298" s="64"/>
      <c r="C298" s="53" t="s">
        <v>32</v>
      </c>
      <c r="D298" s="53" t="s">
        <v>44</v>
      </c>
      <c r="E298" s="65" t="s">
        <v>632</v>
      </c>
      <c r="F298" s="53" t="s">
        <v>46</v>
      </c>
      <c r="G298" s="53" t="s">
        <v>36</v>
      </c>
      <c r="H298" s="53">
        <f>STOCK[[#This Row],[Precio Final]]</f>
        <v>16</v>
      </c>
      <c r="I298" s="53">
        <f>STOCK[[#This Row],[Precio Venta Ideal (x1.5)]]</f>
        <v>18.483333333333327</v>
      </c>
      <c r="J298" s="69">
        <v>3</v>
      </c>
      <c r="K298" s="69">
        <f>SUMIFS(VENTAS[Cantidad],VENTAS[Código del producto Vendido],STOCK[[#This Row],[Code]])</f>
        <v>3</v>
      </c>
      <c r="L298" s="69">
        <f>STOCK[[#This Row],[Entradas]]-STOCK[[#This Row],[Salidas]]</f>
        <v>0</v>
      </c>
      <c r="M298" s="53">
        <f>STOCK[[#This Row],[Precio Final]]*10%</f>
        <v>1.6</v>
      </c>
      <c r="N298" s="53">
        <v>166</v>
      </c>
      <c r="O298" s="53">
        <v>18</v>
      </c>
      <c r="P298" s="53">
        <v>9.2222222222222197</v>
      </c>
      <c r="Q298" s="69">
        <v>150</v>
      </c>
      <c r="R298" s="53">
        <v>10</v>
      </c>
      <c r="S298" s="53">
        <f>STOCK[[#This Row],[Peso (g)]]*STOCK[[#This Row],[Precio Envío Kilogramo (USD)]]/1000</f>
        <v>1.5</v>
      </c>
      <c r="T298" s="53">
        <f>STOCK[[#This Row],[Costo Unitario (USD)]]+STOCK[[#This Row],[Costo Envío (USD)]]+STOCK[[#This Row],[Comisión 10%]]</f>
        <v>12.322222222222219</v>
      </c>
      <c r="U298" s="53">
        <f>STOCK[[#This Row],[Costo total]]*1.5</f>
        <v>18.483333333333327</v>
      </c>
      <c r="V298" s="53">
        <v>16</v>
      </c>
      <c r="W298" s="53">
        <f>STOCK[[#This Row],[Precio Final]]-STOCK[[#This Row],[Costo total]]</f>
        <v>3.6777777777777807</v>
      </c>
      <c r="X298" s="53">
        <f>STOCK[[#This Row],[Ganancia Unitaria]]*STOCK[[#This Row],[Salidas]]</f>
        <v>11.033333333333342</v>
      </c>
      <c r="AA298" s="53">
        <f>STOCK[[#This Row],[Costo total]]*STOCK[[#This Row],[Entradas]]</f>
        <v>36.966666666666654</v>
      </c>
      <c r="AB298" s="53">
        <f>STOCK[[#This Row],[Stock Actual]]*STOCK[[#This Row],[Costo total]]</f>
        <v>0</v>
      </c>
    </row>
    <row r="299" spans="1:29" s="54" customFormat="1" ht="50" customHeight="1">
      <c r="A299" s="54" t="s">
        <v>635</v>
      </c>
      <c r="B299" s="64"/>
      <c r="C299" s="54" t="s">
        <v>32</v>
      </c>
      <c r="D299" s="54" t="s">
        <v>44</v>
      </c>
      <c r="E299" s="66" t="s">
        <v>636</v>
      </c>
      <c r="F299" s="54" t="s">
        <v>40</v>
      </c>
      <c r="G299" s="54" t="s">
        <v>36</v>
      </c>
      <c r="H299" s="54">
        <f>STOCK[[#This Row],[Precio Final]]</f>
        <v>16</v>
      </c>
      <c r="I299" s="54">
        <f>STOCK[[#This Row],[Precio Venta Ideal (x1.5)]]</f>
        <v>18.483333333333327</v>
      </c>
      <c r="J299" s="70">
        <v>4</v>
      </c>
      <c r="K299" s="70">
        <f>SUMIFS(VENTAS[Cantidad],VENTAS[Código del producto Vendido],STOCK[[#This Row],[Code]])</f>
        <v>4</v>
      </c>
      <c r="L299" s="70">
        <f>STOCK[[#This Row],[Entradas]]-STOCK[[#This Row],[Salidas]]</f>
        <v>0</v>
      </c>
      <c r="M299" s="54">
        <f>STOCK[[#This Row],[Precio Final]]*10%</f>
        <v>1.6</v>
      </c>
      <c r="N299" s="54">
        <v>166</v>
      </c>
      <c r="O299" s="54">
        <v>18</v>
      </c>
      <c r="P299" s="54">
        <v>9.2222222222222197</v>
      </c>
      <c r="Q299" s="70">
        <v>150</v>
      </c>
      <c r="R299" s="54">
        <v>10</v>
      </c>
      <c r="S299" s="54">
        <f>STOCK[[#This Row],[Peso (g)]]*STOCK[[#This Row],[Precio Envío Kilogramo (USD)]]/1000</f>
        <v>1.5</v>
      </c>
      <c r="T299" s="53">
        <f>STOCK[[#This Row],[Costo Unitario (USD)]]+STOCK[[#This Row],[Costo Envío (USD)]]+STOCK[[#This Row],[Comisión 10%]]</f>
        <v>12.322222222222219</v>
      </c>
      <c r="U299" s="54">
        <f>STOCK[[#This Row],[Costo total]]*1.5</f>
        <v>18.483333333333327</v>
      </c>
      <c r="V299" s="54">
        <v>16</v>
      </c>
      <c r="W299" s="54">
        <f>STOCK[[#This Row],[Precio Final]]-STOCK[[#This Row],[Costo total]]</f>
        <v>3.6777777777777807</v>
      </c>
      <c r="X299" s="54">
        <f>STOCK[[#This Row],[Ganancia Unitaria]]*STOCK[[#This Row],[Salidas]]</f>
        <v>14.711111111111123</v>
      </c>
      <c r="AA299" s="54">
        <f>STOCK[[#This Row],[Costo total]]*STOCK[[#This Row],[Entradas]]</f>
        <v>49.288888888888877</v>
      </c>
      <c r="AB299" s="54">
        <f>STOCK[[#This Row],[Stock Actual]]*STOCK[[#This Row],[Costo total]]</f>
        <v>0</v>
      </c>
    </row>
    <row r="300" spans="1:29" s="53" customFormat="1" ht="50" customHeight="1">
      <c r="A300" s="53" t="s">
        <v>637</v>
      </c>
      <c r="B300" s="64"/>
      <c r="C300" s="53" t="s">
        <v>32</v>
      </c>
      <c r="D300" s="53" t="s">
        <v>44</v>
      </c>
      <c r="E300" s="65" t="s">
        <v>636</v>
      </c>
      <c r="F300" s="53" t="s">
        <v>62</v>
      </c>
      <c r="G300" s="53" t="s">
        <v>36</v>
      </c>
      <c r="H300" s="53">
        <f>STOCK[[#This Row],[Precio Final]]</f>
        <v>20</v>
      </c>
      <c r="I300" s="53">
        <f>STOCK[[#This Row],[Precio Venta Ideal (x1.5)]]</f>
        <v>19.083333333333329</v>
      </c>
      <c r="J300" s="69">
        <v>2</v>
      </c>
      <c r="K300" s="69">
        <f>SUMIFS(VENTAS[Cantidad],VENTAS[Código del producto Vendido],STOCK[[#This Row],[Code]])</f>
        <v>2</v>
      </c>
      <c r="L300" s="69">
        <f>STOCK[[#This Row],[Entradas]]-STOCK[[#This Row],[Salidas]]</f>
        <v>0</v>
      </c>
      <c r="M300" s="53">
        <f>STOCK[[#This Row],[Precio Final]]*10%</f>
        <v>2</v>
      </c>
      <c r="N300" s="53">
        <v>166</v>
      </c>
      <c r="O300" s="53">
        <v>18</v>
      </c>
      <c r="P300" s="53">
        <v>9.2222222222222197</v>
      </c>
      <c r="Q300" s="69">
        <v>150</v>
      </c>
      <c r="R300" s="53">
        <v>10</v>
      </c>
      <c r="S300" s="53">
        <f>STOCK[[#This Row],[Peso (g)]]*STOCK[[#This Row],[Precio Envío Kilogramo (USD)]]/1000</f>
        <v>1.5</v>
      </c>
      <c r="T300" s="53">
        <f>STOCK[[#This Row],[Costo Unitario (USD)]]+STOCK[[#This Row],[Costo Envío (USD)]]+STOCK[[#This Row],[Comisión 10%]]</f>
        <v>12.72222222222222</v>
      </c>
      <c r="U300" s="53">
        <f>STOCK[[#This Row],[Costo total]]*1.5</f>
        <v>19.083333333333329</v>
      </c>
      <c r="V300" s="53">
        <v>20</v>
      </c>
      <c r="W300" s="53">
        <f>STOCK[[#This Row],[Precio Final]]-STOCK[[#This Row],[Costo total]]</f>
        <v>7.2777777777777803</v>
      </c>
      <c r="X300" s="53">
        <f>STOCK[[#This Row],[Ganancia Unitaria]]*STOCK[[#This Row],[Salidas]]</f>
        <v>14.555555555555561</v>
      </c>
      <c r="AA300" s="53">
        <f>STOCK[[#This Row],[Costo total]]*STOCK[[#This Row],[Entradas]]</f>
        <v>25.444444444444439</v>
      </c>
      <c r="AB300" s="53">
        <f>STOCK[[#This Row],[Stock Actual]]*STOCK[[#This Row],[Costo total]]</f>
        <v>0</v>
      </c>
    </row>
    <row r="301" spans="1:29" s="54" customFormat="1" ht="50" customHeight="1">
      <c r="A301" s="54" t="s">
        <v>638</v>
      </c>
      <c r="B301" s="64"/>
      <c r="C301" s="54" t="s">
        <v>32</v>
      </c>
      <c r="D301" s="54" t="s">
        <v>44</v>
      </c>
      <c r="E301" s="66" t="s">
        <v>639</v>
      </c>
      <c r="F301" s="54" t="s">
        <v>46</v>
      </c>
      <c r="G301" s="54" t="s">
        <v>36</v>
      </c>
      <c r="H301" s="54">
        <f>STOCK[[#This Row],[Precio Final]]</f>
        <v>20</v>
      </c>
      <c r="I301" s="54">
        <f>STOCK[[#This Row],[Precio Venta Ideal (x1.5)]]</f>
        <v>19.083333333333329</v>
      </c>
      <c r="J301" s="70">
        <v>4</v>
      </c>
      <c r="K301" s="70">
        <f>SUMIFS(VENTAS[Cantidad],VENTAS[Código del producto Vendido],STOCK[[#This Row],[Code]])</f>
        <v>4</v>
      </c>
      <c r="L301" s="70">
        <f>STOCK[[#This Row],[Entradas]]-STOCK[[#This Row],[Salidas]]</f>
        <v>0</v>
      </c>
      <c r="M301" s="54">
        <f>STOCK[[#This Row],[Precio Final]]*10%</f>
        <v>2</v>
      </c>
      <c r="N301" s="54">
        <v>166</v>
      </c>
      <c r="O301" s="54">
        <v>18</v>
      </c>
      <c r="P301" s="54">
        <v>9.2222222222222197</v>
      </c>
      <c r="Q301" s="70">
        <v>150</v>
      </c>
      <c r="R301" s="54">
        <v>10</v>
      </c>
      <c r="S301" s="54">
        <f>STOCK[[#This Row],[Peso (g)]]*STOCK[[#This Row],[Precio Envío Kilogramo (USD)]]/1000</f>
        <v>1.5</v>
      </c>
      <c r="T301" s="53">
        <f>STOCK[[#This Row],[Costo Unitario (USD)]]+STOCK[[#This Row],[Costo Envío (USD)]]+STOCK[[#This Row],[Comisión 10%]]</f>
        <v>12.72222222222222</v>
      </c>
      <c r="U301" s="54">
        <f>STOCK[[#This Row],[Costo total]]*1.5</f>
        <v>19.083333333333329</v>
      </c>
      <c r="V301" s="54">
        <v>20</v>
      </c>
      <c r="W301" s="54">
        <f>STOCK[[#This Row],[Precio Final]]-STOCK[[#This Row],[Costo total]]</f>
        <v>7.2777777777777803</v>
      </c>
      <c r="X301" s="54">
        <f>STOCK[[#This Row],[Ganancia Unitaria]]*STOCK[[#This Row],[Salidas]]</f>
        <v>29.111111111111121</v>
      </c>
      <c r="AA301" s="54">
        <f>STOCK[[#This Row],[Costo total]]*STOCK[[#This Row],[Entradas]]</f>
        <v>50.888888888888879</v>
      </c>
      <c r="AB301" s="54">
        <f>STOCK[[#This Row],[Stock Actual]]*STOCK[[#This Row],[Costo total]]</f>
        <v>0</v>
      </c>
    </row>
    <row r="302" spans="1:29" s="53" customFormat="1" ht="50" customHeight="1">
      <c r="A302" s="53" t="s">
        <v>640</v>
      </c>
      <c r="B302" s="64"/>
      <c r="C302" s="53" t="s">
        <v>32</v>
      </c>
      <c r="D302" s="53" t="s">
        <v>44</v>
      </c>
      <c r="E302" s="65" t="s">
        <v>641</v>
      </c>
      <c r="F302" s="53" t="s">
        <v>62</v>
      </c>
      <c r="G302" s="53" t="s">
        <v>36</v>
      </c>
      <c r="H302" s="53">
        <f>STOCK[[#This Row],[Precio Final]]</f>
        <v>20</v>
      </c>
      <c r="I302" s="53">
        <f>STOCK[[#This Row],[Precio Venta Ideal (x1.5)]]</f>
        <v>19.083333333333329</v>
      </c>
      <c r="J302" s="69">
        <v>4</v>
      </c>
      <c r="K302" s="69">
        <f>SUMIFS(VENTAS[Cantidad],VENTAS[Código del producto Vendido],STOCK[[#This Row],[Code]])</f>
        <v>4</v>
      </c>
      <c r="L302" s="69">
        <f>STOCK[[#This Row],[Entradas]]-STOCK[[#This Row],[Salidas]]</f>
        <v>0</v>
      </c>
      <c r="M302" s="53">
        <f>STOCK[[#This Row],[Precio Final]]*10%</f>
        <v>2</v>
      </c>
      <c r="N302" s="53">
        <v>166</v>
      </c>
      <c r="O302" s="53">
        <v>18</v>
      </c>
      <c r="P302" s="53">
        <v>9.2222222222222197</v>
      </c>
      <c r="Q302" s="69">
        <v>150</v>
      </c>
      <c r="R302" s="53">
        <v>10</v>
      </c>
      <c r="S302" s="53">
        <f>STOCK[[#This Row],[Peso (g)]]*STOCK[[#This Row],[Precio Envío Kilogramo (USD)]]/1000</f>
        <v>1.5</v>
      </c>
      <c r="T302" s="53">
        <f>STOCK[[#This Row],[Costo Unitario (USD)]]+STOCK[[#This Row],[Costo Envío (USD)]]+STOCK[[#This Row],[Comisión 10%]]</f>
        <v>12.72222222222222</v>
      </c>
      <c r="U302" s="53">
        <f>STOCK[[#This Row],[Costo total]]*1.5</f>
        <v>19.083333333333329</v>
      </c>
      <c r="V302" s="53">
        <v>20</v>
      </c>
      <c r="W302" s="53">
        <f>STOCK[[#This Row],[Precio Final]]-STOCK[[#This Row],[Costo total]]</f>
        <v>7.2777777777777803</v>
      </c>
      <c r="X302" s="53">
        <f>STOCK[[#This Row],[Ganancia Unitaria]]*STOCK[[#This Row],[Salidas]]</f>
        <v>29.111111111111121</v>
      </c>
      <c r="AA302" s="53">
        <f>STOCK[[#This Row],[Costo total]]*STOCK[[#This Row],[Entradas]]</f>
        <v>50.888888888888879</v>
      </c>
      <c r="AB302" s="53">
        <f>STOCK[[#This Row],[Stock Actual]]*STOCK[[#This Row],[Costo total]]</f>
        <v>0</v>
      </c>
    </row>
    <row r="303" spans="1:29" s="54" customFormat="1" ht="50" customHeight="1">
      <c r="A303" s="54" t="s">
        <v>642</v>
      </c>
      <c r="B303" s="64"/>
      <c r="C303" s="54" t="s">
        <v>32</v>
      </c>
      <c r="D303" s="54" t="s">
        <v>44</v>
      </c>
      <c r="E303" s="66" t="s">
        <v>641</v>
      </c>
      <c r="F303" s="54" t="s">
        <v>40</v>
      </c>
      <c r="G303" s="54" t="s">
        <v>36</v>
      </c>
      <c r="H303" s="54">
        <f>STOCK[[#This Row],[Precio Final]]</f>
        <v>16</v>
      </c>
      <c r="I303" s="54">
        <f>STOCK[[#This Row],[Precio Venta Ideal (x1.5)]]</f>
        <v>18.483333333333327</v>
      </c>
      <c r="J303" s="70">
        <v>3</v>
      </c>
      <c r="K303" s="70">
        <f>SUMIFS(VENTAS[Cantidad],VENTAS[Código del producto Vendido],STOCK[[#This Row],[Code]])</f>
        <v>3</v>
      </c>
      <c r="L303" s="70">
        <f>STOCK[[#This Row],[Entradas]]-STOCK[[#This Row],[Salidas]]</f>
        <v>0</v>
      </c>
      <c r="M303" s="54">
        <f>STOCK[[#This Row],[Precio Final]]*10%</f>
        <v>1.6</v>
      </c>
      <c r="N303" s="54">
        <v>166</v>
      </c>
      <c r="O303" s="54">
        <v>18</v>
      </c>
      <c r="P303" s="54">
        <v>9.2222222222222197</v>
      </c>
      <c r="Q303" s="70">
        <v>150</v>
      </c>
      <c r="R303" s="54">
        <v>10</v>
      </c>
      <c r="S303" s="54">
        <f>STOCK[[#This Row],[Peso (g)]]*STOCK[[#This Row],[Precio Envío Kilogramo (USD)]]/1000</f>
        <v>1.5</v>
      </c>
      <c r="T303" s="53">
        <f>STOCK[[#This Row],[Costo Unitario (USD)]]+STOCK[[#This Row],[Costo Envío (USD)]]+STOCK[[#This Row],[Comisión 10%]]</f>
        <v>12.322222222222219</v>
      </c>
      <c r="U303" s="54">
        <f>STOCK[[#This Row],[Costo total]]*1.5</f>
        <v>18.483333333333327</v>
      </c>
      <c r="V303" s="54">
        <v>16</v>
      </c>
      <c r="W303" s="54">
        <f>STOCK[[#This Row],[Precio Final]]-STOCK[[#This Row],[Costo total]]</f>
        <v>3.6777777777777807</v>
      </c>
      <c r="X303" s="54">
        <f>STOCK[[#This Row],[Ganancia Unitaria]]*STOCK[[#This Row],[Salidas]]</f>
        <v>11.033333333333342</v>
      </c>
      <c r="AA303" s="54">
        <f>STOCK[[#This Row],[Costo total]]*STOCK[[#This Row],[Entradas]]</f>
        <v>36.966666666666654</v>
      </c>
      <c r="AB303" s="54">
        <f>STOCK[[#This Row],[Stock Actual]]*STOCK[[#This Row],[Costo total]]</f>
        <v>0</v>
      </c>
    </row>
    <row r="304" spans="1:29" s="53" customFormat="1" ht="50" customHeight="1">
      <c r="A304" s="53" t="s">
        <v>643</v>
      </c>
      <c r="B304" s="64"/>
      <c r="C304" s="53" t="s">
        <v>32</v>
      </c>
      <c r="D304" s="53" t="s">
        <v>44</v>
      </c>
      <c r="E304" s="65" t="s">
        <v>644</v>
      </c>
      <c r="F304" s="53" t="s">
        <v>62</v>
      </c>
      <c r="G304" s="53" t="s">
        <v>36</v>
      </c>
      <c r="H304" s="53">
        <f>STOCK[[#This Row],[Precio Final]]</f>
        <v>15</v>
      </c>
      <c r="I304" s="53">
        <f>STOCK[[#This Row],[Precio Venta Ideal (x1.5)]]</f>
        <v>18.333333333333329</v>
      </c>
      <c r="J304" s="69">
        <v>4</v>
      </c>
      <c r="K304" s="69">
        <f>SUMIFS(VENTAS[Cantidad],VENTAS[Código del producto Vendido],STOCK[[#This Row],[Code]])</f>
        <v>4</v>
      </c>
      <c r="L304" s="69">
        <f>STOCK[[#This Row],[Entradas]]-STOCK[[#This Row],[Salidas]]</f>
        <v>0</v>
      </c>
      <c r="M304" s="53">
        <f>STOCK[[#This Row],[Precio Final]]*10%</f>
        <v>1.5</v>
      </c>
      <c r="N304" s="53">
        <v>166</v>
      </c>
      <c r="O304" s="53">
        <v>18</v>
      </c>
      <c r="P304" s="53">
        <v>9.2222222222222197</v>
      </c>
      <c r="Q304" s="69">
        <v>150</v>
      </c>
      <c r="R304" s="53">
        <v>10</v>
      </c>
      <c r="S304" s="53">
        <f>STOCK[[#This Row],[Peso (g)]]*STOCK[[#This Row],[Precio Envío Kilogramo (USD)]]/1000</f>
        <v>1.5</v>
      </c>
      <c r="T304" s="53">
        <f>STOCK[[#This Row],[Costo Unitario (USD)]]+STOCK[[#This Row],[Costo Envío (USD)]]+STOCK[[#This Row],[Comisión 10%]]</f>
        <v>12.22222222222222</v>
      </c>
      <c r="U304" s="53">
        <f>STOCK[[#This Row],[Costo total]]*1.5</f>
        <v>18.333333333333329</v>
      </c>
      <c r="V304" s="53">
        <v>15</v>
      </c>
      <c r="W304" s="53">
        <f>STOCK[[#This Row],[Precio Final]]-STOCK[[#This Row],[Costo total]]</f>
        <v>2.7777777777777803</v>
      </c>
      <c r="X304" s="53">
        <f>STOCK[[#This Row],[Ganancia Unitaria]]*STOCK[[#This Row],[Salidas]]</f>
        <v>11.111111111111121</v>
      </c>
      <c r="AA304" s="53">
        <f>STOCK[[#This Row],[Costo total]]*STOCK[[#This Row],[Entradas]]</f>
        <v>48.888888888888879</v>
      </c>
      <c r="AB304" s="53">
        <f>STOCK[[#This Row],[Stock Actual]]*STOCK[[#This Row],[Costo total]]</f>
        <v>0</v>
      </c>
    </row>
    <row r="305" spans="1:29" s="54" customFormat="1" ht="50" customHeight="1">
      <c r="A305" s="54" t="s">
        <v>645</v>
      </c>
      <c r="B305" s="64"/>
      <c r="C305" s="54" t="s">
        <v>32</v>
      </c>
      <c r="D305" s="54" t="s">
        <v>216</v>
      </c>
      <c r="E305" s="66" t="s">
        <v>646</v>
      </c>
      <c r="F305" s="54" t="s">
        <v>40</v>
      </c>
      <c r="G305" s="54" t="s">
        <v>36</v>
      </c>
      <c r="H305" s="54">
        <f>STOCK[[#This Row],[Precio Final]]</f>
        <v>20</v>
      </c>
      <c r="I305" s="54">
        <f>STOCK[[#This Row],[Precio Venta Ideal (x1.5)]]</f>
        <v>19.083333333333329</v>
      </c>
      <c r="J305" s="70">
        <v>5</v>
      </c>
      <c r="K305" s="70">
        <f>SUMIFS(VENTAS[Cantidad],VENTAS[Código del producto Vendido],STOCK[[#This Row],[Code]])</f>
        <v>2</v>
      </c>
      <c r="L305" s="70">
        <f>STOCK[[#This Row],[Entradas]]-STOCK[[#This Row],[Salidas]]</f>
        <v>3</v>
      </c>
      <c r="M305" s="54">
        <f>STOCK[[#This Row],[Precio Final]]*10%</f>
        <v>2</v>
      </c>
      <c r="N305" s="54">
        <v>166</v>
      </c>
      <c r="O305" s="54">
        <v>18</v>
      </c>
      <c r="P305" s="54">
        <v>9.2222222222222197</v>
      </c>
      <c r="Q305" s="70">
        <v>150</v>
      </c>
      <c r="R305" s="54">
        <v>10</v>
      </c>
      <c r="S305" s="54">
        <f>STOCK[[#This Row],[Peso (g)]]*STOCK[[#This Row],[Precio Envío Kilogramo (USD)]]/1000</f>
        <v>1.5</v>
      </c>
      <c r="T305" s="53">
        <f>STOCK[[#This Row],[Costo Unitario (USD)]]+STOCK[[#This Row],[Costo Envío (USD)]]+STOCK[[#This Row],[Comisión 10%]]</f>
        <v>12.72222222222222</v>
      </c>
      <c r="U305" s="54">
        <f>STOCK[[#This Row],[Costo total]]*1.5</f>
        <v>19.083333333333329</v>
      </c>
      <c r="V305" s="54">
        <v>20</v>
      </c>
      <c r="W305" s="54">
        <f>STOCK[[#This Row],[Precio Final]]-STOCK[[#This Row],[Costo total]]</f>
        <v>7.2777777777777803</v>
      </c>
      <c r="X305" s="54">
        <f>STOCK[[#This Row],[Ganancia Unitaria]]*STOCK[[#This Row],[Salidas]]</f>
        <v>14.555555555555561</v>
      </c>
      <c r="AA305" s="54">
        <f>STOCK[[#This Row],[Costo total]]*STOCK[[#This Row],[Entradas]]</f>
        <v>63.6111111111111</v>
      </c>
      <c r="AB305" s="54">
        <f>STOCK[[#This Row],[Stock Actual]]*STOCK[[#This Row],[Costo total]]</f>
        <v>38.166666666666657</v>
      </c>
      <c r="AC305" s="54">
        <v>15</v>
      </c>
    </row>
    <row r="306" spans="1:29" s="53" customFormat="1" ht="50" customHeight="1">
      <c r="A306" s="53" t="s">
        <v>647</v>
      </c>
      <c r="B306" s="64"/>
      <c r="C306" s="53" t="s">
        <v>32</v>
      </c>
      <c r="D306" s="53" t="s">
        <v>44</v>
      </c>
      <c r="E306" s="65" t="s">
        <v>646</v>
      </c>
      <c r="F306" s="53" t="s">
        <v>62</v>
      </c>
      <c r="G306" s="53" t="s">
        <v>36</v>
      </c>
      <c r="H306" s="53">
        <f>STOCK[[#This Row],[Precio Final]]</f>
        <v>15</v>
      </c>
      <c r="I306" s="53">
        <f>STOCK[[#This Row],[Precio Venta Ideal (x1.5)]]</f>
        <v>18.333333333333329</v>
      </c>
      <c r="J306" s="69">
        <v>2</v>
      </c>
      <c r="K306" s="69">
        <f>SUMIFS(VENTAS[Cantidad],VENTAS[Código del producto Vendido],STOCK[[#This Row],[Code]])</f>
        <v>2</v>
      </c>
      <c r="L306" s="69">
        <f>STOCK[[#This Row],[Entradas]]-STOCK[[#This Row],[Salidas]]</f>
        <v>0</v>
      </c>
      <c r="M306" s="53">
        <f>STOCK[[#This Row],[Precio Final]]*10%</f>
        <v>1.5</v>
      </c>
      <c r="N306" s="53">
        <v>166</v>
      </c>
      <c r="O306" s="53">
        <v>18</v>
      </c>
      <c r="P306" s="53">
        <v>9.2222222222222197</v>
      </c>
      <c r="Q306" s="69">
        <v>150</v>
      </c>
      <c r="R306" s="53">
        <v>10</v>
      </c>
      <c r="S306" s="53">
        <f>STOCK[[#This Row],[Peso (g)]]*STOCK[[#This Row],[Precio Envío Kilogramo (USD)]]/1000</f>
        <v>1.5</v>
      </c>
      <c r="T306" s="53">
        <f>STOCK[[#This Row],[Costo Unitario (USD)]]+STOCK[[#This Row],[Costo Envío (USD)]]+STOCK[[#This Row],[Comisión 10%]]</f>
        <v>12.22222222222222</v>
      </c>
      <c r="U306" s="53">
        <f>STOCK[[#This Row],[Costo total]]*1.5</f>
        <v>18.333333333333329</v>
      </c>
      <c r="V306" s="53">
        <v>15</v>
      </c>
      <c r="W306" s="53">
        <f>STOCK[[#This Row],[Precio Final]]-STOCK[[#This Row],[Costo total]]</f>
        <v>2.7777777777777803</v>
      </c>
      <c r="X306" s="53">
        <f>STOCK[[#This Row],[Ganancia Unitaria]]*STOCK[[#This Row],[Salidas]]</f>
        <v>5.5555555555555607</v>
      </c>
      <c r="AA306" s="53">
        <f>STOCK[[#This Row],[Costo total]]*STOCK[[#This Row],[Entradas]]</f>
        <v>24.444444444444439</v>
      </c>
      <c r="AB306" s="53">
        <f>STOCK[[#This Row],[Stock Actual]]*STOCK[[#This Row],[Costo total]]</f>
        <v>0</v>
      </c>
    </row>
    <row r="307" spans="1:29" s="54" customFormat="1" ht="50" customHeight="1">
      <c r="A307" s="54" t="s">
        <v>648</v>
      </c>
      <c r="B307" s="64"/>
      <c r="C307" s="54" t="s">
        <v>32</v>
      </c>
      <c r="D307" s="54" t="s">
        <v>649</v>
      </c>
      <c r="E307" s="66" t="s">
        <v>646</v>
      </c>
      <c r="F307" s="54" t="s">
        <v>46</v>
      </c>
      <c r="G307" s="54" t="s">
        <v>36</v>
      </c>
      <c r="H307" s="54">
        <f>STOCK[[#This Row],[Precio Final]]</f>
        <v>20</v>
      </c>
      <c r="I307" s="54">
        <f>STOCK[[#This Row],[Precio Venta Ideal (x1.5)]]</f>
        <v>19.083333333333329</v>
      </c>
      <c r="J307" s="70">
        <v>3</v>
      </c>
      <c r="K307" s="70">
        <f>SUMIFS(VENTAS[Cantidad],VENTAS[Código del producto Vendido],STOCK[[#This Row],[Code]])</f>
        <v>3</v>
      </c>
      <c r="L307" s="70">
        <f>STOCK[[#This Row],[Entradas]]-STOCK[[#This Row],[Salidas]]</f>
        <v>0</v>
      </c>
      <c r="M307" s="54">
        <f>STOCK[[#This Row],[Precio Final]]*10%</f>
        <v>2</v>
      </c>
      <c r="N307" s="54">
        <v>166</v>
      </c>
      <c r="O307" s="54">
        <v>18</v>
      </c>
      <c r="P307" s="54">
        <v>9.2222222222222197</v>
      </c>
      <c r="Q307" s="70">
        <v>150</v>
      </c>
      <c r="R307" s="54">
        <v>10</v>
      </c>
      <c r="S307" s="54">
        <f>STOCK[[#This Row],[Peso (g)]]*STOCK[[#This Row],[Precio Envío Kilogramo (USD)]]/1000</f>
        <v>1.5</v>
      </c>
      <c r="T307" s="53">
        <f>STOCK[[#This Row],[Costo Unitario (USD)]]+STOCK[[#This Row],[Costo Envío (USD)]]+STOCK[[#This Row],[Comisión 10%]]</f>
        <v>12.72222222222222</v>
      </c>
      <c r="U307" s="54">
        <f>STOCK[[#This Row],[Costo total]]*1.5</f>
        <v>19.083333333333329</v>
      </c>
      <c r="V307" s="54">
        <v>20</v>
      </c>
      <c r="W307" s="54">
        <f>STOCK[[#This Row],[Precio Final]]-STOCK[[#This Row],[Costo total]]</f>
        <v>7.2777777777777803</v>
      </c>
      <c r="X307" s="54">
        <f>STOCK[[#This Row],[Ganancia Unitaria]]*STOCK[[#This Row],[Salidas]]</f>
        <v>21.833333333333343</v>
      </c>
      <c r="AA307" s="54">
        <f>STOCK[[#This Row],[Costo total]]*STOCK[[#This Row],[Entradas]]</f>
        <v>38.166666666666657</v>
      </c>
      <c r="AB307" s="54">
        <f>STOCK[[#This Row],[Stock Actual]]*STOCK[[#This Row],[Costo total]]</f>
        <v>0</v>
      </c>
    </row>
    <row r="308" spans="1:29" s="53" customFormat="1" ht="50" customHeight="1">
      <c r="A308" s="53" t="s">
        <v>650</v>
      </c>
      <c r="B308" s="64"/>
      <c r="C308" s="53" t="s">
        <v>32</v>
      </c>
      <c r="D308" s="53" t="s">
        <v>44</v>
      </c>
      <c r="E308" s="65" t="s">
        <v>651</v>
      </c>
      <c r="F308" s="53" t="s">
        <v>46</v>
      </c>
      <c r="G308" s="53" t="s">
        <v>36</v>
      </c>
      <c r="H308" s="53">
        <f>STOCK[[#This Row],[Precio Final]]</f>
        <v>20</v>
      </c>
      <c r="I308" s="53">
        <f>STOCK[[#This Row],[Precio Venta Ideal (x1.5)]]</f>
        <v>19.083333333333329</v>
      </c>
      <c r="J308" s="69">
        <v>4</v>
      </c>
      <c r="K308" s="69">
        <f>SUMIFS(VENTAS[Cantidad],VENTAS[Código del producto Vendido],STOCK[[#This Row],[Code]])</f>
        <v>4</v>
      </c>
      <c r="L308" s="69">
        <f>STOCK[[#This Row],[Entradas]]-STOCK[[#This Row],[Salidas]]</f>
        <v>0</v>
      </c>
      <c r="M308" s="53">
        <f>STOCK[[#This Row],[Precio Final]]*10%</f>
        <v>2</v>
      </c>
      <c r="N308" s="53">
        <v>166</v>
      </c>
      <c r="O308" s="53">
        <v>18</v>
      </c>
      <c r="P308" s="53">
        <v>9.2222222222222197</v>
      </c>
      <c r="Q308" s="69">
        <v>150</v>
      </c>
      <c r="R308" s="53">
        <v>10</v>
      </c>
      <c r="S308" s="53">
        <f>STOCK[[#This Row],[Peso (g)]]*STOCK[[#This Row],[Precio Envío Kilogramo (USD)]]/1000</f>
        <v>1.5</v>
      </c>
      <c r="T308" s="53">
        <f>STOCK[[#This Row],[Costo Unitario (USD)]]+STOCK[[#This Row],[Costo Envío (USD)]]+STOCK[[#This Row],[Comisión 10%]]</f>
        <v>12.72222222222222</v>
      </c>
      <c r="U308" s="53">
        <f>STOCK[[#This Row],[Costo total]]*1.5</f>
        <v>19.083333333333329</v>
      </c>
      <c r="V308" s="53">
        <v>20</v>
      </c>
      <c r="W308" s="53">
        <f>STOCK[[#This Row],[Precio Final]]-STOCK[[#This Row],[Costo total]]</f>
        <v>7.2777777777777803</v>
      </c>
      <c r="X308" s="53">
        <f>STOCK[[#This Row],[Ganancia Unitaria]]*STOCK[[#This Row],[Salidas]]</f>
        <v>29.111111111111121</v>
      </c>
      <c r="AA308" s="53">
        <f>STOCK[[#This Row],[Costo total]]*STOCK[[#This Row],[Entradas]]</f>
        <v>50.888888888888879</v>
      </c>
      <c r="AB308" s="53">
        <f>STOCK[[#This Row],[Stock Actual]]*STOCK[[#This Row],[Costo total]]</f>
        <v>0</v>
      </c>
    </row>
    <row r="309" spans="1:29" s="54" customFormat="1" ht="50" customHeight="1">
      <c r="A309" s="54" t="s">
        <v>652</v>
      </c>
      <c r="B309" s="64"/>
      <c r="C309" s="54" t="s">
        <v>32</v>
      </c>
      <c r="D309" s="54" t="s">
        <v>44</v>
      </c>
      <c r="E309" s="66" t="s">
        <v>653</v>
      </c>
      <c r="F309" s="54" t="s">
        <v>46</v>
      </c>
      <c r="G309" s="54" t="s">
        <v>36</v>
      </c>
      <c r="H309" s="54">
        <f>STOCK[[#This Row],[Precio Final]]</f>
        <v>20</v>
      </c>
      <c r="I309" s="54">
        <f>STOCK[[#This Row],[Precio Venta Ideal (x1.5)]]</f>
        <v>19.083333333333329</v>
      </c>
      <c r="J309" s="70">
        <v>4</v>
      </c>
      <c r="K309" s="70">
        <f>SUMIFS(VENTAS[Cantidad],VENTAS[Código del producto Vendido],STOCK[[#This Row],[Code]])</f>
        <v>4</v>
      </c>
      <c r="L309" s="70">
        <f>STOCK[[#This Row],[Entradas]]-STOCK[[#This Row],[Salidas]]</f>
        <v>0</v>
      </c>
      <c r="M309" s="54">
        <f>STOCK[[#This Row],[Precio Final]]*10%</f>
        <v>2</v>
      </c>
      <c r="N309" s="54">
        <v>166</v>
      </c>
      <c r="O309" s="54">
        <v>18</v>
      </c>
      <c r="P309" s="54">
        <v>9.2222222222222197</v>
      </c>
      <c r="Q309" s="70">
        <v>150</v>
      </c>
      <c r="R309" s="54">
        <v>10</v>
      </c>
      <c r="S309" s="54">
        <f>STOCK[[#This Row],[Peso (g)]]*STOCK[[#This Row],[Precio Envío Kilogramo (USD)]]/1000</f>
        <v>1.5</v>
      </c>
      <c r="T309" s="53">
        <f>STOCK[[#This Row],[Costo Unitario (USD)]]+STOCK[[#This Row],[Costo Envío (USD)]]+STOCK[[#This Row],[Comisión 10%]]</f>
        <v>12.72222222222222</v>
      </c>
      <c r="U309" s="54">
        <f>STOCK[[#This Row],[Costo total]]*1.5</f>
        <v>19.083333333333329</v>
      </c>
      <c r="V309" s="54">
        <v>20</v>
      </c>
      <c r="W309" s="54">
        <f>STOCK[[#This Row],[Precio Final]]-STOCK[[#This Row],[Costo total]]</f>
        <v>7.2777777777777803</v>
      </c>
      <c r="X309" s="54">
        <f>STOCK[[#This Row],[Ganancia Unitaria]]*STOCK[[#This Row],[Salidas]]</f>
        <v>29.111111111111121</v>
      </c>
      <c r="AA309" s="54">
        <f>STOCK[[#This Row],[Costo total]]*STOCK[[#This Row],[Entradas]]</f>
        <v>50.888888888888879</v>
      </c>
      <c r="AB309" s="54">
        <f>STOCK[[#This Row],[Stock Actual]]*STOCK[[#This Row],[Costo total]]</f>
        <v>0</v>
      </c>
    </row>
    <row r="310" spans="1:29" s="53" customFormat="1" ht="50" customHeight="1">
      <c r="A310" s="53" t="s">
        <v>654</v>
      </c>
      <c r="B310" s="64"/>
      <c r="C310" s="53" t="s">
        <v>32</v>
      </c>
      <c r="D310" s="53" t="s">
        <v>44</v>
      </c>
      <c r="E310" s="65" t="s">
        <v>655</v>
      </c>
      <c r="F310" s="53" t="s">
        <v>46</v>
      </c>
      <c r="G310" s="53" t="s">
        <v>36</v>
      </c>
      <c r="H310" s="53">
        <f>STOCK[[#This Row],[Precio Final]]</f>
        <v>20</v>
      </c>
      <c r="I310" s="53">
        <f>STOCK[[#This Row],[Precio Venta Ideal (x1.5)]]</f>
        <v>19.083333333333329</v>
      </c>
      <c r="J310" s="69">
        <v>4</v>
      </c>
      <c r="K310" s="69">
        <f>SUMIFS(VENTAS[Cantidad],VENTAS[Código del producto Vendido],STOCK[[#This Row],[Code]])</f>
        <v>4</v>
      </c>
      <c r="L310" s="69">
        <f>STOCK[[#This Row],[Entradas]]-STOCK[[#This Row],[Salidas]]</f>
        <v>0</v>
      </c>
      <c r="M310" s="53">
        <f>STOCK[[#This Row],[Precio Final]]*10%</f>
        <v>2</v>
      </c>
      <c r="N310" s="53">
        <v>166</v>
      </c>
      <c r="O310" s="53">
        <v>18</v>
      </c>
      <c r="P310" s="53">
        <v>9.2222222222222197</v>
      </c>
      <c r="Q310" s="69">
        <v>150</v>
      </c>
      <c r="R310" s="53">
        <v>10</v>
      </c>
      <c r="S310" s="53">
        <f>STOCK[[#This Row],[Peso (g)]]*STOCK[[#This Row],[Precio Envío Kilogramo (USD)]]/1000</f>
        <v>1.5</v>
      </c>
      <c r="T310" s="53">
        <f>STOCK[[#This Row],[Costo Unitario (USD)]]+STOCK[[#This Row],[Costo Envío (USD)]]+STOCK[[#This Row],[Comisión 10%]]</f>
        <v>12.72222222222222</v>
      </c>
      <c r="U310" s="53">
        <f>STOCK[[#This Row],[Costo total]]*1.5</f>
        <v>19.083333333333329</v>
      </c>
      <c r="V310" s="53">
        <v>20</v>
      </c>
      <c r="W310" s="53">
        <f>STOCK[[#This Row],[Precio Final]]-STOCK[[#This Row],[Costo total]]</f>
        <v>7.2777777777777803</v>
      </c>
      <c r="X310" s="53">
        <f>STOCK[[#This Row],[Ganancia Unitaria]]*STOCK[[#This Row],[Salidas]]</f>
        <v>29.111111111111121</v>
      </c>
      <c r="AA310" s="53">
        <f>STOCK[[#This Row],[Costo total]]*STOCK[[#This Row],[Entradas]]</f>
        <v>50.888888888888879</v>
      </c>
      <c r="AB310" s="53">
        <f>STOCK[[#This Row],[Stock Actual]]*STOCK[[#This Row],[Costo total]]</f>
        <v>0</v>
      </c>
    </row>
    <row r="311" spans="1:29" s="54" customFormat="1" ht="50" customHeight="1">
      <c r="A311" s="54" t="s">
        <v>656</v>
      </c>
      <c r="B311" s="64"/>
      <c r="C311" s="54" t="s">
        <v>32</v>
      </c>
      <c r="D311" s="54" t="s">
        <v>44</v>
      </c>
      <c r="E311" s="66" t="s">
        <v>657</v>
      </c>
      <c r="F311" s="54" t="s">
        <v>46</v>
      </c>
      <c r="G311" s="54" t="s">
        <v>36</v>
      </c>
      <c r="H311" s="54">
        <f>STOCK[[#This Row],[Precio Final]]</f>
        <v>20</v>
      </c>
      <c r="I311" s="54">
        <f>STOCK[[#This Row],[Precio Venta Ideal (x1.5)]]</f>
        <v>19.083333333333329</v>
      </c>
      <c r="J311" s="70">
        <v>4</v>
      </c>
      <c r="K311" s="70">
        <f>SUMIFS(VENTAS[Cantidad],VENTAS[Código del producto Vendido],STOCK[[#This Row],[Code]])</f>
        <v>4</v>
      </c>
      <c r="L311" s="70">
        <f>STOCK[[#This Row],[Entradas]]-STOCK[[#This Row],[Salidas]]</f>
        <v>0</v>
      </c>
      <c r="M311" s="54">
        <f>STOCK[[#This Row],[Precio Final]]*10%</f>
        <v>2</v>
      </c>
      <c r="N311" s="54">
        <v>166</v>
      </c>
      <c r="O311" s="54">
        <v>18</v>
      </c>
      <c r="P311" s="54">
        <v>9.2222222222222197</v>
      </c>
      <c r="Q311" s="70">
        <v>150</v>
      </c>
      <c r="R311" s="54">
        <v>10</v>
      </c>
      <c r="S311" s="54">
        <f>STOCK[[#This Row],[Peso (g)]]*STOCK[[#This Row],[Precio Envío Kilogramo (USD)]]/1000</f>
        <v>1.5</v>
      </c>
      <c r="T311" s="53">
        <f>STOCK[[#This Row],[Costo Unitario (USD)]]+STOCK[[#This Row],[Costo Envío (USD)]]+STOCK[[#This Row],[Comisión 10%]]</f>
        <v>12.72222222222222</v>
      </c>
      <c r="U311" s="54">
        <f>STOCK[[#This Row],[Costo total]]*1.5</f>
        <v>19.083333333333329</v>
      </c>
      <c r="V311" s="54">
        <v>20</v>
      </c>
      <c r="W311" s="54">
        <f>STOCK[[#This Row],[Precio Final]]-STOCK[[#This Row],[Costo total]]</f>
        <v>7.2777777777777803</v>
      </c>
      <c r="X311" s="54">
        <f>STOCK[[#This Row],[Ganancia Unitaria]]*STOCK[[#This Row],[Salidas]]</f>
        <v>29.111111111111121</v>
      </c>
      <c r="AA311" s="54">
        <f>STOCK[[#This Row],[Costo total]]*STOCK[[#This Row],[Entradas]]</f>
        <v>50.888888888888879</v>
      </c>
      <c r="AB311" s="54">
        <f>STOCK[[#This Row],[Stock Actual]]*STOCK[[#This Row],[Costo total]]</f>
        <v>0</v>
      </c>
    </row>
    <row r="312" spans="1:29" s="53" customFormat="1" ht="50" customHeight="1">
      <c r="A312" s="53" t="s">
        <v>658</v>
      </c>
      <c r="B312" s="64"/>
      <c r="C312" s="53" t="s">
        <v>32</v>
      </c>
      <c r="D312" s="53" t="s">
        <v>44</v>
      </c>
      <c r="E312" s="65" t="s">
        <v>659</v>
      </c>
      <c r="F312" s="53" t="s">
        <v>46</v>
      </c>
      <c r="G312" s="53" t="s">
        <v>36</v>
      </c>
      <c r="H312" s="53">
        <f>STOCK[[#This Row],[Precio Final]]</f>
        <v>18</v>
      </c>
      <c r="I312" s="53">
        <f>STOCK[[#This Row],[Precio Venta Ideal (x1.5)]]</f>
        <v>18.783333333333331</v>
      </c>
      <c r="J312" s="69">
        <v>4</v>
      </c>
      <c r="K312" s="69">
        <f>SUMIFS(VENTAS[Cantidad],VENTAS[Código del producto Vendido],STOCK[[#This Row],[Code]])</f>
        <v>4</v>
      </c>
      <c r="L312" s="69">
        <f>STOCK[[#This Row],[Entradas]]-STOCK[[#This Row],[Salidas]]</f>
        <v>0</v>
      </c>
      <c r="M312" s="53">
        <f>STOCK[[#This Row],[Precio Final]]*10%</f>
        <v>1.8</v>
      </c>
      <c r="N312" s="53">
        <v>166</v>
      </c>
      <c r="O312" s="53">
        <v>18</v>
      </c>
      <c r="P312" s="53">
        <v>9.2222222222222197</v>
      </c>
      <c r="Q312" s="69">
        <v>150</v>
      </c>
      <c r="R312" s="53">
        <v>10</v>
      </c>
      <c r="S312" s="53">
        <f>STOCK[[#This Row],[Peso (g)]]*STOCK[[#This Row],[Precio Envío Kilogramo (USD)]]/1000</f>
        <v>1.5</v>
      </c>
      <c r="T312" s="53">
        <f>STOCK[[#This Row],[Costo Unitario (USD)]]+STOCK[[#This Row],[Costo Envío (USD)]]+STOCK[[#This Row],[Comisión 10%]]</f>
        <v>12.52222222222222</v>
      </c>
      <c r="U312" s="53">
        <f>STOCK[[#This Row],[Costo total]]*1.5</f>
        <v>18.783333333333331</v>
      </c>
      <c r="V312" s="53">
        <v>18</v>
      </c>
      <c r="W312" s="53">
        <f>STOCK[[#This Row],[Precio Final]]-STOCK[[#This Row],[Costo total]]</f>
        <v>5.4777777777777796</v>
      </c>
      <c r="X312" s="53">
        <f>STOCK[[#This Row],[Ganancia Unitaria]]*STOCK[[#This Row],[Salidas]]</f>
        <v>21.911111111111119</v>
      </c>
      <c r="AA312" s="53">
        <f>STOCK[[#This Row],[Costo total]]*STOCK[[#This Row],[Entradas]]</f>
        <v>50.088888888888881</v>
      </c>
      <c r="AB312" s="53">
        <f>STOCK[[#This Row],[Stock Actual]]*STOCK[[#This Row],[Costo total]]</f>
        <v>0</v>
      </c>
    </row>
    <row r="313" spans="1:29" s="54" customFormat="1" ht="50" customHeight="1">
      <c r="A313" s="54" t="s">
        <v>660</v>
      </c>
      <c r="B313" s="64"/>
      <c r="C313" s="54" t="s">
        <v>32</v>
      </c>
      <c r="D313" s="54" t="s">
        <v>44</v>
      </c>
      <c r="E313" s="66" t="s">
        <v>661</v>
      </c>
      <c r="F313" s="54" t="s">
        <v>62</v>
      </c>
      <c r="G313" s="54" t="s">
        <v>36</v>
      </c>
      <c r="H313" s="54">
        <f>STOCK[[#This Row],[Precio Final]]</f>
        <v>18</v>
      </c>
      <c r="I313" s="54">
        <f>STOCK[[#This Row],[Precio Venta Ideal (x1.5)]]</f>
        <v>18.783333333333331</v>
      </c>
      <c r="J313" s="70">
        <v>4</v>
      </c>
      <c r="K313" s="70">
        <f>SUMIFS(VENTAS[Cantidad],VENTAS[Código del producto Vendido],STOCK[[#This Row],[Code]])</f>
        <v>4</v>
      </c>
      <c r="L313" s="70">
        <f>STOCK[[#This Row],[Entradas]]-STOCK[[#This Row],[Salidas]]</f>
        <v>0</v>
      </c>
      <c r="M313" s="54">
        <f>STOCK[[#This Row],[Precio Final]]*10%</f>
        <v>1.8</v>
      </c>
      <c r="N313" s="54">
        <v>166</v>
      </c>
      <c r="O313" s="54">
        <v>18</v>
      </c>
      <c r="P313" s="54">
        <v>9.2222222222222197</v>
      </c>
      <c r="Q313" s="70">
        <v>150</v>
      </c>
      <c r="R313" s="54">
        <v>10</v>
      </c>
      <c r="S313" s="54">
        <f>STOCK[[#This Row],[Peso (g)]]*STOCK[[#This Row],[Precio Envío Kilogramo (USD)]]/1000</f>
        <v>1.5</v>
      </c>
      <c r="T313" s="53">
        <f>STOCK[[#This Row],[Costo Unitario (USD)]]+STOCK[[#This Row],[Costo Envío (USD)]]+STOCK[[#This Row],[Comisión 10%]]</f>
        <v>12.52222222222222</v>
      </c>
      <c r="U313" s="54">
        <f>STOCK[[#This Row],[Costo total]]*1.5</f>
        <v>18.783333333333331</v>
      </c>
      <c r="V313" s="54">
        <v>18</v>
      </c>
      <c r="W313" s="54">
        <f>STOCK[[#This Row],[Precio Final]]-STOCK[[#This Row],[Costo total]]</f>
        <v>5.4777777777777796</v>
      </c>
      <c r="X313" s="54">
        <f>STOCK[[#This Row],[Ganancia Unitaria]]*STOCK[[#This Row],[Salidas]]</f>
        <v>21.911111111111119</v>
      </c>
      <c r="AA313" s="54">
        <f>STOCK[[#This Row],[Costo total]]*STOCK[[#This Row],[Entradas]]</f>
        <v>50.088888888888881</v>
      </c>
      <c r="AB313" s="54">
        <f>STOCK[[#This Row],[Stock Actual]]*STOCK[[#This Row],[Costo total]]</f>
        <v>0</v>
      </c>
    </row>
    <row r="314" spans="1:29" s="53" customFormat="1" ht="50" customHeight="1">
      <c r="A314" s="53" t="s">
        <v>662</v>
      </c>
      <c r="B314" s="64"/>
      <c r="C314" s="53" t="s">
        <v>32</v>
      </c>
      <c r="D314" s="53" t="s">
        <v>294</v>
      </c>
      <c r="E314" s="65" t="s">
        <v>663</v>
      </c>
      <c r="F314" s="53" t="s">
        <v>40</v>
      </c>
      <c r="G314" s="53" t="s">
        <v>36</v>
      </c>
      <c r="H314" s="53">
        <f>STOCK[[#This Row],[Precio Final]]</f>
        <v>12</v>
      </c>
      <c r="I314" s="53">
        <f>STOCK[[#This Row],[Precio Venta Ideal (x1.5)]]</f>
        <v>9.1525000000000052</v>
      </c>
      <c r="J314" s="69">
        <v>4</v>
      </c>
      <c r="K314" s="69">
        <f>SUMIFS(VENTAS[Cantidad],VENTAS[Código del producto Vendido],STOCK[[#This Row],[Code]])</f>
        <v>4</v>
      </c>
      <c r="L314" s="69">
        <f>STOCK[[#This Row],[Entradas]]-STOCK[[#This Row],[Salidas]]</f>
        <v>0</v>
      </c>
      <c r="M314" s="53">
        <f>STOCK[[#This Row],[Precio Final]]*10%</f>
        <v>1.2000000000000002</v>
      </c>
      <c r="N314" s="53">
        <v>81.75</v>
      </c>
      <c r="O314" s="53">
        <v>18</v>
      </c>
      <c r="P314" s="53">
        <v>4.5416666666666696</v>
      </c>
      <c r="Q314" s="69">
        <v>45</v>
      </c>
      <c r="R314" s="53">
        <v>8</v>
      </c>
      <c r="S314" s="53">
        <f>STOCK[[#This Row],[Peso (g)]]*STOCK[[#This Row],[Precio Envío Kilogramo (USD)]]/1000</f>
        <v>0.36</v>
      </c>
      <c r="T314" s="53">
        <f>STOCK[[#This Row],[Costo Unitario (USD)]]+STOCK[[#This Row],[Costo Envío (USD)]]+STOCK[[#This Row],[Comisión 10%]]</f>
        <v>6.1016666666666701</v>
      </c>
      <c r="U314" s="53">
        <f>STOCK[[#This Row],[Costo total]]*1.5</f>
        <v>9.1525000000000052</v>
      </c>
      <c r="V314" s="53">
        <v>12</v>
      </c>
      <c r="W314" s="53">
        <f>STOCK[[#This Row],[Precio Final]]-STOCK[[#This Row],[Costo total]]</f>
        <v>5.8983333333333299</v>
      </c>
      <c r="X314" s="53">
        <f>STOCK[[#This Row],[Ganancia Unitaria]]*STOCK[[#This Row],[Salidas]]</f>
        <v>23.59333333333332</v>
      </c>
      <c r="AA314" s="53">
        <f>STOCK[[#This Row],[Costo total]]*STOCK[[#This Row],[Entradas]]</f>
        <v>24.40666666666668</v>
      </c>
      <c r="AB314" s="53">
        <f>STOCK[[#This Row],[Stock Actual]]*STOCK[[#This Row],[Costo total]]</f>
        <v>0</v>
      </c>
      <c r="AC314" s="53">
        <v>9</v>
      </c>
    </row>
    <row r="315" spans="1:29" s="54" customFormat="1" ht="50" customHeight="1">
      <c r="A315" s="54" t="s">
        <v>664</v>
      </c>
      <c r="B315" s="64"/>
      <c r="C315" s="54" t="s">
        <v>32</v>
      </c>
      <c r="D315" s="54" t="s">
        <v>174</v>
      </c>
      <c r="E315" s="66" t="s">
        <v>663</v>
      </c>
      <c r="F315" s="54" t="s">
        <v>62</v>
      </c>
      <c r="G315" s="54" t="s">
        <v>36</v>
      </c>
      <c r="H315" s="54">
        <f>STOCK[[#This Row],[Precio Final]]</f>
        <v>8</v>
      </c>
      <c r="I315" s="54">
        <f>STOCK[[#This Row],[Precio Venta Ideal (x1.5)]]</f>
        <v>8.5525000000000055</v>
      </c>
      <c r="J315" s="70">
        <v>3</v>
      </c>
      <c r="K315" s="70">
        <f>SUMIFS(VENTAS[Cantidad],VENTAS[Código del producto Vendido],STOCK[[#This Row],[Code]])</f>
        <v>3</v>
      </c>
      <c r="L315" s="70">
        <f>STOCK[[#This Row],[Entradas]]-STOCK[[#This Row],[Salidas]]</f>
        <v>0</v>
      </c>
      <c r="M315" s="54">
        <f>STOCK[[#This Row],[Precio Final]]*10%</f>
        <v>0.8</v>
      </c>
      <c r="N315" s="54">
        <v>81.75</v>
      </c>
      <c r="O315" s="54">
        <v>18</v>
      </c>
      <c r="P315" s="54">
        <v>4.5416666666666696</v>
      </c>
      <c r="Q315" s="70">
        <v>45</v>
      </c>
      <c r="R315" s="54">
        <v>8</v>
      </c>
      <c r="S315" s="54">
        <f>STOCK[[#This Row],[Peso (g)]]*STOCK[[#This Row],[Precio Envío Kilogramo (USD)]]/1000</f>
        <v>0.36</v>
      </c>
      <c r="T315" s="53">
        <f>STOCK[[#This Row],[Costo Unitario (USD)]]+STOCK[[#This Row],[Costo Envío (USD)]]+STOCK[[#This Row],[Comisión 10%]]</f>
        <v>5.7016666666666698</v>
      </c>
      <c r="U315" s="54">
        <f>STOCK[[#This Row],[Costo total]]*1.5</f>
        <v>8.5525000000000055</v>
      </c>
      <c r="V315" s="54">
        <v>8</v>
      </c>
      <c r="W315" s="54">
        <f>STOCK[[#This Row],[Precio Final]]-STOCK[[#This Row],[Costo total]]</f>
        <v>2.2983333333333302</v>
      </c>
      <c r="X315" s="54">
        <f>STOCK[[#This Row],[Ganancia Unitaria]]*STOCK[[#This Row],[Salidas]]</f>
        <v>6.8949999999999907</v>
      </c>
      <c r="AA315" s="54">
        <f>STOCK[[#This Row],[Costo total]]*STOCK[[#This Row],[Entradas]]</f>
        <v>17.105000000000011</v>
      </c>
      <c r="AB315" s="54">
        <f>STOCK[[#This Row],[Stock Actual]]*STOCK[[#This Row],[Costo total]]</f>
        <v>0</v>
      </c>
    </row>
    <row r="316" spans="1:29" s="53" customFormat="1" ht="50" customHeight="1">
      <c r="A316" s="53" t="s">
        <v>665</v>
      </c>
      <c r="B316" s="64"/>
      <c r="C316" s="53" t="s">
        <v>32</v>
      </c>
      <c r="D316" s="53" t="s">
        <v>174</v>
      </c>
      <c r="E316" s="65" t="s">
        <v>663</v>
      </c>
      <c r="F316" s="53" t="s">
        <v>46</v>
      </c>
      <c r="G316" s="53" t="s">
        <v>36</v>
      </c>
      <c r="H316" s="53">
        <f>STOCK[[#This Row],[Precio Final]]</f>
        <v>8</v>
      </c>
      <c r="I316" s="53">
        <f>STOCK[[#This Row],[Precio Venta Ideal (x1.5)]]</f>
        <v>8.5525000000000055</v>
      </c>
      <c r="J316" s="69">
        <v>3</v>
      </c>
      <c r="K316" s="69">
        <f>SUMIFS(VENTAS[Cantidad],VENTAS[Código del producto Vendido],STOCK[[#This Row],[Code]])</f>
        <v>3</v>
      </c>
      <c r="L316" s="69">
        <f>STOCK[[#This Row],[Entradas]]-STOCK[[#This Row],[Salidas]]</f>
        <v>0</v>
      </c>
      <c r="M316" s="53">
        <f>STOCK[[#This Row],[Precio Final]]*10%</f>
        <v>0.8</v>
      </c>
      <c r="N316" s="53">
        <v>81.75</v>
      </c>
      <c r="O316" s="53">
        <v>18</v>
      </c>
      <c r="P316" s="53">
        <v>4.5416666666666696</v>
      </c>
      <c r="Q316" s="69">
        <v>45</v>
      </c>
      <c r="R316" s="53">
        <v>8</v>
      </c>
      <c r="S316" s="53">
        <f>STOCK[[#This Row],[Peso (g)]]*STOCK[[#This Row],[Precio Envío Kilogramo (USD)]]/1000</f>
        <v>0.36</v>
      </c>
      <c r="T316" s="53">
        <f>STOCK[[#This Row],[Costo Unitario (USD)]]+STOCK[[#This Row],[Costo Envío (USD)]]+STOCK[[#This Row],[Comisión 10%]]</f>
        <v>5.7016666666666698</v>
      </c>
      <c r="U316" s="53">
        <f>STOCK[[#This Row],[Costo total]]*1.5</f>
        <v>8.5525000000000055</v>
      </c>
      <c r="V316" s="53">
        <v>8</v>
      </c>
      <c r="W316" s="53">
        <f>STOCK[[#This Row],[Precio Final]]-STOCK[[#This Row],[Costo total]]</f>
        <v>2.2983333333333302</v>
      </c>
      <c r="X316" s="53">
        <f>STOCK[[#This Row],[Ganancia Unitaria]]*STOCK[[#This Row],[Salidas]]</f>
        <v>6.8949999999999907</v>
      </c>
      <c r="AA316" s="53">
        <f>STOCK[[#This Row],[Costo total]]*STOCK[[#This Row],[Entradas]]</f>
        <v>17.105000000000011</v>
      </c>
      <c r="AB316" s="53">
        <f>STOCK[[#This Row],[Stock Actual]]*STOCK[[#This Row],[Costo total]]</f>
        <v>0</v>
      </c>
    </row>
    <row r="317" spans="1:29" s="54" customFormat="1" ht="50" customHeight="1">
      <c r="A317" s="54" t="s">
        <v>666</v>
      </c>
      <c r="B317" s="64"/>
      <c r="C317" s="54" t="s">
        <v>32</v>
      </c>
      <c r="D317" s="54" t="s">
        <v>174</v>
      </c>
      <c r="E317" s="66" t="s">
        <v>667</v>
      </c>
      <c r="F317" s="54" t="s">
        <v>49</v>
      </c>
      <c r="G317" s="54" t="s">
        <v>36</v>
      </c>
      <c r="H317" s="54">
        <f>STOCK[[#This Row],[Precio Final]]</f>
        <v>9</v>
      </c>
      <c r="I317" s="54">
        <f>STOCK[[#This Row],[Precio Venta Ideal (x1.5)]]</f>
        <v>9.514999999999997</v>
      </c>
      <c r="J317" s="70">
        <v>3</v>
      </c>
      <c r="K317" s="70">
        <f>SUMIFS(VENTAS[Cantidad],VENTAS[Código del producto Vendido],STOCK[[#This Row],[Code]])</f>
        <v>3</v>
      </c>
      <c r="L317" s="70">
        <f>STOCK[[#This Row],[Entradas]]-STOCK[[#This Row],[Salidas]]</f>
        <v>0</v>
      </c>
      <c r="M317" s="54">
        <f>STOCK[[#This Row],[Precio Final]]*10%</f>
        <v>0.9</v>
      </c>
      <c r="N317" s="54">
        <v>91.5</v>
      </c>
      <c r="O317" s="54">
        <v>18</v>
      </c>
      <c r="P317" s="54">
        <v>5.0833333333333304</v>
      </c>
      <c r="Q317" s="70">
        <v>45</v>
      </c>
      <c r="R317" s="54">
        <v>8</v>
      </c>
      <c r="S317" s="54">
        <f>STOCK[[#This Row],[Peso (g)]]*STOCK[[#This Row],[Precio Envío Kilogramo (USD)]]/1000</f>
        <v>0.36</v>
      </c>
      <c r="T317" s="53">
        <f>STOCK[[#This Row],[Costo Unitario (USD)]]+STOCK[[#This Row],[Costo Envío (USD)]]+STOCK[[#This Row],[Comisión 10%]]</f>
        <v>6.343333333333331</v>
      </c>
      <c r="U317" s="54">
        <f>STOCK[[#This Row],[Costo total]]*1.5</f>
        <v>9.514999999999997</v>
      </c>
      <c r="V317" s="54">
        <v>9</v>
      </c>
      <c r="W317" s="54">
        <f>STOCK[[#This Row],[Precio Final]]-STOCK[[#This Row],[Costo total]]</f>
        <v>2.656666666666669</v>
      </c>
      <c r="X317" s="54">
        <f>STOCK[[#This Row],[Ganancia Unitaria]]*STOCK[[#This Row],[Salidas]]</f>
        <v>7.9700000000000069</v>
      </c>
      <c r="AA317" s="54">
        <f>STOCK[[#This Row],[Costo total]]*STOCK[[#This Row],[Entradas]]</f>
        <v>19.029999999999994</v>
      </c>
      <c r="AB317" s="54">
        <f>STOCK[[#This Row],[Stock Actual]]*STOCK[[#This Row],[Costo total]]</f>
        <v>0</v>
      </c>
    </row>
    <row r="318" spans="1:29" s="53" customFormat="1" ht="50" customHeight="1">
      <c r="A318" s="53" t="s">
        <v>668</v>
      </c>
      <c r="B318" s="64"/>
      <c r="C318" s="53" t="s">
        <v>32</v>
      </c>
      <c r="D318" s="53" t="s">
        <v>174</v>
      </c>
      <c r="E318" s="65" t="s">
        <v>669</v>
      </c>
      <c r="F318" s="53" t="s">
        <v>62</v>
      </c>
      <c r="G318" s="53" t="s">
        <v>36</v>
      </c>
      <c r="H318" s="53">
        <f>STOCK[[#This Row],[Precio Final]]</f>
        <v>9</v>
      </c>
      <c r="I318" s="53">
        <f>STOCK[[#This Row],[Precio Venta Ideal (x1.5)]]</f>
        <v>9.514999999999997</v>
      </c>
      <c r="J318" s="69">
        <v>3</v>
      </c>
      <c r="K318" s="69">
        <f>SUMIFS(VENTAS[Cantidad],VENTAS[Código del producto Vendido],STOCK[[#This Row],[Code]])</f>
        <v>3</v>
      </c>
      <c r="L318" s="69">
        <f>STOCK[[#This Row],[Entradas]]-STOCK[[#This Row],[Salidas]]</f>
        <v>0</v>
      </c>
      <c r="M318" s="53">
        <f>STOCK[[#This Row],[Precio Final]]*10%</f>
        <v>0.9</v>
      </c>
      <c r="N318" s="53">
        <v>91.5</v>
      </c>
      <c r="O318" s="53">
        <v>18</v>
      </c>
      <c r="P318" s="53">
        <v>5.0833333333333304</v>
      </c>
      <c r="Q318" s="69">
        <v>45</v>
      </c>
      <c r="R318" s="53">
        <v>8</v>
      </c>
      <c r="S318" s="53">
        <f>STOCK[[#This Row],[Peso (g)]]*STOCK[[#This Row],[Precio Envío Kilogramo (USD)]]/1000</f>
        <v>0.36</v>
      </c>
      <c r="T318" s="53">
        <f>STOCK[[#This Row],[Costo Unitario (USD)]]+STOCK[[#This Row],[Costo Envío (USD)]]+STOCK[[#This Row],[Comisión 10%]]</f>
        <v>6.343333333333331</v>
      </c>
      <c r="U318" s="53">
        <f>STOCK[[#This Row],[Costo total]]*1.5</f>
        <v>9.514999999999997</v>
      </c>
      <c r="V318" s="53">
        <v>9</v>
      </c>
      <c r="W318" s="53">
        <f>STOCK[[#This Row],[Precio Final]]-STOCK[[#This Row],[Costo total]]</f>
        <v>2.656666666666669</v>
      </c>
      <c r="X318" s="53">
        <f>STOCK[[#This Row],[Ganancia Unitaria]]*STOCK[[#This Row],[Salidas]]</f>
        <v>7.9700000000000069</v>
      </c>
      <c r="AA318" s="53">
        <f>STOCK[[#This Row],[Costo total]]*STOCK[[#This Row],[Entradas]]</f>
        <v>19.029999999999994</v>
      </c>
      <c r="AB318" s="53">
        <f>STOCK[[#This Row],[Stock Actual]]*STOCK[[#This Row],[Costo total]]</f>
        <v>0</v>
      </c>
    </row>
    <row r="319" spans="1:29" s="54" customFormat="1" ht="50" customHeight="1">
      <c r="A319" s="54" t="s">
        <v>670</v>
      </c>
      <c r="B319" s="64"/>
      <c r="C319" s="54" t="s">
        <v>32</v>
      </c>
      <c r="D319" s="54" t="s">
        <v>174</v>
      </c>
      <c r="E319" s="66" t="s">
        <v>671</v>
      </c>
      <c r="F319" s="54" t="s">
        <v>40</v>
      </c>
      <c r="G319" s="54" t="s">
        <v>36</v>
      </c>
      <c r="H319" s="54">
        <f>STOCK[[#This Row],[Precio Final]]</f>
        <v>9</v>
      </c>
      <c r="I319" s="54">
        <f>STOCK[[#This Row],[Precio Venta Ideal (x1.5)]]</f>
        <v>9.514999999999997</v>
      </c>
      <c r="J319" s="70">
        <v>3</v>
      </c>
      <c r="K319" s="70">
        <f>SUMIFS(VENTAS[Cantidad],VENTAS[Código del producto Vendido],STOCK[[#This Row],[Code]])</f>
        <v>3</v>
      </c>
      <c r="L319" s="70">
        <f>STOCK[[#This Row],[Entradas]]-STOCK[[#This Row],[Salidas]]</f>
        <v>0</v>
      </c>
      <c r="M319" s="54">
        <f>STOCK[[#This Row],[Precio Final]]*10%</f>
        <v>0.9</v>
      </c>
      <c r="N319" s="54">
        <v>91.5</v>
      </c>
      <c r="O319" s="54">
        <v>18</v>
      </c>
      <c r="P319" s="54">
        <v>5.0833333333333304</v>
      </c>
      <c r="Q319" s="70">
        <v>45</v>
      </c>
      <c r="R319" s="54">
        <v>8</v>
      </c>
      <c r="S319" s="54">
        <f>STOCK[[#This Row],[Peso (g)]]*STOCK[[#This Row],[Precio Envío Kilogramo (USD)]]/1000</f>
        <v>0.36</v>
      </c>
      <c r="T319" s="53">
        <f>STOCK[[#This Row],[Costo Unitario (USD)]]+STOCK[[#This Row],[Costo Envío (USD)]]+STOCK[[#This Row],[Comisión 10%]]</f>
        <v>6.343333333333331</v>
      </c>
      <c r="U319" s="54">
        <f>STOCK[[#This Row],[Costo total]]*1.5</f>
        <v>9.514999999999997</v>
      </c>
      <c r="V319" s="54">
        <v>9</v>
      </c>
      <c r="W319" s="54">
        <f>STOCK[[#This Row],[Precio Final]]-STOCK[[#This Row],[Costo total]]</f>
        <v>2.656666666666669</v>
      </c>
      <c r="X319" s="54">
        <f>STOCK[[#This Row],[Ganancia Unitaria]]*STOCK[[#This Row],[Salidas]]</f>
        <v>7.9700000000000069</v>
      </c>
      <c r="AA319" s="54">
        <f>STOCK[[#This Row],[Costo total]]*STOCK[[#This Row],[Entradas]]</f>
        <v>19.029999999999994</v>
      </c>
      <c r="AB319" s="54">
        <f>STOCK[[#This Row],[Stock Actual]]*STOCK[[#This Row],[Costo total]]</f>
        <v>0</v>
      </c>
    </row>
    <row r="320" spans="1:29" s="53" customFormat="1" ht="50" customHeight="1">
      <c r="A320" s="53" t="s">
        <v>672</v>
      </c>
      <c r="B320" s="64"/>
      <c r="C320" s="53" t="s">
        <v>32</v>
      </c>
      <c r="D320" s="53" t="s">
        <v>294</v>
      </c>
      <c r="E320" s="65" t="s">
        <v>673</v>
      </c>
      <c r="F320" s="53" t="s">
        <v>62</v>
      </c>
      <c r="G320" s="53" t="s">
        <v>36</v>
      </c>
      <c r="H320" s="53">
        <f>STOCK[[#This Row],[Precio Final]]</f>
        <v>12</v>
      </c>
      <c r="I320" s="53">
        <f>STOCK[[#This Row],[Precio Venta Ideal (x1.5)]]</f>
        <v>9.7024999999999952</v>
      </c>
      <c r="J320" s="69">
        <v>3</v>
      </c>
      <c r="K320" s="69">
        <f>SUMIFS(VENTAS[Cantidad],VENTAS[Código del producto Vendido],STOCK[[#This Row],[Code]])</f>
        <v>1</v>
      </c>
      <c r="L320" s="69">
        <f>STOCK[[#This Row],[Entradas]]-STOCK[[#This Row],[Salidas]]</f>
        <v>2</v>
      </c>
      <c r="M320" s="53">
        <f>STOCK[[#This Row],[Precio Final]]*10%</f>
        <v>1.2000000000000002</v>
      </c>
      <c r="N320" s="53">
        <v>88.35</v>
      </c>
      <c r="O320" s="53">
        <v>18</v>
      </c>
      <c r="P320" s="53">
        <v>4.9083333333333297</v>
      </c>
      <c r="Q320" s="69">
        <v>45</v>
      </c>
      <c r="R320" s="53">
        <v>8</v>
      </c>
      <c r="S320" s="53">
        <f>STOCK[[#This Row],[Peso (g)]]*STOCK[[#This Row],[Precio Envío Kilogramo (USD)]]/1000</f>
        <v>0.36</v>
      </c>
      <c r="T320" s="53">
        <f>STOCK[[#This Row],[Costo Unitario (USD)]]+STOCK[[#This Row],[Costo Envío (USD)]]+STOCK[[#This Row],[Comisión 10%]]</f>
        <v>6.4683333333333302</v>
      </c>
      <c r="U320" s="53">
        <f>STOCK[[#This Row],[Costo total]]*1.5</f>
        <v>9.7024999999999952</v>
      </c>
      <c r="V320" s="53">
        <v>12</v>
      </c>
      <c r="W320" s="53">
        <f>STOCK[[#This Row],[Precio Final]]-STOCK[[#This Row],[Costo total]]</f>
        <v>5.5316666666666698</v>
      </c>
      <c r="X320" s="53">
        <f>STOCK[[#This Row],[Ganancia Unitaria]]*STOCK[[#This Row],[Salidas]]</f>
        <v>5.5316666666666698</v>
      </c>
      <c r="AA320" s="53">
        <f>STOCK[[#This Row],[Costo total]]*STOCK[[#This Row],[Entradas]]</f>
        <v>19.40499999999999</v>
      </c>
      <c r="AB320" s="53">
        <f>STOCK[[#This Row],[Stock Actual]]*STOCK[[#This Row],[Costo total]]</f>
        <v>12.93666666666666</v>
      </c>
      <c r="AC320" s="53">
        <v>9</v>
      </c>
    </row>
    <row r="321" spans="1:29" s="54" customFormat="1" ht="50" customHeight="1">
      <c r="A321" s="54" t="s">
        <v>674</v>
      </c>
      <c r="B321" s="64"/>
      <c r="C321" s="54" t="s">
        <v>32</v>
      </c>
      <c r="D321" s="54" t="s">
        <v>247</v>
      </c>
      <c r="E321" s="66" t="s">
        <v>673</v>
      </c>
      <c r="F321" s="54" t="s">
        <v>49</v>
      </c>
      <c r="G321" s="54" t="s">
        <v>36</v>
      </c>
      <c r="H321" s="54">
        <f>STOCK[[#This Row],[Precio Final]]</f>
        <v>9</v>
      </c>
      <c r="I321" s="54">
        <f>STOCK[[#This Row],[Precio Venta Ideal (x1.5)]]</f>
        <v>9.2524999999999959</v>
      </c>
      <c r="J321" s="70">
        <v>3</v>
      </c>
      <c r="K321" s="70">
        <f>SUMIFS(VENTAS[Cantidad],VENTAS[Código del producto Vendido],STOCK[[#This Row],[Code]])</f>
        <v>3</v>
      </c>
      <c r="L321" s="70">
        <f>STOCK[[#This Row],[Entradas]]-STOCK[[#This Row],[Salidas]]</f>
        <v>0</v>
      </c>
      <c r="M321" s="54">
        <f>STOCK[[#This Row],[Precio Final]]*10%</f>
        <v>0.9</v>
      </c>
      <c r="N321" s="54">
        <v>88.35</v>
      </c>
      <c r="O321" s="54">
        <v>18</v>
      </c>
      <c r="P321" s="54">
        <v>4.9083333333333297</v>
      </c>
      <c r="Q321" s="70">
        <v>45</v>
      </c>
      <c r="R321" s="54">
        <v>8</v>
      </c>
      <c r="S321" s="54">
        <f>STOCK[[#This Row],[Peso (g)]]*STOCK[[#This Row],[Precio Envío Kilogramo (USD)]]/1000</f>
        <v>0.36</v>
      </c>
      <c r="T321" s="53">
        <f>STOCK[[#This Row],[Costo Unitario (USD)]]+STOCK[[#This Row],[Costo Envío (USD)]]+STOCK[[#This Row],[Comisión 10%]]</f>
        <v>6.1683333333333303</v>
      </c>
      <c r="U321" s="54">
        <f>STOCK[[#This Row],[Costo total]]*1.5</f>
        <v>9.2524999999999959</v>
      </c>
      <c r="V321" s="54">
        <v>9</v>
      </c>
      <c r="W321" s="54">
        <f>STOCK[[#This Row],[Precio Final]]-STOCK[[#This Row],[Costo total]]</f>
        <v>2.8316666666666697</v>
      </c>
      <c r="X321" s="54">
        <f>STOCK[[#This Row],[Ganancia Unitaria]]*STOCK[[#This Row],[Salidas]]</f>
        <v>8.4950000000000081</v>
      </c>
      <c r="AA321" s="54">
        <f>STOCK[[#This Row],[Costo total]]*STOCK[[#This Row],[Entradas]]</f>
        <v>18.504999999999992</v>
      </c>
      <c r="AB321" s="54">
        <f>STOCK[[#This Row],[Stock Actual]]*STOCK[[#This Row],[Costo total]]</f>
        <v>0</v>
      </c>
    </row>
    <row r="322" spans="1:29" s="53" customFormat="1" ht="50" customHeight="1">
      <c r="A322" s="53" t="s">
        <v>675</v>
      </c>
      <c r="B322" s="64"/>
      <c r="C322" s="53" t="s">
        <v>32</v>
      </c>
      <c r="D322" s="53" t="s">
        <v>44</v>
      </c>
      <c r="E322" s="65" t="s">
        <v>676</v>
      </c>
      <c r="F322" s="53" t="s">
        <v>62</v>
      </c>
      <c r="G322" s="53" t="s">
        <v>36</v>
      </c>
      <c r="H322" s="53">
        <f>STOCK[[#This Row],[Precio Final]]</f>
        <v>18</v>
      </c>
      <c r="I322" s="53">
        <f>STOCK[[#This Row],[Precio Venta Ideal (x1.5)]]</f>
        <v>18.783333333333331</v>
      </c>
      <c r="J322" s="69">
        <v>4</v>
      </c>
      <c r="K322" s="69">
        <f>SUMIFS(VENTAS[Cantidad],VENTAS[Código del producto Vendido],STOCK[[#This Row],[Code]])</f>
        <v>4</v>
      </c>
      <c r="L322" s="69">
        <f>STOCK[[#This Row],[Entradas]]-STOCK[[#This Row],[Salidas]]</f>
        <v>0</v>
      </c>
      <c r="M322" s="53">
        <f>STOCK[[#This Row],[Precio Final]]*10%</f>
        <v>1.8</v>
      </c>
      <c r="N322" s="53">
        <v>166</v>
      </c>
      <c r="O322" s="53">
        <v>18</v>
      </c>
      <c r="P322" s="53">
        <v>9.2222222222222197</v>
      </c>
      <c r="Q322" s="69">
        <v>150</v>
      </c>
      <c r="R322" s="53">
        <v>10</v>
      </c>
      <c r="S322" s="53">
        <f>STOCK[[#This Row],[Peso (g)]]*STOCK[[#This Row],[Precio Envío Kilogramo (USD)]]/1000</f>
        <v>1.5</v>
      </c>
      <c r="T322" s="53">
        <f>STOCK[[#This Row],[Costo Unitario (USD)]]+STOCK[[#This Row],[Costo Envío (USD)]]+STOCK[[#This Row],[Comisión 10%]]</f>
        <v>12.52222222222222</v>
      </c>
      <c r="U322" s="53">
        <f>STOCK[[#This Row],[Costo total]]*1.5</f>
        <v>18.783333333333331</v>
      </c>
      <c r="V322" s="53">
        <v>18</v>
      </c>
      <c r="W322" s="53">
        <f>STOCK[[#This Row],[Precio Final]]-STOCK[[#This Row],[Costo total]]</f>
        <v>5.4777777777777796</v>
      </c>
      <c r="X322" s="53">
        <f>STOCK[[#This Row],[Ganancia Unitaria]]*STOCK[[#This Row],[Salidas]]</f>
        <v>21.911111111111119</v>
      </c>
      <c r="AA322" s="53">
        <f>STOCK[[#This Row],[Costo total]]*STOCK[[#This Row],[Entradas]]</f>
        <v>50.088888888888881</v>
      </c>
      <c r="AB322" s="53">
        <f>STOCK[[#This Row],[Stock Actual]]*STOCK[[#This Row],[Costo total]]</f>
        <v>0</v>
      </c>
    </row>
    <row r="323" spans="1:29" s="54" customFormat="1" ht="50" customHeight="1">
      <c r="A323" s="54" t="s">
        <v>677</v>
      </c>
      <c r="B323" s="64"/>
      <c r="C323" s="54" t="s">
        <v>32</v>
      </c>
      <c r="D323" s="54" t="s">
        <v>294</v>
      </c>
      <c r="E323" s="66" t="s">
        <v>678</v>
      </c>
      <c r="F323" s="54" t="s">
        <v>49</v>
      </c>
      <c r="G323" s="54" t="s">
        <v>36</v>
      </c>
      <c r="H323" s="54">
        <f>STOCK[[#This Row],[Precio Final]]</f>
        <v>12</v>
      </c>
      <c r="I323" s="54">
        <f>STOCK[[#This Row],[Precio Venta Ideal (x1.5)]]</f>
        <v>13.090000000000005</v>
      </c>
      <c r="J323" s="70">
        <v>4</v>
      </c>
      <c r="K323" s="70">
        <f>SUMIFS(VENTAS[Cantidad],VENTAS[Código del producto Vendido],STOCK[[#This Row],[Code]])</f>
        <v>2</v>
      </c>
      <c r="L323" s="70">
        <f>STOCK[[#This Row],[Entradas]]-STOCK[[#This Row],[Salidas]]</f>
        <v>2</v>
      </c>
      <c r="M323" s="54">
        <f>STOCK[[#This Row],[Precio Final]]*10%</f>
        <v>1.2000000000000002</v>
      </c>
      <c r="N323" s="54">
        <v>129</v>
      </c>
      <c r="O323" s="54">
        <v>18</v>
      </c>
      <c r="P323" s="54">
        <v>7.1666666666666696</v>
      </c>
      <c r="Q323" s="70">
        <v>45</v>
      </c>
      <c r="R323" s="54">
        <v>8</v>
      </c>
      <c r="S323" s="54">
        <f>STOCK[[#This Row],[Peso (g)]]*STOCK[[#This Row],[Precio Envío Kilogramo (USD)]]/1000</f>
        <v>0.36</v>
      </c>
      <c r="T323" s="53">
        <f>STOCK[[#This Row],[Costo Unitario (USD)]]+STOCK[[#This Row],[Costo Envío (USD)]]+STOCK[[#This Row],[Comisión 10%]]</f>
        <v>8.7266666666666701</v>
      </c>
      <c r="U323" s="54">
        <f>STOCK[[#This Row],[Costo total]]*1.5</f>
        <v>13.090000000000005</v>
      </c>
      <c r="V323" s="54">
        <v>12</v>
      </c>
      <c r="W323" s="54">
        <f>STOCK[[#This Row],[Precio Final]]-STOCK[[#This Row],[Costo total]]</f>
        <v>3.2733333333333299</v>
      </c>
      <c r="X323" s="54">
        <f>STOCK[[#This Row],[Ganancia Unitaria]]*STOCK[[#This Row],[Salidas]]</f>
        <v>6.5466666666666598</v>
      </c>
      <c r="AA323" s="54">
        <f>STOCK[[#This Row],[Costo total]]*STOCK[[#This Row],[Entradas]]</f>
        <v>34.90666666666668</v>
      </c>
      <c r="AB323" s="54">
        <f>STOCK[[#This Row],[Stock Actual]]*STOCK[[#This Row],[Costo total]]</f>
        <v>17.45333333333334</v>
      </c>
      <c r="AC323" s="54">
        <v>10</v>
      </c>
    </row>
    <row r="324" spans="1:29" s="53" customFormat="1" ht="50" customHeight="1">
      <c r="A324" s="53" t="s">
        <v>679</v>
      </c>
      <c r="B324" s="64"/>
      <c r="C324" s="53" t="s">
        <v>32</v>
      </c>
      <c r="D324" s="53" t="s">
        <v>680</v>
      </c>
      <c r="E324" s="65" t="s">
        <v>678</v>
      </c>
      <c r="F324" s="53" t="s">
        <v>46</v>
      </c>
      <c r="G324" s="53" t="s">
        <v>36</v>
      </c>
      <c r="H324" s="53">
        <f>STOCK[[#This Row],[Precio Final]]</f>
        <v>12</v>
      </c>
      <c r="I324" s="53">
        <f>STOCK[[#This Row],[Precio Venta Ideal (x1.5)]]</f>
        <v>13.090000000000005</v>
      </c>
      <c r="J324" s="69">
        <v>4</v>
      </c>
      <c r="K324" s="69">
        <f>SUMIFS(VENTAS[Cantidad],VENTAS[Código del producto Vendido],STOCK[[#This Row],[Code]])</f>
        <v>2</v>
      </c>
      <c r="L324" s="69">
        <f>STOCK[[#This Row],[Entradas]]-STOCK[[#This Row],[Salidas]]</f>
        <v>2</v>
      </c>
      <c r="M324" s="53">
        <f>STOCK[[#This Row],[Precio Final]]*10%</f>
        <v>1.2000000000000002</v>
      </c>
      <c r="N324" s="53">
        <v>129</v>
      </c>
      <c r="O324" s="53">
        <v>18</v>
      </c>
      <c r="P324" s="53">
        <v>7.1666666666666696</v>
      </c>
      <c r="Q324" s="69">
        <v>45</v>
      </c>
      <c r="R324" s="53">
        <v>8</v>
      </c>
      <c r="S324" s="53">
        <f>STOCK[[#This Row],[Peso (g)]]*STOCK[[#This Row],[Precio Envío Kilogramo (USD)]]/1000</f>
        <v>0.36</v>
      </c>
      <c r="T324" s="53">
        <f>STOCK[[#This Row],[Costo Unitario (USD)]]+STOCK[[#This Row],[Costo Envío (USD)]]+STOCK[[#This Row],[Comisión 10%]]</f>
        <v>8.7266666666666701</v>
      </c>
      <c r="U324" s="53">
        <f>STOCK[[#This Row],[Costo total]]*1.5</f>
        <v>13.090000000000005</v>
      </c>
      <c r="V324" s="53">
        <v>12</v>
      </c>
      <c r="W324" s="53">
        <f>STOCK[[#This Row],[Precio Final]]-STOCK[[#This Row],[Costo total]]</f>
        <v>3.2733333333333299</v>
      </c>
      <c r="X324" s="53">
        <f>STOCK[[#This Row],[Ganancia Unitaria]]*STOCK[[#This Row],[Salidas]]</f>
        <v>6.5466666666666598</v>
      </c>
      <c r="AA324" s="53">
        <f>STOCK[[#This Row],[Costo total]]*STOCK[[#This Row],[Entradas]]</f>
        <v>34.90666666666668</v>
      </c>
      <c r="AB324" s="53">
        <f>STOCK[[#This Row],[Stock Actual]]*STOCK[[#This Row],[Costo total]]</f>
        <v>17.45333333333334</v>
      </c>
      <c r="AC324" s="53">
        <v>10</v>
      </c>
    </row>
    <row r="325" spans="1:29" s="54" customFormat="1" ht="50" customHeight="1">
      <c r="A325" s="54" t="s">
        <v>681</v>
      </c>
      <c r="B325" s="64"/>
      <c r="C325" s="54" t="s">
        <v>32</v>
      </c>
      <c r="D325" s="54" t="s">
        <v>44</v>
      </c>
      <c r="E325" s="66" t="s">
        <v>682</v>
      </c>
      <c r="F325" s="54" t="s">
        <v>46</v>
      </c>
      <c r="G325" s="54" t="s">
        <v>36</v>
      </c>
      <c r="H325" s="54">
        <f>STOCK[[#This Row],[Precio Final]]</f>
        <v>20</v>
      </c>
      <c r="I325" s="54">
        <f>STOCK[[#This Row],[Precio Venta Ideal (x1.5)]]</f>
        <v>19.083333333333329</v>
      </c>
      <c r="J325" s="70">
        <v>3</v>
      </c>
      <c r="K325" s="70">
        <f>SUMIFS(VENTAS[Cantidad],VENTAS[Código del producto Vendido],STOCK[[#This Row],[Code]])</f>
        <v>3</v>
      </c>
      <c r="L325" s="70">
        <f>STOCK[[#This Row],[Entradas]]-STOCK[[#This Row],[Salidas]]</f>
        <v>0</v>
      </c>
      <c r="M325" s="54">
        <f>STOCK[[#This Row],[Precio Final]]*10%</f>
        <v>2</v>
      </c>
      <c r="N325" s="54">
        <v>166</v>
      </c>
      <c r="O325" s="54">
        <v>18</v>
      </c>
      <c r="P325" s="54">
        <v>9.2222222222222197</v>
      </c>
      <c r="Q325" s="70">
        <v>150</v>
      </c>
      <c r="R325" s="54">
        <v>10</v>
      </c>
      <c r="S325" s="54">
        <f>STOCK[[#This Row],[Peso (g)]]*STOCK[[#This Row],[Precio Envío Kilogramo (USD)]]/1000</f>
        <v>1.5</v>
      </c>
      <c r="T325" s="53">
        <f>STOCK[[#This Row],[Costo Unitario (USD)]]+STOCK[[#This Row],[Costo Envío (USD)]]+STOCK[[#This Row],[Comisión 10%]]</f>
        <v>12.72222222222222</v>
      </c>
      <c r="U325" s="54">
        <f>STOCK[[#This Row],[Costo total]]*1.5</f>
        <v>19.083333333333329</v>
      </c>
      <c r="V325" s="54">
        <v>20</v>
      </c>
      <c r="W325" s="54">
        <f>STOCK[[#This Row],[Precio Final]]-STOCK[[#This Row],[Costo total]]</f>
        <v>7.2777777777777803</v>
      </c>
      <c r="X325" s="54">
        <f>STOCK[[#This Row],[Ganancia Unitaria]]*STOCK[[#This Row],[Salidas]]</f>
        <v>21.833333333333343</v>
      </c>
      <c r="AA325" s="54">
        <f>STOCK[[#This Row],[Costo total]]*STOCK[[#This Row],[Entradas]]</f>
        <v>38.166666666666657</v>
      </c>
      <c r="AB325" s="54">
        <f>STOCK[[#This Row],[Stock Actual]]*STOCK[[#This Row],[Costo total]]</f>
        <v>0</v>
      </c>
    </row>
    <row r="326" spans="1:29" s="53" customFormat="1" ht="50" customHeight="1">
      <c r="A326" s="53" t="s">
        <v>683</v>
      </c>
      <c r="B326" s="64"/>
      <c r="C326" s="53" t="s">
        <v>32</v>
      </c>
      <c r="D326" s="53" t="s">
        <v>44</v>
      </c>
      <c r="E326" s="65" t="s">
        <v>684</v>
      </c>
      <c r="F326" s="53" t="s">
        <v>49</v>
      </c>
      <c r="G326" s="53" t="s">
        <v>36</v>
      </c>
      <c r="H326" s="53">
        <f>STOCK[[#This Row],[Precio Final]]</f>
        <v>20</v>
      </c>
      <c r="I326" s="53">
        <f>STOCK[[#This Row],[Precio Venta Ideal (x1.5)]]</f>
        <v>19.083333333333329</v>
      </c>
      <c r="J326" s="69">
        <v>3</v>
      </c>
      <c r="K326" s="69">
        <f>SUMIFS(VENTAS[Cantidad],VENTAS[Código del producto Vendido],STOCK[[#This Row],[Code]])</f>
        <v>3</v>
      </c>
      <c r="L326" s="69">
        <f>STOCK[[#This Row],[Entradas]]-STOCK[[#This Row],[Salidas]]</f>
        <v>0</v>
      </c>
      <c r="M326" s="53">
        <f>STOCK[[#This Row],[Precio Final]]*10%</f>
        <v>2</v>
      </c>
      <c r="N326" s="53">
        <v>166</v>
      </c>
      <c r="O326" s="53">
        <v>18</v>
      </c>
      <c r="P326" s="53">
        <v>9.2222222222222197</v>
      </c>
      <c r="Q326" s="69">
        <v>150</v>
      </c>
      <c r="R326" s="53">
        <v>10</v>
      </c>
      <c r="S326" s="53">
        <f>STOCK[[#This Row],[Peso (g)]]*STOCK[[#This Row],[Precio Envío Kilogramo (USD)]]/1000</f>
        <v>1.5</v>
      </c>
      <c r="T326" s="53">
        <f>STOCK[[#This Row],[Costo Unitario (USD)]]+STOCK[[#This Row],[Costo Envío (USD)]]+STOCK[[#This Row],[Comisión 10%]]</f>
        <v>12.72222222222222</v>
      </c>
      <c r="U326" s="53">
        <f>STOCK[[#This Row],[Costo total]]*1.5</f>
        <v>19.083333333333329</v>
      </c>
      <c r="V326" s="53">
        <v>20</v>
      </c>
      <c r="W326" s="53">
        <f>STOCK[[#This Row],[Precio Final]]-STOCK[[#This Row],[Costo total]]</f>
        <v>7.2777777777777803</v>
      </c>
      <c r="X326" s="53">
        <f>STOCK[[#This Row],[Ganancia Unitaria]]*STOCK[[#This Row],[Salidas]]</f>
        <v>21.833333333333343</v>
      </c>
      <c r="AA326" s="53">
        <f>STOCK[[#This Row],[Costo total]]*STOCK[[#This Row],[Entradas]]</f>
        <v>38.166666666666657</v>
      </c>
      <c r="AB326" s="53">
        <f>STOCK[[#This Row],[Stock Actual]]*STOCK[[#This Row],[Costo total]]</f>
        <v>0</v>
      </c>
    </row>
    <row r="327" spans="1:29" s="54" customFormat="1" ht="50" customHeight="1">
      <c r="A327" s="54" t="s">
        <v>685</v>
      </c>
      <c r="B327" s="64"/>
      <c r="C327" s="54" t="s">
        <v>32</v>
      </c>
      <c r="D327" s="54" t="s">
        <v>174</v>
      </c>
      <c r="E327" s="66" t="s">
        <v>686</v>
      </c>
      <c r="F327" s="54" t="s">
        <v>46</v>
      </c>
      <c r="G327" s="54" t="s">
        <v>36</v>
      </c>
      <c r="H327" s="54">
        <f>STOCK[[#This Row],[Precio Final]]</f>
        <v>9</v>
      </c>
      <c r="I327" s="54">
        <f>STOCK[[#This Row],[Precio Venta Ideal (x1.5)]]</f>
        <v>9.2524999999999959</v>
      </c>
      <c r="J327" s="70">
        <v>3</v>
      </c>
      <c r="K327" s="70">
        <f>SUMIFS(VENTAS[Cantidad],VENTAS[Código del producto Vendido],STOCK[[#This Row],[Code]])</f>
        <v>3</v>
      </c>
      <c r="L327" s="70">
        <f>STOCK[[#This Row],[Entradas]]-STOCK[[#This Row],[Salidas]]</f>
        <v>0</v>
      </c>
      <c r="M327" s="54">
        <f>STOCK[[#This Row],[Precio Final]]*10%</f>
        <v>0.9</v>
      </c>
      <c r="N327" s="54">
        <v>88.35</v>
      </c>
      <c r="O327" s="54">
        <v>18</v>
      </c>
      <c r="P327" s="54">
        <v>4.9083333333333297</v>
      </c>
      <c r="Q327" s="70">
        <v>45</v>
      </c>
      <c r="R327" s="54">
        <v>8</v>
      </c>
      <c r="S327" s="54">
        <f>STOCK[[#This Row],[Peso (g)]]*STOCK[[#This Row],[Precio Envío Kilogramo (USD)]]/1000</f>
        <v>0.36</v>
      </c>
      <c r="T327" s="53">
        <f>STOCK[[#This Row],[Costo Unitario (USD)]]+STOCK[[#This Row],[Costo Envío (USD)]]+STOCK[[#This Row],[Comisión 10%]]</f>
        <v>6.1683333333333303</v>
      </c>
      <c r="U327" s="54">
        <f>STOCK[[#This Row],[Costo total]]*1.5</f>
        <v>9.2524999999999959</v>
      </c>
      <c r="V327" s="54">
        <v>9</v>
      </c>
      <c r="W327" s="54">
        <f>STOCK[[#This Row],[Precio Final]]-STOCK[[#This Row],[Costo total]]</f>
        <v>2.8316666666666697</v>
      </c>
      <c r="X327" s="54">
        <f>STOCK[[#This Row],[Ganancia Unitaria]]*STOCK[[#This Row],[Salidas]]</f>
        <v>8.4950000000000081</v>
      </c>
      <c r="AA327" s="54">
        <f>STOCK[[#This Row],[Costo total]]*STOCK[[#This Row],[Entradas]]</f>
        <v>18.504999999999992</v>
      </c>
      <c r="AB327" s="54">
        <f>STOCK[[#This Row],[Stock Actual]]*STOCK[[#This Row],[Costo total]]</f>
        <v>0</v>
      </c>
    </row>
    <row r="328" spans="1:29" s="53" customFormat="1" ht="50" customHeight="1">
      <c r="A328" s="53" t="s">
        <v>687</v>
      </c>
      <c r="B328" s="64"/>
      <c r="C328" s="53" t="s">
        <v>32</v>
      </c>
      <c r="D328" s="53" t="s">
        <v>216</v>
      </c>
      <c r="E328" s="65" t="s">
        <v>688</v>
      </c>
      <c r="F328" s="53" t="s">
        <v>49</v>
      </c>
      <c r="G328" s="53" t="s">
        <v>36</v>
      </c>
      <c r="H328" s="53">
        <f>STOCK[[#This Row],[Precio Final]]</f>
        <v>20</v>
      </c>
      <c r="I328" s="53">
        <f>STOCK[[#This Row],[Precio Venta Ideal (x1.5)]]</f>
        <v>19.249999999999996</v>
      </c>
      <c r="J328" s="69">
        <v>2</v>
      </c>
      <c r="K328" s="69">
        <f>SUMIFS(VENTAS[Cantidad],VENTAS[Código del producto Vendido],STOCK[[#This Row],[Code]])</f>
        <v>0</v>
      </c>
      <c r="L328" s="69">
        <f>STOCK[[#This Row],[Entradas]]-STOCK[[#This Row],[Salidas]]</f>
        <v>2</v>
      </c>
      <c r="M328" s="53">
        <f>STOCK[[#This Row],[Precio Final]]*10%</f>
        <v>2</v>
      </c>
      <c r="N328" s="53">
        <v>123</v>
      </c>
      <c r="O328" s="53">
        <v>18</v>
      </c>
      <c r="P328" s="53">
        <v>6.8333333333333304</v>
      </c>
      <c r="Q328" s="69">
        <v>500</v>
      </c>
      <c r="R328" s="53">
        <v>8</v>
      </c>
      <c r="S328" s="53">
        <f>STOCK[[#This Row],[Peso (g)]]*STOCK[[#This Row],[Precio Envío Kilogramo (USD)]]/1000</f>
        <v>4</v>
      </c>
      <c r="T328" s="53">
        <f>STOCK[[#This Row],[Costo Unitario (USD)]]+STOCK[[#This Row],[Costo Envío (USD)]]+STOCK[[#This Row],[Comisión 10%]]</f>
        <v>12.83333333333333</v>
      </c>
      <c r="U328" s="53">
        <f>STOCK[[#This Row],[Costo total]]*1.5</f>
        <v>19.249999999999996</v>
      </c>
      <c r="V328" s="53">
        <v>20</v>
      </c>
      <c r="W328" s="53">
        <f>STOCK[[#This Row],[Precio Final]]-STOCK[[#This Row],[Costo total]]</f>
        <v>7.1666666666666696</v>
      </c>
      <c r="X328" s="53">
        <f>STOCK[[#This Row],[Ganancia Unitaria]]*STOCK[[#This Row],[Salidas]]</f>
        <v>0</v>
      </c>
      <c r="AA328" s="53">
        <f>STOCK[[#This Row],[Costo total]]*STOCK[[#This Row],[Entradas]]</f>
        <v>25.666666666666661</v>
      </c>
      <c r="AB328" s="53">
        <f>STOCK[[#This Row],[Stock Actual]]*STOCK[[#This Row],[Costo total]]</f>
        <v>25.666666666666661</v>
      </c>
      <c r="AC328" s="53">
        <v>18</v>
      </c>
    </row>
    <row r="329" spans="1:29" s="53" customFormat="1" ht="50" customHeight="1">
      <c r="A329" s="53" t="s">
        <v>689</v>
      </c>
      <c r="B329" s="72" t="e" vm="1">
        <f ca="1">_xlfn.DISPIMG("ID_DBBE60A7E968485B9EC6AFFF212E77E0",1)</f>
        <v>#NAME?</v>
      </c>
      <c r="C329" s="53" t="s">
        <v>32</v>
      </c>
      <c r="D329" s="54" t="s">
        <v>196</v>
      </c>
      <c r="E329" s="66" t="s">
        <v>690</v>
      </c>
      <c r="F329" s="53" t="s">
        <v>49</v>
      </c>
      <c r="H329" s="54">
        <f>STOCK[[#This Row],[Precio Final]]</f>
        <v>15</v>
      </c>
      <c r="I329" s="53">
        <f>STOCK[[#This Row],[Precio Venta Ideal (x1.5)]]</f>
        <v>12.825000000000001</v>
      </c>
      <c r="J329" s="69">
        <v>1</v>
      </c>
      <c r="K329" s="69">
        <f>SUMIFS(VENTAS[Cantidad],VENTAS[Código del producto Vendido],STOCK[[#This Row],[Code]])</f>
        <v>0</v>
      </c>
      <c r="L329" s="69">
        <f>STOCK[[#This Row],[Entradas]]-STOCK[[#This Row],[Salidas]]</f>
        <v>1</v>
      </c>
      <c r="M329" s="53">
        <f>STOCK[[#This Row],[Precio Final]]*10%</f>
        <v>1.5</v>
      </c>
      <c r="N329" s="53">
        <v>81</v>
      </c>
      <c r="O329" s="54">
        <v>18</v>
      </c>
      <c r="P329" s="53">
        <v>4.5</v>
      </c>
      <c r="Q329" s="69">
        <v>150</v>
      </c>
      <c r="R329" s="53">
        <v>17</v>
      </c>
      <c r="S329" s="53">
        <f>STOCK[[#This Row],[Peso (g)]]*STOCK[[#This Row],[Precio Envío Kilogramo (USD)]]/1000</f>
        <v>2.5499999999999998</v>
      </c>
      <c r="T329" s="53">
        <f>STOCK[[#This Row],[Costo Unitario (USD)]]+STOCK[[#This Row],[Costo Envío (USD)]]+STOCK[[#This Row],[Comisión 10%]]</f>
        <v>8.5500000000000007</v>
      </c>
      <c r="U329" s="53">
        <f>STOCK[[#This Row],[Costo total]]*1.5</f>
        <v>12.825000000000001</v>
      </c>
      <c r="V329" s="53">
        <v>15</v>
      </c>
      <c r="W329" s="53">
        <f>STOCK[[#This Row],[Precio Final]]-STOCK[[#This Row],[Costo total]]</f>
        <v>6.4499999999999993</v>
      </c>
      <c r="X329" s="53">
        <f>STOCK[[#This Row],[Ganancia Unitaria]]*STOCK[[#This Row],[Salidas]]</f>
        <v>0</v>
      </c>
      <c r="AA329" s="53">
        <f>STOCK[[#This Row],[Costo total]]*STOCK[[#This Row],[Entradas]]</f>
        <v>8.5500000000000007</v>
      </c>
      <c r="AB329" s="53">
        <f>STOCK[[#This Row],[Stock Actual]]*STOCK[[#This Row],[Costo total]]</f>
        <v>8.5500000000000007</v>
      </c>
      <c r="AC329" s="53">
        <v>19</v>
      </c>
    </row>
    <row r="330" spans="1:29" s="54" customFormat="1" ht="50" customHeight="1">
      <c r="A330" s="54" t="s">
        <v>691</v>
      </c>
      <c r="B330" s="72" t="e" vm="1">
        <f ca="1">_xlfn.DISPIMG("ID_DBBE60A7E968485B9EC6AFFF212E77E0",1)</f>
        <v>#NAME?</v>
      </c>
      <c r="C330" s="54" t="s">
        <v>32</v>
      </c>
      <c r="D330" s="54" t="s">
        <v>196</v>
      </c>
      <c r="E330" s="66" t="s">
        <v>690</v>
      </c>
      <c r="F330" s="54" t="s">
        <v>62</v>
      </c>
      <c r="G330" s="54" t="s">
        <v>36</v>
      </c>
      <c r="H330" s="54">
        <f>STOCK[[#This Row],[Precio Final]]</f>
        <v>15</v>
      </c>
      <c r="I330" s="54">
        <f>STOCK[[#This Row],[Precio Venta Ideal (x1.5)]]</f>
        <v>12.825000000000001</v>
      </c>
      <c r="J330" s="70">
        <v>1</v>
      </c>
      <c r="K330" s="70">
        <f>SUMIFS(VENTAS[Cantidad],VENTAS[Código del producto Vendido],STOCK[[#This Row],[Code]])</f>
        <v>1</v>
      </c>
      <c r="L330" s="70">
        <f>STOCK[[#This Row],[Entradas]]-STOCK[[#This Row],[Salidas]]</f>
        <v>0</v>
      </c>
      <c r="M330" s="54">
        <f>STOCK[[#This Row],[Precio Final]]*10%</f>
        <v>1.5</v>
      </c>
      <c r="N330" s="54">
        <v>81</v>
      </c>
      <c r="O330" s="54">
        <v>18</v>
      </c>
      <c r="P330" s="54">
        <v>4.5</v>
      </c>
      <c r="Q330" s="70">
        <v>150</v>
      </c>
      <c r="R330" s="54">
        <v>17</v>
      </c>
      <c r="S330" s="54">
        <f>STOCK[[#This Row],[Peso (g)]]*STOCK[[#This Row],[Precio Envío Kilogramo (USD)]]/1000</f>
        <v>2.5499999999999998</v>
      </c>
      <c r="T330" s="53">
        <f>STOCK[[#This Row],[Costo Unitario (USD)]]+STOCK[[#This Row],[Costo Envío (USD)]]+STOCK[[#This Row],[Comisión 10%]]</f>
        <v>8.5500000000000007</v>
      </c>
      <c r="U330" s="54">
        <f>STOCK[[#This Row],[Costo total]]*1.5</f>
        <v>12.825000000000001</v>
      </c>
      <c r="V330" s="54">
        <v>15</v>
      </c>
      <c r="W330" s="54">
        <f>STOCK[[#This Row],[Precio Final]]-STOCK[[#This Row],[Costo total]]</f>
        <v>6.4499999999999993</v>
      </c>
      <c r="X330" s="54">
        <f>STOCK[[#This Row],[Ganancia Unitaria]]*STOCK[[#This Row],[Salidas]]</f>
        <v>6.4499999999999993</v>
      </c>
      <c r="AA330" s="54">
        <f>STOCK[[#This Row],[Costo total]]*STOCK[[#This Row],[Entradas]]</f>
        <v>8.5500000000000007</v>
      </c>
      <c r="AB330" s="54">
        <f>STOCK[[#This Row],[Stock Actual]]*STOCK[[#This Row],[Costo total]]</f>
        <v>0</v>
      </c>
      <c r="AC330" s="54">
        <v>12</v>
      </c>
    </row>
    <row r="331" spans="1:29" s="53" customFormat="1" ht="50" customHeight="1">
      <c r="A331" s="53" t="s">
        <v>692</v>
      </c>
      <c r="B331" s="64"/>
      <c r="C331" s="53" t="s">
        <v>32</v>
      </c>
      <c r="D331" s="53" t="s">
        <v>44</v>
      </c>
      <c r="E331" s="65" t="s">
        <v>693</v>
      </c>
      <c r="F331" s="53" t="s">
        <v>40</v>
      </c>
      <c r="G331" s="53" t="s">
        <v>36</v>
      </c>
      <c r="H331" s="53">
        <f>STOCK[[#This Row],[Precio Final]]</f>
        <v>11</v>
      </c>
      <c r="I331" s="53">
        <f>STOCK[[#This Row],[Precio Venta Ideal (x1.5)]]</f>
        <v>11.974999999999996</v>
      </c>
      <c r="J331" s="69">
        <v>2</v>
      </c>
      <c r="K331" s="69">
        <f>SUMIFS(VENTAS[Cantidad],VENTAS[Código del producto Vendido],STOCK[[#This Row],[Code]])</f>
        <v>2</v>
      </c>
      <c r="L331" s="69">
        <f>STOCK[[#This Row],[Entradas]]-STOCK[[#This Row],[Salidas]]</f>
        <v>0</v>
      </c>
      <c r="M331" s="53">
        <f>STOCK[[#This Row],[Precio Final]]*10%</f>
        <v>1.1000000000000001</v>
      </c>
      <c r="N331" s="53">
        <v>78</v>
      </c>
      <c r="O331" s="53">
        <v>18</v>
      </c>
      <c r="P331" s="53">
        <v>4.3333333333333304</v>
      </c>
      <c r="Q331" s="69">
        <v>150</v>
      </c>
      <c r="R331" s="53">
        <v>17</v>
      </c>
      <c r="S331" s="53">
        <f>STOCK[[#This Row],[Peso (g)]]*STOCK[[#This Row],[Precio Envío Kilogramo (USD)]]/1000</f>
        <v>2.5499999999999998</v>
      </c>
      <c r="T331" s="53">
        <f>STOCK[[#This Row],[Costo Unitario (USD)]]+STOCK[[#This Row],[Costo Envío (USD)]]+STOCK[[#This Row],[Comisión 10%]]</f>
        <v>7.9833333333333307</v>
      </c>
      <c r="U331" s="53">
        <f>STOCK[[#This Row],[Costo total]]*1.5</f>
        <v>11.974999999999996</v>
      </c>
      <c r="V331" s="53">
        <v>11</v>
      </c>
      <c r="W331" s="53">
        <f>STOCK[[#This Row],[Precio Final]]-STOCK[[#This Row],[Costo total]]</f>
        <v>3.0166666666666693</v>
      </c>
      <c r="X331" s="53">
        <f>STOCK[[#This Row],[Ganancia Unitaria]]*STOCK[[#This Row],[Salidas]]</f>
        <v>6.0333333333333385</v>
      </c>
      <c r="AA331" s="53">
        <f>STOCK[[#This Row],[Costo total]]*STOCK[[#This Row],[Entradas]]</f>
        <v>15.966666666666661</v>
      </c>
      <c r="AB331" s="53">
        <f>STOCK[[#This Row],[Stock Actual]]*STOCK[[#This Row],[Costo total]]</f>
        <v>0</v>
      </c>
    </row>
    <row r="332" spans="1:29" s="54" customFormat="1" ht="50" customHeight="1">
      <c r="A332" s="54" t="s">
        <v>694</v>
      </c>
      <c r="B332" s="64"/>
      <c r="C332" s="54" t="s">
        <v>32</v>
      </c>
      <c r="D332" s="54" t="s">
        <v>44</v>
      </c>
      <c r="E332" s="66" t="s">
        <v>695</v>
      </c>
      <c r="F332" s="54" t="s">
        <v>62</v>
      </c>
      <c r="G332" s="54" t="s">
        <v>36</v>
      </c>
      <c r="H332" s="54">
        <f>STOCK[[#This Row],[Precio Final]]</f>
        <v>5</v>
      </c>
      <c r="I332" s="54">
        <f>STOCK[[#This Row],[Precio Venta Ideal (x1.5)]]</f>
        <v>11.408333333333339</v>
      </c>
      <c r="J332" s="70">
        <v>2</v>
      </c>
      <c r="K332" s="70">
        <f>SUMIFS(VENTAS[Cantidad],VENTAS[Código del producto Vendido],STOCK[[#This Row],[Code]])</f>
        <v>2</v>
      </c>
      <c r="L332" s="70">
        <f>STOCK[[#This Row],[Entradas]]-STOCK[[#This Row],[Salidas]]</f>
        <v>0</v>
      </c>
      <c r="M332" s="54">
        <f>STOCK[[#This Row],[Precio Final]]*10%</f>
        <v>0.5</v>
      </c>
      <c r="N332" s="54">
        <v>82</v>
      </c>
      <c r="O332" s="54">
        <v>18</v>
      </c>
      <c r="P332" s="54">
        <v>4.5555555555555598</v>
      </c>
      <c r="Q332" s="70">
        <v>150</v>
      </c>
      <c r="R332" s="54">
        <v>17</v>
      </c>
      <c r="S332" s="54">
        <f>STOCK[[#This Row],[Peso (g)]]*STOCK[[#This Row],[Precio Envío Kilogramo (USD)]]/1000</f>
        <v>2.5499999999999998</v>
      </c>
      <c r="T332" s="53">
        <f>STOCK[[#This Row],[Costo Unitario (USD)]]+STOCK[[#This Row],[Costo Envío (USD)]]+STOCK[[#This Row],[Comisión 10%]]</f>
        <v>7.6055555555555596</v>
      </c>
      <c r="U332" s="54">
        <f>STOCK[[#This Row],[Costo total]]*1.5</f>
        <v>11.408333333333339</v>
      </c>
      <c r="V332" s="54">
        <v>5</v>
      </c>
      <c r="W332" s="54">
        <f>STOCK[[#This Row],[Precio Final]]-STOCK[[#This Row],[Costo total]]</f>
        <v>-2.6055555555555596</v>
      </c>
      <c r="X332" s="54">
        <f>STOCK[[#This Row],[Ganancia Unitaria]]*STOCK[[#This Row],[Salidas]]</f>
        <v>-5.2111111111111192</v>
      </c>
      <c r="AA332" s="54">
        <f>STOCK[[#This Row],[Costo total]]*STOCK[[#This Row],[Entradas]]</f>
        <v>15.211111111111119</v>
      </c>
      <c r="AB332" s="54">
        <f>STOCK[[#This Row],[Stock Actual]]*STOCK[[#This Row],[Costo total]]</f>
        <v>0</v>
      </c>
    </row>
    <row r="333" spans="1:29" s="53" customFormat="1" ht="50" customHeight="1">
      <c r="A333" s="53" t="s">
        <v>696</v>
      </c>
      <c r="B333" s="64"/>
      <c r="C333" s="53" t="s">
        <v>32</v>
      </c>
      <c r="D333" s="53" t="s">
        <v>44</v>
      </c>
      <c r="E333" s="65" t="s">
        <v>697</v>
      </c>
      <c r="F333" s="53" t="s">
        <v>211</v>
      </c>
      <c r="G333" s="53" t="s">
        <v>36</v>
      </c>
      <c r="H333" s="53">
        <f>STOCK[[#This Row],[Precio Final]]</f>
        <v>10</v>
      </c>
      <c r="I333" s="53">
        <f>STOCK[[#This Row],[Precio Venta Ideal (x1.5)]]</f>
        <v>12.158333333333339</v>
      </c>
      <c r="J333" s="69">
        <v>2</v>
      </c>
      <c r="K333" s="69">
        <f>SUMIFS(VENTAS[Cantidad],VENTAS[Código del producto Vendido],STOCK[[#This Row],[Code]])</f>
        <v>2</v>
      </c>
      <c r="L333" s="69">
        <f>STOCK[[#This Row],[Entradas]]-STOCK[[#This Row],[Salidas]]</f>
        <v>0</v>
      </c>
      <c r="M333" s="53">
        <f>STOCK[[#This Row],[Precio Final]]*10%</f>
        <v>1</v>
      </c>
      <c r="N333" s="53">
        <v>82</v>
      </c>
      <c r="O333" s="53">
        <v>18</v>
      </c>
      <c r="P333" s="53">
        <v>4.5555555555555598</v>
      </c>
      <c r="Q333" s="69">
        <v>150</v>
      </c>
      <c r="R333" s="53">
        <v>17</v>
      </c>
      <c r="S333" s="53">
        <f>STOCK[[#This Row],[Peso (g)]]*STOCK[[#This Row],[Precio Envío Kilogramo (USD)]]/1000</f>
        <v>2.5499999999999998</v>
      </c>
      <c r="T333" s="53">
        <f>STOCK[[#This Row],[Costo Unitario (USD)]]+STOCK[[#This Row],[Costo Envío (USD)]]+STOCK[[#This Row],[Comisión 10%]]</f>
        <v>8.1055555555555596</v>
      </c>
      <c r="U333" s="53">
        <f>STOCK[[#This Row],[Costo total]]*1.5</f>
        <v>12.158333333333339</v>
      </c>
      <c r="V333" s="53">
        <v>10</v>
      </c>
      <c r="W333" s="53">
        <f>STOCK[[#This Row],[Precio Final]]-STOCK[[#This Row],[Costo total]]</f>
        <v>1.8944444444444404</v>
      </c>
      <c r="X333" s="53">
        <f>STOCK[[#This Row],[Ganancia Unitaria]]*STOCK[[#This Row],[Salidas]]</f>
        <v>3.7888888888888808</v>
      </c>
      <c r="AA333" s="53">
        <f>STOCK[[#This Row],[Costo total]]*STOCK[[#This Row],[Entradas]]</f>
        <v>16.211111111111119</v>
      </c>
      <c r="AB333" s="53">
        <f>STOCK[[#This Row],[Stock Actual]]*STOCK[[#This Row],[Costo total]]</f>
        <v>0</v>
      </c>
    </row>
    <row r="334" spans="1:29" s="54" customFormat="1" ht="50" customHeight="1">
      <c r="A334" s="54" t="s">
        <v>698</v>
      </c>
      <c r="B334" s="64"/>
      <c r="C334" s="54" t="s">
        <v>32</v>
      </c>
      <c r="D334" s="54" t="s">
        <v>44</v>
      </c>
      <c r="E334" s="66" t="s">
        <v>699</v>
      </c>
      <c r="F334" s="54" t="s">
        <v>40</v>
      </c>
      <c r="G334" s="54" t="s">
        <v>36</v>
      </c>
      <c r="H334" s="54">
        <f>STOCK[[#This Row],[Precio Final]]</f>
        <v>10</v>
      </c>
      <c r="I334" s="54">
        <f>STOCK[[#This Row],[Precio Venta Ideal (x1.5)]]</f>
        <v>12.158333333333339</v>
      </c>
      <c r="J334" s="70">
        <v>2</v>
      </c>
      <c r="K334" s="70">
        <f>SUMIFS(VENTAS[Cantidad],VENTAS[Código del producto Vendido],STOCK[[#This Row],[Code]])</f>
        <v>2</v>
      </c>
      <c r="L334" s="70">
        <f>STOCK[[#This Row],[Entradas]]-STOCK[[#This Row],[Salidas]]</f>
        <v>0</v>
      </c>
      <c r="M334" s="54">
        <f>STOCK[[#This Row],[Precio Final]]*10%</f>
        <v>1</v>
      </c>
      <c r="N334" s="54">
        <v>82</v>
      </c>
      <c r="O334" s="54">
        <v>18</v>
      </c>
      <c r="P334" s="54">
        <v>4.5555555555555598</v>
      </c>
      <c r="Q334" s="70">
        <v>150</v>
      </c>
      <c r="R334" s="54">
        <v>17</v>
      </c>
      <c r="S334" s="54">
        <f>STOCK[[#This Row],[Peso (g)]]*STOCK[[#This Row],[Precio Envío Kilogramo (USD)]]/1000</f>
        <v>2.5499999999999998</v>
      </c>
      <c r="T334" s="53">
        <f>STOCK[[#This Row],[Costo Unitario (USD)]]+STOCK[[#This Row],[Costo Envío (USD)]]+STOCK[[#This Row],[Comisión 10%]]</f>
        <v>8.1055555555555596</v>
      </c>
      <c r="U334" s="54">
        <f>STOCK[[#This Row],[Costo total]]*1.5</f>
        <v>12.158333333333339</v>
      </c>
      <c r="V334" s="54">
        <v>10</v>
      </c>
      <c r="W334" s="54">
        <f>STOCK[[#This Row],[Precio Final]]-STOCK[[#This Row],[Costo total]]</f>
        <v>1.8944444444444404</v>
      </c>
      <c r="X334" s="54">
        <f>STOCK[[#This Row],[Ganancia Unitaria]]*STOCK[[#This Row],[Salidas]]</f>
        <v>3.7888888888888808</v>
      </c>
      <c r="AA334" s="54">
        <f>STOCK[[#This Row],[Costo total]]*STOCK[[#This Row],[Entradas]]</f>
        <v>16.211111111111119</v>
      </c>
      <c r="AB334" s="54">
        <f>STOCK[[#This Row],[Stock Actual]]*STOCK[[#This Row],[Costo total]]</f>
        <v>0</v>
      </c>
    </row>
    <row r="335" spans="1:29" s="53" customFormat="1" ht="50" customHeight="1">
      <c r="A335" s="53" t="s">
        <v>700</v>
      </c>
      <c r="B335" s="64"/>
      <c r="C335" s="53" t="s">
        <v>32</v>
      </c>
      <c r="D335" s="53" t="s">
        <v>216</v>
      </c>
      <c r="E335" s="65" t="s">
        <v>701</v>
      </c>
      <c r="F335" s="53" t="s">
        <v>49</v>
      </c>
      <c r="G335" s="53" t="s">
        <v>36</v>
      </c>
      <c r="H335" s="53">
        <f>STOCK[[#This Row],[Precio Final]]</f>
        <v>15</v>
      </c>
      <c r="I335" s="53">
        <f>STOCK[[#This Row],[Precio Venta Ideal (x1.5)]]</f>
        <v>12.908333333333339</v>
      </c>
      <c r="J335" s="69">
        <v>2</v>
      </c>
      <c r="K335" s="69">
        <f>SUMIFS(VENTAS[Cantidad],VENTAS[Código del producto Vendido],STOCK[[#This Row],[Code]])</f>
        <v>0</v>
      </c>
      <c r="L335" s="69">
        <f>STOCK[[#This Row],[Entradas]]-STOCK[[#This Row],[Salidas]]</f>
        <v>2</v>
      </c>
      <c r="M335" s="53">
        <f>STOCK[[#This Row],[Precio Final]]*10%</f>
        <v>1.5</v>
      </c>
      <c r="N335" s="53">
        <v>82</v>
      </c>
      <c r="O335" s="53">
        <v>18</v>
      </c>
      <c r="P335" s="53">
        <v>4.5555555555555598</v>
      </c>
      <c r="Q335" s="69">
        <v>150</v>
      </c>
      <c r="R335" s="53">
        <v>17</v>
      </c>
      <c r="S335" s="53">
        <f>STOCK[[#This Row],[Peso (g)]]*STOCK[[#This Row],[Precio Envío Kilogramo (USD)]]/1000</f>
        <v>2.5499999999999998</v>
      </c>
      <c r="T335" s="53">
        <f>STOCK[[#This Row],[Costo Unitario (USD)]]+STOCK[[#This Row],[Costo Envío (USD)]]+STOCK[[#This Row],[Comisión 10%]]</f>
        <v>8.6055555555555596</v>
      </c>
      <c r="U335" s="53">
        <f>STOCK[[#This Row],[Costo total]]*1.5</f>
        <v>12.908333333333339</v>
      </c>
      <c r="V335" s="53">
        <v>15</v>
      </c>
      <c r="W335" s="53">
        <f>STOCK[[#This Row],[Precio Final]]-STOCK[[#This Row],[Costo total]]</f>
        <v>6.3944444444444404</v>
      </c>
      <c r="X335" s="53">
        <f>STOCK[[#This Row],[Ganancia Unitaria]]*STOCK[[#This Row],[Salidas]]</f>
        <v>0</v>
      </c>
      <c r="AA335" s="53">
        <f>STOCK[[#This Row],[Costo total]]*STOCK[[#This Row],[Entradas]]</f>
        <v>17.211111111111119</v>
      </c>
      <c r="AB335" s="53">
        <f>STOCK[[#This Row],[Stock Actual]]*STOCK[[#This Row],[Costo total]]</f>
        <v>17.211111111111119</v>
      </c>
      <c r="AC335" s="53">
        <v>12</v>
      </c>
    </row>
    <row r="336" spans="1:29" s="54" customFormat="1" ht="50" customHeight="1">
      <c r="A336" s="54" t="s">
        <v>702</v>
      </c>
      <c r="B336" s="64"/>
      <c r="C336" s="54" t="s">
        <v>32</v>
      </c>
      <c r="D336" s="54" t="s">
        <v>44</v>
      </c>
      <c r="E336" s="66" t="s">
        <v>703</v>
      </c>
      <c r="F336" s="54" t="s">
        <v>40</v>
      </c>
      <c r="G336" s="54" t="s">
        <v>704</v>
      </c>
      <c r="H336" s="54">
        <f>STOCK[[#This Row],[Precio Final]]</f>
        <v>18</v>
      </c>
      <c r="I336" s="54">
        <f>STOCK[[#This Row],[Precio Venta Ideal (x1.5)]]</f>
        <v>28.305</v>
      </c>
      <c r="J336" s="70">
        <v>1</v>
      </c>
      <c r="K336" s="70">
        <f>SUMIFS(VENTAS[Cantidad],VENTAS[Código del producto Vendido],STOCK[[#This Row],[Code]])</f>
        <v>1</v>
      </c>
      <c r="L336" s="70">
        <f>STOCK[[#This Row],[Entradas]]-STOCK[[#This Row],[Salidas]]</f>
        <v>0</v>
      </c>
      <c r="M336" s="54">
        <f>STOCK[[#This Row],[Precio Final]]*10%</f>
        <v>1.8</v>
      </c>
      <c r="N336" s="54">
        <v>248</v>
      </c>
      <c r="O336" s="54">
        <v>18</v>
      </c>
      <c r="P336" s="54">
        <v>15.57</v>
      </c>
      <c r="Q336" s="70">
        <v>150</v>
      </c>
      <c r="R336" s="54">
        <v>10</v>
      </c>
      <c r="S336" s="54">
        <f>STOCK[[#This Row],[Peso (g)]]*STOCK[[#This Row],[Precio Envío Kilogramo (USD)]]/1000</f>
        <v>1.5</v>
      </c>
      <c r="T336" s="53">
        <f>STOCK[[#This Row],[Costo Unitario (USD)]]+STOCK[[#This Row],[Costo Envío (USD)]]+STOCK[[#This Row],[Comisión 10%]]</f>
        <v>18.87</v>
      </c>
      <c r="U336" s="54">
        <f>STOCK[[#This Row],[Costo total]]*1.5</f>
        <v>28.305</v>
      </c>
      <c r="V336" s="54">
        <v>18</v>
      </c>
      <c r="W336" s="54">
        <f>STOCK[[#This Row],[Precio Final]]-STOCK[[#This Row],[Costo total]]</f>
        <v>-0.87000000000000099</v>
      </c>
      <c r="X336" s="54">
        <f>STOCK[[#This Row],[Ganancia Unitaria]]*STOCK[[#This Row],[Salidas]]</f>
        <v>-0.87000000000000099</v>
      </c>
      <c r="AA336" s="54">
        <f>STOCK[[#This Row],[Costo total]]*STOCK[[#This Row],[Entradas]]</f>
        <v>18.87</v>
      </c>
      <c r="AB336" s="54">
        <f>STOCK[[#This Row],[Stock Actual]]*STOCK[[#This Row],[Costo total]]</f>
        <v>0</v>
      </c>
    </row>
    <row r="337" spans="1:29" s="53" customFormat="1" ht="50" customHeight="1">
      <c r="A337" s="53" t="s">
        <v>705</v>
      </c>
      <c r="B337" s="64"/>
      <c r="C337" s="53" t="s">
        <v>32</v>
      </c>
      <c r="D337" s="53" t="s">
        <v>706</v>
      </c>
      <c r="E337" s="65" t="s">
        <v>707</v>
      </c>
      <c r="F337" s="53" t="s">
        <v>40</v>
      </c>
      <c r="G337" s="53" t="s">
        <v>704</v>
      </c>
      <c r="H337" s="53">
        <f>STOCK[[#This Row],[Precio Final]]</f>
        <v>15</v>
      </c>
      <c r="I337" s="53">
        <f>STOCK[[#This Row],[Precio Venta Ideal (x1.5)]]</f>
        <v>14.850000000000001</v>
      </c>
      <c r="J337" s="69">
        <v>1</v>
      </c>
      <c r="K337" s="69">
        <f>SUMIFS(VENTAS[Cantidad],VENTAS[Código del producto Vendido],STOCK[[#This Row],[Code]])</f>
        <v>0</v>
      </c>
      <c r="L337" s="69">
        <f>STOCK[[#This Row],[Entradas]]-STOCK[[#This Row],[Salidas]]</f>
        <v>1</v>
      </c>
      <c r="M337" s="53">
        <f>STOCK[[#This Row],[Precio Final]]*10%</f>
        <v>1.5</v>
      </c>
      <c r="N337" s="53">
        <v>129</v>
      </c>
      <c r="O337" s="53">
        <v>18</v>
      </c>
      <c r="P337" s="53">
        <v>8</v>
      </c>
      <c r="Q337" s="69">
        <v>40</v>
      </c>
      <c r="R337" s="53">
        <v>10</v>
      </c>
      <c r="S337" s="53">
        <f>STOCK[[#This Row],[Peso (g)]]*STOCK[[#This Row],[Precio Envío Kilogramo (USD)]]/1000</f>
        <v>0.4</v>
      </c>
      <c r="T337" s="53">
        <f>STOCK[[#This Row],[Costo Unitario (USD)]]+STOCK[[#This Row],[Costo Envío (USD)]]+STOCK[[#This Row],[Comisión 10%]]</f>
        <v>9.9</v>
      </c>
      <c r="U337" s="53">
        <f>STOCK[[#This Row],[Costo total]]*1.5</f>
        <v>14.850000000000001</v>
      </c>
      <c r="V337" s="53">
        <v>15</v>
      </c>
      <c r="W337" s="53">
        <f>STOCK[[#This Row],[Precio Final]]-STOCK[[#This Row],[Costo total]]</f>
        <v>5.0999999999999996</v>
      </c>
      <c r="X337" s="53">
        <f>STOCK[[#This Row],[Ganancia Unitaria]]*STOCK[[#This Row],[Salidas]]</f>
        <v>0</v>
      </c>
      <c r="AA337" s="53">
        <f>STOCK[[#This Row],[Costo total]]*STOCK[[#This Row],[Entradas]]</f>
        <v>9.9</v>
      </c>
      <c r="AB337" s="53">
        <f>STOCK[[#This Row],[Stock Actual]]*STOCK[[#This Row],[Costo total]]</f>
        <v>9.9</v>
      </c>
      <c r="AC337" s="53">
        <v>12</v>
      </c>
    </row>
    <row r="338" spans="1:29" s="54" customFormat="1" ht="50" customHeight="1">
      <c r="A338" s="54" t="s">
        <v>708</v>
      </c>
      <c r="B338" s="64"/>
      <c r="C338" s="54" t="s">
        <v>32</v>
      </c>
      <c r="D338" s="54" t="s">
        <v>174</v>
      </c>
      <c r="E338" s="66" t="s">
        <v>709</v>
      </c>
      <c r="F338" s="54" t="s">
        <v>40</v>
      </c>
      <c r="G338" s="54" t="s">
        <v>704</v>
      </c>
      <c r="H338" s="54">
        <f>STOCK[[#This Row],[Precio Final]]</f>
        <v>17</v>
      </c>
      <c r="I338" s="54">
        <f>STOCK[[#This Row],[Precio Venta Ideal (x1.5)]]</f>
        <v>19.650000000000002</v>
      </c>
      <c r="J338" s="70">
        <v>1</v>
      </c>
      <c r="K338" s="70">
        <f>SUMIFS(VENTAS[Cantidad],VENTAS[Código del producto Vendido],STOCK[[#This Row],[Code]])</f>
        <v>1</v>
      </c>
      <c r="L338" s="70">
        <f>STOCK[[#This Row],[Entradas]]-STOCK[[#This Row],[Salidas]]</f>
        <v>0</v>
      </c>
      <c r="M338" s="54">
        <f>STOCK[[#This Row],[Precio Final]]*10%</f>
        <v>1.7000000000000002</v>
      </c>
      <c r="N338" s="54">
        <v>198</v>
      </c>
      <c r="O338" s="54">
        <v>18</v>
      </c>
      <c r="P338" s="54">
        <v>11</v>
      </c>
      <c r="Q338" s="70">
        <v>40</v>
      </c>
      <c r="R338" s="54">
        <v>10</v>
      </c>
      <c r="S338" s="54">
        <f>STOCK[[#This Row],[Peso (g)]]*STOCK[[#This Row],[Precio Envío Kilogramo (USD)]]/1000</f>
        <v>0.4</v>
      </c>
      <c r="T338" s="53">
        <f>STOCK[[#This Row],[Costo Unitario (USD)]]+STOCK[[#This Row],[Costo Envío (USD)]]+STOCK[[#This Row],[Comisión 10%]]</f>
        <v>13.100000000000001</v>
      </c>
      <c r="U338" s="54">
        <f>STOCK[[#This Row],[Costo total]]*1.5</f>
        <v>19.650000000000002</v>
      </c>
      <c r="V338" s="54">
        <v>17</v>
      </c>
      <c r="W338" s="54">
        <f>STOCK[[#This Row],[Precio Final]]-STOCK[[#This Row],[Costo total]]</f>
        <v>3.8999999999999986</v>
      </c>
      <c r="X338" s="54">
        <f>STOCK[[#This Row],[Ganancia Unitaria]]*STOCK[[#This Row],[Salidas]]</f>
        <v>3.8999999999999986</v>
      </c>
      <c r="AA338" s="54">
        <f>STOCK[[#This Row],[Costo total]]*STOCK[[#This Row],[Entradas]]</f>
        <v>13.100000000000001</v>
      </c>
      <c r="AB338" s="54">
        <f>STOCK[[#This Row],[Stock Actual]]*STOCK[[#This Row],[Costo total]]</f>
        <v>0</v>
      </c>
    </row>
    <row r="339" spans="1:29" s="53" customFormat="1" ht="50" customHeight="1">
      <c r="A339" s="53" t="s">
        <v>710</v>
      </c>
      <c r="B339" s="64"/>
      <c r="C339" s="53" t="s">
        <v>32</v>
      </c>
      <c r="D339" s="53" t="s">
        <v>711</v>
      </c>
      <c r="E339" s="65" t="s">
        <v>712</v>
      </c>
      <c r="F339" s="53" t="s">
        <v>40</v>
      </c>
      <c r="G339" s="53" t="s">
        <v>704</v>
      </c>
      <c r="H339" s="53">
        <f>STOCK[[#This Row],[Precio Final]]</f>
        <v>50</v>
      </c>
      <c r="I339" s="53">
        <f>STOCK[[#This Row],[Precio Venta Ideal (x1.5)]]</f>
        <v>54.16666666666665</v>
      </c>
      <c r="J339" s="69">
        <v>1</v>
      </c>
      <c r="K339" s="69">
        <f>SUMIFS(VENTAS[Cantidad],VENTAS[Código del producto Vendido],STOCK[[#This Row],[Code]])</f>
        <v>0</v>
      </c>
      <c r="L339" s="69">
        <f>STOCK[[#This Row],[Entradas]]-STOCK[[#This Row],[Salidas]]</f>
        <v>1</v>
      </c>
      <c r="M339" s="53">
        <f>STOCK[[#This Row],[Precio Final]]*10%</f>
        <v>5</v>
      </c>
      <c r="N339" s="53">
        <v>497</v>
      </c>
      <c r="O339" s="53">
        <v>18</v>
      </c>
      <c r="P339" s="53">
        <v>27.6111111111111</v>
      </c>
      <c r="Q339" s="69">
        <v>350</v>
      </c>
      <c r="R339" s="53">
        <v>10</v>
      </c>
      <c r="S339" s="53">
        <f>STOCK[[#This Row],[Peso (g)]]*STOCK[[#This Row],[Precio Envío Kilogramo (USD)]]/1000</f>
        <v>3.5</v>
      </c>
      <c r="T339" s="53">
        <f>STOCK[[#This Row],[Costo Unitario (USD)]]+STOCK[[#This Row],[Costo Envío (USD)]]+STOCK[[#This Row],[Comisión 10%]]</f>
        <v>36.1111111111111</v>
      </c>
      <c r="U339" s="53">
        <f>STOCK[[#This Row],[Costo total]]*1.5</f>
        <v>54.16666666666665</v>
      </c>
      <c r="V339" s="53">
        <v>50</v>
      </c>
      <c r="W339" s="53">
        <f>STOCK[[#This Row],[Precio Final]]-STOCK[[#This Row],[Costo total]]</f>
        <v>13.8888888888889</v>
      </c>
      <c r="X339" s="53">
        <f>STOCK[[#This Row],[Ganancia Unitaria]]*STOCK[[#This Row],[Salidas]]</f>
        <v>0</v>
      </c>
      <c r="AA339" s="53">
        <f>STOCK[[#This Row],[Costo total]]*STOCK[[#This Row],[Entradas]]</f>
        <v>36.1111111111111</v>
      </c>
      <c r="AB339" s="53">
        <f>STOCK[[#This Row],[Stock Actual]]*STOCK[[#This Row],[Costo total]]</f>
        <v>36.1111111111111</v>
      </c>
      <c r="AC339" s="53">
        <v>40</v>
      </c>
    </row>
    <row r="340" spans="1:29" s="54" customFormat="1" ht="50" customHeight="1">
      <c r="A340" s="54" t="s">
        <v>713</v>
      </c>
      <c r="B340" s="64"/>
      <c r="C340" s="54" t="s">
        <v>32</v>
      </c>
      <c r="D340" s="53" t="s">
        <v>714</v>
      </c>
      <c r="E340" s="66" t="s">
        <v>715</v>
      </c>
      <c r="F340" s="54" t="s">
        <v>716</v>
      </c>
      <c r="G340" s="54" t="s">
        <v>704</v>
      </c>
      <c r="H340" s="54">
        <f>STOCK[[#This Row],[Precio Final]]</f>
        <v>20</v>
      </c>
      <c r="I340" s="54">
        <f>STOCK[[#This Row],[Precio Venta Ideal (x1.5)]]</f>
        <v>22.416666666666657</v>
      </c>
      <c r="J340" s="70">
        <v>2</v>
      </c>
      <c r="K340" s="70">
        <f>SUMIFS(VENTAS[Cantidad],VENTAS[Código del producto Vendido],STOCK[[#This Row],[Code]])</f>
        <v>0</v>
      </c>
      <c r="L340" s="70">
        <f>STOCK[[#This Row],[Entradas]]-STOCK[[#This Row],[Salidas]]</f>
        <v>2</v>
      </c>
      <c r="M340" s="54">
        <f>STOCK[[#This Row],[Precio Final]]*10%</f>
        <v>2</v>
      </c>
      <c r="N340" s="54">
        <v>170</v>
      </c>
      <c r="O340" s="54">
        <v>18</v>
      </c>
      <c r="P340" s="54">
        <v>9.4444444444444393</v>
      </c>
      <c r="Q340" s="70">
        <v>350</v>
      </c>
      <c r="R340" s="54">
        <v>10</v>
      </c>
      <c r="S340" s="54">
        <f>STOCK[[#This Row],[Peso (g)]]*STOCK[[#This Row],[Precio Envío Kilogramo (USD)]]/1000</f>
        <v>3.5</v>
      </c>
      <c r="T340" s="53">
        <f>STOCK[[#This Row],[Costo Unitario (USD)]]+STOCK[[#This Row],[Costo Envío (USD)]]+STOCK[[#This Row],[Comisión 10%]]</f>
        <v>14.944444444444439</v>
      </c>
      <c r="U340" s="54">
        <f>STOCK[[#This Row],[Costo total]]*1.5</f>
        <v>22.416666666666657</v>
      </c>
      <c r="V340" s="54">
        <v>20</v>
      </c>
      <c r="W340" s="54">
        <f>STOCK[[#This Row],[Precio Final]]-STOCK[[#This Row],[Costo total]]</f>
        <v>5.0555555555555607</v>
      </c>
      <c r="X340" s="54">
        <f>STOCK[[#This Row],[Ganancia Unitaria]]*STOCK[[#This Row],[Salidas]]</f>
        <v>0</v>
      </c>
      <c r="AA340" s="54">
        <f>STOCK[[#This Row],[Costo total]]*STOCK[[#This Row],[Entradas]]</f>
        <v>29.888888888888879</v>
      </c>
      <c r="AB340" s="54">
        <f>STOCK[[#This Row],[Stock Actual]]*STOCK[[#This Row],[Costo total]]</f>
        <v>29.888888888888879</v>
      </c>
      <c r="AC340" s="54">
        <v>18</v>
      </c>
    </row>
    <row r="341" spans="1:29" s="53" customFormat="1" ht="50" customHeight="1">
      <c r="A341" s="53" t="s">
        <v>717</v>
      </c>
      <c r="B341" s="64"/>
      <c r="C341" s="53" t="s">
        <v>32</v>
      </c>
      <c r="D341" s="53" t="s">
        <v>714</v>
      </c>
      <c r="E341" s="65" t="s">
        <v>715</v>
      </c>
      <c r="F341" s="53" t="s">
        <v>62</v>
      </c>
      <c r="G341" s="53" t="s">
        <v>704</v>
      </c>
      <c r="H341" s="53">
        <f>STOCK[[#This Row],[Precio Final]]</f>
        <v>20</v>
      </c>
      <c r="I341" s="53">
        <f>STOCK[[#This Row],[Precio Venta Ideal (x1.5)]]</f>
        <v>22.416666666666657</v>
      </c>
      <c r="J341" s="69">
        <v>3</v>
      </c>
      <c r="K341" s="69">
        <f>SUMIFS(VENTAS[Cantidad],VENTAS[Código del producto Vendido],STOCK[[#This Row],[Code]])</f>
        <v>1</v>
      </c>
      <c r="L341" s="69">
        <f>STOCK[[#This Row],[Entradas]]-STOCK[[#This Row],[Salidas]]</f>
        <v>2</v>
      </c>
      <c r="M341" s="53">
        <f>STOCK[[#This Row],[Precio Final]]*10%</f>
        <v>2</v>
      </c>
      <c r="N341" s="53">
        <v>170</v>
      </c>
      <c r="O341" s="53">
        <v>18</v>
      </c>
      <c r="P341" s="53">
        <v>9.4444444444444393</v>
      </c>
      <c r="Q341" s="69">
        <v>350</v>
      </c>
      <c r="R341" s="53">
        <v>10</v>
      </c>
      <c r="S341" s="53">
        <f>STOCK[[#This Row],[Peso (g)]]*STOCK[[#This Row],[Precio Envío Kilogramo (USD)]]/1000</f>
        <v>3.5</v>
      </c>
      <c r="T341" s="53">
        <f>STOCK[[#This Row],[Costo Unitario (USD)]]+STOCK[[#This Row],[Costo Envío (USD)]]+STOCK[[#This Row],[Comisión 10%]]</f>
        <v>14.944444444444439</v>
      </c>
      <c r="U341" s="53">
        <f>STOCK[[#This Row],[Costo total]]*1.5</f>
        <v>22.416666666666657</v>
      </c>
      <c r="V341" s="53">
        <v>20</v>
      </c>
      <c r="W341" s="53">
        <f>STOCK[[#This Row],[Precio Final]]-STOCK[[#This Row],[Costo total]]</f>
        <v>5.0555555555555607</v>
      </c>
      <c r="X341" s="53">
        <f>STOCK[[#This Row],[Ganancia Unitaria]]*STOCK[[#This Row],[Salidas]]</f>
        <v>5.0555555555555607</v>
      </c>
      <c r="AA341" s="53">
        <f>STOCK[[#This Row],[Costo total]]*STOCK[[#This Row],[Entradas]]</f>
        <v>44.833333333333314</v>
      </c>
      <c r="AB341" s="53">
        <f>STOCK[[#This Row],[Stock Actual]]*STOCK[[#This Row],[Costo total]]</f>
        <v>29.888888888888879</v>
      </c>
      <c r="AC341" s="53">
        <v>18</v>
      </c>
    </row>
    <row r="342" spans="1:29" s="54" customFormat="1" ht="50" customHeight="1">
      <c r="A342" s="54" t="s">
        <v>718</v>
      </c>
      <c r="B342" s="64"/>
      <c r="C342" s="54" t="s">
        <v>32</v>
      </c>
      <c r="D342" s="54" t="s">
        <v>44</v>
      </c>
      <c r="E342" s="66" t="s">
        <v>719</v>
      </c>
      <c r="F342" s="54" t="s">
        <v>720</v>
      </c>
      <c r="G342" s="54" t="s">
        <v>704</v>
      </c>
      <c r="H342" s="54">
        <f>STOCK[[#This Row],[Precio Final]]</f>
        <v>15</v>
      </c>
      <c r="I342" s="54">
        <f>STOCK[[#This Row],[Precio Venta Ideal (x1.5)]]</f>
        <v>10.833333333333329</v>
      </c>
      <c r="J342" s="70">
        <v>4</v>
      </c>
      <c r="K342" s="70">
        <f>SUMIFS(VENTAS[Cantidad],VENTAS[Código del producto Vendido],STOCK[[#This Row],[Code]])</f>
        <v>4</v>
      </c>
      <c r="L342" s="70">
        <f>STOCK[[#This Row],[Entradas]]-STOCK[[#This Row],[Salidas]]</f>
        <v>0</v>
      </c>
      <c r="M342" s="54">
        <f>STOCK[[#This Row],[Precio Final]]*10%</f>
        <v>1.5</v>
      </c>
      <c r="N342" s="54">
        <v>85</v>
      </c>
      <c r="O342" s="54">
        <v>18</v>
      </c>
      <c r="P342" s="54">
        <v>4.7222222222222197</v>
      </c>
      <c r="Q342" s="70">
        <v>100</v>
      </c>
      <c r="R342" s="54">
        <v>10</v>
      </c>
      <c r="S342" s="54">
        <f>STOCK[[#This Row],[Peso (g)]]*STOCK[[#This Row],[Precio Envío Kilogramo (USD)]]/1000</f>
        <v>1</v>
      </c>
      <c r="T342" s="53">
        <f>STOCK[[#This Row],[Costo Unitario (USD)]]+STOCK[[#This Row],[Costo Envío (USD)]]+STOCK[[#This Row],[Comisión 10%]]</f>
        <v>7.2222222222222197</v>
      </c>
      <c r="U342" s="54">
        <f>STOCK[[#This Row],[Costo total]]*1.5</f>
        <v>10.833333333333329</v>
      </c>
      <c r="V342" s="54">
        <v>15</v>
      </c>
      <c r="W342" s="54">
        <f>STOCK[[#This Row],[Precio Final]]-STOCK[[#This Row],[Costo total]]</f>
        <v>7.7777777777777803</v>
      </c>
      <c r="X342" s="54">
        <f>STOCK[[#This Row],[Ganancia Unitaria]]*STOCK[[#This Row],[Salidas]]</f>
        <v>31.111111111111121</v>
      </c>
      <c r="AA342" s="54">
        <f>STOCK[[#This Row],[Costo total]]*STOCK[[#This Row],[Entradas]]</f>
        <v>28.888888888888879</v>
      </c>
      <c r="AB342" s="54">
        <f>STOCK[[#This Row],[Stock Actual]]*STOCK[[#This Row],[Costo total]]</f>
        <v>0</v>
      </c>
    </row>
    <row r="343" spans="1:29" s="53" customFormat="1" ht="50" customHeight="1">
      <c r="A343" s="53" t="s">
        <v>721</v>
      </c>
      <c r="B343" s="64"/>
      <c r="C343" s="53" t="s">
        <v>32</v>
      </c>
      <c r="D343" s="53" t="s">
        <v>174</v>
      </c>
      <c r="E343" s="65" t="s">
        <v>722</v>
      </c>
      <c r="F343" s="53" t="s">
        <v>46</v>
      </c>
      <c r="G343" s="53" t="s">
        <v>704</v>
      </c>
      <c r="H343" s="53">
        <f>STOCK[[#This Row],[Precio Final]]</f>
        <v>9</v>
      </c>
      <c r="I343" s="53">
        <f>STOCK[[#This Row],[Precio Venta Ideal (x1.5)]]</f>
        <v>8.8833333333333293</v>
      </c>
      <c r="J343" s="69">
        <v>2</v>
      </c>
      <c r="K343" s="69">
        <f>SUMIFS(VENTAS[Cantidad],VENTAS[Código del producto Vendido],STOCK[[#This Row],[Code]])</f>
        <v>2</v>
      </c>
      <c r="L343" s="69">
        <f>STOCK[[#This Row],[Entradas]]-STOCK[[#This Row],[Salidas]]</f>
        <v>0</v>
      </c>
      <c r="M343" s="53">
        <f>STOCK[[#This Row],[Precio Final]]*10%</f>
        <v>0.9</v>
      </c>
      <c r="N343" s="53">
        <v>85</v>
      </c>
      <c r="O343" s="53">
        <v>18</v>
      </c>
      <c r="P343" s="53">
        <v>4.7222222222222197</v>
      </c>
      <c r="Q343" s="69">
        <v>30</v>
      </c>
      <c r="R343" s="53">
        <v>10</v>
      </c>
      <c r="S343" s="53">
        <f>STOCK[[#This Row],[Peso (g)]]*STOCK[[#This Row],[Precio Envío Kilogramo (USD)]]/1000</f>
        <v>0.3</v>
      </c>
      <c r="T343" s="53">
        <f>STOCK[[#This Row],[Costo Unitario (USD)]]+STOCK[[#This Row],[Costo Envío (USD)]]+STOCK[[#This Row],[Comisión 10%]]</f>
        <v>5.9222222222222198</v>
      </c>
      <c r="U343" s="53">
        <f>STOCK[[#This Row],[Costo total]]*1.5</f>
        <v>8.8833333333333293</v>
      </c>
      <c r="V343" s="53">
        <v>9</v>
      </c>
      <c r="W343" s="53">
        <f>STOCK[[#This Row],[Precio Final]]-STOCK[[#This Row],[Costo total]]</f>
        <v>3.0777777777777802</v>
      </c>
      <c r="X343" s="53">
        <f>STOCK[[#This Row],[Ganancia Unitaria]]*STOCK[[#This Row],[Salidas]]</f>
        <v>6.1555555555555603</v>
      </c>
      <c r="AA343" s="53">
        <f>STOCK[[#This Row],[Costo total]]*STOCK[[#This Row],[Entradas]]</f>
        <v>11.84444444444444</v>
      </c>
      <c r="AB343" s="53">
        <f>STOCK[[#This Row],[Stock Actual]]*STOCK[[#This Row],[Costo total]]</f>
        <v>0</v>
      </c>
    </row>
    <row r="344" spans="1:29" s="54" customFormat="1" ht="50" customHeight="1">
      <c r="A344" s="54" t="s">
        <v>723</v>
      </c>
      <c r="B344" s="64"/>
      <c r="C344" s="54" t="s">
        <v>32</v>
      </c>
      <c r="D344" s="54" t="s">
        <v>174</v>
      </c>
      <c r="E344" s="66" t="s">
        <v>722</v>
      </c>
      <c r="F344" s="54" t="s">
        <v>62</v>
      </c>
      <c r="G344" s="54" t="s">
        <v>704</v>
      </c>
      <c r="H344" s="54">
        <f>STOCK[[#This Row],[Precio Final]]</f>
        <v>9</v>
      </c>
      <c r="I344" s="54">
        <f>STOCK[[#This Row],[Precio Venta Ideal (x1.5)]]</f>
        <v>8.8833333333333293</v>
      </c>
      <c r="J344" s="70">
        <v>5</v>
      </c>
      <c r="K344" s="70">
        <f>SUMIFS(VENTAS[Cantidad],VENTAS[Código del producto Vendido],STOCK[[#This Row],[Code]])</f>
        <v>5</v>
      </c>
      <c r="L344" s="70">
        <f>STOCK[[#This Row],[Entradas]]-STOCK[[#This Row],[Salidas]]</f>
        <v>0</v>
      </c>
      <c r="M344" s="54">
        <f>STOCK[[#This Row],[Precio Final]]*10%</f>
        <v>0.9</v>
      </c>
      <c r="N344" s="54">
        <v>85</v>
      </c>
      <c r="O344" s="54">
        <v>18</v>
      </c>
      <c r="P344" s="54">
        <v>4.7222222222222197</v>
      </c>
      <c r="Q344" s="70">
        <v>30</v>
      </c>
      <c r="R344" s="54">
        <v>10</v>
      </c>
      <c r="S344" s="54">
        <f>STOCK[[#This Row],[Peso (g)]]*STOCK[[#This Row],[Precio Envío Kilogramo (USD)]]/1000</f>
        <v>0.3</v>
      </c>
      <c r="T344" s="53">
        <f>STOCK[[#This Row],[Costo Unitario (USD)]]+STOCK[[#This Row],[Costo Envío (USD)]]+STOCK[[#This Row],[Comisión 10%]]</f>
        <v>5.9222222222222198</v>
      </c>
      <c r="U344" s="54">
        <f>STOCK[[#This Row],[Costo total]]*1.5</f>
        <v>8.8833333333333293</v>
      </c>
      <c r="V344" s="54">
        <v>9</v>
      </c>
      <c r="W344" s="54">
        <f>STOCK[[#This Row],[Precio Final]]-STOCK[[#This Row],[Costo total]]</f>
        <v>3.0777777777777802</v>
      </c>
      <c r="X344" s="54">
        <f>STOCK[[#This Row],[Ganancia Unitaria]]*STOCK[[#This Row],[Salidas]]</f>
        <v>15.3888888888889</v>
      </c>
      <c r="AA344" s="54">
        <f>STOCK[[#This Row],[Costo total]]*STOCK[[#This Row],[Entradas]]</f>
        <v>29.6111111111111</v>
      </c>
      <c r="AB344" s="54">
        <f>STOCK[[#This Row],[Stock Actual]]*STOCK[[#This Row],[Costo total]]</f>
        <v>0</v>
      </c>
    </row>
    <row r="345" spans="1:29" s="53" customFormat="1" ht="50" customHeight="1">
      <c r="A345" s="53" t="s">
        <v>724</v>
      </c>
      <c r="B345" s="64"/>
      <c r="C345" s="53" t="s">
        <v>32</v>
      </c>
      <c r="D345" s="53" t="s">
        <v>174</v>
      </c>
      <c r="E345" s="65" t="s">
        <v>722</v>
      </c>
      <c r="F345" s="53" t="s">
        <v>46</v>
      </c>
      <c r="G345" s="53" t="s">
        <v>704</v>
      </c>
      <c r="H345" s="53">
        <f>STOCK[[#This Row],[Precio Final]]</f>
        <v>9</v>
      </c>
      <c r="I345" s="53">
        <f>STOCK[[#This Row],[Precio Venta Ideal (x1.5)]]</f>
        <v>8.8833333333333293</v>
      </c>
      <c r="J345" s="69">
        <v>1</v>
      </c>
      <c r="K345" s="69">
        <f>SUMIFS(VENTAS[Cantidad],VENTAS[Código del producto Vendido],STOCK[[#This Row],[Code]])</f>
        <v>1</v>
      </c>
      <c r="L345" s="69">
        <f>STOCK[[#This Row],[Entradas]]-STOCK[[#This Row],[Salidas]]</f>
        <v>0</v>
      </c>
      <c r="M345" s="53">
        <f>STOCK[[#This Row],[Precio Final]]*10%</f>
        <v>0.9</v>
      </c>
      <c r="N345" s="53">
        <v>85</v>
      </c>
      <c r="O345" s="53">
        <v>18</v>
      </c>
      <c r="P345" s="53">
        <v>4.7222222222222197</v>
      </c>
      <c r="Q345" s="69">
        <v>30</v>
      </c>
      <c r="R345" s="53">
        <v>10</v>
      </c>
      <c r="S345" s="53">
        <f>STOCK[[#This Row],[Peso (g)]]*STOCK[[#This Row],[Precio Envío Kilogramo (USD)]]/1000</f>
        <v>0.3</v>
      </c>
      <c r="T345" s="53">
        <f>STOCK[[#This Row],[Costo Unitario (USD)]]+STOCK[[#This Row],[Costo Envío (USD)]]+STOCK[[#This Row],[Comisión 10%]]</f>
        <v>5.9222222222222198</v>
      </c>
      <c r="U345" s="53">
        <f>STOCK[[#This Row],[Costo total]]*1.5</f>
        <v>8.8833333333333293</v>
      </c>
      <c r="V345" s="53">
        <v>9</v>
      </c>
      <c r="W345" s="53">
        <f>STOCK[[#This Row],[Precio Final]]-STOCK[[#This Row],[Costo total]]</f>
        <v>3.0777777777777802</v>
      </c>
      <c r="X345" s="53">
        <f>STOCK[[#This Row],[Ganancia Unitaria]]*STOCK[[#This Row],[Salidas]]</f>
        <v>3.0777777777777802</v>
      </c>
      <c r="AA345" s="53">
        <f>STOCK[[#This Row],[Costo total]]*STOCK[[#This Row],[Entradas]]</f>
        <v>5.9222222222222198</v>
      </c>
      <c r="AB345" s="53">
        <f>STOCK[[#This Row],[Stock Actual]]*STOCK[[#This Row],[Costo total]]</f>
        <v>0</v>
      </c>
    </row>
    <row r="346" spans="1:29" s="54" customFormat="1" ht="50" customHeight="1">
      <c r="A346" s="54" t="s">
        <v>725</v>
      </c>
      <c r="B346" s="64"/>
      <c r="C346" s="54" t="s">
        <v>32</v>
      </c>
      <c r="D346" s="54" t="s">
        <v>726</v>
      </c>
      <c r="E346" s="66" t="s">
        <v>727</v>
      </c>
      <c r="F346" s="54" t="s">
        <v>525</v>
      </c>
      <c r="G346" s="54" t="s">
        <v>704</v>
      </c>
      <c r="H346" s="54">
        <f>STOCK[[#This Row],[Precio Final]]</f>
        <v>12</v>
      </c>
      <c r="I346" s="54">
        <f>STOCK[[#This Row],[Precio Venta Ideal (x1.5)]]</f>
        <v>9.3000000000000007</v>
      </c>
      <c r="J346" s="70">
        <v>2</v>
      </c>
      <c r="K346" s="70">
        <f>SUMIFS(VENTAS[Cantidad],VENTAS[Código del producto Vendido],STOCK[[#This Row],[Code]])</f>
        <v>0</v>
      </c>
      <c r="L346" s="70">
        <f>STOCK[[#This Row],[Entradas]]-STOCK[[#This Row],[Salidas]]</f>
        <v>2</v>
      </c>
      <c r="M346" s="54">
        <f>STOCK[[#This Row],[Precio Final]]*10%</f>
        <v>1.2000000000000002</v>
      </c>
      <c r="N346" s="54">
        <v>0</v>
      </c>
      <c r="O346" s="54">
        <v>0</v>
      </c>
      <c r="P346" s="54">
        <v>5</v>
      </c>
      <c r="Q346" s="70">
        <v>0</v>
      </c>
      <c r="R346" s="54">
        <v>0</v>
      </c>
      <c r="S346" s="54">
        <f>STOCK[[#This Row],[Peso (g)]]*STOCK[[#This Row],[Precio Envío Kilogramo (USD)]]/1000</f>
        <v>0</v>
      </c>
      <c r="T346" s="53">
        <f>STOCK[[#This Row],[Costo Unitario (USD)]]+STOCK[[#This Row],[Costo Envío (USD)]]+STOCK[[#This Row],[Comisión 10%]]</f>
        <v>6.2</v>
      </c>
      <c r="U346" s="54">
        <f>STOCK[[#This Row],[Costo total]]*1.5</f>
        <v>9.3000000000000007</v>
      </c>
      <c r="V346" s="54">
        <v>12</v>
      </c>
      <c r="W346" s="54">
        <f>STOCK[[#This Row],[Precio Final]]-STOCK[[#This Row],[Costo total]]</f>
        <v>5.8</v>
      </c>
      <c r="X346" s="54">
        <f>STOCK[[#This Row],[Ganancia Unitaria]]*STOCK[[#This Row],[Salidas]]</f>
        <v>0</v>
      </c>
      <c r="AA346" s="54">
        <f>STOCK[[#This Row],[Costo total]]*STOCK[[#This Row],[Entradas]]</f>
        <v>12.4</v>
      </c>
      <c r="AB346" s="54">
        <f>STOCK[[#This Row],[Stock Actual]]*STOCK[[#This Row],[Costo total]]</f>
        <v>12.4</v>
      </c>
    </row>
    <row r="347" spans="1:29" s="53" customFormat="1" ht="50" customHeight="1">
      <c r="A347" s="53" t="s">
        <v>728</v>
      </c>
      <c r="B347" s="64"/>
      <c r="C347" s="53" t="s">
        <v>32</v>
      </c>
      <c r="D347" s="53" t="s">
        <v>174</v>
      </c>
      <c r="E347" s="65" t="s">
        <v>722</v>
      </c>
      <c r="F347" s="53" t="s">
        <v>62</v>
      </c>
      <c r="G347" s="53" t="s">
        <v>704</v>
      </c>
      <c r="H347" s="53">
        <f>STOCK[[#This Row],[Precio Final]]</f>
        <v>9</v>
      </c>
      <c r="I347" s="53">
        <f>STOCK[[#This Row],[Precio Venta Ideal (x1.5)]]</f>
        <v>8.8833333333333293</v>
      </c>
      <c r="J347" s="69">
        <v>12</v>
      </c>
      <c r="K347" s="69">
        <f>SUMIFS(VENTAS[Cantidad],VENTAS[Código del producto Vendido],STOCK[[#This Row],[Code]])</f>
        <v>12</v>
      </c>
      <c r="L347" s="69">
        <f>STOCK[[#This Row],[Entradas]]-STOCK[[#This Row],[Salidas]]</f>
        <v>0</v>
      </c>
      <c r="M347" s="53">
        <f>STOCK[[#This Row],[Precio Final]]*10%</f>
        <v>0.9</v>
      </c>
      <c r="N347" s="53">
        <v>85</v>
      </c>
      <c r="O347" s="53">
        <v>18</v>
      </c>
      <c r="P347" s="53">
        <v>4.7222222222222197</v>
      </c>
      <c r="Q347" s="69">
        <v>30</v>
      </c>
      <c r="R347" s="53">
        <v>10</v>
      </c>
      <c r="S347" s="53">
        <f>STOCK[[#This Row],[Peso (g)]]*STOCK[[#This Row],[Precio Envío Kilogramo (USD)]]/1000</f>
        <v>0.3</v>
      </c>
      <c r="T347" s="53">
        <f>STOCK[[#This Row],[Costo Unitario (USD)]]+STOCK[[#This Row],[Costo Envío (USD)]]+STOCK[[#This Row],[Comisión 10%]]</f>
        <v>5.9222222222222198</v>
      </c>
      <c r="U347" s="53">
        <f>STOCK[[#This Row],[Costo total]]*1.5</f>
        <v>8.8833333333333293</v>
      </c>
      <c r="V347" s="53">
        <v>9</v>
      </c>
      <c r="W347" s="53">
        <f>STOCK[[#This Row],[Precio Final]]-STOCK[[#This Row],[Costo total]]</f>
        <v>3.0777777777777802</v>
      </c>
      <c r="X347" s="53">
        <f>STOCK[[#This Row],[Ganancia Unitaria]]*STOCK[[#This Row],[Salidas]]</f>
        <v>36.933333333333366</v>
      </c>
      <c r="AA347" s="53">
        <f>STOCK[[#This Row],[Costo total]]*STOCK[[#This Row],[Entradas]]</f>
        <v>71.066666666666634</v>
      </c>
      <c r="AB347" s="53">
        <f>STOCK[[#This Row],[Stock Actual]]*STOCK[[#This Row],[Costo total]]</f>
        <v>0</v>
      </c>
    </row>
    <row r="348" spans="1:29" s="54" customFormat="1" ht="50" customHeight="1">
      <c r="A348" s="54" t="s">
        <v>729</v>
      </c>
      <c r="B348" s="64"/>
      <c r="C348" s="54" t="s">
        <v>32</v>
      </c>
      <c r="D348" s="54" t="s">
        <v>44</v>
      </c>
      <c r="E348" s="66" t="s">
        <v>730</v>
      </c>
      <c r="F348" s="54" t="s">
        <v>62</v>
      </c>
      <c r="G348" s="54" t="s">
        <v>704</v>
      </c>
      <c r="H348" s="54">
        <f>STOCK[[#This Row],[Precio Final]]</f>
        <v>19</v>
      </c>
      <c r="I348" s="54">
        <f>STOCK[[#This Row],[Precio Venta Ideal (x1.5)]]</f>
        <v>20.766666666666659</v>
      </c>
      <c r="J348" s="70">
        <v>1</v>
      </c>
      <c r="K348" s="70">
        <f>SUMIFS(VENTAS[Cantidad],VENTAS[Código del producto Vendido],STOCK[[#This Row],[Code]])</f>
        <v>1</v>
      </c>
      <c r="L348" s="70">
        <f>STOCK[[#This Row],[Entradas]]-STOCK[[#This Row],[Salidas]]</f>
        <v>0</v>
      </c>
      <c r="M348" s="54">
        <f>STOCK[[#This Row],[Precio Final]]*10%</f>
        <v>1.9000000000000001</v>
      </c>
      <c r="N348" s="54">
        <v>170</v>
      </c>
      <c r="O348" s="54">
        <v>18</v>
      </c>
      <c r="P348" s="54">
        <v>9.4444444444444393</v>
      </c>
      <c r="Q348" s="70">
        <v>250</v>
      </c>
      <c r="R348" s="54">
        <v>10</v>
      </c>
      <c r="S348" s="54">
        <f>STOCK[[#This Row],[Peso (g)]]*STOCK[[#This Row],[Precio Envío Kilogramo (USD)]]/1000</f>
        <v>2.5</v>
      </c>
      <c r="T348" s="53">
        <f>STOCK[[#This Row],[Costo Unitario (USD)]]+STOCK[[#This Row],[Costo Envío (USD)]]+STOCK[[#This Row],[Comisión 10%]]</f>
        <v>13.84444444444444</v>
      </c>
      <c r="U348" s="54">
        <f>STOCK[[#This Row],[Costo total]]*1.5</f>
        <v>20.766666666666659</v>
      </c>
      <c r="V348" s="54">
        <v>19</v>
      </c>
      <c r="W348" s="54">
        <f>STOCK[[#This Row],[Precio Final]]-STOCK[[#This Row],[Costo total]]</f>
        <v>5.1555555555555603</v>
      </c>
      <c r="X348" s="54">
        <f>STOCK[[#This Row],[Ganancia Unitaria]]*STOCK[[#This Row],[Salidas]]</f>
        <v>5.1555555555555603</v>
      </c>
      <c r="AA348" s="54">
        <f>STOCK[[#This Row],[Costo total]]*STOCK[[#This Row],[Entradas]]</f>
        <v>13.84444444444444</v>
      </c>
      <c r="AB348" s="54">
        <f>STOCK[[#This Row],[Stock Actual]]*STOCK[[#This Row],[Costo total]]</f>
        <v>0</v>
      </c>
    </row>
    <row r="349" spans="1:29" s="53" customFormat="1" ht="50" customHeight="1">
      <c r="A349" s="53" t="s">
        <v>731</v>
      </c>
      <c r="B349" s="64"/>
      <c r="C349" s="53" t="s">
        <v>32</v>
      </c>
      <c r="D349" s="53" t="s">
        <v>44</v>
      </c>
      <c r="E349" s="65" t="s">
        <v>732</v>
      </c>
      <c r="F349" s="53" t="s">
        <v>733</v>
      </c>
      <c r="G349" s="53" t="s">
        <v>704</v>
      </c>
      <c r="H349" s="53">
        <f>STOCK[[#This Row],[Precio Final]]</f>
        <v>20</v>
      </c>
      <c r="I349" s="53">
        <f>STOCK[[#This Row],[Precio Venta Ideal (x1.5)]]</f>
        <v>20.916666666666657</v>
      </c>
      <c r="J349" s="69">
        <v>2</v>
      </c>
      <c r="K349" s="69">
        <f>SUMIFS(VENTAS[Cantidad],VENTAS[Código del producto Vendido],STOCK[[#This Row],[Code]])</f>
        <v>2</v>
      </c>
      <c r="L349" s="69">
        <f>STOCK[[#This Row],[Entradas]]-STOCK[[#This Row],[Salidas]]</f>
        <v>0</v>
      </c>
      <c r="M349" s="53">
        <f>STOCK[[#This Row],[Precio Final]]*10%</f>
        <v>2</v>
      </c>
      <c r="N349" s="53">
        <v>170</v>
      </c>
      <c r="O349" s="53">
        <v>18</v>
      </c>
      <c r="P349" s="53">
        <v>9.4444444444444393</v>
      </c>
      <c r="Q349" s="69">
        <v>250</v>
      </c>
      <c r="R349" s="53">
        <v>10</v>
      </c>
      <c r="S349" s="53">
        <f>STOCK[[#This Row],[Peso (g)]]*STOCK[[#This Row],[Precio Envío Kilogramo (USD)]]/1000</f>
        <v>2.5</v>
      </c>
      <c r="T349" s="53">
        <f>STOCK[[#This Row],[Costo Unitario (USD)]]+STOCK[[#This Row],[Costo Envío (USD)]]+STOCK[[#This Row],[Comisión 10%]]</f>
        <v>13.944444444444439</v>
      </c>
      <c r="U349" s="53">
        <f>STOCK[[#This Row],[Costo total]]*1.5</f>
        <v>20.916666666666657</v>
      </c>
      <c r="V349" s="53">
        <v>20</v>
      </c>
      <c r="W349" s="53">
        <f>STOCK[[#This Row],[Precio Final]]-STOCK[[#This Row],[Costo total]]</f>
        <v>6.0555555555555607</v>
      </c>
      <c r="X349" s="53">
        <f>STOCK[[#This Row],[Ganancia Unitaria]]*STOCK[[#This Row],[Salidas]]</f>
        <v>12.111111111111121</v>
      </c>
      <c r="AA349" s="53">
        <f>STOCK[[#This Row],[Costo total]]*STOCK[[#This Row],[Entradas]]</f>
        <v>27.888888888888879</v>
      </c>
      <c r="AB349" s="53">
        <f>STOCK[[#This Row],[Stock Actual]]*STOCK[[#This Row],[Costo total]]</f>
        <v>0</v>
      </c>
    </row>
    <row r="350" spans="1:29" s="54" customFormat="1" ht="50" customHeight="1">
      <c r="A350" s="54" t="s">
        <v>734</v>
      </c>
      <c r="B350" s="64"/>
      <c r="C350" s="54" t="s">
        <v>32</v>
      </c>
      <c r="D350" s="53" t="s">
        <v>735</v>
      </c>
      <c r="E350" s="66" t="s">
        <v>736</v>
      </c>
      <c r="F350" s="54" t="s">
        <v>62</v>
      </c>
      <c r="G350" s="54" t="s">
        <v>704</v>
      </c>
      <c r="H350" s="54">
        <f>STOCK[[#This Row],[Precio Final]]</f>
        <v>20</v>
      </c>
      <c r="I350" s="54">
        <f>STOCK[[#This Row],[Precio Venta Ideal (x1.5)]]</f>
        <v>20.916666666666657</v>
      </c>
      <c r="J350" s="70">
        <v>3</v>
      </c>
      <c r="K350" s="70">
        <f>SUMIFS(VENTAS[Cantidad],VENTAS[Código del producto Vendido],STOCK[[#This Row],[Code]])</f>
        <v>2</v>
      </c>
      <c r="L350" s="70">
        <f>STOCK[[#This Row],[Entradas]]-STOCK[[#This Row],[Salidas]]</f>
        <v>1</v>
      </c>
      <c r="M350" s="54">
        <f>STOCK[[#This Row],[Precio Final]]*10%</f>
        <v>2</v>
      </c>
      <c r="N350" s="54">
        <v>170</v>
      </c>
      <c r="O350" s="54">
        <v>18</v>
      </c>
      <c r="P350" s="54">
        <v>9.4444444444444393</v>
      </c>
      <c r="Q350" s="70">
        <v>250</v>
      </c>
      <c r="R350" s="54">
        <v>10</v>
      </c>
      <c r="S350" s="54">
        <f>STOCK[[#This Row],[Peso (g)]]*STOCK[[#This Row],[Precio Envío Kilogramo (USD)]]/1000</f>
        <v>2.5</v>
      </c>
      <c r="T350" s="53">
        <f>STOCK[[#This Row],[Costo Unitario (USD)]]+STOCK[[#This Row],[Costo Envío (USD)]]+STOCK[[#This Row],[Comisión 10%]]</f>
        <v>13.944444444444439</v>
      </c>
      <c r="U350" s="54">
        <f>STOCK[[#This Row],[Costo total]]*1.5</f>
        <v>20.916666666666657</v>
      </c>
      <c r="V350" s="54">
        <v>20</v>
      </c>
      <c r="W350" s="54">
        <f>STOCK[[#This Row],[Precio Final]]-STOCK[[#This Row],[Costo total]]</f>
        <v>6.0555555555555607</v>
      </c>
      <c r="X350" s="54">
        <f>STOCK[[#This Row],[Ganancia Unitaria]]*STOCK[[#This Row],[Salidas]]</f>
        <v>12.111111111111121</v>
      </c>
      <c r="AA350" s="54">
        <f>STOCK[[#This Row],[Costo total]]*STOCK[[#This Row],[Entradas]]</f>
        <v>41.833333333333314</v>
      </c>
      <c r="AB350" s="54">
        <f>STOCK[[#This Row],[Stock Actual]]*STOCK[[#This Row],[Costo total]]</f>
        <v>13.944444444444439</v>
      </c>
      <c r="AC350" s="54">
        <v>18</v>
      </c>
    </row>
    <row r="351" spans="1:29" s="53" customFormat="1" ht="50" customHeight="1">
      <c r="A351" s="53" t="s">
        <v>737</v>
      </c>
      <c r="B351" s="64"/>
      <c r="C351" s="53" t="s">
        <v>32</v>
      </c>
      <c r="D351" s="53" t="s">
        <v>735</v>
      </c>
      <c r="E351" s="65" t="s">
        <v>736</v>
      </c>
      <c r="F351" s="53" t="s">
        <v>49</v>
      </c>
      <c r="G351" s="53" t="s">
        <v>704</v>
      </c>
      <c r="H351" s="53">
        <f>STOCK[[#This Row],[Precio Final]]</f>
        <v>20</v>
      </c>
      <c r="I351" s="53">
        <f>STOCK[[#This Row],[Precio Venta Ideal (x1.5)]]</f>
        <v>20.916666666666657</v>
      </c>
      <c r="J351" s="69">
        <v>3</v>
      </c>
      <c r="K351" s="69">
        <f>SUMIFS(VENTAS[Cantidad],VENTAS[Código del producto Vendido],STOCK[[#This Row],[Code]])</f>
        <v>1</v>
      </c>
      <c r="L351" s="69">
        <f>STOCK[[#This Row],[Entradas]]-STOCK[[#This Row],[Salidas]]</f>
        <v>2</v>
      </c>
      <c r="M351" s="53">
        <f>STOCK[[#This Row],[Precio Final]]*10%</f>
        <v>2</v>
      </c>
      <c r="N351" s="53">
        <v>170</v>
      </c>
      <c r="O351" s="53">
        <v>18</v>
      </c>
      <c r="P351" s="53">
        <v>9.4444444444444393</v>
      </c>
      <c r="Q351" s="69">
        <v>250</v>
      </c>
      <c r="R351" s="53">
        <v>10</v>
      </c>
      <c r="S351" s="53">
        <f>STOCK[[#This Row],[Peso (g)]]*STOCK[[#This Row],[Precio Envío Kilogramo (USD)]]/1000</f>
        <v>2.5</v>
      </c>
      <c r="T351" s="53">
        <f>STOCK[[#This Row],[Costo Unitario (USD)]]+STOCK[[#This Row],[Costo Envío (USD)]]+STOCK[[#This Row],[Comisión 10%]]</f>
        <v>13.944444444444439</v>
      </c>
      <c r="U351" s="53">
        <f>STOCK[[#This Row],[Costo total]]*1.5</f>
        <v>20.916666666666657</v>
      </c>
      <c r="V351" s="53">
        <v>20</v>
      </c>
      <c r="W351" s="53">
        <f>STOCK[[#This Row],[Precio Final]]-STOCK[[#This Row],[Costo total]]</f>
        <v>6.0555555555555607</v>
      </c>
      <c r="X351" s="53">
        <f>STOCK[[#This Row],[Ganancia Unitaria]]*STOCK[[#This Row],[Salidas]]</f>
        <v>6.0555555555555607</v>
      </c>
      <c r="AA351" s="53">
        <f>STOCK[[#This Row],[Costo total]]*STOCK[[#This Row],[Entradas]]</f>
        <v>41.833333333333314</v>
      </c>
      <c r="AB351" s="53">
        <f>STOCK[[#This Row],[Stock Actual]]*STOCK[[#This Row],[Costo total]]</f>
        <v>27.888888888888879</v>
      </c>
      <c r="AC351" s="53">
        <v>18</v>
      </c>
    </row>
    <row r="352" spans="1:29" s="54" customFormat="1" ht="50" customHeight="1">
      <c r="A352" s="54" t="s">
        <v>738</v>
      </c>
      <c r="B352" s="64"/>
      <c r="C352" s="54" t="s">
        <v>32</v>
      </c>
      <c r="D352" s="54" t="s">
        <v>546</v>
      </c>
      <c r="E352" s="66" t="s">
        <v>739</v>
      </c>
      <c r="F352" s="54" t="s">
        <v>740</v>
      </c>
      <c r="G352" s="54" t="s">
        <v>704</v>
      </c>
      <c r="H352" s="54">
        <f>STOCK[[#This Row],[Precio Final]]</f>
        <v>15</v>
      </c>
      <c r="I352" s="54">
        <f>STOCK[[#This Row],[Precio Venta Ideal (x1.5)]]</f>
        <v>18.949999999999953</v>
      </c>
      <c r="J352" s="70">
        <v>1</v>
      </c>
      <c r="K352" s="70">
        <f>SUMIFS(VENTAS[Cantidad],VENTAS[Código del producto Vendido],STOCK[[#This Row],[Code]])</f>
        <v>1</v>
      </c>
      <c r="L352" s="70">
        <f>STOCK[[#This Row],[Entradas]]-STOCK[[#This Row],[Salidas]]</f>
        <v>0</v>
      </c>
      <c r="M352" s="54">
        <f>STOCK[[#This Row],[Precio Final]]*10%</f>
        <v>1.5</v>
      </c>
      <c r="N352" s="54">
        <v>195</v>
      </c>
      <c r="O352" s="54">
        <v>18</v>
      </c>
      <c r="P352" s="54">
        <v>10.8333333333333</v>
      </c>
      <c r="Q352" s="70">
        <v>30</v>
      </c>
      <c r="R352" s="54">
        <v>10</v>
      </c>
      <c r="S352" s="54">
        <f>STOCK[[#This Row],[Peso (g)]]*STOCK[[#This Row],[Precio Envío Kilogramo (USD)]]/1000</f>
        <v>0.3</v>
      </c>
      <c r="T352" s="53">
        <f>STOCK[[#This Row],[Costo Unitario (USD)]]+STOCK[[#This Row],[Costo Envío (USD)]]+STOCK[[#This Row],[Comisión 10%]]</f>
        <v>12.633333333333301</v>
      </c>
      <c r="U352" s="54">
        <f>STOCK[[#This Row],[Costo total]]*1.5</f>
        <v>18.949999999999953</v>
      </c>
      <c r="V352" s="54">
        <v>15</v>
      </c>
      <c r="W352" s="54">
        <f>STOCK[[#This Row],[Precio Final]]-STOCK[[#This Row],[Costo total]]</f>
        <v>2.3666666666666991</v>
      </c>
      <c r="X352" s="54">
        <f>STOCK[[#This Row],[Ganancia Unitaria]]*STOCK[[#This Row],[Salidas]]</f>
        <v>2.3666666666666991</v>
      </c>
      <c r="AA352" s="54">
        <f>STOCK[[#This Row],[Costo total]]*STOCK[[#This Row],[Entradas]]</f>
        <v>12.633333333333301</v>
      </c>
      <c r="AB352" s="54">
        <f>STOCK[[#This Row],[Stock Actual]]*STOCK[[#This Row],[Costo total]]</f>
        <v>0</v>
      </c>
    </row>
    <row r="353" spans="1:29" s="53" customFormat="1" ht="50" customHeight="1">
      <c r="A353" s="53" t="s">
        <v>741</v>
      </c>
      <c r="B353" s="64"/>
      <c r="C353" s="53" t="s">
        <v>32</v>
      </c>
      <c r="D353" s="53" t="s">
        <v>546</v>
      </c>
      <c r="E353" s="65" t="s">
        <v>739</v>
      </c>
      <c r="F353" s="53" t="s">
        <v>740</v>
      </c>
      <c r="G353" s="53" t="s">
        <v>704</v>
      </c>
      <c r="H353" s="53">
        <f>STOCK[[#This Row],[Precio Final]]</f>
        <v>12</v>
      </c>
      <c r="I353" s="53">
        <f>STOCK[[#This Row],[Precio Venta Ideal (x1.5)]]</f>
        <v>18.49999999999995</v>
      </c>
      <c r="J353" s="69">
        <v>1</v>
      </c>
      <c r="K353" s="69">
        <f>SUMIFS(VENTAS[Cantidad],VENTAS[Código del producto Vendido],STOCK[[#This Row],[Code]])</f>
        <v>1</v>
      </c>
      <c r="L353" s="69">
        <f>STOCK[[#This Row],[Entradas]]-STOCK[[#This Row],[Salidas]]</f>
        <v>0</v>
      </c>
      <c r="M353" s="53">
        <f>STOCK[[#This Row],[Precio Final]]*10%</f>
        <v>1.2000000000000002</v>
      </c>
      <c r="N353" s="53">
        <v>195</v>
      </c>
      <c r="O353" s="53">
        <v>18</v>
      </c>
      <c r="P353" s="53">
        <v>10.8333333333333</v>
      </c>
      <c r="Q353" s="69">
        <v>30</v>
      </c>
      <c r="R353" s="53">
        <v>10</v>
      </c>
      <c r="S353" s="53">
        <f>STOCK[[#This Row],[Peso (g)]]*STOCK[[#This Row],[Precio Envío Kilogramo (USD)]]/1000</f>
        <v>0.3</v>
      </c>
      <c r="T353" s="53">
        <f>STOCK[[#This Row],[Costo Unitario (USD)]]+STOCK[[#This Row],[Costo Envío (USD)]]+STOCK[[#This Row],[Comisión 10%]]</f>
        <v>12.3333333333333</v>
      </c>
      <c r="U353" s="53">
        <f>STOCK[[#This Row],[Costo total]]*1.5</f>
        <v>18.49999999999995</v>
      </c>
      <c r="V353" s="53">
        <v>12</v>
      </c>
      <c r="W353" s="53">
        <f>STOCK[[#This Row],[Precio Final]]-STOCK[[#This Row],[Costo total]]</f>
        <v>-0.33333333333330017</v>
      </c>
      <c r="X353" s="53">
        <f>STOCK[[#This Row],[Ganancia Unitaria]]*STOCK[[#This Row],[Salidas]]</f>
        <v>-0.33333333333330017</v>
      </c>
      <c r="AA353" s="53">
        <f>STOCK[[#This Row],[Costo total]]*STOCK[[#This Row],[Entradas]]</f>
        <v>12.3333333333333</v>
      </c>
      <c r="AB353" s="53">
        <f>STOCK[[#This Row],[Stock Actual]]*STOCK[[#This Row],[Costo total]]</f>
        <v>0</v>
      </c>
    </row>
    <row r="354" spans="1:29" s="54" customFormat="1" ht="50" customHeight="1">
      <c r="A354" s="54" t="s">
        <v>742</v>
      </c>
      <c r="B354" s="64"/>
      <c r="C354" s="54" t="s">
        <v>32</v>
      </c>
      <c r="D354" s="54" t="s">
        <v>743</v>
      </c>
      <c r="E354" s="66" t="s">
        <v>744</v>
      </c>
      <c r="F354" s="54" t="s">
        <v>62</v>
      </c>
      <c r="G354" s="54" t="s">
        <v>704</v>
      </c>
      <c r="H354" s="54">
        <f>STOCK[[#This Row],[Precio Final]]</f>
        <v>30</v>
      </c>
      <c r="I354" s="54">
        <f>STOCK[[#This Row],[Precio Venta Ideal (x1.5)]]</f>
        <v>38.50000000000005</v>
      </c>
      <c r="J354" s="70">
        <v>0</v>
      </c>
      <c r="K354" s="70">
        <f>SUMIFS(VENTAS[Cantidad],VENTAS[Código del producto Vendido],STOCK[[#This Row],[Code]])</f>
        <v>0</v>
      </c>
      <c r="L354" s="70">
        <f>STOCK[[#This Row],[Entradas]]-STOCK[[#This Row],[Salidas]]</f>
        <v>0</v>
      </c>
      <c r="M354" s="54">
        <f>STOCK[[#This Row],[Precio Final]]*10%</f>
        <v>3</v>
      </c>
      <c r="N354" s="54">
        <v>345</v>
      </c>
      <c r="O354" s="54">
        <v>18</v>
      </c>
      <c r="P354" s="54">
        <v>19.1666666666667</v>
      </c>
      <c r="Q354" s="70">
        <v>350</v>
      </c>
      <c r="R354" s="54">
        <v>10</v>
      </c>
      <c r="S354" s="54">
        <f>STOCK[[#This Row],[Peso (g)]]*STOCK[[#This Row],[Precio Envío Kilogramo (USD)]]/1000</f>
        <v>3.5</v>
      </c>
      <c r="T354" s="53">
        <f>STOCK[[#This Row],[Costo Unitario (USD)]]+STOCK[[#This Row],[Costo Envío (USD)]]+STOCK[[#This Row],[Comisión 10%]]</f>
        <v>25.6666666666667</v>
      </c>
      <c r="U354" s="54">
        <f>STOCK[[#This Row],[Costo total]]*1.5</f>
        <v>38.50000000000005</v>
      </c>
      <c r="V354" s="54">
        <v>30</v>
      </c>
      <c r="W354" s="54">
        <f>STOCK[[#This Row],[Precio Final]]-STOCK[[#This Row],[Costo total]]</f>
        <v>4.3333333333333002</v>
      </c>
      <c r="X354" s="54">
        <f>STOCK[[#This Row],[Ganancia Unitaria]]*STOCK[[#This Row],[Salidas]]</f>
        <v>0</v>
      </c>
      <c r="AA354" s="54">
        <f>STOCK[[#This Row],[Costo total]]*STOCK[[#This Row],[Entradas]]</f>
        <v>0</v>
      </c>
      <c r="AB354" s="54">
        <f>STOCK[[#This Row],[Stock Actual]]*STOCK[[#This Row],[Costo total]]</f>
        <v>0</v>
      </c>
    </row>
    <row r="355" spans="1:29" s="53" customFormat="1" ht="50" customHeight="1">
      <c r="A355" s="53" t="s">
        <v>745</v>
      </c>
      <c r="B355" s="64"/>
      <c r="C355" s="53" t="s">
        <v>32</v>
      </c>
      <c r="D355" s="53" t="s">
        <v>743</v>
      </c>
      <c r="E355" s="65" t="s">
        <v>746</v>
      </c>
      <c r="F355" s="53" t="s">
        <v>747</v>
      </c>
      <c r="G355" s="53" t="s">
        <v>704</v>
      </c>
      <c r="H355" s="53">
        <f>STOCK[[#This Row],[Precio Final]]</f>
        <v>35</v>
      </c>
      <c r="I355" s="53">
        <f>STOCK[[#This Row],[Precio Venta Ideal (x1.5)]]</f>
        <v>47.83333333333335</v>
      </c>
      <c r="J355" s="69">
        <v>1</v>
      </c>
      <c r="K355" s="69">
        <f>SUMIFS(VENTAS[Cantidad],VENTAS[Código del producto Vendido],STOCK[[#This Row],[Code]])</f>
        <v>1</v>
      </c>
      <c r="L355" s="69">
        <f>STOCK[[#This Row],[Entradas]]-STOCK[[#This Row],[Salidas]]</f>
        <v>0</v>
      </c>
      <c r="M355" s="53">
        <f>STOCK[[#This Row],[Precio Final]]*10%</f>
        <v>3.5</v>
      </c>
      <c r="N355" s="53">
        <v>430</v>
      </c>
      <c r="O355" s="53">
        <v>18</v>
      </c>
      <c r="P355" s="53">
        <v>23.8888888888889</v>
      </c>
      <c r="Q355" s="69">
        <v>450</v>
      </c>
      <c r="R355" s="53">
        <v>10</v>
      </c>
      <c r="S355" s="53">
        <f>STOCK[[#This Row],[Peso (g)]]*STOCK[[#This Row],[Precio Envío Kilogramo (USD)]]/1000</f>
        <v>4.5</v>
      </c>
      <c r="T355" s="53">
        <f>STOCK[[#This Row],[Costo Unitario (USD)]]+STOCK[[#This Row],[Costo Envío (USD)]]+STOCK[[#This Row],[Comisión 10%]]</f>
        <v>31.8888888888889</v>
      </c>
      <c r="U355" s="53">
        <f>STOCK[[#This Row],[Costo total]]*1.5</f>
        <v>47.83333333333335</v>
      </c>
      <c r="V355" s="53">
        <v>35</v>
      </c>
      <c r="W355" s="53">
        <f>STOCK[[#This Row],[Precio Final]]-STOCK[[#This Row],[Costo total]]</f>
        <v>3.1111111111111001</v>
      </c>
      <c r="X355" s="53">
        <f>STOCK[[#This Row],[Ganancia Unitaria]]*STOCK[[#This Row],[Salidas]]</f>
        <v>3.1111111111111001</v>
      </c>
      <c r="AA355" s="53">
        <f>STOCK[[#This Row],[Costo total]]*STOCK[[#This Row],[Entradas]]</f>
        <v>31.8888888888889</v>
      </c>
      <c r="AB355" s="53">
        <f>STOCK[[#This Row],[Stock Actual]]*STOCK[[#This Row],[Costo total]]</f>
        <v>0</v>
      </c>
    </row>
    <row r="356" spans="1:29" s="54" customFormat="1" ht="50" customHeight="1">
      <c r="A356" s="54" t="s">
        <v>748</v>
      </c>
      <c r="B356" s="64"/>
      <c r="C356" s="54" t="s">
        <v>32</v>
      </c>
      <c r="D356" s="54" t="s">
        <v>749</v>
      </c>
      <c r="E356" s="66" t="s">
        <v>750</v>
      </c>
      <c r="F356" s="54" t="s">
        <v>751</v>
      </c>
      <c r="G356" s="54" t="s">
        <v>704</v>
      </c>
      <c r="H356" s="54">
        <f>STOCK[[#This Row],[Precio Final]]</f>
        <v>35</v>
      </c>
      <c r="I356" s="54">
        <f>STOCK[[#This Row],[Precio Venta Ideal (x1.5)]]</f>
        <v>46.866666666666603</v>
      </c>
      <c r="J356" s="70">
        <v>1</v>
      </c>
      <c r="K356" s="70">
        <f>SUMIFS(VENTAS[Cantidad],VENTAS[Código del producto Vendido],STOCK[[#This Row],[Code]])</f>
        <v>0</v>
      </c>
      <c r="L356" s="70">
        <f>STOCK[[#This Row],[Entradas]]-STOCK[[#This Row],[Salidas]]</f>
        <v>1</v>
      </c>
      <c r="M356" s="54">
        <f>STOCK[[#This Row],[Precio Final]]*10%</f>
        <v>3.5</v>
      </c>
      <c r="N356" s="54">
        <v>395</v>
      </c>
      <c r="O356" s="54">
        <v>18</v>
      </c>
      <c r="P356" s="54">
        <v>21.9444444444444</v>
      </c>
      <c r="Q356" s="70">
        <v>580</v>
      </c>
      <c r="R356" s="54">
        <v>10</v>
      </c>
      <c r="S356" s="54">
        <f>STOCK[[#This Row],[Peso (g)]]*STOCK[[#This Row],[Precio Envío Kilogramo (USD)]]/1000</f>
        <v>5.8</v>
      </c>
      <c r="T356" s="53">
        <f>STOCK[[#This Row],[Costo Unitario (USD)]]+STOCK[[#This Row],[Costo Envío (USD)]]+STOCK[[#This Row],[Comisión 10%]]</f>
        <v>31.244444444444401</v>
      </c>
      <c r="U356" s="54">
        <f>STOCK[[#This Row],[Costo total]]*1.5</f>
        <v>46.866666666666603</v>
      </c>
      <c r="V356" s="54">
        <v>35</v>
      </c>
      <c r="W356" s="54">
        <f>STOCK[[#This Row],[Precio Final]]-STOCK[[#This Row],[Costo total]]</f>
        <v>3.7555555555555991</v>
      </c>
      <c r="X356" s="54">
        <f>STOCK[[#This Row],[Ganancia Unitaria]]*STOCK[[#This Row],[Salidas]]</f>
        <v>0</v>
      </c>
      <c r="AA356" s="54">
        <f>STOCK[[#This Row],[Costo total]]*STOCK[[#This Row],[Entradas]]</f>
        <v>31.244444444444401</v>
      </c>
      <c r="AB356" s="54">
        <f>STOCK[[#This Row],[Stock Actual]]*STOCK[[#This Row],[Costo total]]</f>
        <v>31.244444444444401</v>
      </c>
    </row>
    <row r="357" spans="1:29" s="53" customFormat="1" ht="50" customHeight="1">
      <c r="A357" s="53" t="s">
        <v>752</v>
      </c>
      <c r="B357" s="64"/>
      <c r="C357" s="53" t="s">
        <v>32</v>
      </c>
      <c r="D357" s="53" t="s">
        <v>515</v>
      </c>
      <c r="E357" s="65" t="s">
        <v>753</v>
      </c>
      <c r="F357" s="53" t="s">
        <v>754</v>
      </c>
      <c r="G357" s="53" t="s">
        <v>704</v>
      </c>
      <c r="H357" s="53">
        <f>STOCK[[#This Row],[Precio Final]]</f>
        <v>35</v>
      </c>
      <c r="I357" s="53">
        <f>STOCK[[#This Row],[Precio Venta Ideal (x1.5)]]</f>
        <v>45.75</v>
      </c>
      <c r="J357" s="69">
        <v>3</v>
      </c>
      <c r="K357" s="69">
        <f>SUMIFS(VENTAS[Cantidad],VENTAS[Código del producto Vendido],STOCK[[#This Row],[Code]])</f>
        <v>3</v>
      </c>
      <c r="L357" s="69">
        <f>STOCK[[#This Row],[Entradas]]-STOCK[[#This Row],[Salidas]]</f>
        <v>0</v>
      </c>
      <c r="M357" s="53">
        <f>STOCK[[#This Row],[Precio Final]]*10%</f>
        <v>3.5</v>
      </c>
      <c r="N357" s="53">
        <v>360</v>
      </c>
      <c r="O357" s="53">
        <v>18</v>
      </c>
      <c r="P357" s="53">
        <v>20</v>
      </c>
      <c r="Q357" s="69">
        <v>700</v>
      </c>
      <c r="R357" s="53">
        <v>10</v>
      </c>
      <c r="S357" s="53">
        <f>STOCK[[#This Row],[Peso (g)]]*STOCK[[#This Row],[Precio Envío Kilogramo (USD)]]/1000</f>
        <v>7</v>
      </c>
      <c r="T357" s="53">
        <f>STOCK[[#This Row],[Costo Unitario (USD)]]+STOCK[[#This Row],[Costo Envío (USD)]]+STOCK[[#This Row],[Comisión 10%]]</f>
        <v>30.5</v>
      </c>
      <c r="U357" s="53">
        <f>STOCK[[#This Row],[Costo total]]*1.5</f>
        <v>45.75</v>
      </c>
      <c r="V357" s="53">
        <v>35</v>
      </c>
      <c r="W357" s="53">
        <f>STOCK[[#This Row],[Precio Final]]-STOCK[[#This Row],[Costo total]]</f>
        <v>4.5</v>
      </c>
      <c r="X357" s="53">
        <f>STOCK[[#This Row],[Ganancia Unitaria]]*STOCK[[#This Row],[Salidas]]</f>
        <v>13.5</v>
      </c>
      <c r="AA357" s="53">
        <f>STOCK[[#This Row],[Costo total]]*STOCK[[#This Row],[Entradas]]</f>
        <v>91.5</v>
      </c>
      <c r="AB357" s="53">
        <f>STOCK[[#This Row],[Stock Actual]]*STOCK[[#This Row],[Costo total]]</f>
        <v>0</v>
      </c>
    </row>
    <row r="358" spans="1:29" s="54" customFormat="1" ht="50" customHeight="1">
      <c r="A358" s="54" t="s">
        <v>755</v>
      </c>
      <c r="B358" s="64"/>
      <c r="C358" s="54" t="s">
        <v>32</v>
      </c>
      <c r="D358" s="54" t="s">
        <v>515</v>
      </c>
      <c r="E358" s="66" t="s">
        <v>756</v>
      </c>
      <c r="F358" s="54" t="s">
        <v>540</v>
      </c>
      <c r="G358" s="54" t="s">
        <v>704</v>
      </c>
      <c r="H358" s="54">
        <f>STOCK[[#This Row],[Precio Final]]</f>
        <v>35</v>
      </c>
      <c r="I358" s="54">
        <f>STOCK[[#This Row],[Precio Venta Ideal (x1.5)]]</f>
        <v>43.8333333333333</v>
      </c>
      <c r="J358" s="70">
        <v>2</v>
      </c>
      <c r="K358" s="70">
        <f>SUMIFS(VENTAS[Cantidad],VENTAS[Código del producto Vendido],STOCK[[#This Row],[Code]])</f>
        <v>2</v>
      </c>
      <c r="L358" s="70">
        <f>STOCK[[#This Row],[Entradas]]-STOCK[[#This Row],[Salidas]]</f>
        <v>0</v>
      </c>
      <c r="M358" s="54">
        <f>STOCK[[#This Row],[Precio Final]]*10%</f>
        <v>3.5</v>
      </c>
      <c r="N358" s="54">
        <v>400</v>
      </c>
      <c r="O358" s="54">
        <v>18</v>
      </c>
      <c r="P358" s="54">
        <v>22.2222222222222</v>
      </c>
      <c r="Q358" s="70">
        <v>350</v>
      </c>
      <c r="R358" s="54">
        <v>10</v>
      </c>
      <c r="S358" s="54">
        <f>STOCK[[#This Row],[Peso (g)]]*STOCK[[#This Row],[Precio Envío Kilogramo (USD)]]/1000</f>
        <v>3.5</v>
      </c>
      <c r="T358" s="53">
        <f>STOCK[[#This Row],[Costo Unitario (USD)]]+STOCK[[#This Row],[Costo Envío (USD)]]+STOCK[[#This Row],[Comisión 10%]]</f>
        <v>29.2222222222222</v>
      </c>
      <c r="U358" s="54">
        <f>STOCK[[#This Row],[Costo total]]*1.5</f>
        <v>43.8333333333333</v>
      </c>
      <c r="V358" s="54">
        <v>35</v>
      </c>
      <c r="W358" s="54">
        <f>STOCK[[#This Row],[Precio Final]]-STOCK[[#This Row],[Costo total]]</f>
        <v>5.7777777777777999</v>
      </c>
      <c r="X358" s="54">
        <f>STOCK[[#This Row],[Ganancia Unitaria]]*STOCK[[#This Row],[Salidas]]</f>
        <v>11.5555555555556</v>
      </c>
      <c r="AA358" s="54">
        <f>STOCK[[#This Row],[Costo total]]*STOCK[[#This Row],[Entradas]]</f>
        <v>58.4444444444444</v>
      </c>
      <c r="AB358" s="54">
        <f>STOCK[[#This Row],[Stock Actual]]*STOCK[[#This Row],[Costo total]]</f>
        <v>0</v>
      </c>
    </row>
    <row r="359" spans="1:29" s="53" customFormat="1" ht="50" customHeight="1">
      <c r="A359" s="53" t="s">
        <v>757</v>
      </c>
      <c r="B359" s="64"/>
      <c r="C359" s="53" t="s">
        <v>32</v>
      </c>
      <c r="D359" s="53" t="s">
        <v>515</v>
      </c>
      <c r="E359" s="65" t="s">
        <v>758</v>
      </c>
      <c r="F359" s="53" t="s">
        <v>759</v>
      </c>
      <c r="G359" s="53" t="s">
        <v>704</v>
      </c>
      <c r="H359" s="53">
        <f>STOCK[[#This Row],[Precio Final]]</f>
        <v>35</v>
      </c>
      <c r="I359" s="53">
        <f>STOCK[[#This Row],[Precio Venta Ideal (x1.5)]]</f>
        <v>45.75</v>
      </c>
      <c r="J359" s="69">
        <v>1</v>
      </c>
      <c r="K359" s="69">
        <f>SUMIFS(VENTAS[Cantidad],VENTAS[Código del producto Vendido],STOCK[[#This Row],[Code]])</f>
        <v>1</v>
      </c>
      <c r="L359" s="69">
        <f>STOCK[[#This Row],[Entradas]]-STOCK[[#This Row],[Salidas]]</f>
        <v>0</v>
      </c>
      <c r="M359" s="53">
        <f>STOCK[[#This Row],[Precio Final]]*10%</f>
        <v>3.5</v>
      </c>
      <c r="N359" s="53">
        <v>360</v>
      </c>
      <c r="O359" s="53">
        <v>18</v>
      </c>
      <c r="P359" s="53">
        <v>20</v>
      </c>
      <c r="Q359" s="69">
        <v>700</v>
      </c>
      <c r="R359" s="53">
        <v>10</v>
      </c>
      <c r="S359" s="53">
        <f>STOCK[[#This Row],[Peso (g)]]*STOCK[[#This Row],[Precio Envío Kilogramo (USD)]]/1000</f>
        <v>7</v>
      </c>
      <c r="T359" s="53">
        <f>STOCK[[#This Row],[Costo Unitario (USD)]]+STOCK[[#This Row],[Costo Envío (USD)]]+STOCK[[#This Row],[Comisión 10%]]</f>
        <v>30.5</v>
      </c>
      <c r="U359" s="53">
        <f>STOCK[[#This Row],[Costo total]]*1.5</f>
        <v>45.75</v>
      </c>
      <c r="V359" s="53">
        <v>35</v>
      </c>
      <c r="W359" s="53">
        <f>STOCK[[#This Row],[Precio Final]]-STOCK[[#This Row],[Costo total]]</f>
        <v>4.5</v>
      </c>
      <c r="X359" s="53">
        <f>STOCK[[#This Row],[Ganancia Unitaria]]*STOCK[[#This Row],[Salidas]]</f>
        <v>4.5</v>
      </c>
      <c r="AA359" s="53">
        <f>STOCK[[#This Row],[Costo total]]*STOCK[[#This Row],[Entradas]]</f>
        <v>30.5</v>
      </c>
      <c r="AB359" s="53">
        <f>STOCK[[#This Row],[Stock Actual]]*STOCK[[#This Row],[Costo total]]</f>
        <v>0</v>
      </c>
    </row>
    <row r="360" spans="1:29" s="54" customFormat="1" ht="50" customHeight="1">
      <c r="A360" s="54" t="s">
        <v>760</v>
      </c>
      <c r="B360" s="64"/>
      <c r="C360" s="54" t="s">
        <v>32</v>
      </c>
      <c r="D360" s="54" t="s">
        <v>515</v>
      </c>
      <c r="E360" s="66" t="s">
        <v>758</v>
      </c>
      <c r="F360" s="54" t="s">
        <v>517</v>
      </c>
      <c r="G360" s="54" t="s">
        <v>704</v>
      </c>
      <c r="H360" s="54">
        <f>STOCK[[#This Row],[Precio Final]]</f>
        <v>35</v>
      </c>
      <c r="I360" s="54">
        <f>STOCK[[#This Row],[Precio Venta Ideal (x1.5)]]</f>
        <v>45.75</v>
      </c>
      <c r="J360" s="70">
        <v>1</v>
      </c>
      <c r="K360" s="70">
        <f>SUMIFS(VENTAS[Cantidad],VENTAS[Código del producto Vendido],STOCK[[#This Row],[Code]])</f>
        <v>1</v>
      </c>
      <c r="L360" s="70">
        <f>STOCK[[#This Row],[Entradas]]-STOCK[[#This Row],[Salidas]]</f>
        <v>0</v>
      </c>
      <c r="M360" s="54">
        <f>STOCK[[#This Row],[Precio Final]]*10%</f>
        <v>3.5</v>
      </c>
      <c r="N360" s="54">
        <v>360</v>
      </c>
      <c r="O360" s="54">
        <v>18</v>
      </c>
      <c r="P360" s="54">
        <v>20</v>
      </c>
      <c r="Q360" s="70">
        <v>700</v>
      </c>
      <c r="R360" s="54">
        <v>10</v>
      </c>
      <c r="S360" s="54">
        <f>STOCK[[#This Row],[Peso (g)]]*STOCK[[#This Row],[Precio Envío Kilogramo (USD)]]/1000</f>
        <v>7</v>
      </c>
      <c r="T360" s="53">
        <f>STOCK[[#This Row],[Costo Unitario (USD)]]+STOCK[[#This Row],[Costo Envío (USD)]]+STOCK[[#This Row],[Comisión 10%]]</f>
        <v>30.5</v>
      </c>
      <c r="U360" s="54">
        <f>STOCK[[#This Row],[Costo total]]*1.5</f>
        <v>45.75</v>
      </c>
      <c r="V360" s="54">
        <v>35</v>
      </c>
      <c r="W360" s="54">
        <f>STOCK[[#This Row],[Precio Final]]-STOCK[[#This Row],[Costo total]]</f>
        <v>4.5</v>
      </c>
      <c r="X360" s="54">
        <f>STOCK[[#This Row],[Ganancia Unitaria]]*STOCK[[#This Row],[Salidas]]</f>
        <v>4.5</v>
      </c>
      <c r="AA360" s="54">
        <f>STOCK[[#This Row],[Costo total]]*STOCK[[#This Row],[Entradas]]</f>
        <v>30.5</v>
      </c>
      <c r="AB360" s="54">
        <f>STOCK[[#This Row],[Stock Actual]]*STOCK[[#This Row],[Costo total]]</f>
        <v>0</v>
      </c>
    </row>
    <row r="361" spans="1:29" s="53" customFormat="1" ht="50" customHeight="1">
      <c r="A361" s="53" t="s">
        <v>761</v>
      </c>
      <c r="B361" s="64"/>
      <c r="C361" s="53" t="s">
        <v>32</v>
      </c>
      <c r="D361" s="53" t="s">
        <v>762</v>
      </c>
      <c r="E361" s="65" t="s">
        <v>763</v>
      </c>
      <c r="F361" s="53" t="s">
        <v>759</v>
      </c>
      <c r="G361" s="53" t="s">
        <v>704</v>
      </c>
      <c r="H361" s="53">
        <f>STOCK[[#This Row],[Precio Final]]</f>
        <v>35</v>
      </c>
      <c r="I361" s="53">
        <f>STOCK[[#This Row],[Precio Venta Ideal (x1.5)]]</f>
        <v>33.3333333333333</v>
      </c>
      <c r="J361" s="69">
        <v>2</v>
      </c>
      <c r="K361" s="69">
        <f>SUMIFS(VENTAS[Cantidad],VENTAS[Código del producto Vendido],STOCK[[#This Row],[Code]])</f>
        <v>0</v>
      </c>
      <c r="L361" s="69">
        <f>STOCK[[#This Row],[Entradas]]-STOCK[[#This Row],[Salidas]]</f>
        <v>2</v>
      </c>
      <c r="M361" s="53">
        <f>STOCK[[#This Row],[Precio Final]]*10%</f>
        <v>3.5</v>
      </c>
      <c r="N361" s="53">
        <v>265</v>
      </c>
      <c r="O361" s="53">
        <v>18</v>
      </c>
      <c r="P361" s="53">
        <v>14.7222222222222</v>
      </c>
      <c r="Q361" s="69">
        <v>400</v>
      </c>
      <c r="R361" s="53">
        <v>10</v>
      </c>
      <c r="S361" s="53">
        <f>STOCK[[#This Row],[Peso (g)]]*STOCK[[#This Row],[Precio Envío Kilogramo (USD)]]/1000</f>
        <v>4</v>
      </c>
      <c r="T361" s="53">
        <f>STOCK[[#This Row],[Costo Unitario (USD)]]+STOCK[[#This Row],[Costo Envío (USD)]]+STOCK[[#This Row],[Comisión 10%]]</f>
        <v>22.2222222222222</v>
      </c>
      <c r="U361" s="53">
        <f>STOCK[[#This Row],[Costo total]]*1.5</f>
        <v>33.3333333333333</v>
      </c>
      <c r="V361" s="53">
        <v>35</v>
      </c>
      <c r="W361" s="53">
        <f>STOCK[[#This Row],[Precio Final]]-STOCK[[#This Row],[Costo total]]</f>
        <v>12.7777777777778</v>
      </c>
      <c r="X361" s="53">
        <f>STOCK[[#This Row],[Ganancia Unitaria]]*STOCK[[#This Row],[Salidas]]</f>
        <v>0</v>
      </c>
      <c r="AA361" s="53">
        <f>STOCK[[#This Row],[Costo total]]*STOCK[[#This Row],[Entradas]]</f>
        <v>44.4444444444444</v>
      </c>
      <c r="AB361" s="53">
        <f>STOCK[[#This Row],[Stock Actual]]*STOCK[[#This Row],[Costo total]]</f>
        <v>44.4444444444444</v>
      </c>
      <c r="AC361" s="53">
        <v>27</v>
      </c>
    </row>
    <row r="362" spans="1:29" s="54" customFormat="1" ht="50" customHeight="1">
      <c r="A362" s="54" t="s">
        <v>764</v>
      </c>
      <c r="B362" s="64"/>
      <c r="C362" s="54" t="s">
        <v>32</v>
      </c>
      <c r="D362" s="53" t="s">
        <v>762</v>
      </c>
      <c r="E362" s="66" t="s">
        <v>763</v>
      </c>
      <c r="F362" s="54" t="s">
        <v>765</v>
      </c>
      <c r="G362" s="54" t="s">
        <v>704</v>
      </c>
      <c r="H362" s="54">
        <f>STOCK[[#This Row],[Precio Final]]</f>
        <v>35</v>
      </c>
      <c r="I362" s="54">
        <f>STOCK[[#This Row],[Precio Venta Ideal (x1.5)]]</f>
        <v>33.3333333333333</v>
      </c>
      <c r="J362" s="70">
        <v>2</v>
      </c>
      <c r="K362" s="70">
        <f>SUMIFS(VENTAS[Cantidad],VENTAS[Código del producto Vendido],STOCK[[#This Row],[Code]])</f>
        <v>1</v>
      </c>
      <c r="L362" s="70">
        <f>STOCK[[#This Row],[Entradas]]-STOCK[[#This Row],[Salidas]]</f>
        <v>1</v>
      </c>
      <c r="M362" s="54">
        <f>STOCK[[#This Row],[Precio Final]]*10%</f>
        <v>3.5</v>
      </c>
      <c r="N362" s="54">
        <v>265</v>
      </c>
      <c r="O362" s="54">
        <v>18</v>
      </c>
      <c r="P362" s="54">
        <v>14.7222222222222</v>
      </c>
      <c r="Q362" s="70">
        <v>400</v>
      </c>
      <c r="R362" s="54">
        <v>10</v>
      </c>
      <c r="S362" s="54">
        <f>STOCK[[#This Row],[Peso (g)]]*STOCK[[#This Row],[Precio Envío Kilogramo (USD)]]/1000</f>
        <v>4</v>
      </c>
      <c r="T362" s="53">
        <f>STOCK[[#This Row],[Costo Unitario (USD)]]+STOCK[[#This Row],[Costo Envío (USD)]]+STOCK[[#This Row],[Comisión 10%]]</f>
        <v>22.2222222222222</v>
      </c>
      <c r="U362" s="54">
        <f>STOCK[[#This Row],[Costo total]]*1.5</f>
        <v>33.3333333333333</v>
      </c>
      <c r="V362" s="54">
        <v>35</v>
      </c>
      <c r="W362" s="54">
        <f>STOCK[[#This Row],[Precio Final]]-STOCK[[#This Row],[Costo total]]</f>
        <v>12.7777777777778</v>
      </c>
      <c r="X362" s="54">
        <f>STOCK[[#This Row],[Ganancia Unitaria]]*STOCK[[#This Row],[Salidas]]</f>
        <v>12.7777777777778</v>
      </c>
      <c r="AA362" s="54">
        <f>STOCK[[#This Row],[Costo total]]*STOCK[[#This Row],[Entradas]]</f>
        <v>44.4444444444444</v>
      </c>
      <c r="AB362" s="54">
        <f>STOCK[[#This Row],[Stock Actual]]*STOCK[[#This Row],[Costo total]]</f>
        <v>22.2222222222222</v>
      </c>
      <c r="AC362" s="54">
        <v>27</v>
      </c>
    </row>
    <row r="363" spans="1:29" s="53" customFormat="1" ht="50" customHeight="1">
      <c r="A363" s="53" t="s">
        <v>766</v>
      </c>
      <c r="B363" s="64"/>
      <c r="C363" s="53" t="s">
        <v>32</v>
      </c>
      <c r="D363" s="53" t="s">
        <v>762</v>
      </c>
      <c r="E363" s="65" t="s">
        <v>763</v>
      </c>
      <c r="F363" s="53" t="s">
        <v>767</v>
      </c>
      <c r="G363" s="53" t="s">
        <v>704</v>
      </c>
      <c r="H363" s="53">
        <f>STOCK[[#This Row],[Precio Final]]</f>
        <v>35</v>
      </c>
      <c r="I363" s="53">
        <f>STOCK[[#This Row],[Precio Venta Ideal (x1.5)]]</f>
        <v>33.3333333333333</v>
      </c>
      <c r="J363" s="69">
        <v>1</v>
      </c>
      <c r="K363" s="69">
        <f>SUMIFS(VENTAS[Cantidad],VENTAS[Código del producto Vendido],STOCK[[#This Row],[Code]])</f>
        <v>1</v>
      </c>
      <c r="L363" s="69">
        <f>STOCK[[#This Row],[Entradas]]-STOCK[[#This Row],[Salidas]]</f>
        <v>0</v>
      </c>
      <c r="M363" s="53">
        <f>STOCK[[#This Row],[Precio Final]]*10%</f>
        <v>3.5</v>
      </c>
      <c r="N363" s="53">
        <v>265</v>
      </c>
      <c r="O363" s="53">
        <v>18</v>
      </c>
      <c r="P363" s="53">
        <v>14.7222222222222</v>
      </c>
      <c r="Q363" s="69">
        <v>400</v>
      </c>
      <c r="R363" s="53">
        <v>10</v>
      </c>
      <c r="S363" s="53">
        <f>STOCK[[#This Row],[Peso (g)]]*STOCK[[#This Row],[Precio Envío Kilogramo (USD)]]/1000</f>
        <v>4</v>
      </c>
      <c r="T363" s="53">
        <f>STOCK[[#This Row],[Costo Unitario (USD)]]+STOCK[[#This Row],[Costo Envío (USD)]]+STOCK[[#This Row],[Comisión 10%]]</f>
        <v>22.2222222222222</v>
      </c>
      <c r="U363" s="53">
        <f>STOCK[[#This Row],[Costo total]]*1.5</f>
        <v>33.3333333333333</v>
      </c>
      <c r="V363" s="53">
        <v>35</v>
      </c>
      <c r="W363" s="53">
        <f>STOCK[[#This Row],[Precio Final]]-STOCK[[#This Row],[Costo total]]</f>
        <v>12.7777777777778</v>
      </c>
      <c r="X363" s="53">
        <f>STOCK[[#This Row],[Ganancia Unitaria]]*STOCK[[#This Row],[Salidas]]</f>
        <v>12.7777777777778</v>
      </c>
      <c r="AA363" s="53">
        <f>STOCK[[#This Row],[Costo total]]*STOCK[[#This Row],[Entradas]]</f>
        <v>22.2222222222222</v>
      </c>
      <c r="AB363" s="53">
        <f>STOCK[[#This Row],[Stock Actual]]*STOCK[[#This Row],[Costo total]]</f>
        <v>0</v>
      </c>
      <c r="AC363" s="53">
        <v>27</v>
      </c>
    </row>
    <row r="364" spans="1:29" s="54" customFormat="1" ht="50" customHeight="1">
      <c r="A364" s="54" t="s">
        <v>768</v>
      </c>
      <c r="B364" s="64"/>
      <c r="C364" s="54" t="s">
        <v>32</v>
      </c>
      <c r="D364" s="54" t="s">
        <v>762</v>
      </c>
      <c r="E364" s="66" t="s">
        <v>769</v>
      </c>
      <c r="F364" s="54" t="s">
        <v>517</v>
      </c>
      <c r="G364" s="54" t="s">
        <v>704</v>
      </c>
      <c r="H364" s="54">
        <f>STOCK[[#This Row],[Precio Final]]</f>
        <v>25</v>
      </c>
      <c r="I364" s="54">
        <f>STOCK[[#This Row],[Precio Venta Ideal (x1.5)]]</f>
        <v>21.583333333333336</v>
      </c>
      <c r="J364" s="70">
        <v>2</v>
      </c>
      <c r="K364" s="70">
        <f>SUMIFS(VENTAS[Cantidad],VENTAS[Código del producto Vendido],STOCK[[#This Row],[Code]])</f>
        <v>1</v>
      </c>
      <c r="L364" s="70">
        <f>STOCK[[#This Row],[Entradas]]-STOCK[[#This Row],[Salidas]]</f>
        <v>1</v>
      </c>
      <c r="M364" s="54">
        <f>STOCK[[#This Row],[Precio Final]]*10%</f>
        <v>2.5</v>
      </c>
      <c r="N364" s="54">
        <v>169</v>
      </c>
      <c r="O364" s="54">
        <v>18</v>
      </c>
      <c r="P364" s="54">
        <v>9.3888888888888893</v>
      </c>
      <c r="Q364" s="70">
        <v>250</v>
      </c>
      <c r="R364" s="54">
        <v>10</v>
      </c>
      <c r="S364" s="54">
        <f>STOCK[[#This Row],[Peso (g)]]*STOCK[[#This Row],[Precio Envío Kilogramo (USD)]]/1000</f>
        <v>2.5</v>
      </c>
      <c r="T364" s="53">
        <f>STOCK[[#This Row],[Costo Unitario (USD)]]+STOCK[[#This Row],[Costo Envío (USD)]]+STOCK[[#This Row],[Comisión 10%]]</f>
        <v>14.388888888888889</v>
      </c>
      <c r="U364" s="54">
        <f>STOCK[[#This Row],[Costo total]]*1.5</f>
        <v>21.583333333333336</v>
      </c>
      <c r="V364" s="54">
        <v>25</v>
      </c>
      <c r="W364" s="54">
        <f>STOCK[[#This Row],[Precio Final]]-STOCK[[#This Row],[Costo total]]</f>
        <v>10.611111111111111</v>
      </c>
      <c r="X364" s="54">
        <f>STOCK[[#This Row],[Ganancia Unitaria]]*STOCK[[#This Row],[Salidas]]</f>
        <v>10.611111111111111</v>
      </c>
      <c r="AA364" s="54">
        <f>STOCK[[#This Row],[Costo total]]*STOCK[[#This Row],[Entradas]]</f>
        <v>28.777777777777779</v>
      </c>
      <c r="AB364" s="54">
        <f>STOCK[[#This Row],[Stock Actual]]*STOCK[[#This Row],[Costo total]]</f>
        <v>14.388888888888889</v>
      </c>
      <c r="AC364" s="54">
        <v>18</v>
      </c>
    </row>
    <row r="365" spans="1:29" s="53" customFormat="1" ht="50" customHeight="1">
      <c r="A365" s="53" t="s">
        <v>770</v>
      </c>
      <c r="B365" s="64"/>
      <c r="C365" s="53" t="s">
        <v>32</v>
      </c>
      <c r="D365" s="53" t="s">
        <v>515</v>
      </c>
      <c r="E365" s="65" t="s">
        <v>771</v>
      </c>
      <c r="F365" s="53" t="s">
        <v>540</v>
      </c>
      <c r="G365" s="53" t="s">
        <v>704</v>
      </c>
      <c r="H365" s="53">
        <f>STOCK[[#This Row],[Precio Final]]</f>
        <v>39</v>
      </c>
      <c r="I365" s="53">
        <f>STOCK[[#This Row],[Precio Venta Ideal (x1.5)]]</f>
        <v>50.099999999999994</v>
      </c>
      <c r="J365" s="69">
        <v>1</v>
      </c>
      <c r="K365" s="69">
        <f>SUMIFS(VENTAS[Cantidad],VENTAS[Código del producto Vendido],STOCK[[#This Row],[Code]])</f>
        <v>1</v>
      </c>
      <c r="L365" s="69">
        <f>STOCK[[#This Row],[Entradas]]-STOCK[[#This Row],[Salidas]]</f>
        <v>0</v>
      </c>
      <c r="M365" s="53">
        <f>STOCK[[#This Row],[Precio Final]]*10%</f>
        <v>3.9000000000000004</v>
      </c>
      <c r="N365" s="53">
        <v>396</v>
      </c>
      <c r="O365" s="53">
        <v>18</v>
      </c>
      <c r="P365" s="53">
        <v>25</v>
      </c>
      <c r="Q365" s="69">
        <v>450</v>
      </c>
      <c r="R365" s="53">
        <v>10</v>
      </c>
      <c r="S365" s="53">
        <f>STOCK[[#This Row],[Peso (g)]]*STOCK[[#This Row],[Precio Envío Kilogramo (USD)]]/1000</f>
        <v>4.5</v>
      </c>
      <c r="T365" s="53">
        <f>STOCK[[#This Row],[Costo Unitario (USD)]]+STOCK[[#This Row],[Costo Envío (USD)]]+STOCK[[#This Row],[Comisión 10%]]</f>
        <v>33.4</v>
      </c>
      <c r="U365" s="53">
        <f>STOCK[[#This Row],[Costo total]]*1.5</f>
        <v>50.099999999999994</v>
      </c>
      <c r="V365" s="53">
        <v>39</v>
      </c>
      <c r="W365" s="53">
        <f>STOCK[[#This Row],[Precio Final]]-STOCK[[#This Row],[Costo total]]</f>
        <v>5.6000000000000014</v>
      </c>
      <c r="X365" s="53">
        <f>STOCK[[#This Row],[Ganancia Unitaria]]*STOCK[[#This Row],[Salidas]]</f>
        <v>5.6000000000000014</v>
      </c>
      <c r="AA365" s="53">
        <f>STOCK[[#This Row],[Costo total]]*STOCK[[#This Row],[Entradas]]</f>
        <v>33.4</v>
      </c>
      <c r="AB365" s="53">
        <f>STOCK[[#This Row],[Stock Actual]]*STOCK[[#This Row],[Costo total]]</f>
        <v>0</v>
      </c>
    </row>
    <row r="366" spans="1:29" s="54" customFormat="1" ht="50" customHeight="1">
      <c r="A366" s="54" t="s">
        <v>772</v>
      </c>
      <c r="B366" s="64"/>
      <c r="C366" s="54" t="s">
        <v>32</v>
      </c>
      <c r="D366" s="54" t="s">
        <v>515</v>
      </c>
      <c r="E366" s="66" t="s">
        <v>773</v>
      </c>
      <c r="F366" s="54" t="s">
        <v>759</v>
      </c>
      <c r="G366" s="54" t="s">
        <v>704</v>
      </c>
      <c r="H366" s="54">
        <f>STOCK[[#This Row],[Precio Final]]</f>
        <v>35</v>
      </c>
      <c r="I366" s="54">
        <f>STOCK[[#This Row],[Precio Venta Ideal (x1.5)]]</f>
        <v>40.1666666666667</v>
      </c>
      <c r="J366" s="70">
        <v>1</v>
      </c>
      <c r="K366" s="70">
        <f>SUMIFS(VENTAS[Cantidad],VENTAS[Código del producto Vendido],STOCK[[#This Row],[Code]])</f>
        <v>1</v>
      </c>
      <c r="L366" s="70">
        <f>STOCK[[#This Row],[Entradas]]-STOCK[[#This Row],[Salidas]]</f>
        <v>0</v>
      </c>
      <c r="M366" s="54">
        <f>STOCK[[#This Row],[Precio Final]]*10%</f>
        <v>3.5</v>
      </c>
      <c r="N366" s="54">
        <v>356</v>
      </c>
      <c r="O366" s="54">
        <v>18</v>
      </c>
      <c r="P366" s="54">
        <v>19.7777777777778</v>
      </c>
      <c r="Q366" s="70">
        <v>350</v>
      </c>
      <c r="R366" s="54">
        <v>10</v>
      </c>
      <c r="S366" s="54">
        <f>STOCK[[#This Row],[Peso (g)]]*STOCK[[#This Row],[Precio Envío Kilogramo (USD)]]/1000</f>
        <v>3.5</v>
      </c>
      <c r="T366" s="53">
        <f>STOCK[[#This Row],[Costo Unitario (USD)]]+STOCK[[#This Row],[Costo Envío (USD)]]+STOCK[[#This Row],[Comisión 10%]]</f>
        <v>26.7777777777778</v>
      </c>
      <c r="U366" s="54">
        <f>STOCK[[#This Row],[Costo total]]*1.5</f>
        <v>40.1666666666667</v>
      </c>
      <c r="V366" s="54">
        <v>35</v>
      </c>
      <c r="W366" s="54">
        <f>STOCK[[#This Row],[Precio Final]]-STOCK[[#This Row],[Costo total]]</f>
        <v>8.2222222222222001</v>
      </c>
      <c r="X366" s="54">
        <f>STOCK[[#This Row],[Ganancia Unitaria]]*STOCK[[#This Row],[Salidas]]</f>
        <v>8.2222222222222001</v>
      </c>
      <c r="AA366" s="54">
        <f>STOCK[[#This Row],[Costo total]]*STOCK[[#This Row],[Entradas]]</f>
        <v>26.7777777777778</v>
      </c>
      <c r="AB366" s="54">
        <f>STOCK[[#This Row],[Stock Actual]]*STOCK[[#This Row],[Costo total]]</f>
        <v>0</v>
      </c>
    </row>
    <row r="367" spans="1:29" s="53" customFormat="1" ht="50" customHeight="1">
      <c r="A367" s="53" t="s">
        <v>774</v>
      </c>
      <c r="B367" s="64"/>
      <c r="C367" s="53" t="s">
        <v>32</v>
      </c>
      <c r="D367" s="53" t="s">
        <v>515</v>
      </c>
      <c r="E367" s="65" t="s">
        <v>773</v>
      </c>
      <c r="F367" s="53" t="s">
        <v>767</v>
      </c>
      <c r="G367" s="53" t="s">
        <v>704</v>
      </c>
      <c r="H367" s="53">
        <f>STOCK[[#This Row],[Precio Final]]</f>
        <v>30</v>
      </c>
      <c r="I367" s="53">
        <f>STOCK[[#This Row],[Precio Venta Ideal (x1.5)]]</f>
        <v>39.4166666666667</v>
      </c>
      <c r="J367" s="69">
        <v>1</v>
      </c>
      <c r="K367" s="69">
        <f>SUMIFS(VENTAS[Cantidad],VENTAS[Código del producto Vendido],STOCK[[#This Row],[Code]])</f>
        <v>1</v>
      </c>
      <c r="L367" s="69">
        <f>STOCK[[#This Row],[Entradas]]-STOCK[[#This Row],[Salidas]]</f>
        <v>0</v>
      </c>
      <c r="M367" s="53">
        <f>STOCK[[#This Row],[Precio Final]]*10%</f>
        <v>3</v>
      </c>
      <c r="N367" s="53">
        <v>356</v>
      </c>
      <c r="O367" s="53">
        <v>18</v>
      </c>
      <c r="P367" s="53">
        <v>19.7777777777778</v>
      </c>
      <c r="Q367" s="69">
        <v>350</v>
      </c>
      <c r="R367" s="53">
        <v>10</v>
      </c>
      <c r="S367" s="53">
        <f>STOCK[[#This Row],[Peso (g)]]*STOCK[[#This Row],[Precio Envío Kilogramo (USD)]]/1000</f>
        <v>3.5</v>
      </c>
      <c r="T367" s="53">
        <f>STOCK[[#This Row],[Costo Unitario (USD)]]+STOCK[[#This Row],[Costo Envío (USD)]]+STOCK[[#This Row],[Comisión 10%]]</f>
        <v>26.2777777777778</v>
      </c>
      <c r="U367" s="53">
        <f>STOCK[[#This Row],[Costo total]]*1.5</f>
        <v>39.4166666666667</v>
      </c>
      <c r="V367" s="53">
        <v>30</v>
      </c>
      <c r="W367" s="53">
        <f>STOCK[[#This Row],[Precio Final]]-STOCK[[#This Row],[Costo total]]</f>
        <v>3.7222222222222001</v>
      </c>
      <c r="X367" s="53">
        <f>STOCK[[#This Row],[Ganancia Unitaria]]*STOCK[[#This Row],[Salidas]]</f>
        <v>3.7222222222222001</v>
      </c>
      <c r="AA367" s="53">
        <f>STOCK[[#This Row],[Costo total]]*STOCK[[#This Row],[Entradas]]</f>
        <v>26.2777777777778</v>
      </c>
      <c r="AB367" s="53">
        <f>STOCK[[#This Row],[Stock Actual]]*STOCK[[#This Row],[Costo total]]</f>
        <v>0</v>
      </c>
    </row>
    <row r="368" spans="1:29" s="54" customFormat="1" ht="50" customHeight="1">
      <c r="A368" s="54" t="s">
        <v>775</v>
      </c>
      <c r="B368" s="64"/>
      <c r="C368" s="54" t="s">
        <v>32</v>
      </c>
      <c r="D368" s="54" t="s">
        <v>174</v>
      </c>
      <c r="E368" s="66" t="s">
        <v>776</v>
      </c>
      <c r="F368" s="54" t="s">
        <v>777</v>
      </c>
      <c r="G368" s="54" t="s">
        <v>704</v>
      </c>
      <c r="H368" s="54">
        <f>STOCK[[#This Row],[Precio Final]]</f>
        <v>10</v>
      </c>
      <c r="I368" s="54">
        <f>STOCK[[#This Row],[Precio Venta Ideal (x1.5)]]</f>
        <v>10.583333333333339</v>
      </c>
      <c r="J368" s="70">
        <v>3</v>
      </c>
      <c r="K368" s="70">
        <f>SUMIFS(VENTAS[Cantidad],VENTAS[Código del producto Vendido],STOCK[[#This Row],[Code]])</f>
        <v>3</v>
      </c>
      <c r="L368" s="70">
        <f>STOCK[[#This Row],[Entradas]]-STOCK[[#This Row],[Salidas]]</f>
        <v>0</v>
      </c>
      <c r="M368" s="54">
        <f>STOCK[[#This Row],[Precio Final]]*10%</f>
        <v>1</v>
      </c>
      <c r="N368" s="54">
        <v>100</v>
      </c>
      <c r="O368" s="54">
        <v>18</v>
      </c>
      <c r="P368" s="54">
        <v>5.5555555555555598</v>
      </c>
      <c r="Q368" s="70">
        <v>50</v>
      </c>
      <c r="R368" s="54">
        <v>10</v>
      </c>
      <c r="S368" s="54">
        <f>STOCK[[#This Row],[Peso (g)]]*STOCK[[#This Row],[Precio Envío Kilogramo (USD)]]/1000</f>
        <v>0.5</v>
      </c>
      <c r="T368" s="53">
        <f>STOCK[[#This Row],[Costo Unitario (USD)]]+STOCK[[#This Row],[Costo Envío (USD)]]+STOCK[[#This Row],[Comisión 10%]]</f>
        <v>7.0555555555555598</v>
      </c>
      <c r="U368" s="54">
        <f>STOCK[[#This Row],[Costo total]]*1.5</f>
        <v>10.583333333333339</v>
      </c>
      <c r="V368" s="54">
        <v>10</v>
      </c>
      <c r="W368" s="54">
        <f>STOCK[[#This Row],[Precio Final]]-STOCK[[#This Row],[Costo total]]</f>
        <v>2.9444444444444402</v>
      </c>
      <c r="X368" s="54">
        <f>STOCK[[#This Row],[Ganancia Unitaria]]*STOCK[[#This Row],[Salidas]]</f>
        <v>8.8333333333333215</v>
      </c>
      <c r="AA368" s="54">
        <f>STOCK[[#This Row],[Costo total]]*STOCK[[#This Row],[Entradas]]</f>
        <v>21.166666666666679</v>
      </c>
      <c r="AB368" s="54">
        <f>STOCK[[#This Row],[Stock Actual]]*STOCK[[#This Row],[Costo total]]</f>
        <v>0</v>
      </c>
    </row>
    <row r="369" spans="1:29" s="53" customFormat="1" ht="50" customHeight="1">
      <c r="A369" s="53" t="s">
        <v>778</v>
      </c>
      <c r="B369" s="64"/>
      <c r="C369" s="53" t="s">
        <v>32</v>
      </c>
      <c r="D369" s="53" t="s">
        <v>779</v>
      </c>
      <c r="E369" s="65" t="s">
        <v>776</v>
      </c>
      <c r="F369" s="53" t="s">
        <v>40</v>
      </c>
      <c r="G369" s="53" t="s">
        <v>704</v>
      </c>
      <c r="H369" s="53">
        <f>STOCK[[#This Row],[Precio Final]]</f>
        <v>10</v>
      </c>
      <c r="I369" s="53">
        <f>STOCK[[#This Row],[Precio Venta Ideal (x1.5)]]</f>
        <v>10.583333333333339</v>
      </c>
      <c r="J369" s="69">
        <v>2</v>
      </c>
      <c r="K369" s="69">
        <f>SUMIFS(VENTAS[Cantidad],VENTAS[Código del producto Vendido],STOCK[[#This Row],[Code]])</f>
        <v>2</v>
      </c>
      <c r="L369" s="69">
        <f>STOCK[[#This Row],[Entradas]]-STOCK[[#This Row],[Salidas]]</f>
        <v>0</v>
      </c>
      <c r="M369" s="53">
        <f>STOCK[[#This Row],[Precio Final]]*10%</f>
        <v>1</v>
      </c>
      <c r="N369" s="53">
        <v>100</v>
      </c>
      <c r="O369" s="53">
        <v>18</v>
      </c>
      <c r="P369" s="53">
        <v>5.5555555555555598</v>
      </c>
      <c r="Q369" s="69">
        <v>50</v>
      </c>
      <c r="R369" s="53">
        <v>10</v>
      </c>
      <c r="S369" s="53">
        <f>STOCK[[#This Row],[Peso (g)]]*STOCK[[#This Row],[Precio Envío Kilogramo (USD)]]/1000</f>
        <v>0.5</v>
      </c>
      <c r="T369" s="53">
        <f>STOCK[[#This Row],[Costo Unitario (USD)]]+STOCK[[#This Row],[Costo Envío (USD)]]+STOCK[[#This Row],[Comisión 10%]]</f>
        <v>7.0555555555555598</v>
      </c>
      <c r="U369" s="53">
        <f>STOCK[[#This Row],[Costo total]]*1.5</f>
        <v>10.583333333333339</v>
      </c>
      <c r="V369" s="53">
        <v>10</v>
      </c>
      <c r="W369" s="53">
        <f>STOCK[[#This Row],[Precio Final]]-STOCK[[#This Row],[Costo total]]</f>
        <v>2.9444444444444402</v>
      </c>
      <c r="X369" s="53">
        <f>STOCK[[#This Row],[Ganancia Unitaria]]*STOCK[[#This Row],[Salidas]]</f>
        <v>5.8888888888888804</v>
      </c>
      <c r="AA369" s="53">
        <f>STOCK[[#This Row],[Costo total]]*STOCK[[#This Row],[Entradas]]</f>
        <v>14.11111111111112</v>
      </c>
      <c r="AB369" s="53">
        <f>STOCK[[#This Row],[Stock Actual]]*STOCK[[#This Row],[Costo total]]</f>
        <v>0</v>
      </c>
    </row>
    <row r="370" spans="1:29" s="54" customFormat="1" ht="50" customHeight="1">
      <c r="A370" s="54" t="s">
        <v>780</v>
      </c>
      <c r="B370" s="64"/>
      <c r="C370" s="54" t="s">
        <v>32</v>
      </c>
      <c r="D370" s="54" t="s">
        <v>779</v>
      </c>
      <c r="E370" s="66" t="s">
        <v>781</v>
      </c>
      <c r="F370" s="54" t="s">
        <v>40</v>
      </c>
      <c r="G370" s="54" t="s">
        <v>704</v>
      </c>
      <c r="H370" s="54">
        <f>STOCK[[#This Row],[Precio Final]]</f>
        <v>10</v>
      </c>
      <c r="I370" s="54">
        <f>STOCK[[#This Row],[Precio Venta Ideal (x1.5)]]</f>
        <v>10.583333333333339</v>
      </c>
      <c r="J370" s="70">
        <v>2</v>
      </c>
      <c r="K370" s="70">
        <f>SUMIFS(VENTAS[Cantidad],VENTAS[Código del producto Vendido],STOCK[[#This Row],[Code]])</f>
        <v>0</v>
      </c>
      <c r="L370" s="70">
        <f>STOCK[[#This Row],[Entradas]]-STOCK[[#This Row],[Salidas]]</f>
        <v>2</v>
      </c>
      <c r="M370" s="54">
        <f>STOCK[[#This Row],[Precio Final]]*10%</f>
        <v>1</v>
      </c>
      <c r="N370" s="54">
        <v>100</v>
      </c>
      <c r="O370" s="54">
        <v>18</v>
      </c>
      <c r="P370" s="54">
        <v>5.5555555555555598</v>
      </c>
      <c r="Q370" s="70">
        <v>50</v>
      </c>
      <c r="R370" s="54">
        <v>10</v>
      </c>
      <c r="S370" s="54">
        <f>STOCK[[#This Row],[Peso (g)]]*STOCK[[#This Row],[Precio Envío Kilogramo (USD)]]/1000</f>
        <v>0.5</v>
      </c>
      <c r="T370" s="53">
        <f>STOCK[[#This Row],[Costo Unitario (USD)]]+STOCK[[#This Row],[Costo Envío (USD)]]+STOCK[[#This Row],[Comisión 10%]]</f>
        <v>7.0555555555555598</v>
      </c>
      <c r="U370" s="54">
        <f>STOCK[[#This Row],[Costo total]]*1.5</f>
        <v>10.583333333333339</v>
      </c>
      <c r="V370" s="54">
        <v>10</v>
      </c>
      <c r="W370" s="54">
        <f>STOCK[[#This Row],[Precio Final]]-STOCK[[#This Row],[Costo total]]</f>
        <v>2.9444444444444402</v>
      </c>
      <c r="X370" s="54">
        <f>STOCK[[#This Row],[Ganancia Unitaria]]*STOCK[[#This Row],[Salidas]]</f>
        <v>0</v>
      </c>
      <c r="AA370" s="54">
        <f>STOCK[[#This Row],[Costo total]]*STOCK[[#This Row],[Entradas]]</f>
        <v>14.11111111111112</v>
      </c>
      <c r="AB370" s="54">
        <f>STOCK[[#This Row],[Stock Actual]]*STOCK[[#This Row],[Costo total]]</f>
        <v>14.11111111111112</v>
      </c>
    </row>
    <row r="371" spans="1:29" s="53" customFormat="1" ht="50" customHeight="1">
      <c r="A371" s="53" t="s">
        <v>782</v>
      </c>
      <c r="B371" s="64"/>
      <c r="C371" s="53" t="s">
        <v>32</v>
      </c>
      <c r="D371" s="53" t="s">
        <v>174</v>
      </c>
      <c r="E371" s="65" t="s">
        <v>781</v>
      </c>
      <c r="F371" s="53" t="s">
        <v>777</v>
      </c>
      <c r="G371" s="53" t="s">
        <v>704</v>
      </c>
      <c r="H371" s="53">
        <f>STOCK[[#This Row],[Precio Final]]</f>
        <v>10</v>
      </c>
      <c r="I371" s="53">
        <f>STOCK[[#This Row],[Precio Venta Ideal (x1.5)]]</f>
        <v>10.583333333333339</v>
      </c>
      <c r="J371" s="69">
        <v>1</v>
      </c>
      <c r="K371" s="69">
        <f>SUMIFS(VENTAS[Cantidad],VENTAS[Código del producto Vendido],STOCK[[#This Row],[Code]])</f>
        <v>1</v>
      </c>
      <c r="L371" s="69">
        <f>STOCK[[#This Row],[Entradas]]-STOCK[[#This Row],[Salidas]]</f>
        <v>0</v>
      </c>
      <c r="M371" s="53">
        <f>STOCK[[#This Row],[Precio Final]]*10%</f>
        <v>1</v>
      </c>
      <c r="N371" s="53">
        <v>100</v>
      </c>
      <c r="O371" s="53">
        <v>18</v>
      </c>
      <c r="P371" s="53">
        <v>5.5555555555555598</v>
      </c>
      <c r="Q371" s="69">
        <v>50</v>
      </c>
      <c r="R371" s="53">
        <v>10</v>
      </c>
      <c r="S371" s="53">
        <f>STOCK[[#This Row],[Peso (g)]]*STOCK[[#This Row],[Precio Envío Kilogramo (USD)]]/1000</f>
        <v>0.5</v>
      </c>
      <c r="T371" s="53">
        <f>STOCK[[#This Row],[Costo Unitario (USD)]]+STOCK[[#This Row],[Costo Envío (USD)]]+STOCK[[#This Row],[Comisión 10%]]</f>
        <v>7.0555555555555598</v>
      </c>
      <c r="U371" s="53">
        <f>STOCK[[#This Row],[Costo total]]*1.5</f>
        <v>10.583333333333339</v>
      </c>
      <c r="V371" s="53">
        <v>10</v>
      </c>
      <c r="W371" s="53">
        <f>STOCK[[#This Row],[Precio Final]]-STOCK[[#This Row],[Costo total]]</f>
        <v>2.9444444444444402</v>
      </c>
      <c r="X371" s="53">
        <f>STOCK[[#This Row],[Ganancia Unitaria]]*STOCK[[#This Row],[Salidas]]</f>
        <v>2.9444444444444402</v>
      </c>
      <c r="AA371" s="53">
        <f>STOCK[[#This Row],[Costo total]]*STOCK[[#This Row],[Entradas]]</f>
        <v>7.0555555555555598</v>
      </c>
      <c r="AB371" s="53">
        <f>STOCK[[#This Row],[Stock Actual]]*STOCK[[#This Row],[Costo total]]</f>
        <v>0</v>
      </c>
    </row>
    <row r="372" spans="1:29" s="54" customFormat="1" ht="50" customHeight="1">
      <c r="A372" s="54" t="s">
        <v>783</v>
      </c>
      <c r="B372" s="64"/>
      <c r="C372" s="54" t="s">
        <v>32</v>
      </c>
      <c r="D372" s="54" t="s">
        <v>779</v>
      </c>
      <c r="E372" s="66" t="s">
        <v>784</v>
      </c>
      <c r="F372" s="54" t="s">
        <v>40</v>
      </c>
      <c r="G372" s="54" t="s">
        <v>704</v>
      </c>
      <c r="H372" s="54">
        <f>STOCK[[#This Row],[Precio Final]]</f>
        <v>10</v>
      </c>
      <c r="I372" s="54">
        <f>STOCK[[#This Row],[Precio Venta Ideal (x1.5)]]</f>
        <v>10.583333333333339</v>
      </c>
      <c r="J372" s="70">
        <v>2</v>
      </c>
      <c r="K372" s="70">
        <f>SUMIFS(VENTAS[Cantidad],VENTAS[Código del producto Vendido],STOCK[[#This Row],[Code]])</f>
        <v>1</v>
      </c>
      <c r="L372" s="70">
        <f>STOCK[[#This Row],[Entradas]]-STOCK[[#This Row],[Salidas]]</f>
        <v>1</v>
      </c>
      <c r="M372" s="54">
        <f>STOCK[[#This Row],[Precio Final]]*10%</f>
        <v>1</v>
      </c>
      <c r="N372" s="54">
        <v>100</v>
      </c>
      <c r="O372" s="54">
        <v>18</v>
      </c>
      <c r="P372" s="54">
        <v>5.5555555555555598</v>
      </c>
      <c r="Q372" s="70">
        <v>50</v>
      </c>
      <c r="R372" s="54">
        <v>10</v>
      </c>
      <c r="S372" s="54">
        <f>STOCK[[#This Row],[Peso (g)]]*STOCK[[#This Row],[Precio Envío Kilogramo (USD)]]/1000</f>
        <v>0.5</v>
      </c>
      <c r="T372" s="53">
        <f>STOCK[[#This Row],[Costo Unitario (USD)]]+STOCK[[#This Row],[Costo Envío (USD)]]+STOCK[[#This Row],[Comisión 10%]]</f>
        <v>7.0555555555555598</v>
      </c>
      <c r="U372" s="54">
        <f>STOCK[[#This Row],[Costo total]]*1.5</f>
        <v>10.583333333333339</v>
      </c>
      <c r="V372" s="54">
        <v>10</v>
      </c>
      <c r="W372" s="54">
        <f>STOCK[[#This Row],[Precio Final]]-STOCK[[#This Row],[Costo total]]</f>
        <v>2.9444444444444402</v>
      </c>
      <c r="X372" s="54">
        <f>STOCK[[#This Row],[Ganancia Unitaria]]*STOCK[[#This Row],[Salidas]]</f>
        <v>2.9444444444444402</v>
      </c>
      <c r="AA372" s="54">
        <f>STOCK[[#This Row],[Costo total]]*STOCK[[#This Row],[Entradas]]</f>
        <v>14.11111111111112</v>
      </c>
      <c r="AB372" s="54">
        <f>STOCK[[#This Row],[Stock Actual]]*STOCK[[#This Row],[Costo total]]</f>
        <v>7.0555555555555598</v>
      </c>
    </row>
    <row r="373" spans="1:29" s="53" customFormat="1" ht="50" customHeight="1">
      <c r="A373" s="53" t="s">
        <v>785</v>
      </c>
      <c r="B373" s="64"/>
      <c r="C373" s="53" t="s">
        <v>32</v>
      </c>
      <c r="D373" s="53" t="s">
        <v>174</v>
      </c>
      <c r="E373" s="65" t="s">
        <v>786</v>
      </c>
      <c r="F373" s="53" t="s">
        <v>62</v>
      </c>
      <c r="G373" s="53" t="s">
        <v>704</v>
      </c>
      <c r="H373" s="53">
        <f>STOCK[[#This Row],[Precio Final]]</f>
        <v>10</v>
      </c>
      <c r="I373" s="53">
        <f>STOCK[[#This Row],[Precio Venta Ideal (x1.5)]]</f>
        <v>10.583333333333339</v>
      </c>
      <c r="J373" s="69">
        <v>1</v>
      </c>
      <c r="K373" s="69">
        <f>SUMIFS(VENTAS[Cantidad],VENTAS[Código del producto Vendido],STOCK[[#This Row],[Code]])</f>
        <v>1</v>
      </c>
      <c r="L373" s="69">
        <f>STOCK[[#This Row],[Entradas]]-STOCK[[#This Row],[Salidas]]</f>
        <v>0</v>
      </c>
      <c r="M373" s="53">
        <f>STOCK[[#This Row],[Precio Final]]*10%</f>
        <v>1</v>
      </c>
      <c r="N373" s="53">
        <v>100</v>
      </c>
      <c r="O373" s="53">
        <v>18</v>
      </c>
      <c r="P373" s="53">
        <v>5.5555555555555598</v>
      </c>
      <c r="Q373" s="69">
        <v>50</v>
      </c>
      <c r="R373" s="53">
        <v>10</v>
      </c>
      <c r="S373" s="53">
        <f>STOCK[[#This Row],[Peso (g)]]*STOCK[[#This Row],[Precio Envío Kilogramo (USD)]]/1000</f>
        <v>0.5</v>
      </c>
      <c r="T373" s="53">
        <f>STOCK[[#This Row],[Costo Unitario (USD)]]+STOCK[[#This Row],[Costo Envío (USD)]]+STOCK[[#This Row],[Comisión 10%]]</f>
        <v>7.0555555555555598</v>
      </c>
      <c r="U373" s="53">
        <f>STOCK[[#This Row],[Costo total]]*1.5</f>
        <v>10.583333333333339</v>
      </c>
      <c r="V373" s="53">
        <v>10</v>
      </c>
      <c r="W373" s="53">
        <f>STOCK[[#This Row],[Precio Final]]-STOCK[[#This Row],[Costo total]]</f>
        <v>2.9444444444444402</v>
      </c>
      <c r="X373" s="53">
        <f>STOCK[[#This Row],[Ganancia Unitaria]]*STOCK[[#This Row],[Salidas]]</f>
        <v>2.9444444444444402</v>
      </c>
      <c r="AA373" s="53">
        <f>STOCK[[#This Row],[Costo total]]*STOCK[[#This Row],[Entradas]]</f>
        <v>7.0555555555555598</v>
      </c>
      <c r="AB373" s="53">
        <f>STOCK[[#This Row],[Stock Actual]]*STOCK[[#This Row],[Costo total]]</f>
        <v>0</v>
      </c>
    </row>
    <row r="374" spans="1:29" s="54" customFormat="1" ht="50" customHeight="1">
      <c r="A374" s="54" t="s">
        <v>787</v>
      </c>
      <c r="B374" s="64"/>
      <c r="C374" s="54" t="s">
        <v>32</v>
      </c>
      <c r="D374" s="54" t="s">
        <v>351</v>
      </c>
      <c r="E374" s="66" t="s">
        <v>788</v>
      </c>
      <c r="F374" s="54" t="s">
        <v>394</v>
      </c>
      <c r="G374" s="54" t="s">
        <v>704</v>
      </c>
      <c r="H374" s="54">
        <f>STOCK[[#This Row],[Precio Final]]</f>
        <v>0</v>
      </c>
      <c r="I374" s="54">
        <f>STOCK[[#This Row],[Precio Venta Ideal (x1.5)]]</f>
        <v>17.3333333333334</v>
      </c>
      <c r="J374" s="70">
        <v>0</v>
      </c>
      <c r="K374" s="70">
        <f>SUMIFS(VENTAS[Cantidad],VENTAS[Código del producto Vendido],STOCK[[#This Row],[Code]])</f>
        <v>0</v>
      </c>
      <c r="L374" s="70">
        <f>STOCK[[#This Row],[Entradas]]-STOCK[[#This Row],[Salidas]]</f>
        <v>0</v>
      </c>
      <c r="M374" s="54">
        <f>STOCK[[#This Row],[Precio Final]]*10%</f>
        <v>0</v>
      </c>
      <c r="N374" s="54">
        <v>199</v>
      </c>
      <c r="O374" s="54">
        <v>18</v>
      </c>
      <c r="P374" s="54">
        <v>11.0555555555556</v>
      </c>
      <c r="Q374" s="70">
        <v>50</v>
      </c>
      <c r="R374" s="54">
        <v>10</v>
      </c>
      <c r="S374" s="54">
        <f>STOCK[[#This Row],[Peso (g)]]*STOCK[[#This Row],[Precio Envío Kilogramo (USD)]]/1000</f>
        <v>0.5</v>
      </c>
      <c r="T374" s="53">
        <f>STOCK[[#This Row],[Costo Unitario (USD)]]+STOCK[[#This Row],[Costo Envío (USD)]]+STOCK[[#This Row],[Comisión 10%]]</f>
        <v>11.5555555555556</v>
      </c>
      <c r="U374" s="54">
        <f>STOCK[[#This Row],[Costo total]]*1.5</f>
        <v>17.3333333333334</v>
      </c>
      <c r="V374" s="54">
        <v>0</v>
      </c>
      <c r="W374" s="54">
        <f>STOCK[[#This Row],[Precio Final]]-STOCK[[#This Row],[Costo total]]</f>
        <v>-11.5555555555556</v>
      </c>
      <c r="X374" s="54">
        <f>STOCK[[#This Row],[Ganancia Unitaria]]*STOCK[[#This Row],[Salidas]]</f>
        <v>0</v>
      </c>
      <c r="AA374" s="54">
        <f>STOCK[[#This Row],[Costo total]]*STOCK[[#This Row],[Entradas]]</f>
        <v>0</v>
      </c>
      <c r="AB374" s="54">
        <f>STOCK[[#This Row],[Stock Actual]]*STOCK[[#This Row],[Costo total]]</f>
        <v>0</v>
      </c>
    </row>
    <row r="375" spans="1:29" s="53" customFormat="1" ht="50" customHeight="1">
      <c r="A375" s="53" t="s">
        <v>789</v>
      </c>
      <c r="B375" s="64"/>
      <c r="C375" s="53" t="s">
        <v>32</v>
      </c>
      <c r="D375" s="53" t="s">
        <v>351</v>
      </c>
      <c r="E375" s="65" t="s">
        <v>790</v>
      </c>
      <c r="F375" s="53" t="s">
        <v>525</v>
      </c>
      <c r="G375" s="53" t="s">
        <v>704</v>
      </c>
      <c r="H375" s="53">
        <f>STOCK[[#This Row],[Precio Final]]</f>
        <v>15</v>
      </c>
      <c r="I375" s="53">
        <f>STOCK[[#This Row],[Precio Venta Ideal (x1.5)]]</f>
        <v>19.5833333333334</v>
      </c>
      <c r="J375" s="69">
        <v>2</v>
      </c>
      <c r="K375" s="69">
        <f>SUMIFS(VENTAS[Cantidad],VENTAS[Código del producto Vendido],STOCK[[#This Row],[Code]])</f>
        <v>2</v>
      </c>
      <c r="L375" s="69">
        <f>STOCK[[#This Row],[Entradas]]-STOCK[[#This Row],[Salidas]]</f>
        <v>0</v>
      </c>
      <c r="M375" s="53">
        <f>STOCK[[#This Row],[Precio Final]]*10%</f>
        <v>1.5</v>
      </c>
      <c r="N375" s="53">
        <v>199</v>
      </c>
      <c r="O375" s="53">
        <v>18</v>
      </c>
      <c r="P375" s="53">
        <v>11.0555555555556</v>
      </c>
      <c r="Q375" s="69">
        <v>50</v>
      </c>
      <c r="R375" s="53">
        <v>10</v>
      </c>
      <c r="S375" s="53">
        <f>STOCK[[#This Row],[Peso (g)]]*STOCK[[#This Row],[Precio Envío Kilogramo (USD)]]/1000</f>
        <v>0.5</v>
      </c>
      <c r="T375" s="53">
        <f>STOCK[[#This Row],[Costo Unitario (USD)]]+STOCK[[#This Row],[Costo Envío (USD)]]+STOCK[[#This Row],[Comisión 10%]]</f>
        <v>13.0555555555556</v>
      </c>
      <c r="U375" s="53">
        <f>STOCK[[#This Row],[Costo total]]*1.5</f>
        <v>19.5833333333334</v>
      </c>
      <c r="V375" s="53">
        <v>15</v>
      </c>
      <c r="W375" s="53">
        <f>STOCK[[#This Row],[Precio Final]]-STOCK[[#This Row],[Costo total]]</f>
        <v>1.9444444444444002</v>
      </c>
      <c r="X375" s="53">
        <f>STOCK[[#This Row],[Ganancia Unitaria]]*STOCK[[#This Row],[Salidas]]</f>
        <v>3.8888888888888005</v>
      </c>
      <c r="AA375" s="53">
        <f>STOCK[[#This Row],[Costo total]]*STOCK[[#This Row],[Entradas]]</f>
        <v>26.1111111111112</v>
      </c>
      <c r="AB375" s="53">
        <f>STOCK[[#This Row],[Stock Actual]]*STOCK[[#This Row],[Costo total]]</f>
        <v>0</v>
      </c>
    </row>
    <row r="376" spans="1:29" s="54" customFormat="1" ht="50" customHeight="1">
      <c r="A376" s="54" t="s">
        <v>791</v>
      </c>
      <c r="B376" s="64"/>
      <c r="C376" s="54" t="s">
        <v>32</v>
      </c>
      <c r="D376" s="54" t="s">
        <v>152</v>
      </c>
      <c r="E376" s="66" t="s">
        <v>792</v>
      </c>
      <c r="F376" s="54" t="s">
        <v>49</v>
      </c>
      <c r="G376" s="54" t="s">
        <v>704</v>
      </c>
      <c r="H376" s="54">
        <f>STOCK[[#This Row],[Precio Final]]</f>
        <v>19</v>
      </c>
      <c r="I376" s="54">
        <f>STOCK[[#This Row],[Precio Venta Ideal (x1.5)]]</f>
        <v>22.433333333333401</v>
      </c>
      <c r="J376" s="70">
        <v>1</v>
      </c>
      <c r="K376" s="70">
        <f>SUMIFS(VENTAS[Cantidad],VENTAS[Código del producto Vendido],STOCK[[#This Row],[Code]])</f>
        <v>1</v>
      </c>
      <c r="L376" s="70">
        <f>STOCK[[#This Row],[Entradas]]-STOCK[[#This Row],[Salidas]]</f>
        <v>0</v>
      </c>
      <c r="M376" s="54">
        <f>STOCK[[#This Row],[Precio Final]]*10%</f>
        <v>1.9000000000000001</v>
      </c>
      <c r="N376" s="54">
        <v>199</v>
      </c>
      <c r="O376" s="54">
        <v>18</v>
      </c>
      <c r="P376" s="54">
        <v>11.0555555555556</v>
      </c>
      <c r="Q376" s="70">
        <v>200</v>
      </c>
      <c r="R376" s="54">
        <v>10</v>
      </c>
      <c r="S376" s="54">
        <f>STOCK[[#This Row],[Peso (g)]]*STOCK[[#This Row],[Precio Envío Kilogramo (USD)]]/1000</f>
        <v>2</v>
      </c>
      <c r="T376" s="53">
        <f>STOCK[[#This Row],[Costo Unitario (USD)]]+STOCK[[#This Row],[Costo Envío (USD)]]+STOCK[[#This Row],[Comisión 10%]]</f>
        <v>14.9555555555556</v>
      </c>
      <c r="U376" s="54">
        <f>STOCK[[#This Row],[Costo total]]*1.5</f>
        <v>22.433333333333401</v>
      </c>
      <c r="V376" s="54">
        <v>19</v>
      </c>
      <c r="W376" s="54">
        <f>STOCK[[#This Row],[Precio Final]]-STOCK[[#This Row],[Costo total]]</f>
        <v>4.0444444444443999</v>
      </c>
      <c r="X376" s="54">
        <f>STOCK[[#This Row],[Ganancia Unitaria]]*STOCK[[#This Row],[Salidas]]</f>
        <v>4.0444444444443999</v>
      </c>
      <c r="AA376" s="54">
        <f>STOCK[[#This Row],[Costo total]]*STOCK[[#This Row],[Entradas]]</f>
        <v>14.9555555555556</v>
      </c>
      <c r="AB376" s="54">
        <f>STOCK[[#This Row],[Stock Actual]]*STOCK[[#This Row],[Costo total]]</f>
        <v>0</v>
      </c>
    </row>
    <row r="377" spans="1:29" s="53" customFormat="1" ht="50" customHeight="1">
      <c r="A377" s="53" t="s">
        <v>793</v>
      </c>
      <c r="B377" s="64"/>
      <c r="C377" s="53" t="s">
        <v>32</v>
      </c>
      <c r="D377" s="53" t="s">
        <v>152</v>
      </c>
      <c r="E377" s="65" t="s">
        <v>792</v>
      </c>
      <c r="F377" s="53" t="s">
        <v>777</v>
      </c>
      <c r="G377" s="53" t="s">
        <v>704</v>
      </c>
      <c r="H377" s="53">
        <f>STOCK[[#This Row],[Precio Final]]</f>
        <v>0</v>
      </c>
      <c r="I377" s="53">
        <f>STOCK[[#This Row],[Precio Venta Ideal (x1.5)]]</f>
        <v>40.5</v>
      </c>
      <c r="J377" s="69">
        <v>0</v>
      </c>
      <c r="K377" s="69">
        <f>SUMIFS(VENTAS[Cantidad],VENTAS[Código del producto Vendido],STOCK[[#This Row],[Code]])</f>
        <v>0</v>
      </c>
      <c r="L377" s="69">
        <f>STOCK[[#This Row],[Entradas]]-STOCK[[#This Row],[Salidas]]</f>
        <v>0</v>
      </c>
      <c r="M377" s="53">
        <f>STOCK[[#This Row],[Precio Final]]*10%</f>
        <v>0</v>
      </c>
      <c r="N377" s="53">
        <v>450</v>
      </c>
      <c r="O377" s="53">
        <v>18</v>
      </c>
      <c r="P377" s="53">
        <v>25</v>
      </c>
      <c r="Q377" s="69">
        <v>200</v>
      </c>
      <c r="R377" s="53">
        <v>10</v>
      </c>
      <c r="S377" s="53">
        <f>STOCK[[#This Row],[Peso (g)]]*STOCK[[#This Row],[Precio Envío Kilogramo (USD)]]/1000</f>
        <v>2</v>
      </c>
      <c r="T377" s="53">
        <f>STOCK[[#This Row],[Costo Unitario (USD)]]+STOCK[[#This Row],[Costo Envío (USD)]]+STOCK[[#This Row],[Comisión 10%]]</f>
        <v>27</v>
      </c>
      <c r="U377" s="53">
        <f>STOCK[[#This Row],[Costo total]]*1.5</f>
        <v>40.5</v>
      </c>
      <c r="V377" s="53">
        <v>0</v>
      </c>
      <c r="W377" s="53">
        <f>STOCK[[#This Row],[Precio Final]]-STOCK[[#This Row],[Costo total]]</f>
        <v>-27</v>
      </c>
      <c r="X377" s="53">
        <f>STOCK[[#This Row],[Ganancia Unitaria]]*STOCK[[#This Row],[Salidas]]</f>
        <v>0</v>
      </c>
      <c r="AA377" s="53">
        <f>STOCK[[#This Row],[Costo total]]*STOCK[[#This Row],[Entradas]]</f>
        <v>0</v>
      </c>
      <c r="AB377" s="53">
        <f>STOCK[[#This Row],[Stock Actual]]*STOCK[[#This Row],[Costo total]]</f>
        <v>0</v>
      </c>
    </row>
    <row r="378" spans="1:29" s="54" customFormat="1" ht="50" customHeight="1">
      <c r="A378" s="54" t="s">
        <v>794</v>
      </c>
      <c r="B378" s="64"/>
      <c r="C378" s="54" t="s">
        <v>32</v>
      </c>
      <c r="D378" s="54" t="s">
        <v>38</v>
      </c>
      <c r="E378" s="66" t="s">
        <v>795</v>
      </c>
      <c r="F378" s="54" t="s">
        <v>46</v>
      </c>
      <c r="G378" s="54" t="s">
        <v>36</v>
      </c>
      <c r="H378" s="54">
        <f>STOCK[[#This Row],[Precio Final]]</f>
        <v>20</v>
      </c>
      <c r="I378" s="54">
        <f>STOCK[[#This Row],[Precio Venta Ideal (x1.5)]]</f>
        <v>22.24999999999995</v>
      </c>
      <c r="J378" s="70">
        <v>1</v>
      </c>
      <c r="K378" s="70">
        <f>SUMIFS(VENTAS[Cantidad],VENTAS[Código del producto Vendido],STOCK[[#This Row],[Code]])</f>
        <v>1</v>
      </c>
      <c r="L378" s="70">
        <f>STOCK[[#This Row],[Entradas]]-STOCK[[#This Row],[Salidas]]</f>
        <v>0</v>
      </c>
      <c r="M378" s="54">
        <f>STOCK[[#This Row],[Precio Final]]*10%</f>
        <v>2</v>
      </c>
      <c r="N378" s="54">
        <v>195</v>
      </c>
      <c r="O378" s="54">
        <v>18</v>
      </c>
      <c r="P378" s="54">
        <v>10.8333333333333</v>
      </c>
      <c r="Q378" s="70">
        <v>200</v>
      </c>
      <c r="R378" s="54">
        <v>10</v>
      </c>
      <c r="S378" s="54">
        <f>STOCK[[#This Row],[Peso (g)]]*STOCK[[#This Row],[Precio Envío Kilogramo (USD)]]/1000</f>
        <v>2</v>
      </c>
      <c r="T378" s="53">
        <f>STOCK[[#This Row],[Costo Unitario (USD)]]+STOCK[[#This Row],[Costo Envío (USD)]]+STOCK[[#This Row],[Comisión 10%]]</f>
        <v>14.8333333333333</v>
      </c>
      <c r="U378" s="54">
        <f>STOCK[[#This Row],[Costo total]]*1.5</f>
        <v>22.24999999999995</v>
      </c>
      <c r="V378" s="54">
        <v>20</v>
      </c>
      <c r="W378" s="54">
        <f>STOCK[[#This Row],[Precio Final]]-STOCK[[#This Row],[Costo total]]</f>
        <v>5.1666666666666998</v>
      </c>
      <c r="X378" s="54">
        <f>STOCK[[#This Row],[Ganancia Unitaria]]*STOCK[[#This Row],[Salidas]]</f>
        <v>5.1666666666666998</v>
      </c>
      <c r="AA378" s="54">
        <f>STOCK[[#This Row],[Costo total]]*STOCK[[#This Row],[Entradas]]</f>
        <v>14.8333333333333</v>
      </c>
      <c r="AB378" s="54">
        <f>STOCK[[#This Row],[Stock Actual]]*STOCK[[#This Row],[Costo total]]</f>
        <v>0</v>
      </c>
    </row>
    <row r="379" spans="1:29" s="53" customFormat="1" ht="50" customHeight="1">
      <c r="A379" s="53" t="s">
        <v>796</v>
      </c>
      <c r="B379" s="64"/>
      <c r="C379" s="53" t="s">
        <v>32</v>
      </c>
      <c r="D379" s="53" t="s">
        <v>38</v>
      </c>
      <c r="E379" s="65" t="s">
        <v>797</v>
      </c>
      <c r="F379" s="53" t="s">
        <v>46</v>
      </c>
      <c r="G379" s="53" t="s">
        <v>36</v>
      </c>
      <c r="H379" s="53">
        <f>STOCK[[#This Row],[Precio Final]]</f>
        <v>20</v>
      </c>
      <c r="I379" s="53">
        <f>STOCK[[#This Row],[Precio Venta Ideal (x1.5)]]</f>
        <v>20.583333333333329</v>
      </c>
      <c r="J379" s="69">
        <v>1</v>
      </c>
      <c r="K379" s="69">
        <f>SUMIFS(VENTAS[Cantidad],VENTAS[Código del producto Vendido],STOCK[[#This Row],[Code]])</f>
        <v>1</v>
      </c>
      <c r="L379" s="69">
        <f>STOCK[[#This Row],[Entradas]]-STOCK[[#This Row],[Salidas]]</f>
        <v>0</v>
      </c>
      <c r="M379" s="53">
        <f>STOCK[[#This Row],[Precio Final]]*10%</f>
        <v>2</v>
      </c>
      <c r="N379" s="53">
        <v>175</v>
      </c>
      <c r="O379" s="53">
        <v>18</v>
      </c>
      <c r="P379" s="53">
        <v>9.7222222222222197</v>
      </c>
      <c r="Q379" s="69">
        <v>200</v>
      </c>
      <c r="R379" s="53">
        <v>10</v>
      </c>
      <c r="S379" s="53">
        <f>STOCK[[#This Row],[Peso (g)]]*STOCK[[#This Row],[Precio Envío Kilogramo (USD)]]/1000</f>
        <v>2</v>
      </c>
      <c r="T379" s="53">
        <f>STOCK[[#This Row],[Costo Unitario (USD)]]+STOCK[[#This Row],[Costo Envío (USD)]]+STOCK[[#This Row],[Comisión 10%]]</f>
        <v>13.72222222222222</v>
      </c>
      <c r="U379" s="53">
        <f>STOCK[[#This Row],[Costo total]]*1.5</f>
        <v>20.583333333333329</v>
      </c>
      <c r="V379" s="53">
        <v>20</v>
      </c>
      <c r="W379" s="53">
        <f>STOCK[[#This Row],[Precio Final]]-STOCK[[#This Row],[Costo total]]</f>
        <v>6.2777777777777803</v>
      </c>
      <c r="X379" s="53">
        <f>STOCK[[#This Row],[Ganancia Unitaria]]*STOCK[[#This Row],[Salidas]]</f>
        <v>6.2777777777777803</v>
      </c>
      <c r="AA379" s="53">
        <f>STOCK[[#This Row],[Costo total]]*STOCK[[#This Row],[Entradas]]</f>
        <v>13.72222222222222</v>
      </c>
      <c r="AB379" s="53">
        <f>STOCK[[#This Row],[Stock Actual]]*STOCK[[#This Row],[Costo total]]</f>
        <v>0</v>
      </c>
    </row>
    <row r="380" spans="1:29" s="54" customFormat="1" ht="50" customHeight="1">
      <c r="A380" s="54" t="s">
        <v>798</v>
      </c>
      <c r="B380" s="64"/>
      <c r="C380" s="54" t="s">
        <v>32</v>
      </c>
      <c r="D380" s="54" t="s">
        <v>484</v>
      </c>
      <c r="E380" s="66" t="s">
        <v>799</v>
      </c>
      <c r="F380" s="54" t="s">
        <v>62</v>
      </c>
      <c r="G380" s="54" t="s">
        <v>36</v>
      </c>
      <c r="H380" s="54">
        <f>STOCK[[#This Row],[Precio Final]]</f>
        <v>18</v>
      </c>
      <c r="I380" s="54">
        <f>STOCK[[#This Row],[Precio Venta Ideal (x1.5)]]</f>
        <v>13.616666666666671</v>
      </c>
      <c r="J380" s="70">
        <v>3</v>
      </c>
      <c r="K380" s="70">
        <f>SUMIFS(VENTAS[Cantidad],VENTAS[Código del producto Vendido],STOCK[[#This Row],[Code]])</f>
        <v>1</v>
      </c>
      <c r="L380" s="70">
        <f>STOCK[[#This Row],[Entradas]]-STOCK[[#This Row],[Salidas]]</f>
        <v>2</v>
      </c>
      <c r="M380" s="54">
        <f>STOCK[[#This Row],[Precio Final]]*10%</f>
        <v>1.8</v>
      </c>
      <c r="N380" s="54">
        <v>95</v>
      </c>
      <c r="O380" s="54">
        <v>18</v>
      </c>
      <c r="P380" s="54">
        <v>5.2777777777777803</v>
      </c>
      <c r="Q380" s="70">
        <v>200</v>
      </c>
      <c r="R380" s="54">
        <v>10</v>
      </c>
      <c r="S380" s="54">
        <f>STOCK[[#This Row],[Peso (g)]]*STOCK[[#This Row],[Precio Envío Kilogramo (USD)]]/1000</f>
        <v>2</v>
      </c>
      <c r="T380" s="53">
        <f>STOCK[[#This Row],[Costo Unitario (USD)]]+STOCK[[#This Row],[Costo Envío (USD)]]+STOCK[[#This Row],[Comisión 10%]]</f>
        <v>9.0777777777777811</v>
      </c>
      <c r="U380" s="54">
        <f>STOCK[[#This Row],[Costo total]]*1.5</f>
        <v>13.616666666666671</v>
      </c>
      <c r="V380" s="54">
        <v>18</v>
      </c>
      <c r="W380" s="54">
        <f>STOCK[[#This Row],[Precio Final]]-STOCK[[#This Row],[Costo total]]</f>
        <v>8.9222222222222189</v>
      </c>
      <c r="X380" s="54">
        <f>STOCK[[#This Row],[Ganancia Unitaria]]*STOCK[[#This Row],[Salidas]]</f>
        <v>8.9222222222222189</v>
      </c>
      <c r="AA380" s="54">
        <f>STOCK[[#This Row],[Costo total]]*STOCK[[#This Row],[Entradas]]</f>
        <v>27.233333333333341</v>
      </c>
      <c r="AB380" s="54">
        <f>STOCK[[#This Row],[Stock Actual]]*STOCK[[#This Row],[Costo total]]</f>
        <v>18.155555555555562</v>
      </c>
      <c r="AC380" s="54">
        <v>12</v>
      </c>
    </row>
    <row r="381" spans="1:29" s="53" customFormat="1" ht="50" customHeight="1">
      <c r="A381" s="53" t="s">
        <v>800</v>
      </c>
      <c r="B381" s="64"/>
      <c r="C381" s="53" t="s">
        <v>32</v>
      </c>
      <c r="D381" s="53" t="s">
        <v>801</v>
      </c>
      <c r="E381" s="65" t="s">
        <v>802</v>
      </c>
      <c r="F381" s="53" t="s">
        <v>187</v>
      </c>
      <c r="G381" s="53" t="s">
        <v>36</v>
      </c>
      <c r="H381" s="53">
        <f>STOCK[[#This Row],[Precio Final]]</f>
        <v>15</v>
      </c>
      <c r="I381" s="53">
        <f>STOCK[[#This Row],[Precio Venta Ideal (x1.5)]]</f>
        <v>15.666666666666659</v>
      </c>
      <c r="J381" s="69">
        <v>1</v>
      </c>
      <c r="K381" s="69">
        <f>SUMIFS(VENTAS[Cantidad],VENTAS[Código del producto Vendido],STOCK[[#This Row],[Code]])</f>
        <v>1</v>
      </c>
      <c r="L381" s="69">
        <f>STOCK[[#This Row],[Entradas]]-STOCK[[#This Row],[Salidas]]</f>
        <v>0</v>
      </c>
      <c r="M381" s="53">
        <f>STOCK[[#This Row],[Precio Final]]*10%</f>
        <v>1.5</v>
      </c>
      <c r="N381" s="53">
        <v>125</v>
      </c>
      <c r="O381" s="53">
        <v>18</v>
      </c>
      <c r="P381" s="53">
        <v>6.9444444444444402</v>
      </c>
      <c r="Q381" s="69">
        <v>200</v>
      </c>
      <c r="R381" s="53">
        <v>10</v>
      </c>
      <c r="S381" s="53">
        <f>STOCK[[#This Row],[Peso (g)]]*STOCK[[#This Row],[Precio Envío Kilogramo (USD)]]/1000</f>
        <v>2</v>
      </c>
      <c r="T381" s="53">
        <f>STOCK[[#This Row],[Costo Unitario (USD)]]+STOCK[[#This Row],[Costo Envío (USD)]]+STOCK[[#This Row],[Comisión 10%]]</f>
        <v>10.444444444444439</v>
      </c>
      <c r="U381" s="53">
        <f>STOCK[[#This Row],[Costo total]]*1.5</f>
        <v>15.666666666666659</v>
      </c>
      <c r="V381" s="53">
        <v>15</v>
      </c>
      <c r="W381" s="53">
        <f>STOCK[[#This Row],[Precio Final]]-STOCK[[#This Row],[Costo total]]</f>
        <v>4.5555555555555607</v>
      </c>
      <c r="X381" s="53">
        <f>STOCK[[#This Row],[Ganancia Unitaria]]*STOCK[[#This Row],[Salidas]]</f>
        <v>4.5555555555555607</v>
      </c>
      <c r="AA381" s="53">
        <f>STOCK[[#This Row],[Costo total]]*STOCK[[#This Row],[Entradas]]</f>
        <v>10.444444444444439</v>
      </c>
      <c r="AB381" s="53">
        <f>STOCK[[#This Row],[Stock Actual]]*STOCK[[#This Row],[Costo total]]</f>
        <v>0</v>
      </c>
    </row>
    <row r="382" spans="1:29" s="54" customFormat="1" ht="50" customHeight="1">
      <c r="A382" s="54" t="s">
        <v>803</v>
      </c>
      <c r="B382" s="64"/>
      <c r="C382" s="54" t="s">
        <v>32</v>
      </c>
      <c r="D382" s="54" t="s">
        <v>44</v>
      </c>
      <c r="E382" s="66" t="s">
        <v>804</v>
      </c>
      <c r="F382" s="54" t="s">
        <v>49</v>
      </c>
      <c r="G382" s="54" t="s">
        <v>36</v>
      </c>
      <c r="H382" s="54">
        <f>STOCK[[#This Row],[Precio Final]]</f>
        <v>20</v>
      </c>
      <c r="I382" s="54">
        <f>STOCK[[#This Row],[Precio Venta Ideal (x1.5)]]</f>
        <v>15.75</v>
      </c>
      <c r="J382" s="70">
        <v>3</v>
      </c>
      <c r="K382" s="70">
        <f>SUMIFS(VENTAS[Cantidad],VENTAS[Código del producto Vendido],STOCK[[#This Row],[Code]])</f>
        <v>1</v>
      </c>
      <c r="L382" s="70">
        <f>STOCK[[#This Row],[Entradas]]-STOCK[[#This Row],[Salidas]]</f>
        <v>2</v>
      </c>
      <c r="M382" s="54">
        <f>STOCK[[#This Row],[Precio Final]]*10%</f>
        <v>2</v>
      </c>
      <c r="N382" s="54">
        <v>135</v>
      </c>
      <c r="O382" s="54">
        <v>18</v>
      </c>
      <c r="P382" s="54">
        <v>7.5</v>
      </c>
      <c r="Q382" s="70">
        <v>100</v>
      </c>
      <c r="R382" s="54">
        <v>10</v>
      </c>
      <c r="S382" s="54">
        <f>STOCK[[#This Row],[Peso (g)]]*STOCK[[#This Row],[Precio Envío Kilogramo (USD)]]/1000</f>
        <v>1</v>
      </c>
      <c r="T382" s="53">
        <f>STOCK[[#This Row],[Costo Unitario (USD)]]+STOCK[[#This Row],[Costo Envío (USD)]]+STOCK[[#This Row],[Comisión 10%]]</f>
        <v>10.5</v>
      </c>
      <c r="U382" s="54">
        <f>STOCK[[#This Row],[Costo total]]*1.5</f>
        <v>15.75</v>
      </c>
      <c r="V382" s="54">
        <v>20</v>
      </c>
      <c r="W382" s="54">
        <f>STOCK[[#This Row],[Precio Final]]-STOCK[[#This Row],[Costo total]]</f>
        <v>9.5</v>
      </c>
      <c r="X382" s="54">
        <f>STOCK[[#This Row],[Ganancia Unitaria]]*STOCK[[#This Row],[Salidas]]</f>
        <v>9.5</v>
      </c>
      <c r="AA382" s="54">
        <f>STOCK[[#This Row],[Costo total]]*STOCK[[#This Row],[Entradas]]</f>
        <v>31.5</v>
      </c>
      <c r="AB382" s="54">
        <f>STOCK[[#This Row],[Stock Actual]]*STOCK[[#This Row],[Costo total]]</f>
        <v>21</v>
      </c>
      <c r="AC382" s="54">
        <v>15</v>
      </c>
    </row>
    <row r="383" spans="1:29" s="53" customFormat="1" ht="50" customHeight="1">
      <c r="A383" s="53" t="s">
        <v>805</v>
      </c>
      <c r="B383" s="64"/>
      <c r="C383" s="53" t="s">
        <v>32</v>
      </c>
      <c r="D383" s="53" t="s">
        <v>38</v>
      </c>
      <c r="E383" s="65" t="s">
        <v>806</v>
      </c>
      <c r="F383" s="53" t="s">
        <v>49</v>
      </c>
      <c r="G383" s="53" t="s">
        <v>36</v>
      </c>
      <c r="H383" s="53">
        <f>STOCK[[#This Row],[Precio Final]]</f>
        <v>20</v>
      </c>
      <c r="I383" s="53">
        <f>STOCK[[#This Row],[Precio Venta Ideal (x1.5)]]</f>
        <v>26.3333333333334</v>
      </c>
      <c r="J383" s="69">
        <v>3</v>
      </c>
      <c r="K383" s="69">
        <f>SUMIFS(VENTAS[Cantidad],VENTAS[Código del producto Vendido],STOCK[[#This Row],[Code]])</f>
        <v>3</v>
      </c>
      <c r="L383" s="69">
        <f>STOCK[[#This Row],[Entradas]]-STOCK[[#This Row],[Salidas]]</f>
        <v>0</v>
      </c>
      <c r="M383" s="53">
        <f>STOCK[[#This Row],[Precio Final]]*10%</f>
        <v>2</v>
      </c>
      <c r="N383" s="53">
        <v>235</v>
      </c>
      <c r="O383" s="53">
        <v>18</v>
      </c>
      <c r="P383" s="53">
        <v>13.0555555555556</v>
      </c>
      <c r="Q383" s="69">
        <v>250</v>
      </c>
      <c r="R383" s="53">
        <v>10</v>
      </c>
      <c r="S383" s="53">
        <f>STOCK[[#This Row],[Peso (g)]]*STOCK[[#This Row],[Precio Envío Kilogramo (USD)]]/1000</f>
        <v>2.5</v>
      </c>
      <c r="T383" s="53">
        <f>STOCK[[#This Row],[Costo Unitario (USD)]]+STOCK[[#This Row],[Costo Envío (USD)]]+STOCK[[#This Row],[Comisión 10%]]</f>
        <v>17.5555555555556</v>
      </c>
      <c r="U383" s="53">
        <f>STOCK[[#This Row],[Costo total]]*1.5</f>
        <v>26.3333333333334</v>
      </c>
      <c r="V383" s="53">
        <v>20</v>
      </c>
      <c r="W383" s="53">
        <f>STOCK[[#This Row],[Precio Final]]-STOCK[[#This Row],[Costo total]]</f>
        <v>2.4444444444444002</v>
      </c>
      <c r="X383" s="53">
        <f>STOCK[[#This Row],[Ganancia Unitaria]]*STOCK[[#This Row],[Salidas]]</f>
        <v>7.3333333333332007</v>
      </c>
      <c r="AA383" s="53">
        <f>STOCK[[#This Row],[Costo total]]*STOCK[[#This Row],[Entradas]]</f>
        <v>52.666666666666799</v>
      </c>
      <c r="AB383" s="53">
        <f>STOCK[[#This Row],[Stock Actual]]*STOCK[[#This Row],[Costo total]]</f>
        <v>0</v>
      </c>
    </row>
    <row r="384" spans="1:29" s="54" customFormat="1" ht="50" customHeight="1">
      <c r="A384" s="54" t="s">
        <v>807</v>
      </c>
      <c r="B384" s="64"/>
      <c r="C384" s="54" t="s">
        <v>32</v>
      </c>
      <c r="D384" s="54" t="s">
        <v>38</v>
      </c>
      <c r="E384" s="66" t="s">
        <v>808</v>
      </c>
      <c r="F384" s="54" t="s">
        <v>62</v>
      </c>
      <c r="G384" s="54" t="s">
        <v>36</v>
      </c>
      <c r="H384" s="54">
        <f>STOCK[[#This Row],[Precio Final]]</f>
        <v>18</v>
      </c>
      <c r="I384" s="54">
        <f>STOCK[[#This Row],[Precio Venta Ideal (x1.5)]]</f>
        <v>16.950000000000003</v>
      </c>
      <c r="J384" s="70">
        <v>2</v>
      </c>
      <c r="K384" s="70">
        <f>SUMIFS(VENTAS[Cantidad],VENTAS[Código del producto Vendido],STOCK[[#This Row],[Code]])</f>
        <v>2</v>
      </c>
      <c r="L384" s="70">
        <f>STOCK[[#This Row],[Entradas]]-STOCK[[#This Row],[Salidas]]</f>
        <v>0</v>
      </c>
      <c r="M384" s="54">
        <f>STOCK[[#This Row],[Precio Final]]*10%</f>
        <v>1.8</v>
      </c>
      <c r="N384" s="54">
        <v>126</v>
      </c>
      <c r="O384" s="54">
        <v>18</v>
      </c>
      <c r="P384" s="54">
        <v>7</v>
      </c>
      <c r="Q384" s="70">
        <v>250</v>
      </c>
      <c r="R384" s="54">
        <v>10</v>
      </c>
      <c r="S384" s="54">
        <f>STOCK[[#This Row],[Peso (g)]]*STOCK[[#This Row],[Precio Envío Kilogramo (USD)]]/1000</f>
        <v>2.5</v>
      </c>
      <c r="T384" s="53">
        <f>STOCK[[#This Row],[Costo Unitario (USD)]]+STOCK[[#This Row],[Costo Envío (USD)]]+STOCK[[#This Row],[Comisión 10%]]</f>
        <v>11.3</v>
      </c>
      <c r="U384" s="54">
        <f>STOCK[[#This Row],[Costo total]]*1.5</f>
        <v>16.950000000000003</v>
      </c>
      <c r="V384" s="54">
        <v>18</v>
      </c>
      <c r="W384" s="54">
        <f>STOCK[[#This Row],[Precio Final]]-STOCK[[#This Row],[Costo total]]</f>
        <v>6.6999999999999993</v>
      </c>
      <c r="X384" s="54">
        <f>STOCK[[#This Row],[Ganancia Unitaria]]*STOCK[[#This Row],[Salidas]]</f>
        <v>13.399999999999999</v>
      </c>
      <c r="AA384" s="54">
        <f>STOCK[[#This Row],[Costo total]]*STOCK[[#This Row],[Entradas]]</f>
        <v>22.6</v>
      </c>
      <c r="AB384" s="54">
        <f>STOCK[[#This Row],[Stock Actual]]*STOCK[[#This Row],[Costo total]]</f>
        <v>0</v>
      </c>
    </row>
    <row r="385" spans="1:29" s="53" customFormat="1" ht="50" customHeight="1">
      <c r="A385" s="53" t="s">
        <v>809</v>
      </c>
      <c r="B385" s="64"/>
      <c r="C385" s="53" t="s">
        <v>32</v>
      </c>
      <c r="D385" s="53" t="s">
        <v>484</v>
      </c>
      <c r="E385" s="65" t="s">
        <v>810</v>
      </c>
      <c r="F385" s="53" t="s">
        <v>40</v>
      </c>
      <c r="G385" s="53" t="s">
        <v>36</v>
      </c>
      <c r="H385" s="53">
        <f>STOCK[[#This Row],[Precio Final]]</f>
        <v>18</v>
      </c>
      <c r="I385" s="53">
        <f>STOCK[[#This Row],[Precio Venta Ideal (x1.5)]]</f>
        <v>14.449999999999996</v>
      </c>
      <c r="J385" s="69">
        <v>3</v>
      </c>
      <c r="K385" s="69">
        <f>SUMIFS(VENTAS[Cantidad],VENTAS[Código del producto Vendido],STOCK[[#This Row],[Code]])</f>
        <v>3</v>
      </c>
      <c r="L385" s="69">
        <f>STOCK[[#This Row],[Entradas]]-STOCK[[#This Row],[Salidas]]</f>
        <v>0</v>
      </c>
      <c r="M385" s="53">
        <f>STOCK[[#This Row],[Precio Final]]*10%</f>
        <v>1.8</v>
      </c>
      <c r="N385" s="53">
        <v>96</v>
      </c>
      <c r="O385" s="53">
        <v>18</v>
      </c>
      <c r="P385" s="53">
        <v>5.3333333333333304</v>
      </c>
      <c r="Q385" s="69">
        <v>250</v>
      </c>
      <c r="R385" s="53">
        <v>10</v>
      </c>
      <c r="S385" s="53">
        <f>STOCK[[#This Row],[Peso (g)]]*STOCK[[#This Row],[Precio Envío Kilogramo (USD)]]/1000</f>
        <v>2.5</v>
      </c>
      <c r="T385" s="53">
        <f>STOCK[[#This Row],[Costo Unitario (USD)]]+STOCK[[#This Row],[Costo Envío (USD)]]+STOCK[[#This Row],[Comisión 10%]]</f>
        <v>9.6333333333333311</v>
      </c>
      <c r="U385" s="53">
        <f>STOCK[[#This Row],[Costo total]]*1.5</f>
        <v>14.449999999999996</v>
      </c>
      <c r="V385" s="53">
        <v>18</v>
      </c>
      <c r="W385" s="53">
        <f>STOCK[[#This Row],[Precio Final]]-STOCK[[#This Row],[Costo total]]</f>
        <v>8.3666666666666689</v>
      </c>
      <c r="X385" s="53">
        <f>STOCK[[#This Row],[Ganancia Unitaria]]*STOCK[[#This Row],[Salidas]]</f>
        <v>25.100000000000009</v>
      </c>
      <c r="AA385" s="53">
        <f>STOCK[[#This Row],[Costo total]]*STOCK[[#This Row],[Entradas]]</f>
        <v>28.899999999999991</v>
      </c>
      <c r="AB385" s="53">
        <f>STOCK[[#This Row],[Stock Actual]]*STOCK[[#This Row],[Costo total]]</f>
        <v>0</v>
      </c>
      <c r="AC385" s="53">
        <v>12</v>
      </c>
    </row>
    <row r="386" spans="1:29" s="54" customFormat="1" ht="50" customHeight="1">
      <c r="A386" s="54" t="s">
        <v>811</v>
      </c>
      <c r="B386" s="64"/>
      <c r="C386" s="54" t="s">
        <v>32</v>
      </c>
      <c r="D386" s="54" t="s">
        <v>216</v>
      </c>
      <c r="E386" s="66" t="s">
        <v>812</v>
      </c>
      <c r="F386" s="54" t="s">
        <v>46</v>
      </c>
      <c r="G386" s="54" t="s">
        <v>36</v>
      </c>
      <c r="H386" s="54">
        <f>STOCK[[#This Row],[Precio Final]]</f>
        <v>12</v>
      </c>
      <c r="I386" s="54">
        <f>STOCK[[#This Row],[Precio Venta Ideal (x1.5)]]</f>
        <v>11.96666666666667</v>
      </c>
      <c r="J386" s="70">
        <v>2</v>
      </c>
      <c r="K386" s="70">
        <f>SUMIFS(VENTAS[Cantidad],VENTAS[Código del producto Vendido],STOCK[[#This Row],[Code]])</f>
        <v>1</v>
      </c>
      <c r="L386" s="70">
        <f>STOCK[[#This Row],[Entradas]]-STOCK[[#This Row],[Salidas]]</f>
        <v>1</v>
      </c>
      <c r="M386" s="54">
        <f>STOCK[[#This Row],[Precio Final]]*10%</f>
        <v>1.2000000000000002</v>
      </c>
      <c r="N386" s="54">
        <v>95</v>
      </c>
      <c r="O386" s="54">
        <v>18</v>
      </c>
      <c r="P386" s="54">
        <v>5.2777777777777803</v>
      </c>
      <c r="Q386" s="70">
        <v>150</v>
      </c>
      <c r="R386" s="54">
        <v>10</v>
      </c>
      <c r="S386" s="54">
        <f>STOCK[[#This Row],[Peso (g)]]*STOCK[[#This Row],[Precio Envío Kilogramo (USD)]]/1000</f>
        <v>1.5</v>
      </c>
      <c r="T386" s="53">
        <f>STOCK[[#This Row],[Costo Unitario (USD)]]+STOCK[[#This Row],[Costo Envío (USD)]]+STOCK[[#This Row],[Comisión 10%]]</f>
        <v>7.9777777777777805</v>
      </c>
      <c r="U386" s="54">
        <f>STOCK[[#This Row],[Costo total]]*1.5</f>
        <v>11.96666666666667</v>
      </c>
      <c r="V386" s="54">
        <v>12</v>
      </c>
      <c r="W386" s="54">
        <f>STOCK[[#This Row],[Precio Final]]-STOCK[[#This Row],[Costo total]]</f>
        <v>4.0222222222222195</v>
      </c>
      <c r="X386" s="54">
        <f>STOCK[[#This Row],[Ganancia Unitaria]]*STOCK[[#This Row],[Salidas]]</f>
        <v>4.0222222222222195</v>
      </c>
      <c r="AA386" s="54">
        <f>STOCK[[#This Row],[Costo total]]*STOCK[[#This Row],[Entradas]]</f>
        <v>15.955555555555561</v>
      </c>
      <c r="AB386" s="54">
        <f>STOCK[[#This Row],[Stock Actual]]*STOCK[[#This Row],[Costo total]]</f>
        <v>7.9777777777777805</v>
      </c>
      <c r="AC386" s="54">
        <v>8</v>
      </c>
    </row>
    <row r="387" spans="1:29" s="53" customFormat="1" ht="50" customHeight="1">
      <c r="A387" s="53" t="s">
        <v>813</v>
      </c>
      <c r="B387" s="64"/>
      <c r="C387" s="53" t="s">
        <v>32</v>
      </c>
      <c r="D387" s="53" t="s">
        <v>814</v>
      </c>
      <c r="E387" s="65" t="s">
        <v>815</v>
      </c>
      <c r="F387" s="53" t="s">
        <v>88</v>
      </c>
      <c r="G387" s="53" t="s">
        <v>36</v>
      </c>
      <c r="H387" s="53">
        <f>STOCK[[#This Row],[Precio Final]]</f>
        <v>10</v>
      </c>
      <c r="I387" s="53">
        <f>STOCK[[#This Row],[Precio Venta Ideal (x1.5)]]</f>
        <v>10.833333333333329</v>
      </c>
      <c r="J387" s="69">
        <v>1</v>
      </c>
      <c r="K387" s="69">
        <f>SUMIFS(VENTAS[Cantidad],VENTAS[Código del producto Vendido],STOCK[[#This Row],[Code]])</f>
        <v>1</v>
      </c>
      <c r="L387" s="69">
        <f>STOCK[[#This Row],[Entradas]]-STOCK[[#This Row],[Salidas]]</f>
        <v>0</v>
      </c>
      <c r="M387" s="53">
        <f>STOCK[[#This Row],[Precio Final]]*10%</f>
        <v>1</v>
      </c>
      <c r="N387" s="53">
        <v>103</v>
      </c>
      <c r="O387" s="53">
        <v>18</v>
      </c>
      <c r="P387" s="53">
        <v>5.7222222222222197</v>
      </c>
      <c r="Q387" s="69">
        <v>50</v>
      </c>
      <c r="R387" s="53">
        <v>10</v>
      </c>
      <c r="S387" s="53">
        <f>STOCK[[#This Row],[Peso (g)]]*STOCK[[#This Row],[Precio Envío Kilogramo (USD)]]/1000</f>
        <v>0.5</v>
      </c>
      <c r="T387" s="53">
        <f>STOCK[[#This Row],[Costo Unitario (USD)]]+STOCK[[#This Row],[Costo Envío (USD)]]+STOCK[[#This Row],[Comisión 10%]]</f>
        <v>7.2222222222222197</v>
      </c>
      <c r="U387" s="53">
        <f>STOCK[[#This Row],[Costo total]]*1.5</f>
        <v>10.833333333333329</v>
      </c>
      <c r="V387" s="53">
        <v>10</v>
      </c>
      <c r="W387" s="53">
        <f>STOCK[[#This Row],[Precio Final]]-STOCK[[#This Row],[Costo total]]</f>
        <v>2.7777777777777803</v>
      </c>
      <c r="X387" s="53">
        <f>STOCK[[#This Row],[Ganancia Unitaria]]*STOCK[[#This Row],[Salidas]]</f>
        <v>2.7777777777777803</v>
      </c>
      <c r="AA387" s="53">
        <f>STOCK[[#This Row],[Costo total]]*STOCK[[#This Row],[Entradas]]</f>
        <v>7.2222222222222197</v>
      </c>
      <c r="AB387" s="53">
        <f>STOCK[[#This Row],[Stock Actual]]*STOCK[[#This Row],[Costo total]]</f>
        <v>0</v>
      </c>
    </row>
    <row r="388" spans="1:29" s="54" customFormat="1" ht="50" customHeight="1">
      <c r="A388" s="54" t="s">
        <v>816</v>
      </c>
      <c r="B388" s="64"/>
      <c r="C388" s="54" t="s">
        <v>32</v>
      </c>
      <c r="D388" s="54" t="s">
        <v>680</v>
      </c>
      <c r="E388" s="66" t="s">
        <v>817</v>
      </c>
      <c r="F388" s="54" t="s">
        <v>818</v>
      </c>
      <c r="G388" s="54" t="s">
        <v>36</v>
      </c>
      <c r="H388" s="54">
        <f>STOCK[[#This Row],[Precio Final]]</f>
        <v>10</v>
      </c>
      <c r="I388" s="54">
        <f>STOCK[[#This Row],[Precio Venta Ideal (x1.5)]]</f>
        <v>11.666666666666671</v>
      </c>
      <c r="J388" s="70">
        <v>3</v>
      </c>
      <c r="K388" s="70">
        <f>SUMIFS(VENTAS[Cantidad],VENTAS[Código del producto Vendido],STOCK[[#This Row],[Code]])</f>
        <v>3</v>
      </c>
      <c r="L388" s="70">
        <f>STOCK[[#This Row],[Entradas]]-STOCK[[#This Row],[Salidas]]</f>
        <v>0</v>
      </c>
      <c r="M388" s="54">
        <f>STOCK[[#This Row],[Precio Final]]*10%</f>
        <v>1</v>
      </c>
      <c r="N388" s="54">
        <v>113</v>
      </c>
      <c r="O388" s="54">
        <v>18</v>
      </c>
      <c r="P388" s="54">
        <v>6.2777777777777803</v>
      </c>
      <c r="Q388" s="70">
        <v>50</v>
      </c>
      <c r="R388" s="54">
        <v>10</v>
      </c>
      <c r="S388" s="54">
        <f>STOCK[[#This Row],[Peso (g)]]*STOCK[[#This Row],[Precio Envío Kilogramo (USD)]]/1000</f>
        <v>0.5</v>
      </c>
      <c r="T388" s="53">
        <f>STOCK[[#This Row],[Costo Unitario (USD)]]+STOCK[[#This Row],[Costo Envío (USD)]]+STOCK[[#This Row],[Comisión 10%]]</f>
        <v>7.7777777777777803</v>
      </c>
      <c r="U388" s="54">
        <f>STOCK[[#This Row],[Costo total]]*1.5</f>
        <v>11.666666666666671</v>
      </c>
      <c r="V388" s="54">
        <v>10</v>
      </c>
      <c r="W388" s="54">
        <f>STOCK[[#This Row],[Precio Final]]-STOCK[[#This Row],[Costo total]]</f>
        <v>2.2222222222222197</v>
      </c>
      <c r="X388" s="54">
        <f>STOCK[[#This Row],[Ganancia Unitaria]]*STOCK[[#This Row],[Salidas]]</f>
        <v>6.666666666666659</v>
      </c>
      <c r="AA388" s="54">
        <f>STOCK[[#This Row],[Costo total]]*STOCK[[#This Row],[Entradas]]</f>
        <v>23.333333333333343</v>
      </c>
      <c r="AB388" s="54">
        <f>STOCK[[#This Row],[Stock Actual]]*STOCK[[#This Row],[Costo total]]</f>
        <v>0</v>
      </c>
    </row>
    <row r="389" spans="1:29" s="53" customFormat="1" ht="50" customHeight="1">
      <c r="A389" s="53" t="s">
        <v>819</v>
      </c>
      <c r="B389" s="64"/>
      <c r="C389" s="53" t="s">
        <v>32</v>
      </c>
      <c r="D389" s="53" t="s">
        <v>820</v>
      </c>
      <c r="E389" s="65" t="s">
        <v>821</v>
      </c>
      <c r="F389" s="53" t="s">
        <v>62</v>
      </c>
      <c r="G389" s="53" t="s">
        <v>36</v>
      </c>
      <c r="H389" s="53">
        <f>STOCK[[#This Row],[Precio Final]]</f>
        <v>10</v>
      </c>
      <c r="I389" s="53">
        <f>STOCK[[#This Row],[Precio Venta Ideal (x1.5)]]</f>
        <v>13.5</v>
      </c>
      <c r="J389" s="69">
        <v>1</v>
      </c>
      <c r="K389" s="69">
        <f>SUMIFS(VENTAS[Cantidad],VENTAS[Código del producto Vendido],STOCK[[#This Row],[Code]])</f>
        <v>1</v>
      </c>
      <c r="L389" s="69">
        <f>STOCK[[#This Row],[Entradas]]-STOCK[[#This Row],[Salidas]]</f>
        <v>0</v>
      </c>
      <c r="M389" s="53">
        <f>STOCK[[#This Row],[Precio Final]]*10%</f>
        <v>1</v>
      </c>
      <c r="N389" s="53">
        <v>135</v>
      </c>
      <c r="O389" s="53">
        <v>18</v>
      </c>
      <c r="P389" s="53">
        <v>7.5</v>
      </c>
      <c r="Q389" s="69">
        <v>50</v>
      </c>
      <c r="R389" s="53">
        <v>10</v>
      </c>
      <c r="S389" s="53">
        <f>STOCK[[#This Row],[Peso (g)]]*STOCK[[#This Row],[Precio Envío Kilogramo (USD)]]/1000</f>
        <v>0.5</v>
      </c>
      <c r="T389" s="53">
        <f>STOCK[[#This Row],[Costo Unitario (USD)]]+STOCK[[#This Row],[Costo Envío (USD)]]+STOCK[[#This Row],[Comisión 10%]]</f>
        <v>9</v>
      </c>
      <c r="U389" s="53">
        <f>STOCK[[#This Row],[Costo total]]*1.5</f>
        <v>13.5</v>
      </c>
      <c r="V389" s="53">
        <v>10</v>
      </c>
      <c r="W389" s="53">
        <f>STOCK[[#This Row],[Precio Final]]-STOCK[[#This Row],[Costo total]]</f>
        <v>1</v>
      </c>
      <c r="X389" s="53">
        <f>STOCK[[#This Row],[Ganancia Unitaria]]*STOCK[[#This Row],[Salidas]]</f>
        <v>1</v>
      </c>
      <c r="AA389" s="53">
        <f>STOCK[[#This Row],[Costo total]]*STOCK[[#This Row],[Entradas]]</f>
        <v>9</v>
      </c>
      <c r="AB389" s="53">
        <f>STOCK[[#This Row],[Stock Actual]]*STOCK[[#This Row],[Costo total]]</f>
        <v>0</v>
      </c>
    </row>
    <row r="390" spans="1:29" s="54" customFormat="1" ht="50" customHeight="1">
      <c r="A390" s="54" t="s">
        <v>822</v>
      </c>
      <c r="B390" s="64"/>
      <c r="C390" s="54" t="s">
        <v>32</v>
      </c>
      <c r="D390" s="54" t="s">
        <v>294</v>
      </c>
      <c r="E390" s="66" t="s">
        <v>823</v>
      </c>
      <c r="F390" s="54" t="s">
        <v>62</v>
      </c>
      <c r="G390" s="54" t="s">
        <v>36</v>
      </c>
      <c r="H390" s="54">
        <f>STOCK[[#This Row],[Precio Final]]</f>
        <v>15</v>
      </c>
      <c r="I390" s="54">
        <f>STOCK[[#This Row],[Precio Venta Ideal (x1.5)]]</f>
        <v>12.416666666666671</v>
      </c>
      <c r="J390" s="70">
        <v>1</v>
      </c>
      <c r="K390" s="70">
        <f>SUMIFS(VENTAS[Cantidad],VENTAS[Código del producto Vendido],STOCK[[#This Row],[Code]])</f>
        <v>0</v>
      </c>
      <c r="L390" s="70">
        <f>STOCK[[#This Row],[Entradas]]-STOCK[[#This Row],[Salidas]]</f>
        <v>1</v>
      </c>
      <c r="M390" s="54">
        <f>STOCK[[#This Row],[Precio Final]]*10%</f>
        <v>1.5</v>
      </c>
      <c r="N390" s="54">
        <v>113</v>
      </c>
      <c r="O390" s="54">
        <v>18</v>
      </c>
      <c r="P390" s="54">
        <v>6.2777777777777803</v>
      </c>
      <c r="Q390" s="70">
        <v>50</v>
      </c>
      <c r="R390" s="54">
        <v>10</v>
      </c>
      <c r="S390" s="54">
        <f>STOCK[[#This Row],[Peso (g)]]*STOCK[[#This Row],[Precio Envío Kilogramo (USD)]]/1000</f>
        <v>0.5</v>
      </c>
      <c r="T390" s="53">
        <f>STOCK[[#This Row],[Costo Unitario (USD)]]+STOCK[[#This Row],[Costo Envío (USD)]]+STOCK[[#This Row],[Comisión 10%]]</f>
        <v>8.2777777777777803</v>
      </c>
      <c r="U390" s="54">
        <f>STOCK[[#This Row],[Costo total]]*1.5</f>
        <v>12.416666666666671</v>
      </c>
      <c r="V390" s="54">
        <v>15</v>
      </c>
      <c r="W390" s="54">
        <f>STOCK[[#This Row],[Precio Final]]-STOCK[[#This Row],[Costo total]]</f>
        <v>6.7222222222222197</v>
      </c>
      <c r="X390" s="54">
        <f>STOCK[[#This Row],[Ganancia Unitaria]]*STOCK[[#This Row],[Salidas]]</f>
        <v>0</v>
      </c>
      <c r="AA390" s="54">
        <f>STOCK[[#This Row],[Costo total]]*STOCK[[#This Row],[Entradas]]</f>
        <v>8.2777777777777803</v>
      </c>
      <c r="AB390" s="54">
        <f>STOCK[[#This Row],[Stock Actual]]*STOCK[[#This Row],[Costo total]]</f>
        <v>8.2777777777777803</v>
      </c>
      <c r="AC390" s="54">
        <v>10</v>
      </c>
    </row>
    <row r="391" spans="1:29" s="53" customFormat="1" ht="50" customHeight="1">
      <c r="A391" s="53" t="s">
        <v>824</v>
      </c>
      <c r="B391" s="64"/>
      <c r="C391" s="53" t="s">
        <v>32</v>
      </c>
      <c r="D391" s="53" t="s">
        <v>484</v>
      </c>
      <c r="E391" s="65" t="s">
        <v>825</v>
      </c>
      <c r="F391" s="53" t="s">
        <v>40</v>
      </c>
      <c r="G391" s="53" t="s">
        <v>36</v>
      </c>
      <c r="H391" s="53">
        <f>STOCK[[#This Row],[Precio Final]]</f>
        <v>20</v>
      </c>
      <c r="I391" s="53">
        <f>STOCK[[#This Row],[Precio Venta Ideal (x1.5)]]</f>
        <v>12.833333333333341</v>
      </c>
      <c r="J391" s="69">
        <v>1</v>
      </c>
      <c r="K391" s="69">
        <f>SUMIFS(VENTAS[Cantidad],VENTAS[Código del producto Vendido],STOCK[[#This Row],[Code]])</f>
        <v>1</v>
      </c>
      <c r="L391" s="69">
        <f>STOCK[[#This Row],[Entradas]]-STOCK[[#This Row],[Salidas]]</f>
        <v>0</v>
      </c>
      <c r="M391" s="53">
        <f>STOCK[[#This Row],[Precio Final]]*10%</f>
        <v>2</v>
      </c>
      <c r="N391" s="53">
        <v>109</v>
      </c>
      <c r="O391" s="53">
        <v>18</v>
      </c>
      <c r="P391" s="53">
        <v>6.0555555555555598</v>
      </c>
      <c r="Q391" s="69">
        <v>50</v>
      </c>
      <c r="R391" s="53">
        <v>10</v>
      </c>
      <c r="S391" s="53">
        <f>STOCK[[#This Row],[Peso (g)]]*STOCK[[#This Row],[Precio Envío Kilogramo (USD)]]/1000</f>
        <v>0.5</v>
      </c>
      <c r="T391" s="53">
        <f>STOCK[[#This Row],[Costo Unitario (USD)]]+STOCK[[#This Row],[Costo Envío (USD)]]+STOCK[[#This Row],[Comisión 10%]]</f>
        <v>8.5555555555555607</v>
      </c>
      <c r="U391" s="53">
        <f>STOCK[[#This Row],[Costo total]]*1.5</f>
        <v>12.833333333333341</v>
      </c>
      <c r="V391" s="53">
        <v>20</v>
      </c>
      <c r="W391" s="53">
        <f>STOCK[[#This Row],[Precio Final]]-STOCK[[#This Row],[Costo total]]</f>
        <v>11.444444444444439</v>
      </c>
      <c r="X391" s="53">
        <f>STOCK[[#This Row],[Ganancia Unitaria]]*STOCK[[#This Row],[Salidas]]</f>
        <v>11.444444444444439</v>
      </c>
      <c r="AA391" s="53">
        <f>STOCK[[#This Row],[Costo total]]*STOCK[[#This Row],[Entradas]]</f>
        <v>8.5555555555555607</v>
      </c>
      <c r="AB391" s="53">
        <f>STOCK[[#This Row],[Stock Actual]]*STOCK[[#This Row],[Costo total]]</f>
        <v>0</v>
      </c>
      <c r="AC391" s="53">
        <v>15</v>
      </c>
    </row>
    <row r="392" spans="1:29" s="54" customFormat="1" ht="50" customHeight="1">
      <c r="A392" s="54" t="s">
        <v>826</v>
      </c>
      <c r="B392" s="64"/>
      <c r="C392" s="54" t="s">
        <v>32</v>
      </c>
      <c r="D392" s="54" t="s">
        <v>827</v>
      </c>
      <c r="E392" s="66" t="s">
        <v>828</v>
      </c>
      <c r="F392" s="54" t="s">
        <v>46</v>
      </c>
      <c r="G392" s="54" t="s">
        <v>36</v>
      </c>
      <c r="H392" s="54">
        <f>STOCK[[#This Row],[Precio Final]]</f>
        <v>12</v>
      </c>
      <c r="I392" s="54">
        <f>STOCK[[#This Row],[Precio Venta Ideal (x1.5)]]</f>
        <v>12.38333333333334</v>
      </c>
      <c r="J392" s="70">
        <v>1</v>
      </c>
      <c r="K392" s="70">
        <f>SUMIFS(VENTAS[Cantidad],VENTAS[Código del producto Vendido],STOCK[[#This Row],[Code]])</f>
        <v>1</v>
      </c>
      <c r="L392" s="70">
        <f>STOCK[[#This Row],[Entradas]]-STOCK[[#This Row],[Salidas]]</f>
        <v>0</v>
      </c>
      <c r="M392" s="54">
        <f>STOCK[[#This Row],[Precio Final]]*10%</f>
        <v>1.2000000000000002</v>
      </c>
      <c r="N392" s="54">
        <v>109</v>
      </c>
      <c r="O392" s="54">
        <v>18</v>
      </c>
      <c r="P392" s="54">
        <v>6.0555555555555598</v>
      </c>
      <c r="Q392" s="70">
        <v>100</v>
      </c>
      <c r="R392" s="54">
        <v>10</v>
      </c>
      <c r="S392" s="54">
        <f>STOCK[[#This Row],[Peso (g)]]*STOCK[[#This Row],[Precio Envío Kilogramo (USD)]]/1000</f>
        <v>1</v>
      </c>
      <c r="T392" s="53">
        <f>STOCK[[#This Row],[Costo Unitario (USD)]]+STOCK[[#This Row],[Costo Envío (USD)]]+STOCK[[#This Row],[Comisión 10%]]</f>
        <v>8.25555555555556</v>
      </c>
      <c r="U392" s="54">
        <f>STOCK[[#This Row],[Costo total]]*1.5</f>
        <v>12.38333333333334</v>
      </c>
      <c r="V392" s="54">
        <v>12</v>
      </c>
      <c r="W392" s="54">
        <f>STOCK[[#This Row],[Precio Final]]-STOCK[[#This Row],[Costo total]]</f>
        <v>3.74444444444444</v>
      </c>
      <c r="X392" s="54">
        <f>STOCK[[#This Row],[Ganancia Unitaria]]*STOCK[[#This Row],[Salidas]]</f>
        <v>3.74444444444444</v>
      </c>
      <c r="AA392" s="54">
        <f>STOCK[[#This Row],[Costo total]]*STOCK[[#This Row],[Entradas]]</f>
        <v>8.25555555555556</v>
      </c>
      <c r="AB392" s="54">
        <f>STOCK[[#This Row],[Stock Actual]]*STOCK[[#This Row],[Costo total]]</f>
        <v>0</v>
      </c>
    </row>
    <row r="393" spans="1:29" s="53" customFormat="1" ht="50" customHeight="1">
      <c r="A393" s="53" t="s">
        <v>829</v>
      </c>
      <c r="B393" s="64"/>
      <c r="C393" s="53" t="s">
        <v>32</v>
      </c>
      <c r="D393" s="54" t="s">
        <v>38</v>
      </c>
      <c r="E393" s="65" t="s">
        <v>830</v>
      </c>
      <c r="F393" s="53" t="s">
        <v>62</v>
      </c>
      <c r="G393" s="53" t="s">
        <v>36</v>
      </c>
      <c r="H393" s="53">
        <f>STOCK[[#This Row],[Precio Final]]</f>
        <v>15</v>
      </c>
      <c r="I393" s="53">
        <f>STOCK[[#This Row],[Precio Venta Ideal (x1.5)]]</f>
        <v>16.083333333333329</v>
      </c>
      <c r="J393" s="69">
        <v>1</v>
      </c>
      <c r="K393" s="69">
        <f>SUMIFS(VENTAS[Cantidad],VENTAS[Código del producto Vendido],STOCK[[#This Row],[Code]])</f>
        <v>1</v>
      </c>
      <c r="L393" s="69">
        <f>STOCK[[#This Row],[Entradas]]-STOCK[[#This Row],[Salidas]]</f>
        <v>0</v>
      </c>
      <c r="M393" s="53">
        <f>STOCK[[#This Row],[Precio Final]]*10%</f>
        <v>1.5</v>
      </c>
      <c r="N393" s="53">
        <v>148</v>
      </c>
      <c r="O393" s="53">
        <v>18</v>
      </c>
      <c r="P393" s="53">
        <v>8.2222222222222197</v>
      </c>
      <c r="Q393" s="69">
        <v>100</v>
      </c>
      <c r="R393" s="53">
        <v>10</v>
      </c>
      <c r="S393" s="53">
        <f>STOCK[[#This Row],[Peso (g)]]*STOCK[[#This Row],[Precio Envío Kilogramo (USD)]]/1000</f>
        <v>1</v>
      </c>
      <c r="T393" s="53">
        <f>STOCK[[#This Row],[Costo Unitario (USD)]]+STOCK[[#This Row],[Costo Envío (USD)]]+STOCK[[#This Row],[Comisión 10%]]</f>
        <v>10.72222222222222</v>
      </c>
      <c r="U393" s="53">
        <f>STOCK[[#This Row],[Costo total]]*1.5</f>
        <v>16.083333333333329</v>
      </c>
      <c r="V393" s="53">
        <v>15</v>
      </c>
      <c r="W393" s="53">
        <f>STOCK[[#This Row],[Precio Final]]-STOCK[[#This Row],[Costo total]]</f>
        <v>4.2777777777777803</v>
      </c>
      <c r="X393" s="53">
        <f>STOCK[[#This Row],[Ganancia Unitaria]]*STOCK[[#This Row],[Salidas]]</f>
        <v>4.2777777777777803</v>
      </c>
      <c r="AA393" s="53">
        <f>STOCK[[#This Row],[Costo total]]*STOCK[[#This Row],[Entradas]]</f>
        <v>10.72222222222222</v>
      </c>
      <c r="AB393" s="53">
        <f>STOCK[[#This Row],[Stock Actual]]*STOCK[[#This Row],[Costo total]]</f>
        <v>0</v>
      </c>
    </row>
    <row r="394" spans="1:29" s="54" customFormat="1" ht="50" customHeight="1">
      <c r="A394" s="54" t="s">
        <v>831</v>
      </c>
      <c r="B394" s="64"/>
      <c r="C394" s="54" t="s">
        <v>32</v>
      </c>
      <c r="D394" s="54" t="s">
        <v>216</v>
      </c>
      <c r="E394" s="66" t="s">
        <v>832</v>
      </c>
      <c r="F394" s="54" t="s">
        <v>40</v>
      </c>
      <c r="G394" s="54" t="s">
        <v>36</v>
      </c>
      <c r="H394" s="54">
        <f>STOCK[[#This Row],[Precio Final]]</f>
        <v>25</v>
      </c>
      <c r="I394" s="54">
        <f>STOCK[[#This Row],[Precio Venta Ideal (x1.5)]]</f>
        <v>17.749999999999996</v>
      </c>
      <c r="J394" s="70">
        <v>3</v>
      </c>
      <c r="K394" s="70">
        <f>SUMIFS(VENTAS[Cantidad],VENTAS[Código del producto Vendido],STOCK[[#This Row],[Code]])</f>
        <v>1</v>
      </c>
      <c r="L394" s="70">
        <f>STOCK[[#This Row],[Entradas]]-STOCK[[#This Row],[Salidas]]</f>
        <v>2</v>
      </c>
      <c r="M394" s="54">
        <f>STOCK[[#This Row],[Precio Final]]*10%</f>
        <v>2.5</v>
      </c>
      <c r="N394" s="54">
        <v>150</v>
      </c>
      <c r="O394" s="54">
        <v>18</v>
      </c>
      <c r="P394" s="54">
        <v>8.3333333333333304</v>
      </c>
      <c r="Q394" s="70">
        <v>100</v>
      </c>
      <c r="R394" s="54">
        <v>10</v>
      </c>
      <c r="S394" s="54">
        <f>STOCK[[#This Row],[Peso (g)]]*STOCK[[#This Row],[Precio Envío Kilogramo (USD)]]/1000</f>
        <v>1</v>
      </c>
      <c r="T394" s="53">
        <f>STOCK[[#This Row],[Costo Unitario (USD)]]+STOCK[[#This Row],[Costo Envío (USD)]]+STOCK[[#This Row],[Comisión 10%]]</f>
        <v>11.83333333333333</v>
      </c>
      <c r="U394" s="54">
        <f>STOCK[[#This Row],[Costo total]]*1.5</f>
        <v>17.749999999999996</v>
      </c>
      <c r="V394" s="54">
        <v>25</v>
      </c>
      <c r="W394" s="54">
        <f>STOCK[[#This Row],[Precio Final]]-STOCK[[#This Row],[Costo total]]</f>
        <v>13.16666666666667</v>
      </c>
      <c r="X394" s="54">
        <f>STOCK[[#This Row],[Ganancia Unitaria]]*STOCK[[#This Row],[Salidas]]</f>
        <v>13.16666666666667</v>
      </c>
      <c r="AA394" s="54">
        <f>STOCK[[#This Row],[Costo total]]*STOCK[[#This Row],[Entradas]]</f>
        <v>35.499999999999993</v>
      </c>
      <c r="AB394" s="54">
        <f>STOCK[[#This Row],[Stock Actual]]*STOCK[[#This Row],[Costo total]]</f>
        <v>23.666666666666661</v>
      </c>
      <c r="AC394" s="54">
        <v>18</v>
      </c>
    </row>
    <row r="395" spans="1:29" s="53" customFormat="1" ht="50" customHeight="1">
      <c r="A395" s="53" t="s">
        <v>833</v>
      </c>
      <c r="B395" s="64"/>
      <c r="C395" s="53" t="s">
        <v>32</v>
      </c>
      <c r="D395" s="53" t="s">
        <v>834</v>
      </c>
      <c r="E395" s="65" t="s">
        <v>835</v>
      </c>
      <c r="F395" s="53" t="s">
        <v>525</v>
      </c>
      <c r="G395" s="53" t="s">
        <v>36</v>
      </c>
      <c r="H395" s="53">
        <f>STOCK[[#This Row],[Precio Final]]</f>
        <v>10</v>
      </c>
      <c r="I395" s="53">
        <f>STOCK[[#This Row],[Precio Venta Ideal (x1.5)]]</f>
        <v>7.9999999999999956</v>
      </c>
      <c r="J395" s="69">
        <v>2</v>
      </c>
      <c r="K395" s="69">
        <f>SUMIFS(VENTAS[Cantidad],VENTAS[Código del producto Vendido],STOCK[[#This Row],[Code]])</f>
        <v>1</v>
      </c>
      <c r="L395" s="69">
        <f>STOCK[[#This Row],[Entradas]]-STOCK[[#This Row],[Salidas]]</f>
        <v>1</v>
      </c>
      <c r="M395" s="53">
        <f>STOCK[[#This Row],[Precio Final]]*10%</f>
        <v>1</v>
      </c>
      <c r="N395" s="53">
        <v>69</v>
      </c>
      <c r="O395" s="53">
        <v>18</v>
      </c>
      <c r="P395" s="53">
        <v>3.8333333333333299</v>
      </c>
      <c r="Q395" s="69">
        <v>50</v>
      </c>
      <c r="R395" s="53">
        <v>10</v>
      </c>
      <c r="S395" s="53">
        <f>STOCK[[#This Row],[Peso (g)]]*STOCK[[#This Row],[Precio Envío Kilogramo (USD)]]/1000</f>
        <v>0.5</v>
      </c>
      <c r="T395" s="53">
        <f>STOCK[[#This Row],[Costo Unitario (USD)]]+STOCK[[#This Row],[Costo Envío (USD)]]+STOCK[[#This Row],[Comisión 10%]]</f>
        <v>5.3333333333333304</v>
      </c>
      <c r="U395" s="53">
        <f>STOCK[[#This Row],[Costo total]]*1.5</f>
        <v>7.9999999999999956</v>
      </c>
      <c r="V395" s="53">
        <v>10</v>
      </c>
      <c r="W395" s="53">
        <f>STOCK[[#This Row],[Precio Final]]-STOCK[[#This Row],[Costo total]]</f>
        <v>4.6666666666666696</v>
      </c>
      <c r="X395" s="53">
        <f>STOCK[[#This Row],[Ganancia Unitaria]]*STOCK[[#This Row],[Salidas]]</f>
        <v>4.6666666666666696</v>
      </c>
      <c r="AA395" s="53">
        <f>STOCK[[#This Row],[Costo total]]*STOCK[[#This Row],[Entradas]]</f>
        <v>10.666666666666661</v>
      </c>
      <c r="AB395" s="53">
        <f>STOCK[[#This Row],[Stock Actual]]*STOCK[[#This Row],[Costo total]]</f>
        <v>5.3333333333333304</v>
      </c>
    </row>
    <row r="396" spans="1:29" s="54" customFormat="1" ht="50" customHeight="1">
      <c r="A396" s="54" t="s">
        <v>836</v>
      </c>
      <c r="B396" s="64"/>
      <c r="C396" s="54" t="s">
        <v>32</v>
      </c>
      <c r="D396" s="54" t="s">
        <v>44</v>
      </c>
      <c r="E396" s="66" t="s">
        <v>837</v>
      </c>
      <c r="F396" s="54" t="s">
        <v>40</v>
      </c>
      <c r="G396" s="54" t="s">
        <v>36</v>
      </c>
      <c r="H396" s="54">
        <f>STOCK[[#This Row],[Precio Final]]</f>
        <v>35</v>
      </c>
      <c r="I396" s="54">
        <f>STOCK[[#This Row],[Precio Venta Ideal (x1.5)]]</f>
        <v>44.83333333333335</v>
      </c>
      <c r="J396" s="70">
        <v>1</v>
      </c>
      <c r="K396" s="70">
        <f>SUMIFS(VENTAS[Cantidad],VENTAS[Código del producto Vendido],STOCK[[#This Row],[Code]])</f>
        <v>1</v>
      </c>
      <c r="L396" s="70">
        <f>STOCK[[#This Row],[Entradas]]-STOCK[[#This Row],[Salidas]]</f>
        <v>0</v>
      </c>
      <c r="M396" s="54">
        <f>STOCK[[#This Row],[Precio Final]]*10%</f>
        <v>3.5</v>
      </c>
      <c r="N396" s="54">
        <v>385</v>
      </c>
      <c r="O396" s="54">
        <v>18</v>
      </c>
      <c r="P396" s="54">
        <v>21.3888888888889</v>
      </c>
      <c r="Q396" s="70">
        <v>500</v>
      </c>
      <c r="R396" s="54">
        <v>10</v>
      </c>
      <c r="S396" s="54">
        <f>STOCK[[#This Row],[Peso (g)]]*STOCK[[#This Row],[Precio Envío Kilogramo (USD)]]/1000</f>
        <v>5</v>
      </c>
      <c r="T396" s="53">
        <f>STOCK[[#This Row],[Costo Unitario (USD)]]+STOCK[[#This Row],[Costo Envío (USD)]]+STOCK[[#This Row],[Comisión 10%]]</f>
        <v>29.8888888888889</v>
      </c>
      <c r="U396" s="54">
        <f>STOCK[[#This Row],[Costo total]]*1.5</f>
        <v>44.83333333333335</v>
      </c>
      <c r="V396" s="54">
        <v>35</v>
      </c>
      <c r="W396" s="54">
        <f>STOCK[[#This Row],[Precio Final]]-STOCK[[#This Row],[Costo total]]</f>
        <v>5.1111111111111001</v>
      </c>
      <c r="X396" s="54">
        <f>STOCK[[#This Row],[Ganancia Unitaria]]*STOCK[[#This Row],[Salidas]]</f>
        <v>5.1111111111111001</v>
      </c>
      <c r="AA396" s="54">
        <f>STOCK[[#This Row],[Costo total]]*STOCK[[#This Row],[Entradas]]</f>
        <v>29.8888888888889</v>
      </c>
      <c r="AB396" s="54">
        <f>STOCK[[#This Row],[Stock Actual]]*STOCK[[#This Row],[Costo total]]</f>
        <v>0</v>
      </c>
    </row>
    <row r="397" spans="1:29" s="53" customFormat="1" ht="50" customHeight="1">
      <c r="A397" s="53" t="s">
        <v>838</v>
      </c>
      <c r="B397" s="64"/>
      <c r="C397" s="53" t="s">
        <v>32</v>
      </c>
      <c r="D397" s="53" t="s">
        <v>294</v>
      </c>
      <c r="E397" s="65" t="s">
        <v>839</v>
      </c>
      <c r="F397" s="53" t="s">
        <v>62</v>
      </c>
      <c r="G397" s="53" t="s">
        <v>36</v>
      </c>
      <c r="H397" s="53">
        <f>STOCK[[#This Row],[Precio Final]]</f>
        <v>9</v>
      </c>
      <c r="I397" s="53">
        <f>STOCK[[#This Row],[Precio Venta Ideal (x1.5)]]</f>
        <v>7.3500000000000005</v>
      </c>
      <c r="J397" s="69">
        <v>1</v>
      </c>
      <c r="K397" s="69">
        <f>SUMIFS(VENTAS[Cantidad],VENTAS[Código del producto Vendido],STOCK[[#This Row],[Code]])</f>
        <v>0</v>
      </c>
      <c r="L397" s="69">
        <f>STOCK[[#This Row],[Entradas]]-STOCK[[#This Row],[Salidas]]</f>
        <v>1</v>
      </c>
      <c r="M397" s="53">
        <f>STOCK[[#This Row],[Precio Final]]*10%</f>
        <v>0.9</v>
      </c>
      <c r="N397" s="53">
        <v>63</v>
      </c>
      <c r="O397" s="53">
        <v>18</v>
      </c>
      <c r="P397" s="53">
        <v>3.5</v>
      </c>
      <c r="Q397" s="69">
        <v>50</v>
      </c>
      <c r="R397" s="53">
        <v>10</v>
      </c>
      <c r="S397" s="53">
        <f>STOCK[[#This Row],[Peso (g)]]*STOCK[[#This Row],[Precio Envío Kilogramo (USD)]]/1000</f>
        <v>0.5</v>
      </c>
      <c r="T397" s="53">
        <f>STOCK[[#This Row],[Costo Unitario (USD)]]+STOCK[[#This Row],[Costo Envío (USD)]]+STOCK[[#This Row],[Comisión 10%]]</f>
        <v>4.9000000000000004</v>
      </c>
      <c r="U397" s="53">
        <f>STOCK[[#This Row],[Costo total]]*1.5</f>
        <v>7.3500000000000005</v>
      </c>
      <c r="V397" s="53">
        <v>9</v>
      </c>
      <c r="W397" s="53">
        <f>STOCK[[#This Row],[Precio Final]]-STOCK[[#This Row],[Costo total]]</f>
        <v>4.0999999999999996</v>
      </c>
      <c r="X397" s="53">
        <f>STOCK[[#This Row],[Ganancia Unitaria]]*STOCK[[#This Row],[Salidas]]</f>
        <v>0</v>
      </c>
      <c r="AA397" s="53">
        <f>STOCK[[#This Row],[Costo total]]*STOCK[[#This Row],[Entradas]]</f>
        <v>4.9000000000000004</v>
      </c>
      <c r="AB397" s="53">
        <f>STOCK[[#This Row],[Stock Actual]]*STOCK[[#This Row],[Costo total]]</f>
        <v>4.9000000000000004</v>
      </c>
    </row>
    <row r="398" spans="1:29" s="54" customFormat="1" ht="50" customHeight="1">
      <c r="A398" s="54" t="s">
        <v>840</v>
      </c>
      <c r="B398" s="64"/>
      <c r="C398" s="54" t="s">
        <v>32</v>
      </c>
      <c r="D398" s="54" t="s">
        <v>38</v>
      </c>
      <c r="E398" s="66" t="s">
        <v>841</v>
      </c>
      <c r="F398" s="54" t="s">
        <v>62</v>
      </c>
      <c r="G398" s="54" t="s">
        <v>36</v>
      </c>
      <c r="H398" s="54">
        <f>STOCK[[#This Row],[Precio Final]]</f>
        <v>10</v>
      </c>
      <c r="I398" s="54">
        <f>STOCK[[#This Row],[Precio Venta Ideal (x1.5)]]</f>
        <v>7.0166666666666693</v>
      </c>
      <c r="J398" s="70">
        <v>1</v>
      </c>
      <c r="K398" s="70">
        <f>SUMIFS(VENTAS[Cantidad],VENTAS[Código del producto Vendido],STOCK[[#This Row],[Code]])</f>
        <v>1</v>
      </c>
      <c r="L398" s="70">
        <f>STOCK[[#This Row],[Entradas]]-STOCK[[#This Row],[Salidas]]</f>
        <v>0</v>
      </c>
      <c r="M398" s="54">
        <f>STOCK[[#This Row],[Precio Final]]*10%</f>
        <v>1</v>
      </c>
      <c r="N398" s="54">
        <v>59</v>
      </c>
      <c r="O398" s="54">
        <v>18</v>
      </c>
      <c r="P398" s="54">
        <v>3.2777777777777799</v>
      </c>
      <c r="Q398" s="70">
        <v>40</v>
      </c>
      <c r="R398" s="54">
        <v>10</v>
      </c>
      <c r="S398" s="54">
        <f>STOCK[[#This Row],[Peso (g)]]*STOCK[[#This Row],[Precio Envío Kilogramo (USD)]]/1000</f>
        <v>0.4</v>
      </c>
      <c r="T398" s="53">
        <f>STOCK[[#This Row],[Costo Unitario (USD)]]+STOCK[[#This Row],[Costo Envío (USD)]]+STOCK[[#This Row],[Comisión 10%]]</f>
        <v>4.6777777777777798</v>
      </c>
      <c r="U398" s="54">
        <f>STOCK[[#This Row],[Costo total]]*1.5</f>
        <v>7.0166666666666693</v>
      </c>
      <c r="V398" s="54">
        <v>10</v>
      </c>
      <c r="W398" s="54">
        <f>STOCK[[#This Row],[Precio Final]]-STOCK[[#This Row],[Costo total]]</f>
        <v>5.3222222222222202</v>
      </c>
      <c r="X398" s="54">
        <f>STOCK[[#This Row],[Ganancia Unitaria]]*STOCK[[#This Row],[Salidas]]</f>
        <v>5.3222222222222202</v>
      </c>
      <c r="AA398" s="54">
        <f>STOCK[[#This Row],[Costo total]]*STOCK[[#This Row],[Entradas]]</f>
        <v>4.6777777777777798</v>
      </c>
      <c r="AB398" s="54">
        <f>STOCK[[#This Row],[Stock Actual]]*STOCK[[#This Row],[Costo total]]</f>
        <v>0</v>
      </c>
    </row>
    <row r="399" spans="1:29" s="53" customFormat="1" ht="50" customHeight="1">
      <c r="A399" s="53" t="s">
        <v>842</v>
      </c>
      <c r="B399" s="64"/>
      <c r="C399" s="53" t="s">
        <v>32</v>
      </c>
      <c r="D399" s="53" t="s">
        <v>174</v>
      </c>
      <c r="E399" s="65" t="s">
        <v>843</v>
      </c>
      <c r="F399" s="53" t="s">
        <v>46</v>
      </c>
      <c r="G399" s="53" t="s">
        <v>36</v>
      </c>
      <c r="H399" s="53">
        <f>STOCK[[#This Row],[Precio Final]]</f>
        <v>9</v>
      </c>
      <c r="I399" s="53">
        <f>STOCK[[#This Row],[Precio Venta Ideal (x1.5)]]</f>
        <v>6.5333333333333394</v>
      </c>
      <c r="J399" s="69">
        <v>1</v>
      </c>
      <c r="K399" s="69">
        <f>SUMIFS(VENTAS[Cantidad],VENTAS[Código del producto Vendido],STOCK[[#This Row],[Code]])</f>
        <v>1</v>
      </c>
      <c r="L399" s="69">
        <f>STOCK[[#This Row],[Entradas]]-STOCK[[#This Row],[Salidas]]</f>
        <v>0</v>
      </c>
      <c r="M399" s="53">
        <f>STOCK[[#This Row],[Precio Final]]*10%</f>
        <v>0.9</v>
      </c>
      <c r="N399" s="53">
        <v>55</v>
      </c>
      <c r="O399" s="53">
        <v>18</v>
      </c>
      <c r="P399" s="53">
        <v>3.0555555555555598</v>
      </c>
      <c r="Q399" s="69">
        <v>40</v>
      </c>
      <c r="R399" s="53">
        <v>10</v>
      </c>
      <c r="S399" s="53">
        <f>STOCK[[#This Row],[Peso (g)]]*STOCK[[#This Row],[Precio Envío Kilogramo (USD)]]/1000</f>
        <v>0.4</v>
      </c>
      <c r="T399" s="53">
        <f>STOCK[[#This Row],[Costo Unitario (USD)]]+STOCK[[#This Row],[Costo Envío (USD)]]+STOCK[[#This Row],[Comisión 10%]]</f>
        <v>4.3555555555555596</v>
      </c>
      <c r="U399" s="53">
        <f>STOCK[[#This Row],[Costo total]]*1.5</f>
        <v>6.5333333333333394</v>
      </c>
      <c r="V399" s="53">
        <v>9</v>
      </c>
      <c r="W399" s="53">
        <f>STOCK[[#This Row],[Precio Final]]-STOCK[[#This Row],[Costo total]]</f>
        <v>4.6444444444444404</v>
      </c>
      <c r="X399" s="53">
        <f>STOCK[[#This Row],[Ganancia Unitaria]]*STOCK[[#This Row],[Salidas]]</f>
        <v>4.6444444444444404</v>
      </c>
      <c r="AA399" s="53">
        <f>STOCK[[#This Row],[Costo total]]*STOCK[[#This Row],[Entradas]]</f>
        <v>4.3555555555555596</v>
      </c>
      <c r="AB399" s="53">
        <f>STOCK[[#This Row],[Stock Actual]]*STOCK[[#This Row],[Costo total]]</f>
        <v>0</v>
      </c>
    </row>
    <row r="400" spans="1:29" s="54" customFormat="1" ht="50" customHeight="1">
      <c r="A400" s="54" t="s">
        <v>844</v>
      </c>
      <c r="B400" s="64"/>
      <c r="C400" s="54" t="s">
        <v>32</v>
      </c>
      <c r="D400" s="54" t="s">
        <v>294</v>
      </c>
      <c r="E400" s="66" t="s">
        <v>845</v>
      </c>
      <c r="F400" s="54" t="s">
        <v>49</v>
      </c>
      <c r="G400" s="54" t="s">
        <v>36</v>
      </c>
      <c r="H400" s="54">
        <f>STOCK[[#This Row],[Precio Final]]</f>
        <v>12</v>
      </c>
      <c r="I400" s="54">
        <f>STOCK[[#This Row],[Precio Venta Ideal (x1.5)]]</f>
        <v>8.1166666666666636</v>
      </c>
      <c r="J400" s="70">
        <v>1</v>
      </c>
      <c r="K400" s="70">
        <f>SUMIFS(VENTAS[Cantidad],VENTAS[Código del producto Vendido],STOCK[[#This Row],[Code]])</f>
        <v>0</v>
      </c>
      <c r="L400" s="70">
        <f>STOCK[[#This Row],[Entradas]]-STOCK[[#This Row],[Salidas]]</f>
        <v>1</v>
      </c>
      <c r="M400" s="54">
        <f>STOCK[[#This Row],[Precio Final]]*10%</f>
        <v>1.2000000000000002</v>
      </c>
      <c r="N400" s="54">
        <v>65</v>
      </c>
      <c r="O400" s="54">
        <v>18</v>
      </c>
      <c r="P400" s="54">
        <v>3.6111111111111098</v>
      </c>
      <c r="Q400" s="70">
        <v>60</v>
      </c>
      <c r="R400" s="54">
        <v>10</v>
      </c>
      <c r="S400" s="54">
        <f>STOCK[[#This Row],[Peso (g)]]*STOCK[[#This Row],[Precio Envío Kilogramo (USD)]]/1000</f>
        <v>0.6</v>
      </c>
      <c r="T400" s="53">
        <f>STOCK[[#This Row],[Costo Unitario (USD)]]+STOCK[[#This Row],[Costo Envío (USD)]]+STOCK[[#This Row],[Comisión 10%]]</f>
        <v>5.4111111111111097</v>
      </c>
      <c r="U400" s="54">
        <f>STOCK[[#This Row],[Costo total]]*1.5</f>
        <v>8.1166666666666636</v>
      </c>
      <c r="V400" s="54">
        <v>12</v>
      </c>
      <c r="W400" s="54">
        <f>STOCK[[#This Row],[Precio Final]]-STOCK[[#This Row],[Costo total]]</f>
        <v>6.5888888888888903</v>
      </c>
      <c r="X400" s="54">
        <f>STOCK[[#This Row],[Ganancia Unitaria]]*STOCK[[#This Row],[Salidas]]</f>
        <v>0</v>
      </c>
      <c r="AA400" s="54">
        <f>STOCK[[#This Row],[Costo total]]*STOCK[[#This Row],[Entradas]]</f>
        <v>5.4111111111111097</v>
      </c>
      <c r="AB400" s="54">
        <f>STOCK[[#This Row],[Stock Actual]]*STOCK[[#This Row],[Costo total]]</f>
        <v>5.4111111111111097</v>
      </c>
      <c r="AC400" s="54">
        <v>9</v>
      </c>
    </row>
    <row r="401" spans="1:29" s="53" customFormat="1" ht="50" customHeight="1">
      <c r="A401" s="53" t="s">
        <v>846</v>
      </c>
      <c r="B401" s="64"/>
      <c r="C401" s="53" t="s">
        <v>32</v>
      </c>
      <c r="D401" s="53" t="s">
        <v>294</v>
      </c>
      <c r="E401" s="65" t="s">
        <v>845</v>
      </c>
      <c r="F401" s="53" t="s">
        <v>62</v>
      </c>
      <c r="G401" s="53" t="s">
        <v>36</v>
      </c>
      <c r="H401" s="53">
        <f>STOCK[[#This Row],[Precio Final]]</f>
        <v>12</v>
      </c>
      <c r="I401" s="53">
        <f>STOCK[[#This Row],[Precio Venta Ideal (x1.5)]]</f>
        <v>8.1166666666666636</v>
      </c>
      <c r="J401" s="69">
        <v>1</v>
      </c>
      <c r="K401" s="69">
        <f>SUMIFS(VENTAS[Cantidad],VENTAS[Código del producto Vendido],STOCK[[#This Row],[Code]])</f>
        <v>0</v>
      </c>
      <c r="L401" s="69">
        <f>STOCK[[#This Row],[Entradas]]-STOCK[[#This Row],[Salidas]]</f>
        <v>1</v>
      </c>
      <c r="M401" s="53">
        <f>STOCK[[#This Row],[Precio Final]]*10%</f>
        <v>1.2000000000000002</v>
      </c>
      <c r="N401" s="53">
        <v>65</v>
      </c>
      <c r="O401" s="53">
        <v>18</v>
      </c>
      <c r="P401" s="53">
        <v>3.6111111111111098</v>
      </c>
      <c r="Q401" s="69">
        <v>60</v>
      </c>
      <c r="R401" s="53">
        <v>10</v>
      </c>
      <c r="S401" s="53">
        <f>STOCK[[#This Row],[Peso (g)]]*STOCK[[#This Row],[Precio Envío Kilogramo (USD)]]/1000</f>
        <v>0.6</v>
      </c>
      <c r="T401" s="53">
        <f>STOCK[[#This Row],[Costo Unitario (USD)]]+STOCK[[#This Row],[Costo Envío (USD)]]+STOCK[[#This Row],[Comisión 10%]]</f>
        <v>5.4111111111111097</v>
      </c>
      <c r="U401" s="53">
        <f>STOCK[[#This Row],[Costo total]]*1.5</f>
        <v>8.1166666666666636</v>
      </c>
      <c r="V401" s="53">
        <v>12</v>
      </c>
      <c r="W401" s="53">
        <f>STOCK[[#This Row],[Precio Final]]-STOCK[[#This Row],[Costo total]]</f>
        <v>6.5888888888888903</v>
      </c>
      <c r="X401" s="53">
        <f>STOCK[[#This Row],[Ganancia Unitaria]]*STOCK[[#This Row],[Salidas]]</f>
        <v>0</v>
      </c>
      <c r="AA401" s="53">
        <f>STOCK[[#This Row],[Costo total]]*STOCK[[#This Row],[Entradas]]</f>
        <v>5.4111111111111097</v>
      </c>
      <c r="AB401" s="53">
        <f>STOCK[[#This Row],[Stock Actual]]*STOCK[[#This Row],[Costo total]]</f>
        <v>5.4111111111111097</v>
      </c>
      <c r="AC401" s="53">
        <v>9</v>
      </c>
    </row>
    <row r="402" spans="1:29" s="54" customFormat="1" ht="50" customHeight="1">
      <c r="A402" s="54" t="s">
        <v>847</v>
      </c>
      <c r="B402" s="64"/>
      <c r="C402" s="54" t="s">
        <v>32</v>
      </c>
      <c r="D402" s="54" t="s">
        <v>152</v>
      </c>
      <c r="E402" s="66" t="s">
        <v>848</v>
      </c>
      <c r="F402" s="54" t="s">
        <v>46</v>
      </c>
      <c r="G402" s="54" t="s">
        <v>36</v>
      </c>
      <c r="H402" s="54">
        <f>STOCK[[#This Row],[Precio Final]]</f>
        <v>12</v>
      </c>
      <c r="I402" s="54">
        <f>STOCK[[#This Row],[Precio Venta Ideal (x1.5)]]</f>
        <v>8.5999999999999943</v>
      </c>
      <c r="J402" s="70">
        <v>1</v>
      </c>
      <c r="K402" s="70">
        <f>SUMIFS(VENTAS[Cantidad],VENTAS[Código del producto Vendido],STOCK[[#This Row],[Code]])</f>
        <v>0</v>
      </c>
      <c r="L402" s="70">
        <f>STOCK[[#This Row],[Entradas]]-STOCK[[#This Row],[Salidas]]</f>
        <v>1</v>
      </c>
      <c r="M402" s="54">
        <f>STOCK[[#This Row],[Precio Final]]*10%</f>
        <v>1.2000000000000002</v>
      </c>
      <c r="N402" s="54">
        <v>69</v>
      </c>
      <c r="O402" s="54">
        <v>18</v>
      </c>
      <c r="P402" s="54">
        <v>3.8333333333333299</v>
      </c>
      <c r="Q402" s="70">
        <v>70</v>
      </c>
      <c r="R402" s="54">
        <v>10</v>
      </c>
      <c r="S402" s="54">
        <f>STOCK[[#This Row],[Peso (g)]]*STOCK[[#This Row],[Precio Envío Kilogramo (USD)]]/1000</f>
        <v>0.7</v>
      </c>
      <c r="T402" s="53">
        <f>STOCK[[#This Row],[Costo Unitario (USD)]]+STOCK[[#This Row],[Costo Envío (USD)]]+STOCK[[#This Row],[Comisión 10%]]</f>
        <v>5.7333333333333298</v>
      </c>
      <c r="U402" s="54">
        <f>STOCK[[#This Row],[Costo total]]*1.5</f>
        <v>8.5999999999999943</v>
      </c>
      <c r="V402" s="54">
        <v>12</v>
      </c>
      <c r="W402" s="54">
        <f>STOCK[[#This Row],[Precio Final]]-STOCK[[#This Row],[Costo total]]</f>
        <v>6.2666666666666702</v>
      </c>
      <c r="X402" s="54">
        <f>STOCK[[#This Row],[Ganancia Unitaria]]*STOCK[[#This Row],[Salidas]]</f>
        <v>0</v>
      </c>
      <c r="AA402" s="54">
        <f>STOCK[[#This Row],[Costo total]]*STOCK[[#This Row],[Entradas]]</f>
        <v>5.7333333333333298</v>
      </c>
      <c r="AB402" s="54">
        <f>STOCK[[#This Row],[Stock Actual]]*STOCK[[#This Row],[Costo total]]</f>
        <v>5.7333333333333298</v>
      </c>
      <c r="AC402" s="54">
        <v>9</v>
      </c>
    </row>
    <row r="403" spans="1:29" s="53" customFormat="1" ht="50" customHeight="1">
      <c r="A403" s="53" t="s">
        <v>849</v>
      </c>
      <c r="B403" s="64"/>
      <c r="C403" s="53" t="s">
        <v>32</v>
      </c>
      <c r="D403" s="53" t="s">
        <v>38</v>
      </c>
      <c r="E403" s="65" t="s">
        <v>850</v>
      </c>
      <c r="F403" s="53" t="s">
        <v>49</v>
      </c>
      <c r="G403" s="53" t="s">
        <v>36</v>
      </c>
      <c r="H403" s="53">
        <f>STOCK[[#This Row],[Precio Final]]</f>
        <v>30</v>
      </c>
      <c r="I403" s="53">
        <f>STOCK[[#This Row],[Precio Venta Ideal (x1.5)]]</f>
        <v>34.5833333333334</v>
      </c>
      <c r="J403" s="69">
        <v>1</v>
      </c>
      <c r="K403" s="69">
        <f>SUMIFS(VENTAS[Cantidad],VENTAS[Código del producto Vendido],STOCK[[#This Row],[Code]])</f>
        <v>1</v>
      </c>
      <c r="L403" s="69">
        <f>STOCK[[#This Row],[Entradas]]-STOCK[[#This Row],[Salidas]]</f>
        <v>0</v>
      </c>
      <c r="M403" s="53">
        <f>STOCK[[#This Row],[Precio Final]]*10%</f>
        <v>3</v>
      </c>
      <c r="N403" s="53">
        <v>289</v>
      </c>
      <c r="O403" s="53">
        <v>18</v>
      </c>
      <c r="P403" s="53">
        <v>16.0555555555556</v>
      </c>
      <c r="Q403" s="69">
        <v>400</v>
      </c>
      <c r="R403" s="53">
        <v>10</v>
      </c>
      <c r="S403" s="53">
        <f>STOCK[[#This Row],[Peso (g)]]*STOCK[[#This Row],[Precio Envío Kilogramo (USD)]]/1000</f>
        <v>4</v>
      </c>
      <c r="T403" s="53">
        <f>STOCK[[#This Row],[Costo Unitario (USD)]]+STOCK[[#This Row],[Costo Envío (USD)]]+STOCK[[#This Row],[Comisión 10%]]</f>
        <v>23.0555555555556</v>
      </c>
      <c r="U403" s="53">
        <f>STOCK[[#This Row],[Costo total]]*1.5</f>
        <v>34.5833333333334</v>
      </c>
      <c r="V403" s="53">
        <v>30</v>
      </c>
      <c r="W403" s="53">
        <f>STOCK[[#This Row],[Precio Final]]-STOCK[[#This Row],[Costo total]]</f>
        <v>6.9444444444444002</v>
      </c>
      <c r="X403" s="53">
        <f>STOCK[[#This Row],[Ganancia Unitaria]]*STOCK[[#This Row],[Salidas]]</f>
        <v>6.9444444444444002</v>
      </c>
      <c r="AA403" s="53">
        <f>STOCK[[#This Row],[Costo total]]*STOCK[[#This Row],[Entradas]]</f>
        <v>23.0555555555556</v>
      </c>
      <c r="AB403" s="53">
        <f>STOCK[[#This Row],[Stock Actual]]*STOCK[[#This Row],[Costo total]]</f>
        <v>0</v>
      </c>
    </row>
    <row r="404" spans="1:29" s="54" customFormat="1" ht="50" customHeight="1">
      <c r="A404" s="54" t="s">
        <v>851</v>
      </c>
      <c r="B404" s="64"/>
      <c r="C404" s="54" t="s">
        <v>32</v>
      </c>
      <c r="D404" s="54" t="s">
        <v>44</v>
      </c>
      <c r="E404" s="66" t="s">
        <v>852</v>
      </c>
      <c r="F404" s="54" t="s">
        <v>62</v>
      </c>
      <c r="G404" s="54" t="s">
        <v>36</v>
      </c>
      <c r="H404" s="54">
        <f>STOCK[[#This Row],[Precio Final]]</f>
        <v>25</v>
      </c>
      <c r="I404" s="54">
        <f>STOCK[[#This Row],[Precio Venta Ideal (x1.5)]]</f>
        <v>28.9166666666667</v>
      </c>
      <c r="J404" s="70">
        <v>1</v>
      </c>
      <c r="K404" s="70">
        <f>SUMIFS(VENTAS[Cantidad],VENTAS[Código del producto Vendido],STOCK[[#This Row],[Code]])</f>
        <v>1</v>
      </c>
      <c r="L404" s="70">
        <f>STOCK[[#This Row],[Entradas]]-STOCK[[#This Row],[Salidas]]</f>
        <v>0</v>
      </c>
      <c r="M404" s="54">
        <f>STOCK[[#This Row],[Precio Final]]*10%</f>
        <v>2.5</v>
      </c>
      <c r="N404" s="54">
        <v>275</v>
      </c>
      <c r="O404" s="54">
        <v>18</v>
      </c>
      <c r="P404" s="54">
        <v>15.2777777777778</v>
      </c>
      <c r="Q404" s="70">
        <v>150</v>
      </c>
      <c r="R404" s="54">
        <v>10</v>
      </c>
      <c r="S404" s="54">
        <f>STOCK[[#This Row],[Peso (g)]]*STOCK[[#This Row],[Precio Envío Kilogramo (USD)]]/1000</f>
        <v>1.5</v>
      </c>
      <c r="T404" s="53">
        <f>STOCK[[#This Row],[Costo Unitario (USD)]]+STOCK[[#This Row],[Costo Envío (USD)]]+STOCK[[#This Row],[Comisión 10%]]</f>
        <v>19.2777777777778</v>
      </c>
      <c r="U404" s="54">
        <f>STOCK[[#This Row],[Costo total]]*1.5</f>
        <v>28.9166666666667</v>
      </c>
      <c r="V404" s="54">
        <v>25</v>
      </c>
      <c r="W404" s="54">
        <f>STOCK[[#This Row],[Precio Final]]-STOCK[[#This Row],[Costo total]]</f>
        <v>5.7222222222222001</v>
      </c>
      <c r="X404" s="54">
        <f>STOCK[[#This Row],[Ganancia Unitaria]]*STOCK[[#This Row],[Salidas]]</f>
        <v>5.7222222222222001</v>
      </c>
      <c r="AA404" s="54">
        <f>STOCK[[#This Row],[Costo total]]*STOCK[[#This Row],[Entradas]]</f>
        <v>19.2777777777778</v>
      </c>
      <c r="AB404" s="54">
        <f>STOCK[[#This Row],[Stock Actual]]*STOCK[[#This Row],[Costo total]]</f>
        <v>0</v>
      </c>
    </row>
    <row r="405" spans="1:29" s="53" customFormat="1" ht="50" customHeight="1">
      <c r="A405" s="53" t="s">
        <v>853</v>
      </c>
      <c r="B405" s="64"/>
      <c r="C405" s="53" t="s">
        <v>32</v>
      </c>
      <c r="D405" s="53" t="s">
        <v>351</v>
      </c>
      <c r="E405" s="65" t="s">
        <v>854</v>
      </c>
      <c r="F405" s="53" t="s">
        <v>46</v>
      </c>
      <c r="G405" s="53" t="s">
        <v>36</v>
      </c>
      <c r="H405" s="53">
        <f>STOCK[[#This Row],[Precio Final]]</f>
        <v>10</v>
      </c>
      <c r="I405" s="53">
        <f>STOCK[[#This Row],[Precio Venta Ideal (x1.5)]]</f>
        <v>7.3666666666666645</v>
      </c>
      <c r="J405" s="69">
        <v>0</v>
      </c>
      <c r="K405" s="69">
        <f>SUMIFS(VENTAS[Cantidad],VENTAS[Código del producto Vendido],STOCK[[#This Row],[Code]])</f>
        <v>0</v>
      </c>
      <c r="L405" s="69">
        <f>STOCK[[#This Row],[Entradas]]-STOCK[[#This Row],[Salidas]]</f>
        <v>0</v>
      </c>
      <c r="M405" s="53">
        <f>STOCK[[#This Row],[Precio Final]]*10%</f>
        <v>1</v>
      </c>
      <c r="N405" s="53">
        <v>65</v>
      </c>
      <c r="O405" s="53">
        <v>18</v>
      </c>
      <c r="P405" s="53">
        <v>3.6111111111111098</v>
      </c>
      <c r="Q405" s="69">
        <v>30</v>
      </c>
      <c r="R405" s="53">
        <v>10</v>
      </c>
      <c r="S405" s="53">
        <f>STOCK[[#This Row],[Peso (g)]]*STOCK[[#This Row],[Precio Envío Kilogramo (USD)]]/1000</f>
        <v>0.3</v>
      </c>
      <c r="T405" s="53">
        <f>STOCK[[#This Row],[Costo Unitario (USD)]]+STOCK[[#This Row],[Costo Envío (USD)]]+STOCK[[#This Row],[Comisión 10%]]</f>
        <v>4.9111111111111097</v>
      </c>
      <c r="U405" s="53">
        <f>STOCK[[#This Row],[Costo total]]*1.5</f>
        <v>7.3666666666666645</v>
      </c>
      <c r="V405" s="53">
        <v>10</v>
      </c>
      <c r="W405" s="53">
        <f>STOCK[[#This Row],[Precio Final]]-STOCK[[#This Row],[Costo total]]</f>
        <v>5.0888888888888903</v>
      </c>
      <c r="X405" s="53">
        <f>STOCK[[#This Row],[Ganancia Unitaria]]*STOCK[[#This Row],[Salidas]]</f>
        <v>0</v>
      </c>
      <c r="AA405" s="53">
        <f>STOCK[[#This Row],[Costo total]]*STOCK[[#This Row],[Entradas]]</f>
        <v>0</v>
      </c>
      <c r="AB405" s="53">
        <f>STOCK[[#This Row],[Stock Actual]]*STOCK[[#This Row],[Costo total]]</f>
        <v>0</v>
      </c>
    </row>
    <row r="406" spans="1:29" s="54" customFormat="1" ht="50" customHeight="1">
      <c r="A406" s="54" t="s">
        <v>855</v>
      </c>
      <c r="B406" s="64"/>
      <c r="C406" s="54" t="s">
        <v>32</v>
      </c>
      <c r="D406" s="54" t="s">
        <v>856</v>
      </c>
      <c r="E406" s="66" t="s">
        <v>857</v>
      </c>
      <c r="F406" s="54" t="s">
        <v>525</v>
      </c>
      <c r="G406" s="54" t="s">
        <v>36</v>
      </c>
      <c r="H406" s="54">
        <f>STOCK[[#This Row],[Precio Final]]</f>
        <v>7</v>
      </c>
      <c r="I406" s="54">
        <f>STOCK[[#This Row],[Precio Venta Ideal (x1.5)]]</f>
        <v>5.6666666666666696</v>
      </c>
      <c r="J406" s="70">
        <v>1</v>
      </c>
      <c r="K406" s="70">
        <f>SUMIFS(VENTAS[Cantidad],VENTAS[Código del producto Vendido],STOCK[[#This Row],[Code]])</f>
        <v>0</v>
      </c>
      <c r="L406" s="70">
        <f>STOCK[[#This Row],[Entradas]]-STOCK[[#This Row],[Salidas]]</f>
        <v>1</v>
      </c>
      <c r="M406" s="54">
        <f>STOCK[[#This Row],[Precio Final]]*10%</f>
        <v>0.70000000000000007</v>
      </c>
      <c r="N406" s="54">
        <v>50</v>
      </c>
      <c r="O406" s="54">
        <v>18</v>
      </c>
      <c r="P406" s="54">
        <v>2.7777777777777799</v>
      </c>
      <c r="Q406" s="70">
        <v>30</v>
      </c>
      <c r="R406" s="54">
        <v>10</v>
      </c>
      <c r="S406" s="54">
        <f>STOCK[[#This Row],[Peso (g)]]*STOCK[[#This Row],[Precio Envío Kilogramo (USD)]]/1000</f>
        <v>0.3</v>
      </c>
      <c r="T406" s="53">
        <f>STOCK[[#This Row],[Costo Unitario (USD)]]+STOCK[[#This Row],[Costo Envío (USD)]]+STOCK[[#This Row],[Comisión 10%]]</f>
        <v>3.7777777777777799</v>
      </c>
      <c r="U406" s="54">
        <f>STOCK[[#This Row],[Costo total]]*1.5</f>
        <v>5.6666666666666696</v>
      </c>
      <c r="V406" s="54">
        <v>7</v>
      </c>
      <c r="W406" s="54">
        <f>STOCK[[#This Row],[Precio Final]]-STOCK[[#This Row],[Costo total]]</f>
        <v>3.2222222222222201</v>
      </c>
      <c r="X406" s="54">
        <f>STOCK[[#This Row],[Ganancia Unitaria]]*STOCK[[#This Row],[Salidas]]</f>
        <v>0</v>
      </c>
      <c r="AA406" s="54">
        <f>STOCK[[#This Row],[Costo total]]*STOCK[[#This Row],[Entradas]]</f>
        <v>3.7777777777777799</v>
      </c>
      <c r="AB406" s="54">
        <f>STOCK[[#This Row],[Stock Actual]]*STOCK[[#This Row],[Costo total]]</f>
        <v>3.7777777777777799</v>
      </c>
    </row>
    <row r="407" spans="1:29" s="53" customFormat="1" ht="50" customHeight="1">
      <c r="A407" s="53" t="s">
        <v>858</v>
      </c>
      <c r="B407" s="64"/>
      <c r="C407" s="53" t="s">
        <v>32</v>
      </c>
      <c r="D407" s="53" t="s">
        <v>44</v>
      </c>
      <c r="E407" s="65" t="s">
        <v>859</v>
      </c>
      <c r="F407" s="53" t="s">
        <v>62</v>
      </c>
      <c r="G407" s="53" t="s">
        <v>36</v>
      </c>
      <c r="H407" s="53">
        <f>STOCK[[#This Row],[Precio Final]]</f>
        <v>16</v>
      </c>
      <c r="I407" s="53">
        <f>STOCK[[#This Row],[Precio Venta Ideal (x1.5)]]</f>
        <v>16.066666666666666</v>
      </c>
      <c r="J407" s="69">
        <v>1</v>
      </c>
      <c r="K407" s="69">
        <f>SUMIFS(VENTAS[Cantidad],VENTAS[Código del producto Vendido],STOCK[[#This Row],[Code]])</f>
        <v>1</v>
      </c>
      <c r="L407" s="69">
        <f>STOCK[[#This Row],[Entradas]]-STOCK[[#This Row],[Salidas]]</f>
        <v>0</v>
      </c>
      <c r="M407" s="53">
        <f>STOCK[[#This Row],[Precio Final]]*10%</f>
        <v>1.6</v>
      </c>
      <c r="N407" s="53">
        <v>110</v>
      </c>
      <c r="O407" s="53">
        <v>18</v>
      </c>
      <c r="P407" s="53">
        <v>6.1111111111111098</v>
      </c>
      <c r="Q407" s="69">
        <v>300</v>
      </c>
      <c r="R407" s="53">
        <v>10</v>
      </c>
      <c r="S407" s="53">
        <f>STOCK[[#This Row],[Peso (g)]]*STOCK[[#This Row],[Precio Envío Kilogramo (USD)]]/1000</f>
        <v>3</v>
      </c>
      <c r="T407" s="53">
        <f>STOCK[[#This Row],[Costo Unitario (USD)]]+STOCK[[#This Row],[Costo Envío (USD)]]+STOCK[[#This Row],[Comisión 10%]]</f>
        <v>10.71111111111111</v>
      </c>
      <c r="U407" s="53">
        <f>STOCK[[#This Row],[Costo total]]*1.5</f>
        <v>16.066666666666666</v>
      </c>
      <c r="V407" s="53">
        <v>16</v>
      </c>
      <c r="W407" s="53">
        <f>STOCK[[#This Row],[Precio Final]]-STOCK[[#This Row],[Costo total]]</f>
        <v>5.2888888888888896</v>
      </c>
      <c r="X407" s="53">
        <f>STOCK[[#This Row],[Ganancia Unitaria]]*STOCK[[#This Row],[Salidas]]</f>
        <v>5.2888888888888896</v>
      </c>
      <c r="AA407" s="53">
        <f>STOCK[[#This Row],[Costo total]]*STOCK[[#This Row],[Entradas]]</f>
        <v>10.71111111111111</v>
      </c>
      <c r="AB407" s="53">
        <f>STOCK[[#This Row],[Stock Actual]]*STOCK[[#This Row],[Costo total]]</f>
        <v>0</v>
      </c>
    </row>
    <row r="408" spans="1:29" s="54" customFormat="1" ht="50" customHeight="1">
      <c r="A408" s="54" t="s">
        <v>860</v>
      </c>
      <c r="B408" s="64"/>
      <c r="C408" s="54" t="s">
        <v>32</v>
      </c>
      <c r="D408" s="54" t="s">
        <v>44</v>
      </c>
      <c r="E408" s="66" t="s">
        <v>861</v>
      </c>
      <c r="F408" s="54" t="s">
        <v>211</v>
      </c>
      <c r="G408" s="54" t="s">
        <v>36</v>
      </c>
      <c r="H408" s="54">
        <f>STOCK[[#This Row],[Precio Final]]</f>
        <v>18</v>
      </c>
      <c r="I408" s="54">
        <f>STOCK[[#This Row],[Precio Venta Ideal (x1.5)]]</f>
        <v>16.366666666666667</v>
      </c>
      <c r="J408" s="70">
        <v>2</v>
      </c>
      <c r="K408" s="70">
        <f>SUMIFS(VENTAS[Cantidad],VENTAS[Código del producto Vendido],STOCK[[#This Row],[Code]])</f>
        <v>2</v>
      </c>
      <c r="L408" s="70">
        <f>STOCK[[#This Row],[Entradas]]-STOCK[[#This Row],[Salidas]]</f>
        <v>0</v>
      </c>
      <c r="M408" s="54">
        <f>STOCK[[#This Row],[Precio Final]]*10%</f>
        <v>1.8</v>
      </c>
      <c r="N408" s="54">
        <v>110</v>
      </c>
      <c r="O408" s="54">
        <v>18</v>
      </c>
      <c r="P408" s="54">
        <v>6.1111111111111098</v>
      </c>
      <c r="Q408" s="70">
        <v>300</v>
      </c>
      <c r="R408" s="54">
        <v>10</v>
      </c>
      <c r="S408" s="54">
        <f>STOCK[[#This Row],[Peso (g)]]*STOCK[[#This Row],[Precio Envío Kilogramo (USD)]]/1000</f>
        <v>3</v>
      </c>
      <c r="T408" s="53">
        <f>STOCK[[#This Row],[Costo Unitario (USD)]]+STOCK[[#This Row],[Costo Envío (USD)]]+STOCK[[#This Row],[Comisión 10%]]</f>
        <v>10.911111111111111</v>
      </c>
      <c r="U408" s="54">
        <f>STOCK[[#This Row],[Costo total]]*1.5</f>
        <v>16.366666666666667</v>
      </c>
      <c r="V408" s="54">
        <v>18</v>
      </c>
      <c r="W408" s="54">
        <f>STOCK[[#This Row],[Precio Final]]-STOCK[[#This Row],[Costo total]]</f>
        <v>7.0888888888888886</v>
      </c>
      <c r="X408" s="54">
        <f>STOCK[[#This Row],[Ganancia Unitaria]]*STOCK[[#This Row],[Salidas]]</f>
        <v>14.177777777777777</v>
      </c>
      <c r="AA408" s="54">
        <f>STOCK[[#This Row],[Costo total]]*STOCK[[#This Row],[Entradas]]</f>
        <v>21.822222222222223</v>
      </c>
      <c r="AB408" s="54">
        <f>STOCK[[#This Row],[Stock Actual]]*STOCK[[#This Row],[Costo total]]</f>
        <v>0</v>
      </c>
    </row>
    <row r="409" spans="1:29" s="53" customFormat="1" ht="50" customHeight="1">
      <c r="A409" s="53" t="s">
        <v>862</v>
      </c>
      <c r="B409" s="64"/>
      <c r="C409" s="53" t="s">
        <v>32</v>
      </c>
      <c r="D409" s="53" t="s">
        <v>38</v>
      </c>
      <c r="E409" s="65" t="s">
        <v>863</v>
      </c>
      <c r="F409" s="53" t="s">
        <v>62</v>
      </c>
      <c r="G409" s="53" t="s">
        <v>36</v>
      </c>
      <c r="H409" s="53">
        <f>STOCK[[#This Row],[Precio Final]]</f>
        <v>20</v>
      </c>
      <c r="I409" s="53">
        <f>STOCK[[#This Row],[Precio Venta Ideal (x1.5)]]</f>
        <v>23.1666666666666</v>
      </c>
      <c r="J409" s="69">
        <v>2</v>
      </c>
      <c r="K409" s="69">
        <f>SUMIFS(VENTAS[Cantidad],VENTAS[Código del producto Vendido],STOCK[[#This Row],[Code]])</f>
        <v>2</v>
      </c>
      <c r="L409" s="69">
        <f>STOCK[[#This Row],[Entradas]]-STOCK[[#This Row],[Salidas]]</f>
        <v>0</v>
      </c>
      <c r="M409" s="53">
        <f>STOCK[[#This Row],[Precio Final]]*10%</f>
        <v>2</v>
      </c>
      <c r="N409" s="53">
        <v>206</v>
      </c>
      <c r="O409" s="53">
        <v>18</v>
      </c>
      <c r="P409" s="53">
        <v>11.4444444444444</v>
      </c>
      <c r="Q409" s="69">
        <v>200</v>
      </c>
      <c r="R409" s="53">
        <v>10</v>
      </c>
      <c r="S409" s="53">
        <f>STOCK[[#This Row],[Peso (g)]]*STOCK[[#This Row],[Precio Envío Kilogramo (USD)]]/1000</f>
        <v>2</v>
      </c>
      <c r="T409" s="53">
        <f>STOCK[[#This Row],[Costo Unitario (USD)]]+STOCK[[#This Row],[Costo Envío (USD)]]+STOCK[[#This Row],[Comisión 10%]]</f>
        <v>15.4444444444444</v>
      </c>
      <c r="U409" s="53">
        <f>STOCK[[#This Row],[Costo total]]*1.5</f>
        <v>23.1666666666666</v>
      </c>
      <c r="V409" s="53">
        <v>20</v>
      </c>
      <c r="W409" s="53">
        <f>STOCK[[#This Row],[Precio Final]]-STOCK[[#This Row],[Costo total]]</f>
        <v>4.5555555555555998</v>
      </c>
      <c r="X409" s="53">
        <f>STOCK[[#This Row],[Ganancia Unitaria]]*STOCK[[#This Row],[Salidas]]</f>
        <v>9.1111111111111995</v>
      </c>
      <c r="AA409" s="53">
        <f>STOCK[[#This Row],[Costo total]]*STOCK[[#This Row],[Entradas]]</f>
        <v>30.8888888888888</v>
      </c>
      <c r="AB409" s="53">
        <f>STOCK[[#This Row],[Stock Actual]]*STOCK[[#This Row],[Costo total]]</f>
        <v>0</v>
      </c>
    </row>
    <row r="410" spans="1:29" s="54" customFormat="1" ht="50" customHeight="1">
      <c r="A410" s="54" t="s">
        <v>864</v>
      </c>
      <c r="B410" s="64"/>
      <c r="C410" s="54" t="s">
        <v>32</v>
      </c>
      <c r="D410" s="54" t="s">
        <v>38</v>
      </c>
      <c r="E410" s="66" t="s">
        <v>865</v>
      </c>
      <c r="F410" s="54" t="s">
        <v>49</v>
      </c>
      <c r="G410" s="54" t="s">
        <v>36</v>
      </c>
      <c r="H410" s="54">
        <f>STOCK[[#This Row],[Precio Final]]</f>
        <v>20</v>
      </c>
      <c r="I410" s="54">
        <f>STOCK[[#This Row],[Precio Venta Ideal (x1.5)]]</f>
        <v>23.1666666666666</v>
      </c>
      <c r="J410" s="70">
        <v>1</v>
      </c>
      <c r="K410" s="70">
        <f>SUMIFS(VENTAS[Cantidad],VENTAS[Código del producto Vendido],STOCK[[#This Row],[Code]])</f>
        <v>1</v>
      </c>
      <c r="L410" s="70">
        <f>STOCK[[#This Row],[Entradas]]-STOCK[[#This Row],[Salidas]]</f>
        <v>0</v>
      </c>
      <c r="M410" s="54">
        <f>STOCK[[#This Row],[Precio Final]]*10%</f>
        <v>2</v>
      </c>
      <c r="N410" s="54">
        <v>206</v>
      </c>
      <c r="O410" s="54">
        <v>18</v>
      </c>
      <c r="P410" s="54">
        <v>11.4444444444444</v>
      </c>
      <c r="Q410" s="70">
        <v>200</v>
      </c>
      <c r="R410" s="54">
        <v>10</v>
      </c>
      <c r="S410" s="54">
        <f>STOCK[[#This Row],[Peso (g)]]*STOCK[[#This Row],[Precio Envío Kilogramo (USD)]]/1000</f>
        <v>2</v>
      </c>
      <c r="T410" s="53">
        <f>STOCK[[#This Row],[Costo Unitario (USD)]]+STOCK[[#This Row],[Costo Envío (USD)]]+STOCK[[#This Row],[Comisión 10%]]</f>
        <v>15.4444444444444</v>
      </c>
      <c r="U410" s="54">
        <f>STOCK[[#This Row],[Costo total]]*1.5</f>
        <v>23.1666666666666</v>
      </c>
      <c r="V410" s="54">
        <v>20</v>
      </c>
      <c r="W410" s="54">
        <f>STOCK[[#This Row],[Precio Final]]-STOCK[[#This Row],[Costo total]]</f>
        <v>4.5555555555555998</v>
      </c>
      <c r="X410" s="54">
        <f>STOCK[[#This Row],[Ganancia Unitaria]]*STOCK[[#This Row],[Salidas]]</f>
        <v>4.5555555555555998</v>
      </c>
      <c r="AA410" s="54">
        <f>STOCK[[#This Row],[Costo total]]*STOCK[[#This Row],[Entradas]]</f>
        <v>15.4444444444444</v>
      </c>
      <c r="AB410" s="54">
        <f>STOCK[[#This Row],[Stock Actual]]*STOCK[[#This Row],[Costo total]]</f>
        <v>0</v>
      </c>
    </row>
    <row r="411" spans="1:29" s="53" customFormat="1" ht="50" customHeight="1">
      <c r="A411" s="53" t="s">
        <v>866</v>
      </c>
      <c r="B411" s="64"/>
      <c r="C411" s="53" t="s">
        <v>32</v>
      </c>
      <c r="D411" s="53" t="s">
        <v>216</v>
      </c>
      <c r="E411" s="65" t="s">
        <v>867</v>
      </c>
      <c r="F411" s="53" t="s">
        <v>49</v>
      </c>
      <c r="G411" s="53" t="s">
        <v>36</v>
      </c>
      <c r="H411" s="53">
        <f>STOCK[[#This Row],[Precio Final]]</f>
        <v>20</v>
      </c>
      <c r="I411" s="53">
        <f>STOCK[[#This Row],[Precio Venta Ideal (x1.5)]]</f>
        <v>16.666666666666664</v>
      </c>
      <c r="J411" s="69">
        <v>1</v>
      </c>
      <c r="K411" s="69">
        <f>SUMIFS(VENTAS[Cantidad],VENTAS[Código del producto Vendido],STOCK[[#This Row],[Code]])</f>
        <v>0</v>
      </c>
      <c r="L411" s="69">
        <f>STOCK[[#This Row],[Entradas]]-STOCK[[#This Row],[Salidas]]</f>
        <v>1</v>
      </c>
      <c r="M411" s="53">
        <f>STOCK[[#This Row],[Precio Final]]*10%</f>
        <v>2</v>
      </c>
      <c r="N411" s="53">
        <v>128</v>
      </c>
      <c r="O411" s="53">
        <v>18</v>
      </c>
      <c r="P411" s="53">
        <v>7.1111111111111098</v>
      </c>
      <c r="Q411" s="69">
        <v>200</v>
      </c>
      <c r="R411" s="53">
        <v>10</v>
      </c>
      <c r="S411" s="53">
        <f>STOCK[[#This Row],[Peso (g)]]*STOCK[[#This Row],[Precio Envío Kilogramo (USD)]]/1000</f>
        <v>2</v>
      </c>
      <c r="T411" s="53">
        <f>STOCK[[#This Row],[Costo Unitario (USD)]]+STOCK[[#This Row],[Costo Envío (USD)]]+STOCK[[#This Row],[Comisión 10%]]</f>
        <v>11.111111111111111</v>
      </c>
      <c r="U411" s="53">
        <f>STOCK[[#This Row],[Costo total]]*1.5</f>
        <v>16.666666666666664</v>
      </c>
      <c r="V411" s="53">
        <v>20</v>
      </c>
      <c r="W411" s="53">
        <f>STOCK[[#This Row],[Precio Final]]-STOCK[[#This Row],[Costo total]]</f>
        <v>8.8888888888888893</v>
      </c>
      <c r="X411" s="53">
        <f>STOCK[[#This Row],[Ganancia Unitaria]]*STOCK[[#This Row],[Salidas]]</f>
        <v>0</v>
      </c>
      <c r="AA411" s="53">
        <f>STOCK[[#This Row],[Costo total]]*STOCK[[#This Row],[Entradas]]</f>
        <v>11.111111111111111</v>
      </c>
      <c r="AB411" s="53">
        <f>STOCK[[#This Row],[Stock Actual]]*STOCK[[#This Row],[Costo total]]</f>
        <v>11.111111111111111</v>
      </c>
    </row>
    <row r="412" spans="1:29" s="54" customFormat="1" ht="50" customHeight="1">
      <c r="A412" s="54" t="s">
        <v>868</v>
      </c>
      <c r="B412" s="64"/>
      <c r="C412" s="54" t="s">
        <v>32</v>
      </c>
      <c r="D412" s="54" t="s">
        <v>82</v>
      </c>
      <c r="E412" s="66" t="s">
        <v>869</v>
      </c>
      <c r="F412" s="54" t="s">
        <v>205</v>
      </c>
      <c r="G412" s="54" t="s">
        <v>36</v>
      </c>
      <c r="H412" s="54">
        <f>STOCK[[#This Row],[Precio Final]]</f>
        <v>16</v>
      </c>
      <c r="I412" s="54">
        <f>STOCK[[#This Row],[Precio Venta Ideal (x1.5)]]</f>
        <v>17.899999999999995</v>
      </c>
      <c r="J412" s="70">
        <v>1</v>
      </c>
      <c r="K412" s="70">
        <f>SUMIFS(VENTAS[Cantidad],VENTAS[Código del producto Vendido],STOCK[[#This Row],[Code]])</f>
        <v>1</v>
      </c>
      <c r="L412" s="70">
        <f>STOCK[[#This Row],[Entradas]]-STOCK[[#This Row],[Salidas]]</f>
        <v>0</v>
      </c>
      <c r="M412" s="54">
        <f>STOCK[[#This Row],[Precio Final]]*10%</f>
        <v>1.6</v>
      </c>
      <c r="N412" s="54">
        <v>150</v>
      </c>
      <c r="O412" s="54">
        <v>18</v>
      </c>
      <c r="P412" s="54">
        <v>8.3333333333333304</v>
      </c>
      <c r="Q412" s="70">
        <v>200</v>
      </c>
      <c r="R412" s="54">
        <v>10</v>
      </c>
      <c r="S412" s="54">
        <f>STOCK[[#This Row],[Peso (g)]]*STOCK[[#This Row],[Precio Envío Kilogramo (USD)]]/1000</f>
        <v>2</v>
      </c>
      <c r="T412" s="53">
        <f>STOCK[[#This Row],[Costo Unitario (USD)]]+STOCK[[#This Row],[Costo Envío (USD)]]+STOCK[[#This Row],[Comisión 10%]]</f>
        <v>11.93333333333333</v>
      </c>
      <c r="U412" s="54">
        <f>STOCK[[#This Row],[Costo total]]*1.5</f>
        <v>17.899999999999995</v>
      </c>
      <c r="V412" s="54">
        <v>16</v>
      </c>
      <c r="W412" s="54">
        <f>STOCK[[#This Row],[Precio Final]]-STOCK[[#This Row],[Costo total]]</f>
        <v>4.06666666666667</v>
      </c>
      <c r="X412" s="54">
        <f>STOCK[[#This Row],[Ganancia Unitaria]]*STOCK[[#This Row],[Salidas]]</f>
        <v>4.06666666666667</v>
      </c>
      <c r="AA412" s="54">
        <f>STOCK[[#This Row],[Costo total]]*STOCK[[#This Row],[Entradas]]</f>
        <v>11.93333333333333</v>
      </c>
      <c r="AB412" s="54">
        <f>STOCK[[#This Row],[Stock Actual]]*STOCK[[#This Row],[Costo total]]</f>
        <v>0</v>
      </c>
    </row>
    <row r="413" spans="1:29" s="53" customFormat="1" ht="50" customHeight="1">
      <c r="A413" s="53" t="s">
        <v>870</v>
      </c>
      <c r="B413" s="64"/>
      <c r="C413" s="53" t="s">
        <v>32</v>
      </c>
      <c r="D413" s="53" t="s">
        <v>515</v>
      </c>
      <c r="E413" s="65" t="s">
        <v>871</v>
      </c>
      <c r="F413" s="53" t="s">
        <v>540</v>
      </c>
      <c r="G413" s="53" t="s">
        <v>36</v>
      </c>
      <c r="H413" s="53">
        <f>STOCK[[#This Row],[Precio Final]]</f>
        <v>35</v>
      </c>
      <c r="I413" s="53">
        <f>STOCK[[#This Row],[Precio Venta Ideal (x1.5)]]</f>
        <v>41.25</v>
      </c>
      <c r="J413" s="69">
        <v>0</v>
      </c>
      <c r="K413" s="69">
        <f>SUMIFS(VENTAS[Cantidad],VENTAS[Código del producto Vendido],STOCK[[#This Row],[Code]])</f>
        <v>0</v>
      </c>
      <c r="L413" s="69">
        <f>STOCK[[#This Row],[Entradas]]-STOCK[[#This Row],[Salidas]]</f>
        <v>0</v>
      </c>
      <c r="M413" s="53">
        <f>STOCK[[#This Row],[Precio Final]]*10%</f>
        <v>3.5</v>
      </c>
      <c r="N413" s="53">
        <v>485</v>
      </c>
      <c r="O413" s="53">
        <v>18</v>
      </c>
      <c r="P413" s="53">
        <v>18</v>
      </c>
      <c r="Q413" s="69">
        <v>600</v>
      </c>
      <c r="R413" s="53">
        <v>10</v>
      </c>
      <c r="S413" s="53">
        <f>STOCK[[#This Row],[Peso (g)]]*STOCK[[#This Row],[Precio Envío Kilogramo (USD)]]/1000</f>
        <v>6</v>
      </c>
      <c r="T413" s="53">
        <f>STOCK[[#This Row],[Costo Unitario (USD)]]+STOCK[[#This Row],[Costo Envío (USD)]]+STOCK[[#This Row],[Comisión 10%]]</f>
        <v>27.5</v>
      </c>
      <c r="U413" s="53">
        <f>STOCK[[#This Row],[Costo total]]*1.5</f>
        <v>41.25</v>
      </c>
      <c r="V413" s="53">
        <v>35</v>
      </c>
      <c r="W413" s="53">
        <f>STOCK[[#This Row],[Precio Final]]-STOCK[[#This Row],[Costo total]]</f>
        <v>7.5</v>
      </c>
      <c r="X413" s="53">
        <f>STOCK[[#This Row],[Ganancia Unitaria]]*STOCK[[#This Row],[Salidas]]</f>
        <v>0</v>
      </c>
      <c r="AA413" s="53">
        <f>STOCK[[#This Row],[Costo total]]*STOCK[[#This Row],[Entradas]]</f>
        <v>0</v>
      </c>
      <c r="AB413" s="53">
        <f>STOCK[[#This Row],[Stock Actual]]*STOCK[[#This Row],[Costo total]]</f>
        <v>0</v>
      </c>
    </row>
    <row r="414" spans="1:29" s="54" customFormat="1" ht="50" customHeight="1">
      <c r="A414" s="54" t="s">
        <v>872</v>
      </c>
      <c r="B414" s="64"/>
      <c r="C414" s="54" t="s">
        <v>32</v>
      </c>
      <c r="D414" s="54" t="s">
        <v>743</v>
      </c>
      <c r="E414" s="66" t="s">
        <v>873</v>
      </c>
      <c r="F414" s="54" t="s">
        <v>759</v>
      </c>
      <c r="G414" s="54" t="s">
        <v>36</v>
      </c>
      <c r="H414" s="54">
        <f>STOCK[[#This Row],[Precio Final]]</f>
        <v>40</v>
      </c>
      <c r="I414" s="54">
        <f>STOCK[[#This Row],[Precio Venta Ideal (x1.5)]]</f>
        <v>56.9166666666666</v>
      </c>
      <c r="J414" s="70">
        <v>1</v>
      </c>
      <c r="K414" s="70">
        <f>SUMIFS(VENTAS[Cantidad],VENTAS[Código del producto Vendido],STOCK[[#This Row],[Code]])</f>
        <v>1</v>
      </c>
      <c r="L414" s="70">
        <f>STOCK[[#This Row],[Entradas]]-STOCK[[#This Row],[Salidas]]</f>
        <v>0</v>
      </c>
      <c r="M414" s="54">
        <f>STOCK[[#This Row],[Precio Final]]*10%</f>
        <v>4</v>
      </c>
      <c r="N414" s="54">
        <v>485</v>
      </c>
      <c r="O414" s="54">
        <v>18</v>
      </c>
      <c r="P414" s="54">
        <v>26.9444444444444</v>
      </c>
      <c r="Q414" s="70">
        <v>700</v>
      </c>
      <c r="R414" s="54">
        <v>10</v>
      </c>
      <c r="S414" s="54">
        <f>STOCK[[#This Row],[Peso (g)]]*STOCK[[#This Row],[Precio Envío Kilogramo (USD)]]/1000</f>
        <v>7</v>
      </c>
      <c r="T414" s="53">
        <f>STOCK[[#This Row],[Costo Unitario (USD)]]+STOCK[[#This Row],[Costo Envío (USD)]]+STOCK[[#This Row],[Comisión 10%]]</f>
        <v>37.9444444444444</v>
      </c>
      <c r="U414" s="54">
        <f>STOCK[[#This Row],[Costo total]]*1.5</f>
        <v>56.9166666666666</v>
      </c>
      <c r="V414" s="54">
        <v>40</v>
      </c>
      <c r="W414" s="54">
        <f>STOCK[[#This Row],[Precio Final]]-STOCK[[#This Row],[Costo total]]</f>
        <v>2.0555555555555998</v>
      </c>
      <c r="X414" s="54">
        <f>STOCK[[#This Row],[Ganancia Unitaria]]*STOCK[[#This Row],[Salidas]]</f>
        <v>2.0555555555555998</v>
      </c>
      <c r="AA414" s="54">
        <f>STOCK[[#This Row],[Costo total]]*STOCK[[#This Row],[Entradas]]</f>
        <v>37.9444444444444</v>
      </c>
      <c r="AB414" s="54">
        <f>STOCK[[#This Row],[Stock Actual]]*STOCK[[#This Row],[Costo total]]</f>
        <v>0</v>
      </c>
    </row>
    <row r="415" spans="1:29" s="53" customFormat="1" ht="50" customHeight="1">
      <c r="A415" s="53" t="s">
        <v>874</v>
      </c>
      <c r="B415" s="64"/>
      <c r="C415" s="53" t="s">
        <v>32</v>
      </c>
      <c r="D415" s="53" t="s">
        <v>556</v>
      </c>
      <c r="E415" s="65" t="s">
        <v>875</v>
      </c>
      <c r="F415" s="53" t="s">
        <v>540</v>
      </c>
      <c r="G415" s="53" t="s">
        <v>36</v>
      </c>
      <c r="H415" s="53">
        <f>STOCK[[#This Row],[Precio Final]]</f>
        <v>40</v>
      </c>
      <c r="I415" s="53">
        <f>STOCK[[#This Row],[Precio Venta Ideal (x1.5)]]</f>
        <v>54.16666666666665</v>
      </c>
      <c r="J415" s="69">
        <v>1</v>
      </c>
      <c r="K415" s="69">
        <f>SUMIFS(VENTAS[Cantidad],VENTAS[Código del producto Vendido],STOCK[[#This Row],[Code]])</f>
        <v>0</v>
      </c>
      <c r="L415" s="69">
        <f>STOCK[[#This Row],[Entradas]]-STOCK[[#This Row],[Salidas]]</f>
        <v>1</v>
      </c>
      <c r="M415" s="53">
        <f>STOCK[[#This Row],[Precio Final]]*10%</f>
        <v>4</v>
      </c>
      <c r="N415" s="53">
        <v>452</v>
      </c>
      <c r="O415" s="53">
        <v>18</v>
      </c>
      <c r="P415" s="53">
        <v>25.1111111111111</v>
      </c>
      <c r="Q415" s="69">
        <v>700</v>
      </c>
      <c r="R415" s="53">
        <v>10</v>
      </c>
      <c r="S415" s="53">
        <f>STOCK[[#This Row],[Peso (g)]]*STOCK[[#This Row],[Precio Envío Kilogramo (USD)]]/1000</f>
        <v>7</v>
      </c>
      <c r="T415" s="53">
        <f>STOCK[[#This Row],[Costo Unitario (USD)]]+STOCK[[#This Row],[Costo Envío (USD)]]+STOCK[[#This Row],[Comisión 10%]]</f>
        <v>36.1111111111111</v>
      </c>
      <c r="U415" s="53">
        <f>STOCK[[#This Row],[Costo total]]*1.5</f>
        <v>54.16666666666665</v>
      </c>
      <c r="V415" s="53">
        <v>40</v>
      </c>
      <c r="W415" s="53">
        <f>STOCK[[#This Row],[Precio Final]]-STOCK[[#This Row],[Costo total]]</f>
        <v>3.8888888888888999</v>
      </c>
      <c r="X415" s="53">
        <f>STOCK[[#This Row],[Ganancia Unitaria]]*STOCK[[#This Row],[Salidas]]</f>
        <v>0</v>
      </c>
      <c r="AA415" s="53">
        <f>STOCK[[#This Row],[Costo total]]*STOCK[[#This Row],[Entradas]]</f>
        <v>36.1111111111111</v>
      </c>
      <c r="AB415" s="53">
        <f>STOCK[[#This Row],[Stock Actual]]*STOCK[[#This Row],[Costo total]]</f>
        <v>36.1111111111111</v>
      </c>
      <c r="AC415" s="53">
        <v>30</v>
      </c>
    </row>
    <row r="416" spans="1:29" s="54" customFormat="1" ht="50" customHeight="1">
      <c r="A416" s="54" t="s">
        <v>876</v>
      </c>
      <c r="B416" s="64"/>
      <c r="C416" s="54" t="s">
        <v>32</v>
      </c>
      <c r="D416" s="54" t="s">
        <v>546</v>
      </c>
      <c r="E416" s="66" t="s">
        <v>877</v>
      </c>
      <c r="F416" s="54" t="s">
        <v>394</v>
      </c>
      <c r="G416" s="54" t="s">
        <v>36</v>
      </c>
      <c r="H416" s="54">
        <f>STOCK[[#This Row],[Precio Final]]</f>
        <v>7</v>
      </c>
      <c r="I416" s="54">
        <f>STOCK[[#This Row],[Precio Venta Ideal (x1.5)]]</f>
        <v>6.6166666666666645</v>
      </c>
      <c r="J416" s="70">
        <v>4</v>
      </c>
      <c r="K416" s="70">
        <f>SUMIFS(VENTAS[Cantidad],VENTAS[Código del producto Vendido],STOCK[[#This Row],[Code]])</f>
        <v>4</v>
      </c>
      <c r="L416" s="70">
        <f>STOCK[[#This Row],[Entradas]]-STOCK[[#This Row],[Salidas]]</f>
        <v>0</v>
      </c>
      <c r="M416" s="54">
        <f>STOCK[[#This Row],[Precio Final]]*10%</f>
        <v>0.70000000000000007</v>
      </c>
      <c r="N416" s="54">
        <v>65</v>
      </c>
      <c r="O416" s="54">
        <v>18</v>
      </c>
      <c r="P416" s="54">
        <v>3.6111111111111098</v>
      </c>
      <c r="Q416" s="70">
        <v>10</v>
      </c>
      <c r="R416" s="54">
        <v>10</v>
      </c>
      <c r="S416" s="54">
        <f>STOCK[[#This Row],[Peso (g)]]*STOCK[[#This Row],[Precio Envío Kilogramo (USD)]]/1000</f>
        <v>0.1</v>
      </c>
      <c r="T416" s="53">
        <f>STOCK[[#This Row],[Costo Unitario (USD)]]+STOCK[[#This Row],[Costo Envío (USD)]]+STOCK[[#This Row],[Comisión 10%]]</f>
        <v>4.4111111111111097</v>
      </c>
      <c r="U416" s="54">
        <f>STOCK[[#This Row],[Costo total]]*1.5</f>
        <v>6.6166666666666645</v>
      </c>
      <c r="V416" s="54">
        <v>7</v>
      </c>
      <c r="W416" s="54">
        <f>STOCK[[#This Row],[Precio Final]]-STOCK[[#This Row],[Costo total]]</f>
        <v>2.5888888888888903</v>
      </c>
      <c r="X416" s="54">
        <f>STOCK[[#This Row],[Ganancia Unitaria]]*STOCK[[#This Row],[Salidas]]</f>
        <v>10.355555555555561</v>
      </c>
      <c r="AA416" s="54">
        <f>STOCK[[#This Row],[Costo total]]*STOCK[[#This Row],[Entradas]]</f>
        <v>17.644444444444439</v>
      </c>
      <c r="AB416" s="54">
        <f>STOCK[[#This Row],[Stock Actual]]*STOCK[[#This Row],[Costo total]]</f>
        <v>0</v>
      </c>
    </row>
    <row r="417" spans="1:29" s="53" customFormat="1" ht="50" customHeight="1">
      <c r="A417" s="53" t="s">
        <v>878</v>
      </c>
      <c r="B417" s="64"/>
      <c r="C417" s="53" t="s">
        <v>32</v>
      </c>
      <c r="D417" s="53" t="s">
        <v>879</v>
      </c>
      <c r="E417" s="65" t="s">
        <v>880</v>
      </c>
      <c r="F417" s="53" t="s">
        <v>881</v>
      </c>
      <c r="G417" s="53" t="s">
        <v>36</v>
      </c>
      <c r="H417" s="53">
        <f>STOCK[[#This Row],[Precio Final]]</f>
        <v>7</v>
      </c>
      <c r="I417" s="53">
        <f>STOCK[[#This Row],[Precio Venta Ideal (x1.5)]]</f>
        <v>6.6166666666666645</v>
      </c>
      <c r="J417" s="69">
        <v>4</v>
      </c>
      <c r="K417" s="69">
        <f>SUMIFS(VENTAS[Cantidad],VENTAS[Código del producto Vendido],STOCK[[#This Row],[Code]])</f>
        <v>2</v>
      </c>
      <c r="L417" s="69">
        <f>STOCK[[#This Row],[Entradas]]-STOCK[[#This Row],[Salidas]]</f>
        <v>2</v>
      </c>
      <c r="M417" s="53">
        <f>STOCK[[#This Row],[Precio Final]]*10%</f>
        <v>0.70000000000000007</v>
      </c>
      <c r="N417" s="53">
        <v>65</v>
      </c>
      <c r="O417" s="53">
        <v>18</v>
      </c>
      <c r="P417" s="53">
        <v>3.6111111111111098</v>
      </c>
      <c r="Q417" s="69">
        <v>10</v>
      </c>
      <c r="R417" s="53">
        <v>10</v>
      </c>
      <c r="S417" s="53">
        <f>STOCK[[#This Row],[Peso (g)]]*STOCK[[#This Row],[Precio Envío Kilogramo (USD)]]/1000</f>
        <v>0.1</v>
      </c>
      <c r="T417" s="53">
        <f>STOCK[[#This Row],[Costo Unitario (USD)]]+STOCK[[#This Row],[Costo Envío (USD)]]+STOCK[[#This Row],[Comisión 10%]]</f>
        <v>4.4111111111111097</v>
      </c>
      <c r="U417" s="53">
        <f>STOCK[[#This Row],[Costo total]]*1.5</f>
        <v>6.6166666666666645</v>
      </c>
      <c r="V417" s="53">
        <v>7</v>
      </c>
      <c r="W417" s="53">
        <f>STOCK[[#This Row],[Precio Final]]-STOCK[[#This Row],[Costo total]]</f>
        <v>2.5888888888888903</v>
      </c>
      <c r="X417" s="53">
        <f>STOCK[[#This Row],[Ganancia Unitaria]]*STOCK[[#This Row],[Salidas]]</f>
        <v>5.1777777777777807</v>
      </c>
      <c r="AA417" s="53">
        <f>STOCK[[#This Row],[Costo total]]*STOCK[[#This Row],[Entradas]]</f>
        <v>17.644444444444439</v>
      </c>
      <c r="AB417" s="53">
        <f>STOCK[[#This Row],[Stock Actual]]*STOCK[[#This Row],[Costo total]]</f>
        <v>8.8222222222222193</v>
      </c>
    </row>
    <row r="418" spans="1:29" s="54" customFormat="1" ht="50" customHeight="1">
      <c r="A418" s="54" t="s">
        <v>882</v>
      </c>
      <c r="B418" s="64"/>
      <c r="C418" s="54" t="s">
        <v>32</v>
      </c>
      <c r="D418" s="54" t="s">
        <v>546</v>
      </c>
      <c r="E418" s="66" t="s">
        <v>883</v>
      </c>
      <c r="F418" s="54" t="s">
        <v>62</v>
      </c>
      <c r="G418" s="54" t="s">
        <v>36</v>
      </c>
      <c r="H418" s="54">
        <f>STOCK[[#This Row],[Precio Final]]</f>
        <v>3.5</v>
      </c>
      <c r="I418" s="54">
        <f>STOCK[[#This Row],[Precio Venta Ideal (x1.5)]]</f>
        <v>3.5166666666666604</v>
      </c>
      <c r="J418" s="70">
        <v>5</v>
      </c>
      <c r="K418" s="70">
        <f>SUMIFS(VENTAS[Cantidad],VENTAS[Código del producto Vendido],STOCK[[#This Row],[Code]])</f>
        <v>3</v>
      </c>
      <c r="L418" s="70">
        <f>STOCK[[#This Row],[Entradas]]-STOCK[[#This Row],[Salidas]]</f>
        <v>2</v>
      </c>
      <c r="M418" s="54">
        <f>STOCK[[#This Row],[Precio Final]]*10%</f>
        <v>0.35000000000000003</v>
      </c>
      <c r="N418" s="54">
        <v>35</v>
      </c>
      <c r="O418" s="54">
        <v>18</v>
      </c>
      <c r="P418" s="54">
        <v>1.94444444444444</v>
      </c>
      <c r="Q418" s="70">
        <v>5</v>
      </c>
      <c r="R418" s="54">
        <v>10</v>
      </c>
      <c r="S418" s="54">
        <f>STOCK[[#This Row],[Peso (g)]]*STOCK[[#This Row],[Precio Envío Kilogramo (USD)]]/1000</f>
        <v>0.05</v>
      </c>
      <c r="T418" s="53">
        <f>STOCK[[#This Row],[Costo Unitario (USD)]]+STOCK[[#This Row],[Costo Envío (USD)]]+STOCK[[#This Row],[Comisión 10%]]</f>
        <v>2.3444444444444401</v>
      </c>
      <c r="U418" s="54">
        <f>STOCK[[#This Row],[Costo total]]*1.5</f>
        <v>3.5166666666666604</v>
      </c>
      <c r="V418" s="54">
        <v>3.5</v>
      </c>
      <c r="W418" s="54">
        <f>STOCK[[#This Row],[Precio Final]]-STOCK[[#This Row],[Costo total]]</f>
        <v>1.1555555555555599</v>
      </c>
      <c r="X418" s="54">
        <f>STOCK[[#This Row],[Ganancia Unitaria]]*STOCK[[#This Row],[Salidas]]</f>
        <v>3.4666666666666797</v>
      </c>
      <c r="AA418" s="54">
        <f>STOCK[[#This Row],[Costo total]]*STOCK[[#This Row],[Entradas]]</f>
        <v>11.7222222222222</v>
      </c>
      <c r="AB418" s="54">
        <f>STOCK[[#This Row],[Stock Actual]]*STOCK[[#This Row],[Costo total]]</f>
        <v>4.6888888888888802</v>
      </c>
    </row>
    <row r="419" spans="1:29" s="53" customFormat="1" ht="50" customHeight="1">
      <c r="A419" s="53" t="s">
        <v>884</v>
      </c>
      <c r="B419" s="64"/>
      <c r="C419" s="53" t="s">
        <v>32</v>
      </c>
      <c r="D419" s="53" t="s">
        <v>392</v>
      </c>
      <c r="E419" s="65" t="s">
        <v>885</v>
      </c>
      <c r="F419" s="53" t="s">
        <v>886</v>
      </c>
      <c r="G419" s="53" t="s">
        <v>36</v>
      </c>
      <c r="H419" s="53">
        <f>STOCK[[#This Row],[Precio Final]]</f>
        <v>0</v>
      </c>
      <c r="I419" s="53">
        <f>STOCK[[#This Row],[Precio Venta Ideal (x1.5)]]</f>
        <v>18.16666666666665</v>
      </c>
      <c r="J419" s="69">
        <v>0</v>
      </c>
      <c r="K419" s="69">
        <f>SUMIFS(VENTAS[Cantidad],VENTAS[Código del producto Vendido],STOCK[[#This Row],[Code]])</f>
        <v>0</v>
      </c>
      <c r="L419" s="69">
        <f>STOCK[[#This Row],[Entradas]]-STOCK[[#This Row],[Salidas]]</f>
        <v>0</v>
      </c>
      <c r="M419" s="53">
        <f>STOCK[[#This Row],[Precio Final]]*10%</f>
        <v>0</v>
      </c>
      <c r="N419" s="53">
        <v>200</v>
      </c>
      <c r="O419" s="53">
        <v>18</v>
      </c>
      <c r="P419" s="53">
        <v>11.1111111111111</v>
      </c>
      <c r="Q419" s="69">
        <v>100</v>
      </c>
      <c r="R419" s="53">
        <v>10</v>
      </c>
      <c r="S419" s="53">
        <f>STOCK[[#This Row],[Peso (g)]]*STOCK[[#This Row],[Precio Envío Kilogramo (USD)]]/1000</f>
        <v>1</v>
      </c>
      <c r="T419" s="53">
        <f>STOCK[[#This Row],[Costo Unitario (USD)]]+STOCK[[#This Row],[Costo Envío (USD)]]+STOCK[[#This Row],[Comisión 10%]]</f>
        <v>12.1111111111111</v>
      </c>
      <c r="U419" s="53">
        <f>STOCK[[#This Row],[Costo total]]*1.5</f>
        <v>18.16666666666665</v>
      </c>
      <c r="V419" s="53">
        <v>0</v>
      </c>
      <c r="W419" s="53">
        <f>STOCK[[#This Row],[Precio Final]]-STOCK[[#This Row],[Costo total]]</f>
        <v>-12.1111111111111</v>
      </c>
      <c r="X419" s="53">
        <f>STOCK[[#This Row],[Ganancia Unitaria]]*STOCK[[#This Row],[Salidas]]</f>
        <v>0</v>
      </c>
      <c r="AA419" s="53">
        <f>STOCK[[#This Row],[Costo total]]*STOCK[[#This Row],[Entradas]]</f>
        <v>0</v>
      </c>
      <c r="AB419" s="53">
        <f>STOCK[[#This Row],[Stock Actual]]*STOCK[[#This Row],[Costo total]]</f>
        <v>0</v>
      </c>
    </row>
    <row r="420" spans="1:29" s="54" customFormat="1" ht="50" customHeight="1">
      <c r="A420" s="54" t="s">
        <v>887</v>
      </c>
      <c r="B420" s="64"/>
      <c r="C420" s="54" t="s">
        <v>32</v>
      </c>
      <c r="D420" s="54" t="s">
        <v>152</v>
      </c>
      <c r="E420" s="66" t="s">
        <v>888</v>
      </c>
      <c r="F420" s="54" t="s">
        <v>187</v>
      </c>
      <c r="G420" s="54" t="s">
        <v>36</v>
      </c>
      <c r="H420" s="54">
        <f>STOCK[[#This Row],[Precio Final]]</f>
        <v>8</v>
      </c>
      <c r="I420" s="54">
        <f>STOCK[[#This Row],[Precio Venta Ideal (x1.5)]]</f>
        <v>6.93333333333333</v>
      </c>
      <c r="J420" s="70">
        <v>0</v>
      </c>
      <c r="K420" s="70">
        <f>SUMIFS(VENTAS[Cantidad],VENTAS[Código del producto Vendido],STOCK[[#This Row],[Code]])</f>
        <v>0</v>
      </c>
      <c r="L420" s="70">
        <f>STOCK[[#This Row],[Entradas]]-STOCK[[#This Row],[Salidas]]</f>
        <v>0</v>
      </c>
      <c r="M420" s="54">
        <f>STOCK[[#This Row],[Precio Final]]*10%</f>
        <v>0.8</v>
      </c>
      <c r="N420" s="54">
        <v>58</v>
      </c>
      <c r="O420" s="54">
        <v>18</v>
      </c>
      <c r="P420" s="54">
        <v>3.2222222222222201</v>
      </c>
      <c r="Q420" s="70">
        <v>60</v>
      </c>
      <c r="R420" s="54">
        <v>10</v>
      </c>
      <c r="S420" s="54">
        <f>STOCK[[#This Row],[Peso (g)]]*STOCK[[#This Row],[Precio Envío Kilogramo (USD)]]/1000</f>
        <v>0.6</v>
      </c>
      <c r="T420" s="53">
        <f>STOCK[[#This Row],[Costo Unitario (USD)]]+STOCK[[#This Row],[Costo Envío (USD)]]+STOCK[[#This Row],[Comisión 10%]]</f>
        <v>4.62222222222222</v>
      </c>
      <c r="U420" s="54">
        <f>STOCK[[#This Row],[Costo total]]*1.5</f>
        <v>6.93333333333333</v>
      </c>
      <c r="V420" s="54">
        <v>8</v>
      </c>
      <c r="W420" s="54">
        <f>STOCK[[#This Row],[Precio Final]]-STOCK[[#This Row],[Costo total]]</f>
        <v>3.37777777777778</v>
      </c>
      <c r="X420" s="54">
        <f>STOCK[[#This Row],[Ganancia Unitaria]]*STOCK[[#This Row],[Salidas]]</f>
        <v>0</v>
      </c>
      <c r="AA420" s="54">
        <f>STOCK[[#This Row],[Costo total]]*STOCK[[#This Row],[Entradas]]</f>
        <v>0</v>
      </c>
      <c r="AB420" s="54">
        <f>STOCK[[#This Row],[Stock Actual]]*STOCK[[#This Row],[Costo total]]</f>
        <v>0</v>
      </c>
    </row>
    <row r="421" spans="1:29" s="53" customFormat="1" ht="50" customHeight="1">
      <c r="A421" s="53" t="s">
        <v>889</v>
      </c>
      <c r="B421" s="64"/>
      <c r="C421" s="53" t="s">
        <v>32</v>
      </c>
      <c r="D421" s="53" t="s">
        <v>546</v>
      </c>
      <c r="E421" s="65" t="s">
        <v>883</v>
      </c>
      <c r="F421" s="53" t="s">
        <v>49</v>
      </c>
      <c r="G421" s="53" t="s">
        <v>36</v>
      </c>
      <c r="H421" s="53">
        <f>STOCK[[#This Row],[Precio Final]]</f>
        <v>3.5</v>
      </c>
      <c r="I421" s="53">
        <f>STOCK[[#This Row],[Precio Venta Ideal (x1.5)]]</f>
        <v>3.5166666666666604</v>
      </c>
      <c r="J421" s="69">
        <v>5</v>
      </c>
      <c r="K421" s="69">
        <f>SUMIFS(VENTAS[Cantidad],VENTAS[Código del producto Vendido],STOCK[[#This Row],[Code]])</f>
        <v>3</v>
      </c>
      <c r="L421" s="69">
        <f>STOCK[[#This Row],[Entradas]]-STOCK[[#This Row],[Salidas]]</f>
        <v>2</v>
      </c>
      <c r="M421" s="53">
        <f>STOCK[[#This Row],[Precio Final]]*10%</f>
        <v>0.35000000000000003</v>
      </c>
      <c r="N421" s="53">
        <v>35</v>
      </c>
      <c r="O421" s="53">
        <v>18</v>
      </c>
      <c r="P421" s="53">
        <v>1.94444444444444</v>
      </c>
      <c r="Q421" s="69">
        <v>5</v>
      </c>
      <c r="R421" s="53">
        <v>10</v>
      </c>
      <c r="S421" s="53">
        <f>STOCK[[#This Row],[Peso (g)]]*STOCK[[#This Row],[Precio Envío Kilogramo (USD)]]/1000</f>
        <v>0.05</v>
      </c>
      <c r="T421" s="53">
        <f>STOCK[[#This Row],[Costo Unitario (USD)]]+STOCK[[#This Row],[Costo Envío (USD)]]+STOCK[[#This Row],[Comisión 10%]]</f>
        <v>2.3444444444444401</v>
      </c>
      <c r="U421" s="53">
        <f>STOCK[[#This Row],[Costo total]]*1.5</f>
        <v>3.5166666666666604</v>
      </c>
      <c r="V421" s="53">
        <v>3.5</v>
      </c>
      <c r="W421" s="53">
        <f>STOCK[[#This Row],[Precio Final]]-STOCK[[#This Row],[Costo total]]</f>
        <v>1.1555555555555599</v>
      </c>
      <c r="X421" s="53">
        <f>STOCK[[#This Row],[Ganancia Unitaria]]*STOCK[[#This Row],[Salidas]]</f>
        <v>3.4666666666666797</v>
      </c>
      <c r="AA421" s="53">
        <f>STOCK[[#This Row],[Costo total]]*STOCK[[#This Row],[Entradas]]</f>
        <v>11.7222222222222</v>
      </c>
      <c r="AB421" s="53">
        <f>STOCK[[#This Row],[Stock Actual]]*STOCK[[#This Row],[Costo total]]</f>
        <v>4.6888888888888802</v>
      </c>
    </row>
    <row r="422" spans="1:29" s="54" customFormat="1" ht="50" customHeight="1">
      <c r="A422" s="54" t="s">
        <v>890</v>
      </c>
      <c r="B422" s="64"/>
      <c r="C422" s="54" t="s">
        <v>32</v>
      </c>
      <c r="D422" s="54" t="s">
        <v>174</v>
      </c>
      <c r="E422" s="66" t="s">
        <v>891</v>
      </c>
      <c r="F422" s="54" t="s">
        <v>62</v>
      </c>
      <c r="G422" s="54" t="s">
        <v>36</v>
      </c>
      <c r="H422" s="54">
        <f>STOCK[[#This Row],[Precio Final]]</f>
        <v>12</v>
      </c>
      <c r="I422" s="54">
        <f>STOCK[[#This Row],[Precio Venta Ideal (x1.5)]]</f>
        <v>11.33727272727273</v>
      </c>
      <c r="J422" s="70">
        <v>4</v>
      </c>
      <c r="K422" s="70">
        <f>SUMIFS(VENTAS[Cantidad],VENTAS[Código del producto Vendido],STOCK[[#This Row],[Code]])</f>
        <v>4</v>
      </c>
      <c r="L422" s="70">
        <f>STOCK[[#This Row],[Entradas]]-STOCK[[#This Row],[Salidas]]</f>
        <v>0</v>
      </c>
      <c r="M422" s="54">
        <f>STOCK[[#This Row],[Precio Final]]*10%</f>
        <v>1.2000000000000002</v>
      </c>
      <c r="N422" s="54">
        <v>76</v>
      </c>
      <c r="O422" s="54">
        <v>17.600000000000001</v>
      </c>
      <c r="P422" s="54">
        <v>4.3181818181818201</v>
      </c>
      <c r="Q422" s="70">
        <v>120</v>
      </c>
      <c r="R422" s="54">
        <v>17</v>
      </c>
      <c r="S422" s="54">
        <f>STOCK[[#This Row],[Peso (g)]]*STOCK[[#This Row],[Precio Envío Kilogramo (USD)]]/1000</f>
        <v>2.04</v>
      </c>
      <c r="T422" s="53">
        <f>STOCK[[#This Row],[Costo Unitario (USD)]]+STOCK[[#This Row],[Costo Envío (USD)]]+STOCK[[#This Row],[Comisión 10%]]</f>
        <v>7.5581818181818203</v>
      </c>
      <c r="U422" s="54">
        <f>STOCK[[#This Row],[Costo total]]*1.5</f>
        <v>11.33727272727273</v>
      </c>
      <c r="V422" s="54">
        <v>12</v>
      </c>
      <c r="W422" s="54">
        <f>STOCK[[#This Row],[Precio Final]]-STOCK[[#This Row],[Costo total]]</f>
        <v>4.4418181818181797</v>
      </c>
      <c r="X422" s="54">
        <f>STOCK[[#This Row],[Ganancia Unitaria]]*STOCK[[#This Row],[Salidas]]</f>
        <v>17.767272727272719</v>
      </c>
      <c r="Y422" s="54" t="s">
        <v>892</v>
      </c>
      <c r="AA422" s="54">
        <f>STOCK[[#This Row],[Costo total]]*STOCK[[#This Row],[Entradas]]</f>
        <v>30.232727272727281</v>
      </c>
      <c r="AB422" s="54">
        <f>STOCK[[#This Row],[Stock Actual]]*STOCK[[#This Row],[Costo total]]</f>
        <v>0</v>
      </c>
    </row>
    <row r="423" spans="1:29" s="53" customFormat="1" ht="50" customHeight="1">
      <c r="A423" s="53" t="s">
        <v>893</v>
      </c>
      <c r="B423" s="64"/>
      <c r="C423" s="53" t="s">
        <v>32</v>
      </c>
      <c r="D423" s="53" t="s">
        <v>174</v>
      </c>
      <c r="E423" s="65" t="s">
        <v>894</v>
      </c>
      <c r="F423" s="53" t="s">
        <v>40</v>
      </c>
      <c r="G423" s="53" t="s">
        <v>36</v>
      </c>
      <c r="H423" s="53">
        <f>STOCK[[#This Row],[Precio Final]]</f>
        <v>14</v>
      </c>
      <c r="I423" s="53">
        <f>STOCK[[#This Row],[Precio Venta Ideal (x1.5)]]</f>
        <v>14.05977272727273</v>
      </c>
      <c r="J423" s="69">
        <v>2</v>
      </c>
      <c r="K423" s="69">
        <f>SUMIFS(VENTAS[Cantidad],VENTAS[Código del producto Vendido],STOCK[[#This Row],[Code]])</f>
        <v>2</v>
      </c>
      <c r="L423" s="69">
        <f>STOCK[[#This Row],[Entradas]]-STOCK[[#This Row],[Salidas]]</f>
        <v>0</v>
      </c>
      <c r="M423" s="53">
        <f>STOCK[[#This Row],[Precio Final]]*10%</f>
        <v>1.4000000000000001</v>
      </c>
      <c r="N423" s="53">
        <v>76</v>
      </c>
      <c r="O423" s="53">
        <v>17.600000000000001</v>
      </c>
      <c r="P423" s="53">
        <v>4.3181818181818201</v>
      </c>
      <c r="Q423" s="69">
        <v>215</v>
      </c>
      <c r="R423" s="53">
        <v>17</v>
      </c>
      <c r="S423" s="53">
        <f>STOCK[[#This Row],[Peso (g)]]*STOCK[[#This Row],[Precio Envío Kilogramo (USD)]]/1000</f>
        <v>3.6549999999999998</v>
      </c>
      <c r="T423" s="53">
        <f>STOCK[[#This Row],[Costo Unitario (USD)]]+STOCK[[#This Row],[Costo Envío (USD)]]+STOCK[[#This Row],[Comisión 10%]]</f>
        <v>9.3731818181818198</v>
      </c>
      <c r="U423" s="53">
        <f>STOCK[[#This Row],[Costo total]]*1.5</f>
        <v>14.05977272727273</v>
      </c>
      <c r="V423" s="53">
        <v>14</v>
      </c>
      <c r="W423" s="53">
        <f>STOCK[[#This Row],[Precio Final]]-STOCK[[#This Row],[Costo total]]</f>
        <v>4.6268181818181802</v>
      </c>
      <c r="X423" s="53">
        <f>STOCK[[#This Row],[Ganancia Unitaria]]*STOCK[[#This Row],[Salidas]]</f>
        <v>9.2536363636363603</v>
      </c>
      <c r="Y423" s="53" t="s">
        <v>895</v>
      </c>
      <c r="AA423" s="53">
        <f>STOCK[[#This Row],[Costo total]]*STOCK[[#This Row],[Entradas]]</f>
        <v>18.74636363636364</v>
      </c>
      <c r="AB423" s="53">
        <f>STOCK[[#This Row],[Stock Actual]]*STOCK[[#This Row],[Costo total]]</f>
        <v>0</v>
      </c>
    </row>
    <row r="424" spans="1:29" s="54" customFormat="1" ht="50" customHeight="1">
      <c r="A424" s="54" t="s">
        <v>896</v>
      </c>
      <c r="B424" s="64"/>
      <c r="C424" s="54" t="s">
        <v>32</v>
      </c>
      <c r="D424" s="54" t="s">
        <v>174</v>
      </c>
      <c r="E424" s="66" t="s">
        <v>894</v>
      </c>
      <c r="F424" s="54" t="s">
        <v>46</v>
      </c>
      <c r="G424" s="54" t="s">
        <v>36</v>
      </c>
      <c r="H424" s="54">
        <f>STOCK[[#This Row],[Precio Final]]</f>
        <v>14</v>
      </c>
      <c r="I424" s="54">
        <f>STOCK[[#This Row],[Precio Venta Ideal (x1.5)]]</f>
        <v>14.05977272727273</v>
      </c>
      <c r="J424" s="70">
        <v>2</v>
      </c>
      <c r="K424" s="70">
        <f>SUMIFS(VENTAS[Cantidad],VENTAS[Código del producto Vendido],STOCK[[#This Row],[Code]])</f>
        <v>2</v>
      </c>
      <c r="L424" s="70">
        <f>STOCK[[#This Row],[Entradas]]-STOCK[[#This Row],[Salidas]]</f>
        <v>0</v>
      </c>
      <c r="M424" s="54">
        <f>STOCK[[#This Row],[Precio Final]]*10%</f>
        <v>1.4000000000000001</v>
      </c>
      <c r="N424" s="54">
        <v>76</v>
      </c>
      <c r="O424" s="54">
        <v>17.600000000000001</v>
      </c>
      <c r="P424" s="54">
        <v>4.3181818181818201</v>
      </c>
      <c r="Q424" s="70">
        <v>215</v>
      </c>
      <c r="R424" s="54">
        <v>17</v>
      </c>
      <c r="S424" s="54">
        <f>STOCK[[#This Row],[Peso (g)]]*STOCK[[#This Row],[Precio Envío Kilogramo (USD)]]/1000</f>
        <v>3.6549999999999998</v>
      </c>
      <c r="T424" s="53">
        <f>STOCK[[#This Row],[Costo Unitario (USD)]]+STOCK[[#This Row],[Costo Envío (USD)]]+STOCK[[#This Row],[Comisión 10%]]</f>
        <v>9.3731818181818198</v>
      </c>
      <c r="U424" s="54">
        <f>STOCK[[#This Row],[Costo total]]*1.5</f>
        <v>14.05977272727273</v>
      </c>
      <c r="V424" s="54">
        <v>14</v>
      </c>
      <c r="W424" s="54">
        <f>STOCK[[#This Row],[Precio Final]]-STOCK[[#This Row],[Costo total]]</f>
        <v>4.6268181818181802</v>
      </c>
      <c r="X424" s="54">
        <f>STOCK[[#This Row],[Ganancia Unitaria]]*STOCK[[#This Row],[Salidas]]</f>
        <v>9.2536363636363603</v>
      </c>
      <c r="Y424" s="54" t="s">
        <v>895</v>
      </c>
      <c r="AA424" s="54">
        <f>STOCK[[#This Row],[Costo total]]*STOCK[[#This Row],[Entradas]]</f>
        <v>18.74636363636364</v>
      </c>
      <c r="AB424" s="54">
        <f>STOCK[[#This Row],[Stock Actual]]*STOCK[[#This Row],[Costo total]]</f>
        <v>0</v>
      </c>
    </row>
    <row r="425" spans="1:29" s="53" customFormat="1" ht="50" customHeight="1">
      <c r="A425" s="53" t="s">
        <v>897</v>
      </c>
      <c r="B425" s="64"/>
      <c r="C425" s="53" t="s">
        <v>32</v>
      </c>
      <c r="D425" s="53" t="s">
        <v>38</v>
      </c>
      <c r="E425" s="65" t="s">
        <v>898</v>
      </c>
      <c r="F425" s="53" t="s">
        <v>42</v>
      </c>
      <c r="G425" s="53" t="s">
        <v>36</v>
      </c>
      <c r="H425" s="53">
        <f>STOCK[[#This Row],[Precio Final]]</f>
        <v>25</v>
      </c>
      <c r="I425" s="53">
        <f>STOCK[[#This Row],[Precio Venta Ideal (x1.5)]]</f>
        <v>28.019318181818246</v>
      </c>
      <c r="J425" s="69">
        <v>1</v>
      </c>
      <c r="K425" s="69">
        <f>SUMIFS(VENTAS[Cantidad],VENTAS[Código del producto Vendido],STOCK[[#This Row],[Code]])</f>
        <v>1</v>
      </c>
      <c r="L425" s="69">
        <f>STOCK[[#This Row],[Entradas]]-STOCK[[#This Row],[Salidas]]</f>
        <v>0</v>
      </c>
      <c r="M425" s="53">
        <f>STOCK[[#This Row],[Precio Final]]*10%</f>
        <v>2.5</v>
      </c>
      <c r="N425" s="53">
        <v>195</v>
      </c>
      <c r="O425" s="53">
        <v>17.600000000000001</v>
      </c>
      <c r="P425" s="53">
        <v>11.079545454545499</v>
      </c>
      <c r="Q425" s="69">
        <v>300</v>
      </c>
      <c r="R425" s="53">
        <v>17</v>
      </c>
      <c r="S425" s="53">
        <f>STOCK[[#This Row],[Peso (g)]]*STOCK[[#This Row],[Precio Envío Kilogramo (USD)]]/1000</f>
        <v>5.0999999999999996</v>
      </c>
      <c r="T425" s="53">
        <f>STOCK[[#This Row],[Costo Unitario (USD)]]+STOCK[[#This Row],[Costo Envío (USD)]]+STOCK[[#This Row],[Comisión 10%]]</f>
        <v>18.679545454545497</v>
      </c>
      <c r="U425" s="53">
        <f>STOCK[[#This Row],[Costo total]]*1.5</f>
        <v>28.019318181818246</v>
      </c>
      <c r="V425" s="53">
        <v>25</v>
      </c>
      <c r="W425" s="53">
        <f>STOCK[[#This Row],[Precio Final]]-STOCK[[#This Row],[Costo total]]</f>
        <v>6.3204545454545027</v>
      </c>
      <c r="X425" s="53">
        <f>STOCK[[#This Row],[Ganancia Unitaria]]*STOCK[[#This Row],[Salidas]]</f>
        <v>6.3204545454545027</v>
      </c>
      <c r="Y425" s="53" t="s">
        <v>895</v>
      </c>
      <c r="AA425" s="53">
        <f>STOCK[[#This Row],[Costo total]]*STOCK[[#This Row],[Entradas]]</f>
        <v>18.679545454545497</v>
      </c>
      <c r="AB425" s="53">
        <f>STOCK[[#This Row],[Stock Actual]]*STOCK[[#This Row],[Costo total]]</f>
        <v>0</v>
      </c>
    </row>
    <row r="426" spans="1:29" s="54" customFormat="1" ht="50" customHeight="1">
      <c r="A426" s="54" t="s">
        <v>899</v>
      </c>
      <c r="B426" s="64"/>
      <c r="C426" s="54" t="s">
        <v>32</v>
      </c>
      <c r="D426" s="54" t="s">
        <v>38</v>
      </c>
      <c r="E426" s="66" t="s">
        <v>898</v>
      </c>
      <c r="F426" s="54" t="s">
        <v>46</v>
      </c>
      <c r="G426" s="54" t="s">
        <v>36</v>
      </c>
      <c r="H426" s="54">
        <f>STOCK[[#This Row],[Precio Final]]</f>
        <v>25</v>
      </c>
      <c r="I426" s="54">
        <f>STOCK[[#This Row],[Precio Venta Ideal (x1.5)]]</f>
        <v>26.744318181818251</v>
      </c>
      <c r="J426" s="70">
        <v>2</v>
      </c>
      <c r="K426" s="70">
        <f>SUMIFS(VENTAS[Cantidad],VENTAS[Código del producto Vendido],STOCK[[#This Row],[Code]])</f>
        <v>2</v>
      </c>
      <c r="L426" s="70">
        <f>STOCK[[#This Row],[Entradas]]-STOCK[[#This Row],[Salidas]]</f>
        <v>0</v>
      </c>
      <c r="M426" s="54">
        <f>STOCK[[#This Row],[Precio Final]]*10%</f>
        <v>2.5</v>
      </c>
      <c r="N426" s="54">
        <v>195</v>
      </c>
      <c r="O426" s="54">
        <v>17.600000000000001</v>
      </c>
      <c r="P426" s="54">
        <v>11.079545454545499</v>
      </c>
      <c r="Q426" s="70">
        <v>250</v>
      </c>
      <c r="R426" s="54">
        <v>17</v>
      </c>
      <c r="S426" s="54">
        <f>STOCK[[#This Row],[Peso (g)]]*STOCK[[#This Row],[Precio Envío Kilogramo (USD)]]/1000</f>
        <v>4.25</v>
      </c>
      <c r="T426" s="53">
        <f>STOCK[[#This Row],[Costo Unitario (USD)]]+STOCK[[#This Row],[Costo Envío (USD)]]+STOCK[[#This Row],[Comisión 10%]]</f>
        <v>17.829545454545499</v>
      </c>
      <c r="U426" s="54">
        <f>STOCK[[#This Row],[Costo total]]*1.5</f>
        <v>26.744318181818251</v>
      </c>
      <c r="V426" s="54">
        <v>25</v>
      </c>
      <c r="W426" s="54">
        <f>STOCK[[#This Row],[Precio Final]]-STOCK[[#This Row],[Costo total]]</f>
        <v>7.1704545454545006</v>
      </c>
      <c r="X426" s="54">
        <f>STOCK[[#This Row],[Ganancia Unitaria]]*STOCK[[#This Row],[Salidas]]</f>
        <v>14.340909090909001</v>
      </c>
      <c r="Y426" s="54" t="s">
        <v>895</v>
      </c>
      <c r="AA426" s="54">
        <f>STOCK[[#This Row],[Costo total]]*STOCK[[#This Row],[Entradas]]</f>
        <v>35.659090909090999</v>
      </c>
      <c r="AB426" s="54">
        <f>STOCK[[#This Row],[Stock Actual]]*STOCK[[#This Row],[Costo total]]</f>
        <v>0</v>
      </c>
    </row>
    <row r="427" spans="1:29" s="53" customFormat="1" ht="50" customHeight="1">
      <c r="A427" s="53" t="s">
        <v>900</v>
      </c>
      <c r="B427" s="64"/>
      <c r="C427" s="53" t="s">
        <v>32</v>
      </c>
      <c r="D427" s="53" t="s">
        <v>38</v>
      </c>
      <c r="E427" s="65" t="s">
        <v>898</v>
      </c>
      <c r="F427" s="53" t="s">
        <v>49</v>
      </c>
      <c r="G427" s="53" t="s">
        <v>36</v>
      </c>
      <c r="H427" s="53">
        <f>STOCK[[#This Row],[Precio Final]]</f>
        <v>25</v>
      </c>
      <c r="I427" s="53">
        <f>STOCK[[#This Row],[Precio Venta Ideal (x1.5)]]</f>
        <v>26.744318181818251</v>
      </c>
      <c r="J427" s="69">
        <v>2</v>
      </c>
      <c r="K427" s="69">
        <f>SUMIFS(VENTAS[Cantidad],VENTAS[Código del producto Vendido],STOCK[[#This Row],[Code]])</f>
        <v>2</v>
      </c>
      <c r="L427" s="69">
        <f>STOCK[[#This Row],[Entradas]]-STOCK[[#This Row],[Salidas]]</f>
        <v>0</v>
      </c>
      <c r="M427" s="53">
        <f>STOCK[[#This Row],[Precio Final]]*10%</f>
        <v>2.5</v>
      </c>
      <c r="N427" s="53">
        <v>195</v>
      </c>
      <c r="O427" s="53">
        <v>17.600000000000001</v>
      </c>
      <c r="P427" s="53">
        <v>11.079545454545499</v>
      </c>
      <c r="Q427" s="69">
        <v>250</v>
      </c>
      <c r="R427" s="53">
        <v>17</v>
      </c>
      <c r="S427" s="53">
        <f>STOCK[[#This Row],[Peso (g)]]*STOCK[[#This Row],[Precio Envío Kilogramo (USD)]]/1000</f>
        <v>4.25</v>
      </c>
      <c r="T427" s="53">
        <f>STOCK[[#This Row],[Costo Unitario (USD)]]+STOCK[[#This Row],[Costo Envío (USD)]]+STOCK[[#This Row],[Comisión 10%]]</f>
        <v>17.829545454545499</v>
      </c>
      <c r="U427" s="53">
        <f>STOCK[[#This Row],[Costo total]]*1.5</f>
        <v>26.744318181818251</v>
      </c>
      <c r="V427" s="53">
        <v>25</v>
      </c>
      <c r="W427" s="53">
        <f>STOCK[[#This Row],[Precio Final]]-STOCK[[#This Row],[Costo total]]</f>
        <v>7.1704545454545006</v>
      </c>
      <c r="X427" s="53">
        <f>STOCK[[#This Row],[Ganancia Unitaria]]*STOCK[[#This Row],[Salidas]]</f>
        <v>14.340909090909001</v>
      </c>
      <c r="Y427" s="53" t="s">
        <v>895</v>
      </c>
      <c r="AA427" s="53">
        <f>STOCK[[#This Row],[Costo total]]*STOCK[[#This Row],[Entradas]]</f>
        <v>35.659090909090999</v>
      </c>
      <c r="AB427" s="53">
        <f>STOCK[[#This Row],[Stock Actual]]*STOCK[[#This Row],[Costo total]]</f>
        <v>0</v>
      </c>
    </row>
    <row r="428" spans="1:29" s="54" customFormat="1" ht="50" customHeight="1">
      <c r="A428" s="54" t="s">
        <v>901</v>
      </c>
      <c r="B428" s="64"/>
      <c r="C428" s="54" t="s">
        <v>32</v>
      </c>
      <c r="D428" s="54" t="s">
        <v>203</v>
      </c>
      <c r="E428" s="66" t="s">
        <v>902</v>
      </c>
      <c r="F428" s="54" t="s">
        <v>42</v>
      </c>
      <c r="G428" s="54" t="s">
        <v>36</v>
      </c>
      <c r="H428" s="54">
        <f>STOCK[[#This Row],[Precio Final]]</f>
        <v>35</v>
      </c>
      <c r="I428" s="54">
        <f>STOCK[[#This Row],[Precio Venta Ideal (x1.5)]]</f>
        <v>37.4345454545454</v>
      </c>
      <c r="J428" s="70">
        <v>1</v>
      </c>
      <c r="K428" s="70">
        <f>SUMIFS(VENTAS[Cantidad],VENTAS[Código del producto Vendido],STOCK[[#This Row],[Code]])</f>
        <v>1</v>
      </c>
      <c r="L428" s="70">
        <f>STOCK[[#This Row],[Entradas]]-STOCK[[#This Row],[Salidas]]</f>
        <v>0</v>
      </c>
      <c r="M428" s="54">
        <f>STOCK[[#This Row],[Precio Final]]*10%</f>
        <v>3.5</v>
      </c>
      <c r="N428" s="54">
        <v>240</v>
      </c>
      <c r="O428" s="54">
        <v>17.600000000000001</v>
      </c>
      <c r="P428" s="54">
        <v>13.636363636363599</v>
      </c>
      <c r="Q428" s="70">
        <v>460</v>
      </c>
      <c r="R428" s="54">
        <v>17</v>
      </c>
      <c r="S428" s="54">
        <f>STOCK[[#This Row],[Peso (g)]]*STOCK[[#This Row],[Precio Envío Kilogramo (USD)]]/1000</f>
        <v>7.82</v>
      </c>
      <c r="T428" s="53">
        <f>STOCK[[#This Row],[Costo Unitario (USD)]]+STOCK[[#This Row],[Costo Envío (USD)]]+STOCK[[#This Row],[Comisión 10%]]</f>
        <v>24.956363636363598</v>
      </c>
      <c r="U428" s="54">
        <f>STOCK[[#This Row],[Costo total]]*1.5</f>
        <v>37.4345454545454</v>
      </c>
      <c r="V428" s="54">
        <v>35</v>
      </c>
      <c r="W428" s="54">
        <f>STOCK[[#This Row],[Precio Final]]-STOCK[[#This Row],[Costo total]]</f>
        <v>10.043636363636402</v>
      </c>
      <c r="X428" s="54">
        <f>STOCK[[#This Row],[Ganancia Unitaria]]*STOCK[[#This Row],[Salidas]]</f>
        <v>10.043636363636402</v>
      </c>
      <c r="Y428" s="54" t="s">
        <v>895</v>
      </c>
      <c r="AA428" s="54">
        <f>STOCK[[#This Row],[Costo total]]*STOCK[[#This Row],[Entradas]]</f>
        <v>24.956363636363598</v>
      </c>
      <c r="AB428" s="54">
        <f>STOCK[[#This Row],[Stock Actual]]*STOCK[[#This Row],[Costo total]]</f>
        <v>0</v>
      </c>
      <c r="AC428" s="54">
        <v>30</v>
      </c>
    </row>
    <row r="429" spans="1:29" s="53" customFormat="1" ht="50" customHeight="1">
      <c r="A429" s="53" t="s">
        <v>903</v>
      </c>
      <c r="B429" s="64"/>
      <c r="C429" s="53" t="s">
        <v>32</v>
      </c>
      <c r="D429" s="53" t="s">
        <v>44</v>
      </c>
      <c r="E429" s="65" t="s">
        <v>902</v>
      </c>
      <c r="F429" s="53" t="s">
        <v>46</v>
      </c>
      <c r="G429" s="53" t="s">
        <v>36</v>
      </c>
      <c r="H429" s="53">
        <f>STOCK[[#This Row],[Precio Final]]</f>
        <v>35</v>
      </c>
      <c r="I429" s="53">
        <f>STOCK[[#This Row],[Precio Venta Ideal (x1.5)]]</f>
        <v>37.4345454545454</v>
      </c>
      <c r="J429" s="69">
        <v>1</v>
      </c>
      <c r="K429" s="69">
        <f>SUMIFS(VENTAS[Cantidad],VENTAS[Código del producto Vendido],STOCK[[#This Row],[Code]])</f>
        <v>1</v>
      </c>
      <c r="L429" s="69">
        <f>STOCK[[#This Row],[Entradas]]-STOCK[[#This Row],[Salidas]]</f>
        <v>0</v>
      </c>
      <c r="M429" s="53">
        <f>STOCK[[#This Row],[Precio Final]]*10%</f>
        <v>3.5</v>
      </c>
      <c r="N429" s="53">
        <v>240</v>
      </c>
      <c r="O429" s="53">
        <v>17.600000000000001</v>
      </c>
      <c r="P429" s="53">
        <v>13.636363636363599</v>
      </c>
      <c r="Q429" s="69">
        <v>460</v>
      </c>
      <c r="R429" s="53">
        <v>17</v>
      </c>
      <c r="S429" s="53">
        <f>STOCK[[#This Row],[Peso (g)]]*STOCK[[#This Row],[Precio Envío Kilogramo (USD)]]/1000</f>
        <v>7.82</v>
      </c>
      <c r="T429" s="53">
        <f>STOCK[[#This Row],[Costo Unitario (USD)]]+STOCK[[#This Row],[Costo Envío (USD)]]+STOCK[[#This Row],[Comisión 10%]]</f>
        <v>24.956363636363598</v>
      </c>
      <c r="U429" s="53">
        <f>STOCK[[#This Row],[Costo total]]*1.5</f>
        <v>37.4345454545454</v>
      </c>
      <c r="V429" s="53">
        <v>35</v>
      </c>
      <c r="W429" s="53">
        <f>STOCK[[#This Row],[Precio Final]]-STOCK[[#This Row],[Costo total]]</f>
        <v>10.043636363636402</v>
      </c>
      <c r="X429" s="53">
        <f>STOCK[[#This Row],[Ganancia Unitaria]]*STOCK[[#This Row],[Salidas]]</f>
        <v>10.043636363636402</v>
      </c>
      <c r="Y429" s="53" t="s">
        <v>895</v>
      </c>
      <c r="AA429" s="53">
        <f>STOCK[[#This Row],[Costo total]]*STOCK[[#This Row],[Entradas]]</f>
        <v>24.956363636363598</v>
      </c>
      <c r="AB429" s="53">
        <f>STOCK[[#This Row],[Stock Actual]]*STOCK[[#This Row],[Costo total]]</f>
        <v>0</v>
      </c>
    </row>
    <row r="430" spans="1:29" s="54" customFormat="1" ht="50" customHeight="1">
      <c r="A430" s="54" t="s">
        <v>904</v>
      </c>
      <c r="B430" s="64"/>
      <c r="C430" s="54" t="s">
        <v>32</v>
      </c>
      <c r="D430" s="54" t="s">
        <v>44</v>
      </c>
      <c r="E430" s="66" t="s">
        <v>902</v>
      </c>
      <c r="F430" s="54" t="s">
        <v>49</v>
      </c>
      <c r="G430" s="54" t="s">
        <v>36</v>
      </c>
      <c r="H430" s="54">
        <f>STOCK[[#This Row],[Precio Final]]</f>
        <v>35</v>
      </c>
      <c r="I430" s="54">
        <f>STOCK[[#This Row],[Precio Venta Ideal (x1.5)]]</f>
        <v>37.4345454545454</v>
      </c>
      <c r="J430" s="70">
        <v>1</v>
      </c>
      <c r="K430" s="70">
        <f>SUMIFS(VENTAS[Cantidad],VENTAS[Código del producto Vendido],STOCK[[#This Row],[Code]])</f>
        <v>1</v>
      </c>
      <c r="L430" s="70">
        <f>STOCK[[#This Row],[Entradas]]-STOCK[[#This Row],[Salidas]]</f>
        <v>0</v>
      </c>
      <c r="M430" s="54">
        <f>STOCK[[#This Row],[Precio Final]]*10%</f>
        <v>3.5</v>
      </c>
      <c r="N430" s="54">
        <v>240</v>
      </c>
      <c r="O430" s="54">
        <v>17.600000000000001</v>
      </c>
      <c r="P430" s="54">
        <v>13.636363636363599</v>
      </c>
      <c r="Q430" s="70">
        <v>460</v>
      </c>
      <c r="R430" s="54">
        <v>17</v>
      </c>
      <c r="S430" s="54">
        <f>STOCK[[#This Row],[Peso (g)]]*STOCK[[#This Row],[Precio Envío Kilogramo (USD)]]/1000</f>
        <v>7.82</v>
      </c>
      <c r="T430" s="53">
        <f>STOCK[[#This Row],[Costo Unitario (USD)]]+STOCK[[#This Row],[Costo Envío (USD)]]+STOCK[[#This Row],[Comisión 10%]]</f>
        <v>24.956363636363598</v>
      </c>
      <c r="U430" s="54">
        <f>STOCK[[#This Row],[Costo total]]*1.5</f>
        <v>37.4345454545454</v>
      </c>
      <c r="V430" s="54">
        <v>35</v>
      </c>
      <c r="W430" s="54">
        <f>STOCK[[#This Row],[Precio Final]]-STOCK[[#This Row],[Costo total]]</f>
        <v>10.043636363636402</v>
      </c>
      <c r="X430" s="54">
        <f>STOCK[[#This Row],[Ganancia Unitaria]]*STOCK[[#This Row],[Salidas]]</f>
        <v>10.043636363636402</v>
      </c>
      <c r="AA430" s="54">
        <f>STOCK[[#This Row],[Costo total]]*STOCK[[#This Row],[Entradas]]</f>
        <v>24.956363636363598</v>
      </c>
      <c r="AB430" s="54">
        <f>STOCK[[#This Row],[Stock Actual]]*STOCK[[#This Row],[Costo total]]</f>
        <v>0</v>
      </c>
    </row>
    <row r="431" spans="1:29" s="53" customFormat="1" ht="50" customHeight="1">
      <c r="A431" s="53" t="s">
        <v>905</v>
      </c>
      <c r="B431" s="64"/>
      <c r="C431" s="53" t="s">
        <v>32</v>
      </c>
      <c r="D431" s="53" t="s">
        <v>38</v>
      </c>
      <c r="E431" s="65" t="s">
        <v>39</v>
      </c>
      <c r="F431" s="53" t="s">
        <v>49</v>
      </c>
      <c r="G431" s="53" t="s">
        <v>36</v>
      </c>
      <c r="H431" s="53">
        <f>STOCK[[#This Row],[Precio Final]]</f>
        <v>25</v>
      </c>
      <c r="I431" s="53">
        <f>STOCK[[#This Row],[Precio Venta Ideal (x1.5)]]</f>
        <v>30.019090909090949</v>
      </c>
      <c r="J431" s="69">
        <v>1</v>
      </c>
      <c r="K431" s="69">
        <f>SUMIFS(VENTAS[Cantidad],VENTAS[Código del producto Vendido],STOCK[[#This Row],[Code]])</f>
        <v>1</v>
      </c>
      <c r="L431" s="69">
        <f>STOCK[[#This Row],[Entradas]]-STOCK[[#This Row],[Salidas]]</f>
        <v>0</v>
      </c>
      <c r="M431" s="53">
        <f>STOCK[[#This Row],[Precio Final]]*10%</f>
        <v>2.5</v>
      </c>
      <c r="N431" s="53">
        <v>205</v>
      </c>
      <c r="O431" s="53">
        <v>17.600000000000001</v>
      </c>
      <c r="P431" s="53">
        <v>11.6477272727273</v>
      </c>
      <c r="Q431" s="69">
        <v>345</v>
      </c>
      <c r="R431" s="53">
        <v>17</v>
      </c>
      <c r="S431" s="53">
        <f>STOCK[[#This Row],[Peso (g)]]*STOCK[[#This Row],[Precio Envío Kilogramo (USD)]]/1000</f>
        <v>5.8650000000000002</v>
      </c>
      <c r="T431" s="53">
        <f>STOCK[[#This Row],[Costo Unitario (USD)]]+STOCK[[#This Row],[Costo Envío (USD)]]+STOCK[[#This Row],[Comisión 10%]]</f>
        <v>20.0127272727273</v>
      </c>
      <c r="U431" s="53">
        <f>STOCK[[#This Row],[Costo total]]*1.5</f>
        <v>30.019090909090949</v>
      </c>
      <c r="V431" s="53">
        <v>25</v>
      </c>
      <c r="W431" s="53">
        <f>STOCK[[#This Row],[Precio Final]]-STOCK[[#This Row],[Costo total]]</f>
        <v>4.9872727272726998</v>
      </c>
      <c r="X431" s="53">
        <f>STOCK[[#This Row],[Ganancia Unitaria]]*STOCK[[#This Row],[Salidas]]</f>
        <v>4.9872727272726998</v>
      </c>
      <c r="Y431" s="53" t="s">
        <v>895</v>
      </c>
      <c r="AA431" s="53">
        <f>STOCK[[#This Row],[Costo total]]*STOCK[[#This Row],[Entradas]]</f>
        <v>20.0127272727273</v>
      </c>
      <c r="AB431" s="53">
        <f>STOCK[[#This Row],[Stock Actual]]*STOCK[[#This Row],[Costo total]]</f>
        <v>0</v>
      </c>
    </row>
    <row r="432" spans="1:29" s="54" customFormat="1" ht="50" customHeight="1">
      <c r="A432" s="54" t="s">
        <v>906</v>
      </c>
      <c r="B432" s="64"/>
      <c r="C432" s="54" t="s">
        <v>32</v>
      </c>
      <c r="D432" s="54" t="s">
        <v>38</v>
      </c>
      <c r="E432" s="66" t="s">
        <v>39</v>
      </c>
      <c r="F432" s="54" t="s">
        <v>42</v>
      </c>
      <c r="G432" s="54" t="s">
        <v>36</v>
      </c>
      <c r="H432" s="54">
        <f>STOCK[[#This Row],[Precio Final]]</f>
        <v>25</v>
      </c>
      <c r="I432" s="54">
        <f>STOCK[[#This Row],[Precio Venta Ideal (x1.5)]]</f>
        <v>30.019090909090949</v>
      </c>
      <c r="J432" s="70">
        <v>3</v>
      </c>
      <c r="K432" s="70">
        <f>SUMIFS(VENTAS[Cantidad],VENTAS[Código del producto Vendido],STOCK[[#This Row],[Code]])</f>
        <v>3</v>
      </c>
      <c r="L432" s="70">
        <f>STOCK[[#This Row],[Entradas]]-STOCK[[#This Row],[Salidas]]</f>
        <v>0</v>
      </c>
      <c r="M432" s="54">
        <f>STOCK[[#This Row],[Precio Final]]*10%</f>
        <v>2.5</v>
      </c>
      <c r="N432" s="54">
        <v>205</v>
      </c>
      <c r="O432" s="54">
        <v>17.600000000000001</v>
      </c>
      <c r="P432" s="54">
        <v>11.6477272727273</v>
      </c>
      <c r="Q432" s="70">
        <v>345</v>
      </c>
      <c r="R432" s="54">
        <v>17</v>
      </c>
      <c r="S432" s="54">
        <f>STOCK[[#This Row],[Peso (g)]]*STOCK[[#This Row],[Precio Envío Kilogramo (USD)]]/1000</f>
        <v>5.8650000000000002</v>
      </c>
      <c r="T432" s="53">
        <f>STOCK[[#This Row],[Costo Unitario (USD)]]+STOCK[[#This Row],[Costo Envío (USD)]]+STOCK[[#This Row],[Comisión 10%]]</f>
        <v>20.0127272727273</v>
      </c>
      <c r="U432" s="54">
        <f>STOCK[[#This Row],[Costo total]]*1.5</f>
        <v>30.019090909090949</v>
      </c>
      <c r="V432" s="54">
        <v>25</v>
      </c>
      <c r="W432" s="54">
        <f>STOCK[[#This Row],[Precio Final]]-STOCK[[#This Row],[Costo total]]</f>
        <v>4.9872727272726998</v>
      </c>
      <c r="X432" s="54">
        <f>STOCK[[#This Row],[Ganancia Unitaria]]*STOCK[[#This Row],[Salidas]]</f>
        <v>14.961818181818099</v>
      </c>
      <c r="Y432" s="54" t="s">
        <v>895</v>
      </c>
      <c r="AA432" s="54">
        <f>STOCK[[#This Row],[Costo total]]*STOCK[[#This Row],[Entradas]]</f>
        <v>60.038181818181897</v>
      </c>
      <c r="AB432" s="54">
        <f>STOCK[[#This Row],[Stock Actual]]*STOCK[[#This Row],[Costo total]]</f>
        <v>0</v>
      </c>
    </row>
    <row r="433" spans="1:28" s="53" customFormat="1" ht="50" customHeight="1">
      <c r="A433" s="53" t="s">
        <v>907</v>
      </c>
      <c r="B433" s="64"/>
      <c r="C433" s="53" t="s">
        <v>32</v>
      </c>
      <c r="D433" s="53" t="s">
        <v>174</v>
      </c>
      <c r="E433" s="65" t="s">
        <v>908</v>
      </c>
      <c r="F433" s="53" t="s">
        <v>62</v>
      </c>
      <c r="G433" s="53" t="s">
        <v>36</v>
      </c>
      <c r="H433" s="53">
        <f>STOCK[[#This Row],[Precio Final]]</f>
        <v>12</v>
      </c>
      <c r="I433" s="53">
        <f>STOCK[[#This Row],[Precio Venta Ideal (x1.5)]]</f>
        <v>13.80818181818181</v>
      </c>
      <c r="J433" s="69">
        <v>3</v>
      </c>
      <c r="K433" s="69">
        <f>SUMIFS(VENTAS[Cantidad],VENTAS[Código del producto Vendido],STOCK[[#This Row],[Code]])</f>
        <v>3</v>
      </c>
      <c r="L433" s="69">
        <f>STOCK[[#This Row],[Entradas]]-STOCK[[#This Row],[Salidas]]</f>
        <v>0</v>
      </c>
      <c r="M433" s="53">
        <f>STOCK[[#This Row],[Precio Final]]*10%</f>
        <v>1.2000000000000002</v>
      </c>
      <c r="N433" s="53">
        <v>102</v>
      </c>
      <c r="O433" s="53">
        <v>17.600000000000001</v>
      </c>
      <c r="P433" s="53">
        <v>5.7954545454545396</v>
      </c>
      <c r="Q433" s="69">
        <v>130</v>
      </c>
      <c r="R433" s="53">
        <v>17</v>
      </c>
      <c r="S433" s="53">
        <f>STOCK[[#This Row],[Peso (g)]]*STOCK[[#This Row],[Precio Envío Kilogramo (USD)]]/1000</f>
        <v>2.21</v>
      </c>
      <c r="T433" s="53">
        <f>STOCK[[#This Row],[Costo Unitario (USD)]]+STOCK[[#This Row],[Costo Envío (USD)]]+STOCK[[#This Row],[Comisión 10%]]</f>
        <v>9.2054545454545398</v>
      </c>
      <c r="U433" s="53">
        <f>STOCK[[#This Row],[Costo total]]*1.5</f>
        <v>13.80818181818181</v>
      </c>
      <c r="V433" s="53">
        <v>12</v>
      </c>
      <c r="W433" s="53">
        <f>STOCK[[#This Row],[Precio Final]]-STOCK[[#This Row],[Costo total]]</f>
        <v>2.7945454545454602</v>
      </c>
      <c r="X433" s="53">
        <f>STOCK[[#This Row],[Ganancia Unitaria]]*STOCK[[#This Row],[Salidas]]</f>
        <v>8.3836363636363807</v>
      </c>
      <c r="Y433" s="53" t="s">
        <v>892</v>
      </c>
      <c r="AA433" s="53">
        <f>STOCK[[#This Row],[Costo total]]*STOCK[[#This Row],[Entradas]]</f>
        <v>27.616363636363619</v>
      </c>
      <c r="AB433" s="53">
        <f>STOCK[[#This Row],[Stock Actual]]*STOCK[[#This Row],[Costo total]]</f>
        <v>0</v>
      </c>
    </row>
    <row r="434" spans="1:28" s="54" customFormat="1" ht="50" customHeight="1">
      <c r="A434" s="54" t="s">
        <v>909</v>
      </c>
      <c r="B434" s="64"/>
      <c r="C434" s="54" t="s">
        <v>32</v>
      </c>
      <c r="D434" s="54" t="s">
        <v>38</v>
      </c>
      <c r="E434" s="66" t="s">
        <v>910</v>
      </c>
      <c r="F434" s="54" t="s">
        <v>49</v>
      </c>
      <c r="G434" s="54" t="s">
        <v>36</v>
      </c>
      <c r="H434" s="54">
        <f>STOCK[[#This Row],[Precio Final]]</f>
        <v>25</v>
      </c>
      <c r="I434" s="54">
        <f>STOCK[[#This Row],[Precio Venta Ideal (x1.5)]]</f>
        <v>26.318181818181749</v>
      </c>
      <c r="J434" s="70">
        <v>1</v>
      </c>
      <c r="K434" s="70">
        <f>SUMIFS(VENTAS[Cantidad],VENTAS[Código del producto Vendido],STOCK[[#This Row],[Code]])</f>
        <v>1</v>
      </c>
      <c r="L434" s="70">
        <f>STOCK[[#This Row],[Entradas]]-STOCK[[#This Row],[Salidas]]</f>
        <v>0</v>
      </c>
      <c r="M434" s="54">
        <f>STOCK[[#This Row],[Precio Final]]*10%</f>
        <v>2.5</v>
      </c>
      <c r="N434" s="54">
        <v>190</v>
      </c>
      <c r="O434" s="54">
        <v>17.600000000000001</v>
      </c>
      <c r="P434" s="54">
        <v>10.795454545454501</v>
      </c>
      <c r="Q434" s="70">
        <v>250</v>
      </c>
      <c r="R434" s="54">
        <v>17</v>
      </c>
      <c r="S434" s="54">
        <f>STOCK[[#This Row],[Peso (g)]]*STOCK[[#This Row],[Precio Envío Kilogramo (USD)]]/1000</f>
        <v>4.25</v>
      </c>
      <c r="T434" s="53">
        <f>STOCK[[#This Row],[Costo Unitario (USD)]]+STOCK[[#This Row],[Costo Envío (USD)]]+STOCK[[#This Row],[Comisión 10%]]</f>
        <v>17.545454545454501</v>
      </c>
      <c r="U434" s="54">
        <f>STOCK[[#This Row],[Costo total]]*1.5</f>
        <v>26.318181818181749</v>
      </c>
      <c r="V434" s="54">
        <v>25</v>
      </c>
      <c r="W434" s="54">
        <f>STOCK[[#This Row],[Precio Final]]-STOCK[[#This Row],[Costo total]]</f>
        <v>7.4545454545454994</v>
      </c>
      <c r="X434" s="54">
        <f>STOCK[[#This Row],[Ganancia Unitaria]]*STOCK[[#This Row],[Salidas]]</f>
        <v>7.4545454545454994</v>
      </c>
      <c r="Y434" s="54" t="s">
        <v>911</v>
      </c>
      <c r="AA434" s="54">
        <f>STOCK[[#This Row],[Costo total]]*STOCK[[#This Row],[Entradas]]</f>
        <v>17.545454545454501</v>
      </c>
      <c r="AB434" s="54">
        <f>STOCK[[#This Row],[Stock Actual]]*STOCK[[#This Row],[Costo total]]</f>
        <v>0</v>
      </c>
    </row>
    <row r="435" spans="1:28" s="53" customFormat="1" ht="50" customHeight="1">
      <c r="A435" s="53" t="s">
        <v>912</v>
      </c>
      <c r="B435" s="64"/>
      <c r="C435" s="53" t="s">
        <v>32</v>
      </c>
      <c r="D435" s="53" t="s">
        <v>82</v>
      </c>
      <c r="E435" s="65" t="s">
        <v>913</v>
      </c>
      <c r="F435" s="53" t="s">
        <v>83</v>
      </c>
      <c r="G435" s="53" t="s">
        <v>36</v>
      </c>
      <c r="H435" s="53">
        <f>STOCK[[#This Row],[Precio Final]]</f>
        <v>25</v>
      </c>
      <c r="I435" s="53">
        <f>STOCK[[#This Row],[Precio Venta Ideal (x1.5)]]</f>
        <v>27.589772727272731</v>
      </c>
      <c r="J435" s="69">
        <v>3</v>
      </c>
      <c r="K435" s="69">
        <f>SUMIFS(VENTAS[Cantidad],VENTAS[Código del producto Vendido],STOCK[[#This Row],[Code]])</f>
        <v>3</v>
      </c>
      <c r="L435" s="69">
        <f>STOCK[[#This Row],[Entradas]]-STOCK[[#This Row],[Salidas]]</f>
        <v>0</v>
      </c>
      <c r="M435" s="53">
        <f>STOCK[[#This Row],[Precio Final]]*10%</f>
        <v>2.5</v>
      </c>
      <c r="N435" s="53">
        <v>175</v>
      </c>
      <c r="O435" s="53">
        <v>17.600000000000001</v>
      </c>
      <c r="P435" s="53">
        <v>9.9431818181818201</v>
      </c>
      <c r="Q435" s="69">
        <v>350</v>
      </c>
      <c r="R435" s="53">
        <v>17</v>
      </c>
      <c r="S435" s="53">
        <f>STOCK[[#This Row],[Peso (g)]]*STOCK[[#This Row],[Precio Envío Kilogramo (USD)]]/1000</f>
        <v>5.95</v>
      </c>
      <c r="T435" s="53">
        <f>STOCK[[#This Row],[Costo Unitario (USD)]]+STOCK[[#This Row],[Costo Envío (USD)]]+STOCK[[#This Row],[Comisión 10%]]</f>
        <v>18.393181818181819</v>
      </c>
      <c r="U435" s="53">
        <f>STOCK[[#This Row],[Costo total]]*1.5</f>
        <v>27.589772727272731</v>
      </c>
      <c r="V435" s="53">
        <v>25</v>
      </c>
      <c r="W435" s="53">
        <f>STOCK[[#This Row],[Precio Final]]-STOCK[[#This Row],[Costo total]]</f>
        <v>6.6068181818181806</v>
      </c>
      <c r="X435" s="53">
        <f>STOCK[[#This Row],[Ganancia Unitaria]]*STOCK[[#This Row],[Salidas]]</f>
        <v>19.820454545454542</v>
      </c>
      <c r="Y435" s="53" t="s">
        <v>895</v>
      </c>
      <c r="AA435" s="53">
        <f>STOCK[[#This Row],[Costo total]]*STOCK[[#This Row],[Entradas]]</f>
        <v>55.179545454545462</v>
      </c>
      <c r="AB435" s="53">
        <f>STOCK[[#This Row],[Stock Actual]]*STOCK[[#This Row],[Costo total]]</f>
        <v>0</v>
      </c>
    </row>
    <row r="436" spans="1:28" s="54" customFormat="1" ht="50" customHeight="1">
      <c r="A436" s="54" t="s">
        <v>914</v>
      </c>
      <c r="B436" s="64"/>
      <c r="C436" s="54" t="s">
        <v>32</v>
      </c>
      <c r="D436" s="54" t="s">
        <v>174</v>
      </c>
      <c r="E436" s="66" t="s">
        <v>915</v>
      </c>
      <c r="F436" s="54" t="s">
        <v>49</v>
      </c>
      <c r="G436" s="54" t="s">
        <v>36</v>
      </c>
      <c r="H436" s="54">
        <f>STOCK[[#This Row],[Precio Final]]</f>
        <v>14</v>
      </c>
      <c r="I436" s="54">
        <f>STOCK[[#This Row],[Precio Venta Ideal (x1.5)]]</f>
        <v>17.215909090909093</v>
      </c>
      <c r="J436" s="70">
        <v>2</v>
      </c>
      <c r="K436" s="70">
        <f>SUMIFS(VENTAS[Cantidad],VENTAS[Código del producto Vendido],STOCK[[#This Row],[Code]])</f>
        <v>2</v>
      </c>
      <c r="L436" s="70">
        <f>STOCK[[#This Row],[Entradas]]-STOCK[[#This Row],[Salidas]]</f>
        <v>0</v>
      </c>
      <c r="M436" s="54">
        <f>STOCK[[#This Row],[Precio Final]]*10%</f>
        <v>1.4000000000000001</v>
      </c>
      <c r="N436" s="54">
        <v>125</v>
      </c>
      <c r="O436" s="54">
        <v>17.600000000000001</v>
      </c>
      <c r="P436" s="54">
        <v>7.1022727272727302</v>
      </c>
      <c r="Q436" s="70">
        <v>175</v>
      </c>
      <c r="R436" s="54">
        <v>17</v>
      </c>
      <c r="S436" s="54">
        <f>STOCK[[#This Row],[Peso (g)]]*STOCK[[#This Row],[Precio Envío Kilogramo (USD)]]/1000</f>
        <v>2.9750000000000001</v>
      </c>
      <c r="T436" s="53">
        <f>STOCK[[#This Row],[Costo Unitario (USD)]]+STOCK[[#This Row],[Costo Envío (USD)]]+STOCK[[#This Row],[Comisión 10%]]</f>
        <v>11.47727272727273</v>
      </c>
      <c r="U436" s="54">
        <f>STOCK[[#This Row],[Costo total]]*1.5</f>
        <v>17.215909090909093</v>
      </c>
      <c r="V436" s="54">
        <v>14</v>
      </c>
      <c r="W436" s="54">
        <f>STOCK[[#This Row],[Precio Final]]-STOCK[[#This Row],[Costo total]]</f>
        <v>2.5227272727272698</v>
      </c>
      <c r="X436" s="54">
        <f>STOCK[[#This Row],[Ganancia Unitaria]]*STOCK[[#This Row],[Salidas]]</f>
        <v>5.0454545454545396</v>
      </c>
      <c r="Y436" s="54" t="s">
        <v>895</v>
      </c>
      <c r="AA436" s="54">
        <f>STOCK[[#This Row],[Costo total]]*STOCK[[#This Row],[Entradas]]</f>
        <v>22.95454545454546</v>
      </c>
      <c r="AB436" s="54">
        <f>STOCK[[#This Row],[Stock Actual]]*STOCK[[#This Row],[Costo total]]</f>
        <v>0</v>
      </c>
    </row>
    <row r="437" spans="1:28" s="53" customFormat="1" ht="50" customHeight="1">
      <c r="A437" s="53" t="s">
        <v>916</v>
      </c>
      <c r="B437" s="64"/>
      <c r="C437" s="53" t="s">
        <v>32</v>
      </c>
      <c r="D437" s="53" t="s">
        <v>174</v>
      </c>
      <c r="E437" s="65" t="s">
        <v>917</v>
      </c>
      <c r="F437" s="53" t="s">
        <v>46</v>
      </c>
      <c r="G437" s="53" t="s">
        <v>36</v>
      </c>
      <c r="H437" s="53">
        <f>STOCK[[#This Row],[Precio Final]]</f>
        <v>14</v>
      </c>
      <c r="I437" s="53">
        <f>STOCK[[#This Row],[Precio Venta Ideal (x1.5)]]</f>
        <v>17.343409090909098</v>
      </c>
      <c r="J437" s="69">
        <v>1</v>
      </c>
      <c r="K437" s="69">
        <f>SUMIFS(VENTAS[Cantidad],VENTAS[Código del producto Vendido],STOCK[[#This Row],[Code]])</f>
        <v>1</v>
      </c>
      <c r="L437" s="69">
        <f>STOCK[[#This Row],[Entradas]]-STOCK[[#This Row],[Salidas]]</f>
        <v>0</v>
      </c>
      <c r="M437" s="53">
        <f>STOCK[[#This Row],[Precio Final]]*10%</f>
        <v>1.4000000000000001</v>
      </c>
      <c r="N437" s="53">
        <v>125</v>
      </c>
      <c r="O437" s="53">
        <v>17.600000000000001</v>
      </c>
      <c r="P437" s="53">
        <v>7.1022727272727302</v>
      </c>
      <c r="Q437" s="69">
        <v>180</v>
      </c>
      <c r="R437" s="53">
        <v>17</v>
      </c>
      <c r="S437" s="53">
        <f>STOCK[[#This Row],[Peso (g)]]*STOCK[[#This Row],[Precio Envío Kilogramo (USD)]]/1000</f>
        <v>3.06</v>
      </c>
      <c r="T437" s="53">
        <f>STOCK[[#This Row],[Costo Unitario (USD)]]+STOCK[[#This Row],[Costo Envío (USD)]]+STOCK[[#This Row],[Comisión 10%]]</f>
        <v>11.562272727272731</v>
      </c>
      <c r="U437" s="53">
        <f>STOCK[[#This Row],[Costo total]]*1.5</f>
        <v>17.343409090909098</v>
      </c>
      <c r="V437" s="53">
        <v>14</v>
      </c>
      <c r="W437" s="53">
        <f>STOCK[[#This Row],[Precio Final]]-STOCK[[#This Row],[Costo total]]</f>
        <v>2.437727272727269</v>
      </c>
      <c r="X437" s="53">
        <f>STOCK[[#This Row],[Ganancia Unitaria]]*STOCK[[#This Row],[Salidas]]</f>
        <v>2.437727272727269</v>
      </c>
      <c r="Y437" s="53" t="s">
        <v>895</v>
      </c>
      <c r="AA437" s="53">
        <f>STOCK[[#This Row],[Costo total]]*STOCK[[#This Row],[Entradas]]</f>
        <v>11.562272727272731</v>
      </c>
      <c r="AB437" s="53">
        <f>STOCK[[#This Row],[Stock Actual]]*STOCK[[#This Row],[Costo total]]</f>
        <v>0</v>
      </c>
    </row>
    <row r="438" spans="1:28" s="54" customFormat="1" ht="50" customHeight="1">
      <c r="A438" s="54" t="s">
        <v>918</v>
      </c>
      <c r="B438" s="64"/>
      <c r="C438" s="54" t="s">
        <v>32</v>
      </c>
      <c r="D438" s="54" t="s">
        <v>44</v>
      </c>
      <c r="E438" s="66" t="s">
        <v>919</v>
      </c>
      <c r="F438" s="54" t="s">
        <v>920</v>
      </c>
      <c r="G438" s="54" t="s">
        <v>36</v>
      </c>
      <c r="H438" s="54">
        <f>STOCK[[#This Row],[Precio Final]]</f>
        <v>25</v>
      </c>
      <c r="I438" s="54">
        <f>STOCK[[#This Row],[Precio Venta Ideal (x1.5)]]</f>
        <v>24.617045454545398</v>
      </c>
      <c r="J438" s="70">
        <v>2</v>
      </c>
      <c r="K438" s="70">
        <f>SUMIFS(VENTAS[Cantidad],VENTAS[Código del producto Vendido],STOCK[[#This Row],[Code]])</f>
        <v>2</v>
      </c>
      <c r="L438" s="70">
        <f>STOCK[[#This Row],[Entradas]]-STOCK[[#This Row],[Salidas]]</f>
        <v>0</v>
      </c>
      <c r="M438" s="54">
        <f>STOCK[[#This Row],[Precio Final]]*10%</f>
        <v>2.5</v>
      </c>
      <c r="N438" s="54">
        <v>185</v>
      </c>
      <c r="O438" s="54">
        <v>17.600000000000001</v>
      </c>
      <c r="P438" s="54">
        <v>10.511363636363599</v>
      </c>
      <c r="Q438" s="70">
        <v>200</v>
      </c>
      <c r="R438" s="54">
        <v>17</v>
      </c>
      <c r="S438" s="54">
        <f>STOCK[[#This Row],[Peso (g)]]*STOCK[[#This Row],[Precio Envío Kilogramo (USD)]]/1000</f>
        <v>3.4</v>
      </c>
      <c r="T438" s="53">
        <f>STOCK[[#This Row],[Costo Unitario (USD)]]+STOCK[[#This Row],[Costo Envío (USD)]]+STOCK[[#This Row],[Comisión 10%]]</f>
        <v>16.4113636363636</v>
      </c>
      <c r="U438" s="54">
        <f>STOCK[[#This Row],[Costo total]]*1.5</f>
        <v>24.617045454545398</v>
      </c>
      <c r="V438" s="54">
        <v>25</v>
      </c>
      <c r="W438" s="54">
        <f>STOCK[[#This Row],[Precio Final]]-STOCK[[#This Row],[Costo total]]</f>
        <v>8.5886363636364003</v>
      </c>
      <c r="X438" s="54">
        <f>STOCK[[#This Row],[Ganancia Unitaria]]*STOCK[[#This Row],[Salidas]]</f>
        <v>17.177272727272801</v>
      </c>
      <c r="AA438" s="54">
        <f>STOCK[[#This Row],[Costo total]]*STOCK[[#This Row],[Entradas]]</f>
        <v>32.822727272727199</v>
      </c>
      <c r="AB438" s="54">
        <f>STOCK[[#This Row],[Stock Actual]]*STOCK[[#This Row],[Costo total]]</f>
        <v>0</v>
      </c>
    </row>
    <row r="439" spans="1:28" s="53" customFormat="1" ht="50" customHeight="1">
      <c r="A439" s="53" t="s">
        <v>921</v>
      </c>
      <c r="B439" s="64"/>
      <c r="C439" s="53" t="s">
        <v>32</v>
      </c>
      <c r="D439" s="53" t="s">
        <v>213</v>
      </c>
      <c r="E439" s="65" t="s">
        <v>922</v>
      </c>
      <c r="F439" s="53" t="s">
        <v>923</v>
      </c>
      <c r="G439" s="53" t="s">
        <v>36</v>
      </c>
      <c r="H439" s="53">
        <f>STOCK[[#This Row],[Precio Final]]</f>
        <v>25</v>
      </c>
      <c r="I439" s="53">
        <f>STOCK[[#This Row],[Precio Venta Ideal (x1.5)]]</f>
        <v>24.617045454545398</v>
      </c>
      <c r="J439" s="69">
        <v>2</v>
      </c>
      <c r="K439" s="69">
        <f>SUMIFS(VENTAS[Cantidad],VENTAS[Código del producto Vendido],STOCK[[#This Row],[Code]])</f>
        <v>2</v>
      </c>
      <c r="L439" s="69">
        <f>STOCK[[#This Row],[Entradas]]-STOCK[[#This Row],[Salidas]]</f>
        <v>0</v>
      </c>
      <c r="M439" s="53">
        <f>STOCK[[#This Row],[Precio Final]]*10%</f>
        <v>2.5</v>
      </c>
      <c r="N439" s="53">
        <v>185</v>
      </c>
      <c r="O439" s="53">
        <v>17.600000000000001</v>
      </c>
      <c r="P439" s="53">
        <v>10.511363636363599</v>
      </c>
      <c r="Q439" s="69">
        <v>200</v>
      </c>
      <c r="R439" s="53">
        <v>17</v>
      </c>
      <c r="S439" s="53">
        <f>STOCK[[#This Row],[Peso (g)]]*STOCK[[#This Row],[Precio Envío Kilogramo (USD)]]/1000</f>
        <v>3.4</v>
      </c>
      <c r="T439" s="53">
        <f>STOCK[[#This Row],[Costo Unitario (USD)]]+STOCK[[#This Row],[Costo Envío (USD)]]+STOCK[[#This Row],[Comisión 10%]]</f>
        <v>16.4113636363636</v>
      </c>
      <c r="U439" s="53">
        <f>STOCK[[#This Row],[Costo total]]*1.5</f>
        <v>24.617045454545398</v>
      </c>
      <c r="V439" s="53">
        <v>25</v>
      </c>
      <c r="W439" s="53">
        <f>STOCK[[#This Row],[Precio Final]]-STOCK[[#This Row],[Costo total]]</f>
        <v>8.5886363636364003</v>
      </c>
      <c r="X439" s="53">
        <f>STOCK[[#This Row],[Ganancia Unitaria]]*STOCK[[#This Row],[Salidas]]</f>
        <v>17.177272727272801</v>
      </c>
      <c r="AA439" s="53">
        <f>STOCK[[#This Row],[Costo total]]*STOCK[[#This Row],[Entradas]]</f>
        <v>32.822727272727199</v>
      </c>
      <c r="AB439" s="53">
        <f>STOCK[[#This Row],[Stock Actual]]*STOCK[[#This Row],[Costo total]]</f>
        <v>0</v>
      </c>
    </row>
    <row r="440" spans="1:28" s="54" customFormat="1" ht="50" customHeight="1">
      <c r="A440" s="54" t="s">
        <v>924</v>
      </c>
      <c r="B440" s="64"/>
      <c r="C440" s="54" t="s">
        <v>32</v>
      </c>
      <c r="D440" s="54" t="s">
        <v>152</v>
      </c>
      <c r="E440" s="66" t="s">
        <v>925</v>
      </c>
      <c r="F440" s="54" t="s">
        <v>62</v>
      </c>
      <c r="G440" s="54" t="s">
        <v>36</v>
      </c>
      <c r="H440" s="54">
        <f>STOCK[[#This Row],[Precio Final]]</f>
        <v>20</v>
      </c>
      <c r="I440" s="54">
        <f>STOCK[[#This Row],[Precio Venta Ideal (x1.5)]]</f>
        <v>20.414318181818174</v>
      </c>
      <c r="J440" s="70">
        <v>1</v>
      </c>
      <c r="K440" s="70">
        <f>SUMIFS(VENTAS[Cantidad],VENTAS[Código del producto Vendido],STOCK[[#This Row],[Code]])</f>
        <v>1</v>
      </c>
      <c r="L440" s="70">
        <f>STOCK[[#This Row],[Entradas]]-STOCK[[#This Row],[Salidas]]</f>
        <v>0</v>
      </c>
      <c r="M440" s="54">
        <f>STOCK[[#This Row],[Precio Final]]*10%</f>
        <v>2</v>
      </c>
      <c r="N440" s="54">
        <v>140</v>
      </c>
      <c r="O440" s="54">
        <v>17.600000000000001</v>
      </c>
      <c r="P440" s="54">
        <v>7.9545454545454497</v>
      </c>
      <c r="Q440" s="70">
        <v>215</v>
      </c>
      <c r="R440" s="54">
        <v>17</v>
      </c>
      <c r="S440" s="54">
        <f>STOCK[[#This Row],[Peso (g)]]*STOCK[[#This Row],[Precio Envío Kilogramo (USD)]]/1000</f>
        <v>3.6549999999999998</v>
      </c>
      <c r="T440" s="53">
        <f>STOCK[[#This Row],[Costo Unitario (USD)]]+STOCK[[#This Row],[Costo Envío (USD)]]+STOCK[[#This Row],[Comisión 10%]]</f>
        <v>13.609545454545449</v>
      </c>
      <c r="U440" s="54">
        <f>STOCK[[#This Row],[Costo total]]*1.5</f>
        <v>20.414318181818174</v>
      </c>
      <c r="V440" s="54">
        <v>20</v>
      </c>
      <c r="W440" s="54">
        <f>STOCK[[#This Row],[Precio Final]]-STOCK[[#This Row],[Costo total]]</f>
        <v>6.3904545454545509</v>
      </c>
      <c r="X440" s="54">
        <f>STOCK[[#This Row],[Ganancia Unitaria]]*STOCK[[#This Row],[Salidas]]</f>
        <v>6.3904545454545509</v>
      </c>
      <c r="Y440" s="54" t="s">
        <v>895</v>
      </c>
      <c r="AA440" s="54">
        <f>STOCK[[#This Row],[Costo total]]*STOCK[[#This Row],[Entradas]]</f>
        <v>13.609545454545449</v>
      </c>
      <c r="AB440" s="54">
        <f>STOCK[[#This Row],[Stock Actual]]*STOCK[[#This Row],[Costo total]]</f>
        <v>0</v>
      </c>
    </row>
    <row r="441" spans="1:28" s="53" customFormat="1" ht="50" customHeight="1">
      <c r="A441" s="53" t="s">
        <v>926</v>
      </c>
      <c r="B441" s="64"/>
      <c r="C441" s="53" t="s">
        <v>32</v>
      </c>
      <c r="D441" s="53" t="s">
        <v>152</v>
      </c>
      <c r="E441" s="65" t="s">
        <v>925</v>
      </c>
      <c r="F441" s="53" t="s">
        <v>49</v>
      </c>
      <c r="G441" s="53" t="s">
        <v>36</v>
      </c>
      <c r="H441" s="53">
        <f>STOCK[[#This Row],[Precio Final]]</f>
        <v>20</v>
      </c>
      <c r="I441" s="53">
        <f>STOCK[[#This Row],[Precio Venta Ideal (x1.5)]]</f>
        <v>20.414318181818174</v>
      </c>
      <c r="J441" s="69">
        <v>1</v>
      </c>
      <c r="K441" s="69">
        <f>SUMIFS(VENTAS[Cantidad],VENTAS[Código del producto Vendido],STOCK[[#This Row],[Code]])</f>
        <v>1</v>
      </c>
      <c r="L441" s="69">
        <f>STOCK[[#This Row],[Entradas]]-STOCK[[#This Row],[Salidas]]</f>
        <v>0</v>
      </c>
      <c r="M441" s="53">
        <f>STOCK[[#This Row],[Precio Final]]*10%</f>
        <v>2</v>
      </c>
      <c r="N441" s="53">
        <v>140</v>
      </c>
      <c r="O441" s="53">
        <v>17.600000000000001</v>
      </c>
      <c r="P441" s="53">
        <v>7.9545454545454497</v>
      </c>
      <c r="Q441" s="69">
        <v>215</v>
      </c>
      <c r="R441" s="53">
        <v>17</v>
      </c>
      <c r="S441" s="53">
        <f>STOCK[[#This Row],[Peso (g)]]*STOCK[[#This Row],[Precio Envío Kilogramo (USD)]]/1000</f>
        <v>3.6549999999999998</v>
      </c>
      <c r="T441" s="53">
        <f>STOCK[[#This Row],[Costo Unitario (USD)]]+STOCK[[#This Row],[Costo Envío (USD)]]+STOCK[[#This Row],[Comisión 10%]]</f>
        <v>13.609545454545449</v>
      </c>
      <c r="U441" s="53">
        <f>STOCK[[#This Row],[Costo total]]*1.5</f>
        <v>20.414318181818174</v>
      </c>
      <c r="V441" s="53">
        <v>20</v>
      </c>
      <c r="W441" s="53">
        <f>STOCK[[#This Row],[Precio Final]]-STOCK[[#This Row],[Costo total]]</f>
        <v>6.3904545454545509</v>
      </c>
      <c r="X441" s="53">
        <f>STOCK[[#This Row],[Ganancia Unitaria]]*STOCK[[#This Row],[Salidas]]</f>
        <v>6.3904545454545509</v>
      </c>
      <c r="Y441" s="53" t="s">
        <v>927</v>
      </c>
      <c r="AA441" s="53">
        <f>STOCK[[#This Row],[Costo total]]*STOCK[[#This Row],[Entradas]]</f>
        <v>13.609545454545449</v>
      </c>
      <c r="AB441" s="53">
        <f>STOCK[[#This Row],[Stock Actual]]*STOCK[[#This Row],[Costo total]]</f>
        <v>0</v>
      </c>
    </row>
    <row r="442" spans="1:28" s="54" customFormat="1" ht="50" customHeight="1">
      <c r="A442" s="54" t="s">
        <v>928</v>
      </c>
      <c r="B442" s="64"/>
      <c r="C442" s="54" t="s">
        <v>32</v>
      </c>
      <c r="D442" s="54" t="s">
        <v>152</v>
      </c>
      <c r="E442" s="66" t="s">
        <v>925</v>
      </c>
      <c r="F442" s="54" t="s">
        <v>46</v>
      </c>
      <c r="G442" s="54" t="s">
        <v>36</v>
      </c>
      <c r="H442" s="54">
        <f>STOCK[[#This Row],[Precio Final]]</f>
        <v>20</v>
      </c>
      <c r="I442" s="54">
        <f>STOCK[[#This Row],[Precio Venta Ideal (x1.5)]]</f>
        <v>20.414318181818174</v>
      </c>
      <c r="J442" s="70">
        <v>1</v>
      </c>
      <c r="K442" s="70">
        <f>SUMIFS(VENTAS[Cantidad],VENTAS[Código del producto Vendido],STOCK[[#This Row],[Code]])</f>
        <v>1</v>
      </c>
      <c r="L442" s="70">
        <f>STOCK[[#This Row],[Entradas]]-STOCK[[#This Row],[Salidas]]</f>
        <v>0</v>
      </c>
      <c r="M442" s="54">
        <f>STOCK[[#This Row],[Precio Final]]*10%</f>
        <v>2</v>
      </c>
      <c r="N442" s="54">
        <v>140</v>
      </c>
      <c r="O442" s="54">
        <v>17.600000000000001</v>
      </c>
      <c r="P442" s="54">
        <v>7.9545454545454497</v>
      </c>
      <c r="Q442" s="70">
        <v>215</v>
      </c>
      <c r="R442" s="54">
        <v>17</v>
      </c>
      <c r="S442" s="54">
        <f>STOCK[[#This Row],[Peso (g)]]*STOCK[[#This Row],[Precio Envío Kilogramo (USD)]]/1000</f>
        <v>3.6549999999999998</v>
      </c>
      <c r="T442" s="53">
        <f>STOCK[[#This Row],[Costo Unitario (USD)]]+STOCK[[#This Row],[Costo Envío (USD)]]+STOCK[[#This Row],[Comisión 10%]]</f>
        <v>13.609545454545449</v>
      </c>
      <c r="U442" s="54">
        <f>STOCK[[#This Row],[Costo total]]*1.5</f>
        <v>20.414318181818174</v>
      </c>
      <c r="V442" s="54">
        <v>20</v>
      </c>
      <c r="W442" s="54">
        <f>STOCK[[#This Row],[Precio Final]]-STOCK[[#This Row],[Costo total]]</f>
        <v>6.3904545454545509</v>
      </c>
      <c r="X442" s="54">
        <f>STOCK[[#This Row],[Ganancia Unitaria]]*STOCK[[#This Row],[Salidas]]</f>
        <v>6.3904545454545509</v>
      </c>
      <c r="Y442" s="54" t="s">
        <v>895</v>
      </c>
      <c r="AA442" s="54">
        <f>STOCK[[#This Row],[Costo total]]*STOCK[[#This Row],[Entradas]]</f>
        <v>13.609545454545449</v>
      </c>
      <c r="AB442" s="54">
        <f>STOCK[[#This Row],[Stock Actual]]*STOCK[[#This Row],[Costo total]]</f>
        <v>0</v>
      </c>
    </row>
    <row r="443" spans="1:28" s="53" customFormat="1" ht="50" customHeight="1">
      <c r="A443" s="53" t="s">
        <v>929</v>
      </c>
      <c r="B443" s="64"/>
      <c r="C443" s="53" t="s">
        <v>32</v>
      </c>
      <c r="D443" s="53" t="s">
        <v>152</v>
      </c>
      <c r="E443" s="65" t="s">
        <v>930</v>
      </c>
      <c r="F443" s="53" t="s">
        <v>40</v>
      </c>
      <c r="G443" s="53" t="s">
        <v>36</v>
      </c>
      <c r="H443" s="53">
        <f>STOCK[[#This Row],[Precio Final]]</f>
        <v>15</v>
      </c>
      <c r="I443" s="53">
        <f>STOCK[[#This Row],[Precio Venta Ideal (x1.5)]]</f>
        <v>14.000454545454541</v>
      </c>
      <c r="J443" s="69">
        <v>1</v>
      </c>
      <c r="K443" s="69">
        <f>SUMIFS(VENTAS[Cantidad],VENTAS[Código del producto Vendido],STOCK[[#This Row],[Code]])</f>
        <v>1</v>
      </c>
      <c r="L443" s="69">
        <f>STOCK[[#This Row],[Entradas]]-STOCK[[#This Row],[Salidas]]</f>
        <v>0</v>
      </c>
      <c r="M443" s="53">
        <f>STOCK[[#This Row],[Precio Final]]*10%</f>
        <v>1.5</v>
      </c>
      <c r="N443" s="53">
        <v>90</v>
      </c>
      <c r="O443" s="53">
        <v>17.600000000000001</v>
      </c>
      <c r="P443" s="53">
        <v>5.1136363636363598</v>
      </c>
      <c r="Q443" s="69">
        <v>160</v>
      </c>
      <c r="R443" s="53">
        <v>17</v>
      </c>
      <c r="S443" s="53">
        <f>STOCK[[#This Row],[Peso (g)]]*STOCK[[#This Row],[Precio Envío Kilogramo (USD)]]/1000</f>
        <v>2.72</v>
      </c>
      <c r="T443" s="53">
        <f>STOCK[[#This Row],[Costo Unitario (USD)]]+STOCK[[#This Row],[Costo Envío (USD)]]+STOCK[[#This Row],[Comisión 10%]]</f>
        <v>9.3336363636363604</v>
      </c>
      <c r="U443" s="53">
        <f>STOCK[[#This Row],[Costo total]]*1.5</f>
        <v>14.000454545454541</v>
      </c>
      <c r="V443" s="53">
        <v>15</v>
      </c>
      <c r="W443" s="53">
        <f>STOCK[[#This Row],[Precio Final]]-STOCK[[#This Row],[Costo total]]</f>
        <v>5.6663636363636396</v>
      </c>
      <c r="X443" s="53">
        <f>STOCK[[#This Row],[Ganancia Unitaria]]*STOCK[[#This Row],[Salidas]]</f>
        <v>5.6663636363636396</v>
      </c>
      <c r="AA443" s="53">
        <f>STOCK[[#This Row],[Costo total]]*STOCK[[#This Row],[Entradas]]</f>
        <v>9.3336363636363604</v>
      </c>
      <c r="AB443" s="53">
        <f>STOCK[[#This Row],[Stock Actual]]*STOCK[[#This Row],[Costo total]]</f>
        <v>0</v>
      </c>
    </row>
    <row r="444" spans="1:28" s="54" customFormat="1" ht="50" customHeight="1">
      <c r="A444" s="54" t="s">
        <v>931</v>
      </c>
      <c r="B444" s="64"/>
      <c r="C444" s="54" t="s">
        <v>32</v>
      </c>
      <c r="D444" s="54" t="s">
        <v>152</v>
      </c>
      <c r="E444" s="66" t="s">
        <v>930</v>
      </c>
      <c r="F444" s="54" t="s">
        <v>62</v>
      </c>
      <c r="G444" s="54" t="s">
        <v>36</v>
      </c>
      <c r="H444" s="54">
        <f>STOCK[[#This Row],[Precio Final]]</f>
        <v>15</v>
      </c>
      <c r="I444" s="54">
        <f>STOCK[[#This Row],[Precio Venta Ideal (x1.5)]]</f>
        <v>14.000454545454541</v>
      </c>
      <c r="J444" s="70">
        <v>2</v>
      </c>
      <c r="K444" s="70">
        <f>SUMIFS(VENTAS[Cantidad],VENTAS[Código del producto Vendido],STOCK[[#This Row],[Code]])</f>
        <v>1</v>
      </c>
      <c r="L444" s="70">
        <f>STOCK[[#This Row],[Entradas]]-STOCK[[#This Row],[Salidas]]</f>
        <v>1</v>
      </c>
      <c r="M444" s="54">
        <f>STOCK[[#This Row],[Precio Final]]*10%</f>
        <v>1.5</v>
      </c>
      <c r="N444" s="54">
        <v>90</v>
      </c>
      <c r="O444" s="54">
        <v>17.600000000000001</v>
      </c>
      <c r="P444" s="54">
        <v>5.1136363636363598</v>
      </c>
      <c r="Q444" s="70">
        <v>160</v>
      </c>
      <c r="R444" s="54">
        <v>17</v>
      </c>
      <c r="S444" s="54">
        <f>STOCK[[#This Row],[Peso (g)]]*STOCK[[#This Row],[Precio Envío Kilogramo (USD)]]/1000</f>
        <v>2.72</v>
      </c>
      <c r="T444" s="53">
        <f>STOCK[[#This Row],[Costo Unitario (USD)]]+STOCK[[#This Row],[Costo Envío (USD)]]+STOCK[[#This Row],[Comisión 10%]]</f>
        <v>9.3336363636363604</v>
      </c>
      <c r="U444" s="54">
        <f>STOCK[[#This Row],[Costo total]]*1.5</f>
        <v>14.000454545454541</v>
      </c>
      <c r="V444" s="54">
        <v>15</v>
      </c>
      <c r="W444" s="54">
        <f>STOCK[[#This Row],[Precio Final]]-STOCK[[#This Row],[Costo total]]</f>
        <v>5.6663636363636396</v>
      </c>
      <c r="X444" s="54">
        <f>STOCK[[#This Row],[Ganancia Unitaria]]*STOCK[[#This Row],[Salidas]]</f>
        <v>5.6663636363636396</v>
      </c>
      <c r="AA444" s="54">
        <f>STOCK[[#This Row],[Costo total]]*STOCK[[#This Row],[Entradas]]</f>
        <v>18.667272727272721</v>
      </c>
      <c r="AB444" s="54">
        <f>STOCK[[#This Row],[Stock Actual]]*STOCK[[#This Row],[Costo total]]</f>
        <v>9.3336363636363604</v>
      </c>
    </row>
    <row r="445" spans="1:28" s="53" customFormat="1" ht="50" customHeight="1">
      <c r="A445" s="53" t="s">
        <v>932</v>
      </c>
      <c r="B445" s="64"/>
      <c r="C445" s="53" t="s">
        <v>32</v>
      </c>
      <c r="D445" s="53" t="s">
        <v>152</v>
      </c>
      <c r="E445" s="65" t="s">
        <v>930</v>
      </c>
      <c r="F445" s="53" t="s">
        <v>49</v>
      </c>
      <c r="G445" s="53" t="s">
        <v>36</v>
      </c>
      <c r="H445" s="53">
        <f>STOCK[[#This Row],[Precio Final]]</f>
        <v>15</v>
      </c>
      <c r="I445" s="53">
        <f>STOCK[[#This Row],[Precio Venta Ideal (x1.5)]]</f>
        <v>13.87295454545454</v>
      </c>
      <c r="J445" s="69">
        <v>2</v>
      </c>
      <c r="K445" s="69">
        <f>SUMIFS(VENTAS[Cantidad],VENTAS[Código del producto Vendido],STOCK[[#This Row],[Code]])</f>
        <v>2</v>
      </c>
      <c r="L445" s="69">
        <f>STOCK[[#This Row],[Entradas]]-STOCK[[#This Row],[Salidas]]</f>
        <v>0</v>
      </c>
      <c r="M445" s="53">
        <f>STOCK[[#This Row],[Precio Final]]*10%</f>
        <v>1.5</v>
      </c>
      <c r="N445" s="53">
        <v>90</v>
      </c>
      <c r="O445" s="53">
        <v>17.600000000000001</v>
      </c>
      <c r="P445" s="53">
        <v>5.1136363636363598</v>
      </c>
      <c r="Q445" s="69">
        <v>155</v>
      </c>
      <c r="R445" s="53">
        <v>17</v>
      </c>
      <c r="S445" s="53">
        <f>STOCK[[#This Row],[Peso (g)]]*STOCK[[#This Row],[Precio Envío Kilogramo (USD)]]/1000</f>
        <v>2.6349999999999998</v>
      </c>
      <c r="T445" s="53">
        <f>STOCK[[#This Row],[Costo Unitario (USD)]]+STOCK[[#This Row],[Costo Envío (USD)]]+STOCK[[#This Row],[Comisión 10%]]</f>
        <v>9.2486363636363595</v>
      </c>
      <c r="U445" s="53">
        <f>STOCK[[#This Row],[Costo total]]*1.5</f>
        <v>13.87295454545454</v>
      </c>
      <c r="V445" s="53">
        <v>15</v>
      </c>
      <c r="W445" s="53">
        <f>STOCK[[#This Row],[Precio Final]]-STOCK[[#This Row],[Costo total]]</f>
        <v>5.7513636363636405</v>
      </c>
      <c r="X445" s="53">
        <f>STOCK[[#This Row],[Ganancia Unitaria]]*STOCK[[#This Row],[Salidas]]</f>
        <v>11.502727272727281</v>
      </c>
      <c r="AA445" s="53">
        <f>STOCK[[#This Row],[Costo total]]*STOCK[[#This Row],[Entradas]]</f>
        <v>18.497272727272719</v>
      </c>
      <c r="AB445" s="53">
        <f>STOCK[[#This Row],[Stock Actual]]*STOCK[[#This Row],[Costo total]]</f>
        <v>0</v>
      </c>
    </row>
    <row r="446" spans="1:28" s="54" customFormat="1" ht="50" customHeight="1">
      <c r="A446" s="54" t="s">
        <v>933</v>
      </c>
      <c r="B446" s="64"/>
      <c r="C446" s="54" t="s">
        <v>32</v>
      </c>
      <c r="D446" s="54" t="s">
        <v>934</v>
      </c>
      <c r="E446" s="66" t="s">
        <v>930</v>
      </c>
      <c r="F446" s="54" t="s">
        <v>46</v>
      </c>
      <c r="G446" s="54" t="s">
        <v>36</v>
      </c>
      <c r="H446" s="54">
        <f>STOCK[[#This Row],[Precio Final]]</f>
        <v>15</v>
      </c>
      <c r="I446" s="54">
        <f>STOCK[[#This Row],[Precio Venta Ideal (x1.5)]]</f>
        <v>13.87295454545454</v>
      </c>
      <c r="J446" s="70">
        <v>2</v>
      </c>
      <c r="K446" s="70">
        <f>SUMIFS(VENTAS[Cantidad],VENTAS[Código del producto Vendido],STOCK[[#This Row],[Code]])</f>
        <v>1</v>
      </c>
      <c r="L446" s="70">
        <f>STOCK[[#This Row],[Entradas]]-STOCK[[#This Row],[Salidas]]</f>
        <v>1</v>
      </c>
      <c r="M446" s="54">
        <f>STOCK[[#This Row],[Precio Final]]*10%</f>
        <v>1.5</v>
      </c>
      <c r="N446" s="54">
        <v>90</v>
      </c>
      <c r="O446" s="54">
        <v>17.600000000000001</v>
      </c>
      <c r="P446" s="54">
        <v>5.1136363636363598</v>
      </c>
      <c r="Q446" s="70">
        <v>155</v>
      </c>
      <c r="R446" s="54">
        <v>17</v>
      </c>
      <c r="S446" s="54">
        <f>STOCK[[#This Row],[Peso (g)]]*STOCK[[#This Row],[Precio Envío Kilogramo (USD)]]/1000</f>
        <v>2.6349999999999998</v>
      </c>
      <c r="T446" s="53">
        <f>STOCK[[#This Row],[Costo Unitario (USD)]]+STOCK[[#This Row],[Costo Envío (USD)]]+STOCK[[#This Row],[Comisión 10%]]</f>
        <v>9.2486363636363595</v>
      </c>
      <c r="U446" s="54">
        <f>STOCK[[#This Row],[Costo total]]*1.5</f>
        <v>13.87295454545454</v>
      </c>
      <c r="V446" s="54">
        <v>15</v>
      </c>
      <c r="W446" s="54">
        <f>STOCK[[#This Row],[Precio Final]]-STOCK[[#This Row],[Costo total]]</f>
        <v>5.7513636363636405</v>
      </c>
      <c r="X446" s="54">
        <f>STOCK[[#This Row],[Ganancia Unitaria]]*STOCK[[#This Row],[Salidas]]</f>
        <v>5.7513636363636405</v>
      </c>
      <c r="AA446" s="54">
        <f>STOCK[[#This Row],[Costo total]]*STOCK[[#This Row],[Entradas]]</f>
        <v>18.497272727272719</v>
      </c>
      <c r="AB446" s="54">
        <f>STOCK[[#This Row],[Stock Actual]]*STOCK[[#This Row],[Costo total]]</f>
        <v>9.2486363636363595</v>
      </c>
    </row>
    <row r="447" spans="1:28" s="53" customFormat="1" ht="50" customHeight="1">
      <c r="A447" s="53" t="s">
        <v>935</v>
      </c>
      <c r="B447" s="64"/>
      <c r="C447" s="53" t="s">
        <v>32</v>
      </c>
      <c r="D447" s="53" t="s">
        <v>38</v>
      </c>
      <c r="E447" s="65" t="s">
        <v>913</v>
      </c>
      <c r="F447" s="53" t="s">
        <v>62</v>
      </c>
      <c r="G447" s="53" t="s">
        <v>36</v>
      </c>
      <c r="H447" s="53">
        <f>STOCK[[#This Row],[Precio Final]]</f>
        <v>25</v>
      </c>
      <c r="I447" s="53">
        <f>STOCK[[#This Row],[Precio Venta Ideal (x1.5)]]</f>
        <v>24.784772727272728</v>
      </c>
      <c r="J447" s="69">
        <v>2</v>
      </c>
      <c r="K447" s="69">
        <f>SUMIFS(VENTAS[Cantidad],VENTAS[Código del producto Vendido],STOCK[[#This Row],[Code]])</f>
        <v>2</v>
      </c>
      <c r="L447" s="69">
        <f>STOCK[[#This Row],[Entradas]]-STOCK[[#This Row],[Salidas]]</f>
        <v>0</v>
      </c>
      <c r="M447" s="53">
        <f>STOCK[[#This Row],[Precio Final]]*10%</f>
        <v>2.5</v>
      </c>
      <c r="N447" s="53">
        <v>175</v>
      </c>
      <c r="O447" s="53">
        <v>17.600000000000001</v>
      </c>
      <c r="P447" s="53">
        <v>9.9431818181818201</v>
      </c>
      <c r="Q447" s="69">
        <v>240</v>
      </c>
      <c r="R447" s="53">
        <v>17</v>
      </c>
      <c r="S447" s="53">
        <f>STOCK[[#This Row],[Peso (g)]]*STOCK[[#This Row],[Precio Envío Kilogramo (USD)]]/1000</f>
        <v>4.08</v>
      </c>
      <c r="T447" s="53">
        <f>STOCK[[#This Row],[Costo Unitario (USD)]]+STOCK[[#This Row],[Costo Envío (USD)]]+STOCK[[#This Row],[Comisión 10%]]</f>
        <v>16.523181818181818</v>
      </c>
      <c r="U447" s="53">
        <f>STOCK[[#This Row],[Costo total]]*1.5</f>
        <v>24.784772727272728</v>
      </c>
      <c r="V447" s="53">
        <v>25</v>
      </c>
      <c r="W447" s="53">
        <f>STOCK[[#This Row],[Precio Final]]-STOCK[[#This Row],[Costo total]]</f>
        <v>8.4768181818181816</v>
      </c>
      <c r="X447" s="53">
        <f>STOCK[[#This Row],[Ganancia Unitaria]]*STOCK[[#This Row],[Salidas]]</f>
        <v>16.953636363636363</v>
      </c>
      <c r="Y447" s="53" t="s">
        <v>895</v>
      </c>
      <c r="AA447" s="53">
        <f>STOCK[[#This Row],[Costo total]]*STOCK[[#This Row],[Entradas]]</f>
        <v>33.046363636363637</v>
      </c>
      <c r="AB447" s="53">
        <f>STOCK[[#This Row],[Stock Actual]]*STOCK[[#This Row],[Costo total]]</f>
        <v>0</v>
      </c>
    </row>
    <row r="448" spans="1:28" s="54" customFormat="1" ht="50" customHeight="1">
      <c r="A448" s="54" t="s">
        <v>936</v>
      </c>
      <c r="B448" s="64"/>
      <c r="C448" s="54" t="s">
        <v>32</v>
      </c>
      <c r="D448" s="54" t="s">
        <v>38</v>
      </c>
      <c r="E448" s="66" t="s">
        <v>937</v>
      </c>
      <c r="F448" s="54" t="s">
        <v>49</v>
      </c>
      <c r="G448" s="54" t="s">
        <v>36</v>
      </c>
      <c r="H448" s="54">
        <f>STOCK[[#This Row],[Precio Final]]</f>
        <v>25</v>
      </c>
      <c r="I448" s="54">
        <f>STOCK[[#This Row],[Precio Venta Ideal (x1.5)]]</f>
        <v>24.784772727272728</v>
      </c>
      <c r="J448" s="70">
        <v>4</v>
      </c>
      <c r="K448" s="70">
        <f>SUMIFS(VENTAS[Cantidad],VENTAS[Código del producto Vendido],STOCK[[#This Row],[Code]])</f>
        <v>4</v>
      </c>
      <c r="L448" s="70">
        <f>STOCK[[#This Row],[Entradas]]-STOCK[[#This Row],[Salidas]]</f>
        <v>0</v>
      </c>
      <c r="M448" s="54">
        <f>STOCK[[#This Row],[Precio Final]]*10%</f>
        <v>2.5</v>
      </c>
      <c r="N448" s="54">
        <v>175</v>
      </c>
      <c r="O448" s="54">
        <v>17.600000000000001</v>
      </c>
      <c r="P448" s="54">
        <v>9.9431818181818201</v>
      </c>
      <c r="Q448" s="70">
        <v>240</v>
      </c>
      <c r="R448" s="54">
        <v>17</v>
      </c>
      <c r="S448" s="54">
        <f>STOCK[[#This Row],[Peso (g)]]*STOCK[[#This Row],[Precio Envío Kilogramo (USD)]]/1000</f>
        <v>4.08</v>
      </c>
      <c r="T448" s="53">
        <f>STOCK[[#This Row],[Costo Unitario (USD)]]+STOCK[[#This Row],[Costo Envío (USD)]]+STOCK[[#This Row],[Comisión 10%]]</f>
        <v>16.523181818181818</v>
      </c>
      <c r="U448" s="54">
        <f>STOCK[[#This Row],[Costo total]]*1.5</f>
        <v>24.784772727272728</v>
      </c>
      <c r="V448" s="54">
        <v>25</v>
      </c>
      <c r="W448" s="54">
        <f>STOCK[[#This Row],[Precio Final]]-STOCK[[#This Row],[Costo total]]</f>
        <v>8.4768181818181816</v>
      </c>
      <c r="X448" s="54">
        <f>STOCK[[#This Row],[Ganancia Unitaria]]*STOCK[[#This Row],[Salidas]]</f>
        <v>33.907272727272726</v>
      </c>
      <c r="AA448" s="54">
        <f>STOCK[[#This Row],[Costo total]]*STOCK[[#This Row],[Entradas]]</f>
        <v>66.092727272727274</v>
      </c>
      <c r="AB448" s="54">
        <f>STOCK[[#This Row],[Stock Actual]]*STOCK[[#This Row],[Costo total]]</f>
        <v>0</v>
      </c>
    </row>
    <row r="449" spans="1:28" s="53" customFormat="1" ht="50" customHeight="1">
      <c r="A449" s="53" t="s">
        <v>938</v>
      </c>
      <c r="B449" s="64"/>
      <c r="C449" s="53" t="s">
        <v>32</v>
      </c>
      <c r="D449" s="53" t="s">
        <v>44</v>
      </c>
      <c r="E449" s="65" t="s">
        <v>939</v>
      </c>
      <c r="F449" s="53" t="s">
        <v>42</v>
      </c>
      <c r="G449" s="53" t="s">
        <v>36</v>
      </c>
      <c r="H449" s="53">
        <f>STOCK[[#This Row],[Precio Final]]</f>
        <v>30</v>
      </c>
      <c r="I449" s="53">
        <f>STOCK[[#This Row],[Precio Venta Ideal (x1.5)]]</f>
        <v>33.027954545454598</v>
      </c>
      <c r="J449" s="69">
        <v>1</v>
      </c>
      <c r="K449" s="69">
        <f>SUMIFS(VENTAS[Cantidad],VENTAS[Código del producto Vendido],STOCK[[#This Row],[Code]])</f>
        <v>1</v>
      </c>
      <c r="L449" s="69">
        <f>STOCK[[#This Row],[Entradas]]-STOCK[[#This Row],[Salidas]]</f>
        <v>0</v>
      </c>
      <c r="M449" s="53">
        <f>STOCK[[#This Row],[Precio Final]]*10%</f>
        <v>3</v>
      </c>
      <c r="N449" s="53">
        <v>233</v>
      </c>
      <c r="O449" s="53">
        <v>17.600000000000001</v>
      </c>
      <c r="P449" s="53">
        <v>13.238636363636401</v>
      </c>
      <c r="Q449" s="69">
        <v>340</v>
      </c>
      <c r="R449" s="53">
        <v>17</v>
      </c>
      <c r="S449" s="53">
        <f>STOCK[[#This Row],[Peso (g)]]*STOCK[[#This Row],[Precio Envío Kilogramo (USD)]]/1000</f>
        <v>5.78</v>
      </c>
      <c r="T449" s="53">
        <f>STOCK[[#This Row],[Costo Unitario (USD)]]+STOCK[[#This Row],[Costo Envío (USD)]]+STOCK[[#This Row],[Comisión 10%]]</f>
        <v>22.0186363636364</v>
      </c>
      <c r="U449" s="53">
        <f>STOCK[[#This Row],[Costo total]]*1.5</f>
        <v>33.027954545454598</v>
      </c>
      <c r="V449" s="53">
        <v>30</v>
      </c>
      <c r="W449" s="53">
        <f>STOCK[[#This Row],[Precio Final]]-STOCK[[#This Row],[Costo total]]</f>
        <v>7.9813636363636</v>
      </c>
      <c r="X449" s="53">
        <f>STOCK[[#This Row],[Ganancia Unitaria]]*STOCK[[#This Row],[Salidas]]</f>
        <v>7.9813636363636</v>
      </c>
      <c r="Y449" s="53" t="s">
        <v>895</v>
      </c>
      <c r="AA449" s="53">
        <f>STOCK[[#This Row],[Costo total]]*STOCK[[#This Row],[Entradas]]</f>
        <v>22.0186363636364</v>
      </c>
      <c r="AB449" s="53">
        <f>STOCK[[#This Row],[Stock Actual]]*STOCK[[#This Row],[Costo total]]</f>
        <v>0</v>
      </c>
    </row>
    <row r="450" spans="1:28" s="54" customFormat="1" ht="50" customHeight="1">
      <c r="A450" s="54" t="s">
        <v>940</v>
      </c>
      <c r="B450" s="64"/>
      <c r="C450" s="54" t="s">
        <v>32</v>
      </c>
      <c r="D450" s="54" t="s">
        <v>44</v>
      </c>
      <c r="E450" s="66" t="s">
        <v>941</v>
      </c>
      <c r="F450" s="54" t="s">
        <v>46</v>
      </c>
      <c r="G450" s="54" t="s">
        <v>36</v>
      </c>
      <c r="H450" s="54">
        <f>STOCK[[#This Row],[Precio Final]]</f>
        <v>30</v>
      </c>
      <c r="I450" s="54">
        <f>STOCK[[#This Row],[Precio Venta Ideal (x1.5)]]</f>
        <v>33.027954545454598</v>
      </c>
      <c r="J450" s="70">
        <v>2</v>
      </c>
      <c r="K450" s="70">
        <f>SUMIFS(VENTAS[Cantidad],VENTAS[Código del producto Vendido],STOCK[[#This Row],[Code]])</f>
        <v>2</v>
      </c>
      <c r="L450" s="70">
        <f>STOCK[[#This Row],[Entradas]]-STOCK[[#This Row],[Salidas]]</f>
        <v>0</v>
      </c>
      <c r="M450" s="54">
        <f>STOCK[[#This Row],[Precio Final]]*10%</f>
        <v>3</v>
      </c>
      <c r="N450" s="54">
        <v>233</v>
      </c>
      <c r="O450" s="54">
        <v>17.600000000000001</v>
      </c>
      <c r="P450" s="54">
        <v>13.238636363636401</v>
      </c>
      <c r="Q450" s="70">
        <v>340</v>
      </c>
      <c r="R450" s="54">
        <v>17</v>
      </c>
      <c r="S450" s="54">
        <f>STOCK[[#This Row],[Peso (g)]]*STOCK[[#This Row],[Precio Envío Kilogramo (USD)]]/1000</f>
        <v>5.78</v>
      </c>
      <c r="T450" s="53">
        <f>STOCK[[#This Row],[Costo Unitario (USD)]]+STOCK[[#This Row],[Costo Envío (USD)]]+STOCK[[#This Row],[Comisión 10%]]</f>
        <v>22.0186363636364</v>
      </c>
      <c r="U450" s="54">
        <f>STOCK[[#This Row],[Costo total]]*1.5</f>
        <v>33.027954545454598</v>
      </c>
      <c r="V450" s="54">
        <v>30</v>
      </c>
      <c r="W450" s="54">
        <f>STOCK[[#This Row],[Precio Final]]-STOCK[[#This Row],[Costo total]]</f>
        <v>7.9813636363636</v>
      </c>
      <c r="X450" s="54">
        <f>STOCK[[#This Row],[Ganancia Unitaria]]*STOCK[[#This Row],[Salidas]]</f>
        <v>15.9627272727272</v>
      </c>
      <c r="Y450" s="54" t="s">
        <v>927</v>
      </c>
      <c r="AA450" s="54">
        <f>STOCK[[#This Row],[Costo total]]*STOCK[[#This Row],[Entradas]]</f>
        <v>44.0372727272728</v>
      </c>
      <c r="AB450" s="54">
        <f>STOCK[[#This Row],[Stock Actual]]*STOCK[[#This Row],[Costo total]]</f>
        <v>0</v>
      </c>
    </row>
    <row r="451" spans="1:28" s="53" customFormat="1" ht="50" customHeight="1">
      <c r="A451" s="53" t="s">
        <v>942</v>
      </c>
      <c r="B451" s="64"/>
      <c r="C451" s="53" t="s">
        <v>32</v>
      </c>
      <c r="D451" s="53" t="s">
        <v>44</v>
      </c>
      <c r="E451" s="65" t="s">
        <v>941</v>
      </c>
      <c r="F451" s="53" t="s">
        <v>62</v>
      </c>
      <c r="G451" s="53" t="s">
        <v>36</v>
      </c>
      <c r="H451" s="53">
        <f>STOCK[[#This Row],[Precio Final]]</f>
        <v>30</v>
      </c>
      <c r="I451" s="53">
        <f>STOCK[[#This Row],[Precio Venta Ideal (x1.5)]]</f>
        <v>32.772954545454603</v>
      </c>
      <c r="J451" s="69">
        <v>1</v>
      </c>
      <c r="K451" s="69">
        <f>SUMIFS(VENTAS[Cantidad],VENTAS[Código del producto Vendido],STOCK[[#This Row],[Code]])</f>
        <v>1</v>
      </c>
      <c r="L451" s="69">
        <f>STOCK[[#This Row],[Entradas]]-STOCK[[#This Row],[Salidas]]</f>
        <v>0</v>
      </c>
      <c r="M451" s="53">
        <f>STOCK[[#This Row],[Precio Final]]*10%</f>
        <v>3</v>
      </c>
      <c r="N451" s="53">
        <v>233</v>
      </c>
      <c r="O451" s="53">
        <v>17.600000000000001</v>
      </c>
      <c r="P451" s="53">
        <v>13.238636363636401</v>
      </c>
      <c r="Q451" s="69">
        <v>330</v>
      </c>
      <c r="R451" s="53">
        <v>17</v>
      </c>
      <c r="S451" s="53">
        <f>STOCK[[#This Row],[Peso (g)]]*STOCK[[#This Row],[Precio Envío Kilogramo (USD)]]/1000</f>
        <v>5.61</v>
      </c>
      <c r="T451" s="53">
        <f>STOCK[[#This Row],[Costo Unitario (USD)]]+STOCK[[#This Row],[Costo Envío (USD)]]+STOCK[[#This Row],[Comisión 10%]]</f>
        <v>21.848636363636402</v>
      </c>
      <c r="U451" s="53">
        <f>STOCK[[#This Row],[Costo total]]*1.5</f>
        <v>32.772954545454603</v>
      </c>
      <c r="V451" s="53">
        <v>30</v>
      </c>
      <c r="W451" s="53">
        <f>STOCK[[#This Row],[Precio Final]]-STOCK[[#This Row],[Costo total]]</f>
        <v>8.1513636363635982</v>
      </c>
      <c r="X451" s="53">
        <f>STOCK[[#This Row],[Ganancia Unitaria]]*STOCK[[#This Row],[Salidas]]</f>
        <v>8.1513636363635982</v>
      </c>
      <c r="Y451" s="53" t="s">
        <v>895</v>
      </c>
      <c r="AA451" s="53">
        <f>STOCK[[#This Row],[Costo total]]*STOCK[[#This Row],[Entradas]]</f>
        <v>21.848636363636402</v>
      </c>
      <c r="AB451" s="53">
        <f>STOCK[[#This Row],[Stock Actual]]*STOCK[[#This Row],[Costo total]]</f>
        <v>0</v>
      </c>
    </row>
    <row r="452" spans="1:28" s="54" customFormat="1" ht="50" customHeight="1">
      <c r="A452" s="54" t="s">
        <v>943</v>
      </c>
      <c r="B452" s="64"/>
      <c r="C452" s="54" t="s">
        <v>32</v>
      </c>
      <c r="D452" s="54" t="s">
        <v>44</v>
      </c>
      <c r="E452" s="66" t="s">
        <v>941</v>
      </c>
      <c r="F452" s="54" t="s">
        <v>49</v>
      </c>
      <c r="G452" s="54" t="s">
        <v>36</v>
      </c>
      <c r="H452" s="54">
        <f>STOCK[[#This Row],[Precio Final]]</f>
        <v>30</v>
      </c>
      <c r="I452" s="54">
        <f>STOCK[[#This Row],[Precio Venta Ideal (x1.5)]]</f>
        <v>33.027954545454598</v>
      </c>
      <c r="J452" s="70">
        <v>2</v>
      </c>
      <c r="K452" s="70">
        <f>SUMIFS(VENTAS[Cantidad],VENTAS[Código del producto Vendido],STOCK[[#This Row],[Code]])</f>
        <v>2</v>
      </c>
      <c r="L452" s="70">
        <f>STOCK[[#This Row],[Entradas]]-STOCK[[#This Row],[Salidas]]</f>
        <v>0</v>
      </c>
      <c r="M452" s="54">
        <f>STOCK[[#This Row],[Precio Final]]*10%</f>
        <v>3</v>
      </c>
      <c r="N452" s="54">
        <v>233</v>
      </c>
      <c r="O452" s="54">
        <v>17.600000000000001</v>
      </c>
      <c r="P452" s="54">
        <v>13.238636363636401</v>
      </c>
      <c r="Q452" s="70">
        <v>340</v>
      </c>
      <c r="R452" s="54">
        <v>17</v>
      </c>
      <c r="S452" s="54">
        <f>STOCK[[#This Row],[Peso (g)]]*STOCK[[#This Row],[Precio Envío Kilogramo (USD)]]/1000</f>
        <v>5.78</v>
      </c>
      <c r="T452" s="53">
        <f>STOCK[[#This Row],[Costo Unitario (USD)]]+STOCK[[#This Row],[Costo Envío (USD)]]+STOCK[[#This Row],[Comisión 10%]]</f>
        <v>22.0186363636364</v>
      </c>
      <c r="U452" s="54">
        <f>STOCK[[#This Row],[Costo total]]*1.5</f>
        <v>33.027954545454598</v>
      </c>
      <c r="V452" s="54">
        <v>30</v>
      </c>
      <c r="W452" s="54">
        <f>STOCK[[#This Row],[Precio Final]]-STOCK[[#This Row],[Costo total]]</f>
        <v>7.9813636363636</v>
      </c>
      <c r="X452" s="54">
        <f>STOCK[[#This Row],[Ganancia Unitaria]]*STOCK[[#This Row],[Salidas]]</f>
        <v>15.9627272727272</v>
      </c>
      <c r="Y452" s="54" t="s">
        <v>895</v>
      </c>
      <c r="AA452" s="54">
        <f>STOCK[[#This Row],[Costo total]]*STOCK[[#This Row],[Entradas]]</f>
        <v>44.0372727272728</v>
      </c>
      <c r="AB452" s="54">
        <f>STOCK[[#This Row],[Stock Actual]]*STOCK[[#This Row],[Costo total]]</f>
        <v>0</v>
      </c>
    </row>
    <row r="453" spans="1:28" s="53" customFormat="1" ht="50" customHeight="1">
      <c r="A453" s="53" t="s">
        <v>944</v>
      </c>
      <c r="B453" s="64"/>
      <c r="C453" s="53" t="s">
        <v>32</v>
      </c>
      <c r="D453" s="53" t="s">
        <v>174</v>
      </c>
      <c r="E453" s="65" t="s">
        <v>945</v>
      </c>
      <c r="F453" s="53" t="s">
        <v>49</v>
      </c>
      <c r="G453" s="53" t="s">
        <v>36</v>
      </c>
      <c r="H453" s="53">
        <f>STOCK[[#This Row],[Precio Final]]</f>
        <v>12</v>
      </c>
      <c r="I453" s="53">
        <f>STOCK[[#This Row],[Precio Venta Ideal (x1.5)]]</f>
        <v>12.613636363636365</v>
      </c>
      <c r="J453" s="69">
        <v>1</v>
      </c>
      <c r="K453" s="69">
        <f>SUMIFS(VENTAS[Cantidad],VENTAS[Código del producto Vendido],STOCK[[#This Row],[Code]])</f>
        <v>1</v>
      </c>
      <c r="L453" s="69">
        <f>STOCK[[#This Row],[Entradas]]-STOCK[[#This Row],[Salidas]]</f>
        <v>0</v>
      </c>
      <c r="M453" s="53">
        <f>STOCK[[#This Row],[Precio Final]]*10%</f>
        <v>1.2000000000000002</v>
      </c>
      <c r="N453" s="53">
        <v>82</v>
      </c>
      <c r="O453" s="53">
        <v>17.600000000000001</v>
      </c>
      <c r="P453" s="53">
        <v>4.6590909090909101</v>
      </c>
      <c r="Q453" s="69">
        <v>150</v>
      </c>
      <c r="R453" s="53">
        <v>17</v>
      </c>
      <c r="S453" s="53">
        <f>STOCK[[#This Row],[Peso (g)]]*STOCK[[#This Row],[Precio Envío Kilogramo (USD)]]/1000</f>
        <v>2.5499999999999998</v>
      </c>
      <c r="T453" s="53">
        <f>STOCK[[#This Row],[Costo Unitario (USD)]]+STOCK[[#This Row],[Costo Envío (USD)]]+STOCK[[#This Row],[Comisión 10%]]</f>
        <v>8.4090909090909101</v>
      </c>
      <c r="U453" s="53">
        <f>STOCK[[#This Row],[Costo total]]*1.5</f>
        <v>12.613636363636365</v>
      </c>
      <c r="V453" s="53">
        <v>12</v>
      </c>
      <c r="W453" s="53">
        <f>STOCK[[#This Row],[Precio Final]]-STOCK[[#This Row],[Costo total]]</f>
        <v>3.5909090909090899</v>
      </c>
      <c r="X453" s="53">
        <f>STOCK[[#This Row],[Ganancia Unitaria]]*STOCK[[#This Row],[Salidas]]</f>
        <v>3.5909090909090899</v>
      </c>
      <c r="Y453" s="53" t="s">
        <v>927</v>
      </c>
      <c r="AA453" s="53">
        <f>STOCK[[#This Row],[Costo total]]*STOCK[[#This Row],[Entradas]]</f>
        <v>8.4090909090909101</v>
      </c>
      <c r="AB453" s="53">
        <f>STOCK[[#This Row],[Stock Actual]]*STOCK[[#This Row],[Costo total]]</f>
        <v>0</v>
      </c>
    </row>
    <row r="454" spans="1:28" s="54" customFormat="1" ht="50" customHeight="1">
      <c r="A454" s="54" t="s">
        <v>946</v>
      </c>
      <c r="B454" s="64"/>
      <c r="C454" s="54" t="s">
        <v>32</v>
      </c>
      <c r="D454" s="54" t="s">
        <v>174</v>
      </c>
      <c r="E454" s="66" t="s">
        <v>947</v>
      </c>
      <c r="F454" s="54" t="s">
        <v>948</v>
      </c>
      <c r="G454" s="54" t="s">
        <v>36</v>
      </c>
      <c r="H454" s="54">
        <f>STOCK[[#This Row],[Precio Final]]</f>
        <v>12</v>
      </c>
      <c r="I454" s="54">
        <f>STOCK[[#This Row],[Precio Venta Ideal (x1.5)]]</f>
        <v>12.613636363636365</v>
      </c>
      <c r="J454" s="70">
        <v>1</v>
      </c>
      <c r="K454" s="70">
        <f>SUMIFS(VENTAS[Cantidad],VENTAS[Código del producto Vendido],STOCK[[#This Row],[Code]])</f>
        <v>1</v>
      </c>
      <c r="L454" s="70">
        <f>STOCK[[#This Row],[Entradas]]-STOCK[[#This Row],[Salidas]]</f>
        <v>0</v>
      </c>
      <c r="M454" s="54">
        <f>STOCK[[#This Row],[Precio Final]]*10%</f>
        <v>1.2000000000000002</v>
      </c>
      <c r="N454" s="54">
        <v>82</v>
      </c>
      <c r="O454" s="54">
        <v>17.600000000000001</v>
      </c>
      <c r="P454" s="54">
        <v>4.6590909090909101</v>
      </c>
      <c r="Q454" s="70">
        <v>150</v>
      </c>
      <c r="R454" s="54">
        <v>17</v>
      </c>
      <c r="S454" s="54">
        <f>STOCK[[#This Row],[Peso (g)]]*STOCK[[#This Row],[Precio Envío Kilogramo (USD)]]/1000</f>
        <v>2.5499999999999998</v>
      </c>
      <c r="T454" s="53">
        <f>STOCK[[#This Row],[Costo Unitario (USD)]]+STOCK[[#This Row],[Costo Envío (USD)]]+STOCK[[#This Row],[Comisión 10%]]</f>
        <v>8.4090909090909101</v>
      </c>
      <c r="U454" s="54">
        <f>STOCK[[#This Row],[Costo total]]*1.5</f>
        <v>12.613636363636365</v>
      </c>
      <c r="V454" s="54">
        <v>12</v>
      </c>
      <c r="W454" s="54">
        <f>STOCK[[#This Row],[Precio Final]]-STOCK[[#This Row],[Costo total]]</f>
        <v>3.5909090909090899</v>
      </c>
      <c r="X454" s="54">
        <f>STOCK[[#This Row],[Ganancia Unitaria]]*STOCK[[#This Row],[Salidas]]</f>
        <v>3.5909090909090899</v>
      </c>
      <c r="Y454" s="54" t="s">
        <v>927</v>
      </c>
      <c r="AA454" s="54">
        <f>STOCK[[#This Row],[Costo total]]*STOCK[[#This Row],[Entradas]]</f>
        <v>8.4090909090909101</v>
      </c>
      <c r="AB454" s="54">
        <f>STOCK[[#This Row],[Stock Actual]]*STOCK[[#This Row],[Costo total]]</f>
        <v>0</v>
      </c>
    </row>
    <row r="455" spans="1:28" s="53" customFormat="1" ht="50" customHeight="1">
      <c r="A455" s="53" t="s">
        <v>949</v>
      </c>
      <c r="B455" s="64"/>
      <c r="C455" s="53" t="s">
        <v>32</v>
      </c>
      <c r="D455" s="53" t="s">
        <v>152</v>
      </c>
      <c r="E455" s="65" t="s">
        <v>950</v>
      </c>
      <c r="F455" s="53" t="s">
        <v>40</v>
      </c>
      <c r="G455" s="53" t="s">
        <v>36</v>
      </c>
      <c r="H455" s="53">
        <f>STOCK[[#This Row],[Precio Final]]</f>
        <v>25</v>
      </c>
      <c r="I455" s="53">
        <f>STOCK[[#This Row],[Precio Venta Ideal (x1.5)]]</f>
        <v>26.057045454545445</v>
      </c>
      <c r="J455" s="69">
        <v>2</v>
      </c>
      <c r="K455" s="69">
        <f>SUMIFS(VENTAS[Cantidad],VENTAS[Código del producto Vendido],STOCK[[#This Row],[Code]])</f>
        <v>2</v>
      </c>
      <c r="L455" s="69">
        <f>STOCK[[#This Row],[Entradas]]-STOCK[[#This Row],[Salidas]]</f>
        <v>0</v>
      </c>
      <c r="M455" s="53">
        <f>STOCK[[#This Row],[Precio Final]]*10%</f>
        <v>2.5</v>
      </c>
      <c r="N455" s="53">
        <v>163</v>
      </c>
      <c r="O455" s="53">
        <v>17.600000000000001</v>
      </c>
      <c r="P455" s="53">
        <v>9.2613636363636296</v>
      </c>
      <c r="Q455" s="69">
        <v>330</v>
      </c>
      <c r="R455" s="53">
        <v>17</v>
      </c>
      <c r="S455" s="53">
        <f>STOCK[[#This Row],[Peso (g)]]*STOCK[[#This Row],[Precio Envío Kilogramo (USD)]]/1000</f>
        <v>5.61</v>
      </c>
      <c r="T455" s="53">
        <f>STOCK[[#This Row],[Costo Unitario (USD)]]+STOCK[[#This Row],[Costo Envío (USD)]]+STOCK[[#This Row],[Comisión 10%]]</f>
        <v>17.371363636363629</v>
      </c>
      <c r="U455" s="53">
        <f>STOCK[[#This Row],[Costo total]]*1.5</f>
        <v>26.057045454545445</v>
      </c>
      <c r="V455" s="53">
        <v>25</v>
      </c>
      <c r="W455" s="53">
        <f>STOCK[[#This Row],[Precio Final]]-STOCK[[#This Row],[Costo total]]</f>
        <v>7.628636363636371</v>
      </c>
      <c r="X455" s="53">
        <f>STOCK[[#This Row],[Ganancia Unitaria]]*STOCK[[#This Row],[Salidas]]</f>
        <v>15.257272727272742</v>
      </c>
      <c r="Y455" s="53" t="s">
        <v>927</v>
      </c>
      <c r="AA455" s="53">
        <f>STOCK[[#This Row],[Costo total]]*STOCK[[#This Row],[Entradas]]</f>
        <v>34.742727272727258</v>
      </c>
      <c r="AB455" s="53">
        <f>STOCK[[#This Row],[Stock Actual]]*STOCK[[#This Row],[Costo total]]</f>
        <v>0</v>
      </c>
    </row>
    <row r="456" spans="1:28" s="54" customFormat="1" ht="50" customHeight="1">
      <c r="A456" s="54" t="s">
        <v>951</v>
      </c>
      <c r="B456" s="64"/>
      <c r="C456" s="54" t="s">
        <v>32</v>
      </c>
      <c r="D456" s="54" t="s">
        <v>152</v>
      </c>
      <c r="E456" s="66" t="s">
        <v>950</v>
      </c>
      <c r="F456" s="54" t="s">
        <v>62</v>
      </c>
      <c r="G456" s="54" t="s">
        <v>36</v>
      </c>
      <c r="H456" s="54">
        <f>STOCK[[#This Row],[Precio Final]]</f>
        <v>25</v>
      </c>
      <c r="I456" s="54">
        <f>STOCK[[#This Row],[Precio Venta Ideal (x1.5)]]</f>
        <v>26.057045454545445</v>
      </c>
      <c r="J456" s="70">
        <v>3</v>
      </c>
      <c r="K456" s="70">
        <f>SUMIFS(VENTAS[Cantidad],VENTAS[Código del producto Vendido],STOCK[[#This Row],[Code]])</f>
        <v>3</v>
      </c>
      <c r="L456" s="70">
        <f>STOCK[[#This Row],[Entradas]]-STOCK[[#This Row],[Salidas]]</f>
        <v>0</v>
      </c>
      <c r="M456" s="54">
        <f>STOCK[[#This Row],[Precio Final]]*10%</f>
        <v>2.5</v>
      </c>
      <c r="N456" s="54">
        <v>163</v>
      </c>
      <c r="O456" s="54">
        <v>17.600000000000001</v>
      </c>
      <c r="P456" s="54">
        <v>9.2613636363636296</v>
      </c>
      <c r="Q456" s="70">
        <v>330</v>
      </c>
      <c r="R456" s="54">
        <v>17</v>
      </c>
      <c r="S456" s="54">
        <f>STOCK[[#This Row],[Peso (g)]]*STOCK[[#This Row],[Precio Envío Kilogramo (USD)]]/1000</f>
        <v>5.61</v>
      </c>
      <c r="T456" s="53">
        <f>STOCK[[#This Row],[Costo Unitario (USD)]]+STOCK[[#This Row],[Costo Envío (USD)]]+STOCK[[#This Row],[Comisión 10%]]</f>
        <v>17.371363636363629</v>
      </c>
      <c r="U456" s="54">
        <f>STOCK[[#This Row],[Costo total]]*1.5</f>
        <v>26.057045454545445</v>
      </c>
      <c r="V456" s="54">
        <v>25</v>
      </c>
      <c r="W456" s="54">
        <f>STOCK[[#This Row],[Precio Final]]-STOCK[[#This Row],[Costo total]]</f>
        <v>7.628636363636371</v>
      </c>
      <c r="X456" s="54">
        <f>STOCK[[#This Row],[Ganancia Unitaria]]*STOCK[[#This Row],[Salidas]]</f>
        <v>22.885909090909113</v>
      </c>
      <c r="Y456" s="54" t="s">
        <v>927</v>
      </c>
      <c r="AA456" s="54">
        <f>STOCK[[#This Row],[Costo total]]*STOCK[[#This Row],[Entradas]]</f>
        <v>52.114090909090891</v>
      </c>
      <c r="AB456" s="54">
        <f>STOCK[[#This Row],[Stock Actual]]*STOCK[[#This Row],[Costo total]]</f>
        <v>0</v>
      </c>
    </row>
    <row r="457" spans="1:28" s="53" customFormat="1" ht="50" customHeight="1">
      <c r="A457" s="53" t="s">
        <v>952</v>
      </c>
      <c r="B457" s="64"/>
      <c r="C457" s="53" t="s">
        <v>32</v>
      </c>
      <c r="D457" s="53" t="s">
        <v>152</v>
      </c>
      <c r="E457" s="65" t="s">
        <v>950</v>
      </c>
      <c r="F457" s="53" t="s">
        <v>49</v>
      </c>
      <c r="G457" s="53" t="s">
        <v>36</v>
      </c>
      <c r="H457" s="53">
        <f>STOCK[[#This Row],[Precio Final]]</f>
        <v>25</v>
      </c>
      <c r="I457" s="53">
        <f>STOCK[[#This Row],[Precio Venta Ideal (x1.5)]]</f>
        <v>26.057045454545445</v>
      </c>
      <c r="J457" s="69">
        <v>2</v>
      </c>
      <c r="K457" s="69">
        <f>SUMIFS(VENTAS[Cantidad],VENTAS[Código del producto Vendido],STOCK[[#This Row],[Code]])</f>
        <v>2</v>
      </c>
      <c r="L457" s="69">
        <f>STOCK[[#This Row],[Entradas]]-STOCK[[#This Row],[Salidas]]</f>
        <v>0</v>
      </c>
      <c r="M457" s="53">
        <f>STOCK[[#This Row],[Precio Final]]*10%</f>
        <v>2.5</v>
      </c>
      <c r="N457" s="53">
        <v>163</v>
      </c>
      <c r="O457" s="53">
        <v>17.600000000000001</v>
      </c>
      <c r="P457" s="53">
        <v>9.2613636363636296</v>
      </c>
      <c r="Q457" s="69">
        <v>330</v>
      </c>
      <c r="R457" s="53">
        <v>17</v>
      </c>
      <c r="S457" s="53">
        <f>STOCK[[#This Row],[Peso (g)]]*STOCK[[#This Row],[Precio Envío Kilogramo (USD)]]/1000</f>
        <v>5.61</v>
      </c>
      <c r="T457" s="53">
        <f>STOCK[[#This Row],[Costo Unitario (USD)]]+STOCK[[#This Row],[Costo Envío (USD)]]+STOCK[[#This Row],[Comisión 10%]]</f>
        <v>17.371363636363629</v>
      </c>
      <c r="U457" s="53">
        <f>STOCK[[#This Row],[Costo total]]*1.5</f>
        <v>26.057045454545445</v>
      </c>
      <c r="V457" s="53">
        <v>25</v>
      </c>
      <c r="W457" s="53">
        <f>STOCK[[#This Row],[Precio Final]]-STOCK[[#This Row],[Costo total]]</f>
        <v>7.628636363636371</v>
      </c>
      <c r="X457" s="53">
        <f>STOCK[[#This Row],[Ganancia Unitaria]]*STOCK[[#This Row],[Salidas]]</f>
        <v>15.257272727272742</v>
      </c>
      <c r="Y457" s="53" t="s">
        <v>895</v>
      </c>
      <c r="AA457" s="53">
        <f>STOCK[[#This Row],[Costo total]]*STOCK[[#This Row],[Entradas]]</f>
        <v>34.742727272727258</v>
      </c>
      <c r="AB457" s="53">
        <f>STOCK[[#This Row],[Stock Actual]]*STOCK[[#This Row],[Costo total]]</f>
        <v>0</v>
      </c>
    </row>
    <row r="458" spans="1:28" s="54" customFormat="1" ht="50" customHeight="1">
      <c r="A458" s="54" t="s">
        <v>953</v>
      </c>
      <c r="B458" s="64"/>
      <c r="C458" s="54" t="s">
        <v>32</v>
      </c>
      <c r="D458" s="54" t="s">
        <v>125</v>
      </c>
      <c r="E458" s="66" t="s">
        <v>954</v>
      </c>
      <c r="F458" s="54" t="s">
        <v>955</v>
      </c>
      <c r="G458" s="54" t="s">
        <v>36</v>
      </c>
      <c r="H458" s="54">
        <f>STOCK[[#This Row],[Precio Final]]</f>
        <v>25</v>
      </c>
      <c r="I458" s="54">
        <f>STOCK[[#This Row],[Precio Venta Ideal (x1.5)]]</f>
        <v>22.315909090909095</v>
      </c>
      <c r="J458" s="70">
        <v>1</v>
      </c>
      <c r="K458" s="70">
        <f>SUMIFS(VENTAS[Cantidad],VENTAS[Código del producto Vendido],STOCK[[#This Row],[Code]])</f>
        <v>1</v>
      </c>
      <c r="L458" s="70">
        <f>STOCK[[#This Row],[Entradas]]-STOCK[[#This Row],[Salidas]]</f>
        <v>0</v>
      </c>
      <c r="M458" s="54">
        <f>STOCK[[#This Row],[Precio Final]]*10%</f>
        <v>2.5</v>
      </c>
      <c r="N458" s="54">
        <v>158</v>
      </c>
      <c r="O458" s="54">
        <v>17.600000000000001</v>
      </c>
      <c r="P458" s="54">
        <v>8.9772727272727302</v>
      </c>
      <c r="Q458" s="70">
        <v>200</v>
      </c>
      <c r="R458" s="54">
        <v>17</v>
      </c>
      <c r="S458" s="54">
        <f>STOCK[[#This Row],[Peso (g)]]*STOCK[[#This Row],[Precio Envío Kilogramo (USD)]]/1000</f>
        <v>3.4</v>
      </c>
      <c r="T458" s="53">
        <f>STOCK[[#This Row],[Costo Unitario (USD)]]+STOCK[[#This Row],[Costo Envío (USD)]]+STOCK[[#This Row],[Comisión 10%]]</f>
        <v>14.877272727272731</v>
      </c>
      <c r="U458" s="54">
        <f>STOCK[[#This Row],[Costo total]]*1.5</f>
        <v>22.315909090909095</v>
      </c>
      <c r="V458" s="54">
        <v>25</v>
      </c>
      <c r="W458" s="54">
        <f>STOCK[[#This Row],[Precio Final]]-STOCK[[#This Row],[Costo total]]</f>
        <v>10.122727272727269</v>
      </c>
      <c r="X458" s="54">
        <f>STOCK[[#This Row],[Ganancia Unitaria]]*STOCK[[#This Row],[Salidas]]</f>
        <v>10.122727272727269</v>
      </c>
      <c r="Y458" s="54" t="s">
        <v>927</v>
      </c>
      <c r="AA458" s="54">
        <f>STOCK[[#This Row],[Costo total]]*STOCK[[#This Row],[Entradas]]</f>
        <v>14.877272727272731</v>
      </c>
      <c r="AB458" s="54">
        <f>STOCK[[#This Row],[Stock Actual]]*STOCK[[#This Row],[Costo total]]</f>
        <v>0</v>
      </c>
    </row>
    <row r="459" spans="1:28" s="53" customFormat="1" ht="50" customHeight="1">
      <c r="A459" s="53" t="s">
        <v>956</v>
      </c>
      <c r="B459" s="64"/>
      <c r="C459" s="53" t="s">
        <v>32</v>
      </c>
      <c r="D459" s="53" t="s">
        <v>38</v>
      </c>
      <c r="E459" s="65" t="s">
        <v>957</v>
      </c>
      <c r="F459" s="53" t="s">
        <v>46</v>
      </c>
      <c r="G459" s="53" t="s">
        <v>36</v>
      </c>
      <c r="H459" s="53">
        <f>STOCK[[#This Row],[Precio Final]]</f>
        <v>20</v>
      </c>
      <c r="I459" s="53">
        <f>STOCK[[#This Row],[Precio Venta Ideal (x1.5)]]</f>
        <v>20.884090909090904</v>
      </c>
      <c r="J459" s="69">
        <v>1</v>
      </c>
      <c r="K459" s="69">
        <f>SUMIFS(VENTAS[Cantidad],VENTAS[Código del producto Vendido],STOCK[[#This Row],[Code]])</f>
        <v>1</v>
      </c>
      <c r="L459" s="69">
        <f>STOCK[[#This Row],[Entradas]]-STOCK[[#This Row],[Salidas]]</f>
        <v>0</v>
      </c>
      <c r="M459" s="53">
        <f>STOCK[[#This Row],[Precio Final]]*10%</f>
        <v>2</v>
      </c>
      <c r="N459" s="53">
        <v>150</v>
      </c>
      <c r="O459" s="53">
        <v>17.600000000000001</v>
      </c>
      <c r="P459" s="53">
        <v>8.5227272727272698</v>
      </c>
      <c r="Q459" s="69">
        <v>200</v>
      </c>
      <c r="R459" s="53">
        <v>17</v>
      </c>
      <c r="S459" s="53">
        <f>STOCK[[#This Row],[Peso (g)]]*STOCK[[#This Row],[Precio Envío Kilogramo (USD)]]/1000</f>
        <v>3.4</v>
      </c>
      <c r="T459" s="53">
        <f>STOCK[[#This Row],[Costo Unitario (USD)]]+STOCK[[#This Row],[Costo Envío (USD)]]+STOCK[[#This Row],[Comisión 10%]]</f>
        <v>13.92272727272727</v>
      </c>
      <c r="U459" s="53">
        <f>STOCK[[#This Row],[Costo total]]*1.5</f>
        <v>20.884090909090904</v>
      </c>
      <c r="V459" s="53">
        <v>20</v>
      </c>
      <c r="W459" s="53">
        <f>STOCK[[#This Row],[Precio Final]]-STOCK[[#This Row],[Costo total]]</f>
        <v>6.0772727272727298</v>
      </c>
      <c r="X459" s="53">
        <f>STOCK[[#This Row],[Ganancia Unitaria]]*STOCK[[#This Row],[Salidas]]</f>
        <v>6.0772727272727298</v>
      </c>
      <c r="Y459" s="53" t="s">
        <v>911</v>
      </c>
      <c r="AA459" s="53">
        <f>STOCK[[#This Row],[Costo total]]*STOCK[[#This Row],[Entradas]]</f>
        <v>13.92272727272727</v>
      </c>
      <c r="AB459" s="53">
        <f>STOCK[[#This Row],[Stock Actual]]*STOCK[[#This Row],[Costo total]]</f>
        <v>0</v>
      </c>
    </row>
    <row r="460" spans="1:28" s="54" customFormat="1" ht="50" customHeight="1">
      <c r="A460" s="54" t="s">
        <v>958</v>
      </c>
      <c r="B460" s="64"/>
      <c r="C460" s="54" t="s">
        <v>32</v>
      </c>
      <c r="D460" s="54" t="s">
        <v>152</v>
      </c>
      <c r="E460" s="66" t="s">
        <v>959</v>
      </c>
      <c r="F460" s="54" t="s">
        <v>40</v>
      </c>
      <c r="G460" s="54" t="s">
        <v>36</v>
      </c>
      <c r="H460" s="54">
        <f>STOCK[[#This Row],[Precio Final]]</f>
        <v>30</v>
      </c>
      <c r="I460" s="54">
        <f>STOCK[[#This Row],[Precio Venta Ideal (x1.5)]]</f>
        <v>36.558409090909052</v>
      </c>
      <c r="J460" s="70">
        <v>0</v>
      </c>
      <c r="K460" s="70">
        <f>SUMIFS(VENTAS[Cantidad],VENTAS[Código del producto Vendido],STOCK[[#This Row],[Code]])</f>
        <v>0</v>
      </c>
      <c r="L460" s="70">
        <f>STOCK[[#This Row],[Entradas]]-STOCK[[#This Row],[Salidas]]</f>
        <v>0</v>
      </c>
      <c r="M460" s="54">
        <f>STOCK[[#This Row],[Precio Final]]*10%</f>
        <v>3</v>
      </c>
      <c r="N460" s="54">
        <v>246</v>
      </c>
      <c r="O460" s="54">
        <v>17.600000000000001</v>
      </c>
      <c r="P460" s="54">
        <v>13.9772727272727</v>
      </c>
      <c r="Q460" s="70">
        <v>435</v>
      </c>
      <c r="R460" s="54">
        <v>17</v>
      </c>
      <c r="S460" s="54">
        <f>STOCK[[#This Row],[Peso (g)]]*STOCK[[#This Row],[Precio Envío Kilogramo (USD)]]/1000</f>
        <v>7.3949999999999996</v>
      </c>
      <c r="T460" s="53">
        <f>STOCK[[#This Row],[Costo Unitario (USD)]]+STOCK[[#This Row],[Costo Envío (USD)]]+STOCK[[#This Row],[Comisión 10%]]</f>
        <v>24.372272727272701</v>
      </c>
      <c r="U460" s="54">
        <f>STOCK[[#This Row],[Costo total]]*1.5</f>
        <v>36.558409090909052</v>
      </c>
      <c r="V460" s="54">
        <v>30</v>
      </c>
      <c r="W460" s="54">
        <f>STOCK[[#This Row],[Precio Final]]-STOCK[[#This Row],[Costo total]]</f>
        <v>5.6277272727272987</v>
      </c>
      <c r="X460" s="54">
        <f>STOCK[[#This Row],[Ganancia Unitaria]]*STOCK[[#This Row],[Salidas]]</f>
        <v>0</v>
      </c>
      <c r="AA460" s="54">
        <f>STOCK[[#This Row],[Costo total]]*STOCK[[#This Row],[Entradas]]</f>
        <v>0</v>
      </c>
      <c r="AB460" s="54">
        <f>STOCK[[#This Row],[Stock Actual]]*STOCK[[#This Row],[Costo total]]</f>
        <v>0</v>
      </c>
    </row>
    <row r="461" spans="1:28" s="53" customFormat="1" ht="50" customHeight="1">
      <c r="A461" s="53" t="s">
        <v>960</v>
      </c>
      <c r="B461" s="64"/>
      <c r="C461" s="53" t="s">
        <v>32</v>
      </c>
      <c r="D461" s="53" t="s">
        <v>152</v>
      </c>
      <c r="E461" s="65" t="s">
        <v>961</v>
      </c>
      <c r="F461" s="53" t="s">
        <v>62</v>
      </c>
      <c r="G461" s="53" t="s">
        <v>36</v>
      </c>
      <c r="H461" s="53">
        <f>STOCK[[#This Row],[Precio Final]]</f>
        <v>28</v>
      </c>
      <c r="I461" s="53">
        <f>STOCK[[#This Row],[Precio Venta Ideal (x1.5)]]</f>
        <v>36.258409090909055</v>
      </c>
      <c r="J461" s="69">
        <v>2</v>
      </c>
      <c r="K461" s="69">
        <f>SUMIFS(VENTAS[Cantidad],VENTAS[Código del producto Vendido],STOCK[[#This Row],[Code]])</f>
        <v>2</v>
      </c>
      <c r="L461" s="69">
        <f>STOCK[[#This Row],[Entradas]]-STOCK[[#This Row],[Salidas]]</f>
        <v>0</v>
      </c>
      <c r="M461" s="53">
        <f>STOCK[[#This Row],[Precio Final]]*10%</f>
        <v>2.8000000000000003</v>
      </c>
      <c r="N461" s="53">
        <v>246</v>
      </c>
      <c r="O461" s="53">
        <v>17.600000000000001</v>
      </c>
      <c r="P461" s="53">
        <v>13.9772727272727</v>
      </c>
      <c r="Q461" s="69">
        <v>435</v>
      </c>
      <c r="R461" s="53">
        <v>17</v>
      </c>
      <c r="S461" s="53">
        <f>STOCK[[#This Row],[Peso (g)]]*STOCK[[#This Row],[Precio Envío Kilogramo (USD)]]/1000</f>
        <v>7.3949999999999996</v>
      </c>
      <c r="T461" s="53">
        <f>STOCK[[#This Row],[Costo Unitario (USD)]]+STOCK[[#This Row],[Costo Envío (USD)]]+STOCK[[#This Row],[Comisión 10%]]</f>
        <v>24.172272727272702</v>
      </c>
      <c r="U461" s="53">
        <f>STOCK[[#This Row],[Costo total]]*1.5</f>
        <v>36.258409090909055</v>
      </c>
      <c r="V461" s="53">
        <v>28</v>
      </c>
      <c r="W461" s="53">
        <f>STOCK[[#This Row],[Precio Final]]-STOCK[[#This Row],[Costo total]]</f>
        <v>3.827727272727298</v>
      </c>
      <c r="X461" s="53">
        <f>STOCK[[#This Row],[Ganancia Unitaria]]*STOCK[[#This Row],[Salidas]]</f>
        <v>7.6554545454545959</v>
      </c>
      <c r="Y461" s="53" t="s">
        <v>927</v>
      </c>
      <c r="AA461" s="53">
        <f>STOCK[[#This Row],[Costo total]]*STOCK[[#This Row],[Entradas]]</f>
        <v>48.344545454545404</v>
      </c>
      <c r="AB461" s="53">
        <f>STOCK[[#This Row],[Stock Actual]]*STOCK[[#This Row],[Costo total]]</f>
        <v>0</v>
      </c>
    </row>
    <row r="462" spans="1:28" s="54" customFormat="1" ht="50" customHeight="1">
      <c r="A462" s="54" t="s">
        <v>962</v>
      </c>
      <c r="B462" s="64"/>
      <c r="C462" s="54" t="s">
        <v>32</v>
      </c>
      <c r="D462" s="54" t="s">
        <v>152</v>
      </c>
      <c r="E462" s="66" t="s">
        <v>959</v>
      </c>
      <c r="F462" s="54" t="s">
        <v>49</v>
      </c>
      <c r="G462" s="54" t="s">
        <v>36</v>
      </c>
      <c r="H462" s="54">
        <f>STOCK[[#This Row],[Precio Final]]</f>
        <v>28</v>
      </c>
      <c r="I462" s="54">
        <f>STOCK[[#This Row],[Precio Venta Ideal (x1.5)]]</f>
        <v>36.258409090909055</v>
      </c>
      <c r="J462" s="70">
        <v>2</v>
      </c>
      <c r="K462" s="70">
        <f>SUMIFS(VENTAS[Cantidad],VENTAS[Código del producto Vendido],STOCK[[#This Row],[Code]])</f>
        <v>2</v>
      </c>
      <c r="L462" s="70">
        <f>STOCK[[#This Row],[Entradas]]-STOCK[[#This Row],[Salidas]]</f>
        <v>0</v>
      </c>
      <c r="M462" s="54">
        <f>STOCK[[#This Row],[Precio Final]]*10%</f>
        <v>2.8000000000000003</v>
      </c>
      <c r="N462" s="54">
        <v>246</v>
      </c>
      <c r="O462" s="54">
        <v>17.600000000000001</v>
      </c>
      <c r="P462" s="54">
        <v>13.9772727272727</v>
      </c>
      <c r="Q462" s="70">
        <v>435</v>
      </c>
      <c r="R462" s="54">
        <v>17</v>
      </c>
      <c r="S462" s="54">
        <f>STOCK[[#This Row],[Peso (g)]]*STOCK[[#This Row],[Precio Envío Kilogramo (USD)]]/1000</f>
        <v>7.3949999999999996</v>
      </c>
      <c r="T462" s="53">
        <f>STOCK[[#This Row],[Costo Unitario (USD)]]+STOCK[[#This Row],[Costo Envío (USD)]]+STOCK[[#This Row],[Comisión 10%]]</f>
        <v>24.172272727272702</v>
      </c>
      <c r="U462" s="54">
        <f>STOCK[[#This Row],[Costo total]]*1.5</f>
        <v>36.258409090909055</v>
      </c>
      <c r="V462" s="54">
        <v>28</v>
      </c>
      <c r="W462" s="54">
        <f>STOCK[[#This Row],[Precio Final]]-STOCK[[#This Row],[Costo total]]</f>
        <v>3.827727272727298</v>
      </c>
      <c r="X462" s="54">
        <f>STOCK[[#This Row],[Ganancia Unitaria]]*STOCK[[#This Row],[Salidas]]</f>
        <v>7.6554545454545959</v>
      </c>
      <c r="AA462" s="54">
        <f>STOCK[[#This Row],[Costo total]]*STOCK[[#This Row],[Entradas]]</f>
        <v>48.344545454545404</v>
      </c>
      <c r="AB462" s="54">
        <f>STOCK[[#This Row],[Stock Actual]]*STOCK[[#This Row],[Costo total]]</f>
        <v>0</v>
      </c>
    </row>
    <row r="463" spans="1:28" s="53" customFormat="1" ht="50" customHeight="1">
      <c r="A463" s="53" t="s">
        <v>963</v>
      </c>
      <c r="B463" s="64"/>
      <c r="C463" s="53" t="s">
        <v>32</v>
      </c>
      <c r="D463" s="53" t="s">
        <v>964</v>
      </c>
      <c r="E463" s="65" t="s">
        <v>961</v>
      </c>
      <c r="F463" s="53" t="s">
        <v>205</v>
      </c>
      <c r="G463" s="53" t="s">
        <v>36</v>
      </c>
      <c r="H463" s="53">
        <f>STOCK[[#This Row],[Precio Final]]</f>
        <v>28</v>
      </c>
      <c r="I463" s="53">
        <f>STOCK[[#This Row],[Precio Venta Ideal (x1.5)]]</f>
        <v>36.258409090909055</v>
      </c>
      <c r="J463" s="69">
        <v>3</v>
      </c>
      <c r="K463" s="69">
        <f>SUMIFS(VENTAS[Cantidad],VENTAS[Código del producto Vendido],STOCK[[#This Row],[Code]])</f>
        <v>3</v>
      </c>
      <c r="L463" s="69">
        <f>STOCK[[#This Row],[Entradas]]-STOCK[[#This Row],[Salidas]]</f>
        <v>0</v>
      </c>
      <c r="M463" s="53">
        <f>STOCK[[#This Row],[Precio Final]]*10%</f>
        <v>2.8000000000000003</v>
      </c>
      <c r="N463" s="53">
        <v>246</v>
      </c>
      <c r="O463" s="53">
        <v>17.600000000000001</v>
      </c>
      <c r="P463" s="53">
        <v>13.9772727272727</v>
      </c>
      <c r="Q463" s="69">
        <v>435</v>
      </c>
      <c r="R463" s="53">
        <v>17</v>
      </c>
      <c r="S463" s="53">
        <f>STOCK[[#This Row],[Peso (g)]]*STOCK[[#This Row],[Precio Envío Kilogramo (USD)]]/1000</f>
        <v>7.3949999999999996</v>
      </c>
      <c r="T463" s="53">
        <f>STOCK[[#This Row],[Costo Unitario (USD)]]+STOCK[[#This Row],[Costo Envío (USD)]]+STOCK[[#This Row],[Comisión 10%]]</f>
        <v>24.172272727272702</v>
      </c>
      <c r="U463" s="53">
        <f>STOCK[[#This Row],[Costo total]]*1.5</f>
        <v>36.258409090909055</v>
      </c>
      <c r="V463" s="53">
        <v>28</v>
      </c>
      <c r="W463" s="53">
        <f>STOCK[[#This Row],[Precio Final]]-STOCK[[#This Row],[Costo total]]</f>
        <v>3.827727272727298</v>
      </c>
      <c r="X463" s="53">
        <f>STOCK[[#This Row],[Ganancia Unitaria]]*STOCK[[#This Row],[Salidas]]</f>
        <v>11.483181818181894</v>
      </c>
      <c r="AA463" s="53">
        <f>STOCK[[#This Row],[Costo total]]*STOCK[[#This Row],[Entradas]]</f>
        <v>72.51681818181811</v>
      </c>
      <c r="AB463" s="53">
        <f>STOCK[[#This Row],[Stock Actual]]*STOCK[[#This Row],[Costo total]]</f>
        <v>0</v>
      </c>
    </row>
    <row r="464" spans="1:28" s="54" customFormat="1" ht="50" customHeight="1">
      <c r="A464" s="54" t="s">
        <v>965</v>
      </c>
      <c r="B464" s="64"/>
      <c r="C464" s="54" t="s">
        <v>32</v>
      </c>
      <c r="D464" s="54" t="s">
        <v>966</v>
      </c>
      <c r="E464" s="66" t="s">
        <v>947</v>
      </c>
      <c r="F464" s="54" t="s">
        <v>62</v>
      </c>
      <c r="G464" s="54" t="s">
        <v>36</v>
      </c>
      <c r="H464" s="54">
        <f>STOCK[[#This Row],[Precio Final]]</f>
        <v>10</v>
      </c>
      <c r="I464" s="54">
        <f>STOCK[[#This Row],[Precio Venta Ideal (x1.5)]]</f>
        <v>11.676136363636365</v>
      </c>
      <c r="J464" s="70">
        <v>3</v>
      </c>
      <c r="K464" s="70">
        <f>SUMIFS(VENTAS[Cantidad],VENTAS[Código del producto Vendido],STOCK[[#This Row],[Code]])</f>
        <v>3</v>
      </c>
      <c r="L464" s="70">
        <f>STOCK[[#This Row],[Entradas]]-STOCK[[#This Row],[Salidas]]</f>
        <v>0</v>
      </c>
      <c r="M464" s="54">
        <f>STOCK[[#This Row],[Precio Final]]*10%</f>
        <v>1</v>
      </c>
      <c r="N464" s="54">
        <v>82</v>
      </c>
      <c r="O464" s="54">
        <v>17.600000000000001</v>
      </c>
      <c r="P464" s="54">
        <v>4.6590909090909101</v>
      </c>
      <c r="Q464" s="70">
        <v>125</v>
      </c>
      <c r="R464" s="54">
        <v>17</v>
      </c>
      <c r="S464" s="54">
        <f>STOCK[[#This Row],[Peso (g)]]*STOCK[[#This Row],[Precio Envío Kilogramo (USD)]]/1000</f>
        <v>2.125</v>
      </c>
      <c r="T464" s="53">
        <f>STOCK[[#This Row],[Costo Unitario (USD)]]+STOCK[[#This Row],[Costo Envío (USD)]]+STOCK[[#This Row],[Comisión 10%]]</f>
        <v>7.7840909090909101</v>
      </c>
      <c r="U464" s="54">
        <f>STOCK[[#This Row],[Costo total]]*1.5</f>
        <v>11.676136363636365</v>
      </c>
      <c r="V464" s="54">
        <v>10</v>
      </c>
      <c r="W464" s="54">
        <f>STOCK[[#This Row],[Precio Final]]-STOCK[[#This Row],[Costo total]]</f>
        <v>2.2159090909090899</v>
      </c>
      <c r="X464" s="54">
        <f>STOCK[[#This Row],[Ganancia Unitaria]]*STOCK[[#This Row],[Salidas]]</f>
        <v>6.6477272727272698</v>
      </c>
      <c r="AA464" s="54">
        <f>STOCK[[#This Row],[Costo total]]*STOCK[[#This Row],[Entradas]]</f>
        <v>23.35227272727273</v>
      </c>
      <c r="AB464" s="54">
        <f>STOCK[[#This Row],[Stock Actual]]*STOCK[[#This Row],[Costo total]]</f>
        <v>0</v>
      </c>
    </row>
    <row r="465" spans="1:28" s="53" customFormat="1" ht="50" customHeight="1">
      <c r="A465" s="53" t="s">
        <v>967</v>
      </c>
      <c r="B465" s="64"/>
      <c r="C465" s="53" t="s">
        <v>32</v>
      </c>
      <c r="D465" s="53" t="s">
        <v>966</v>
      </c>
      <c r="E465" s="65" t="s">
        <v>968</v>
      </c>
      <c r="F465" s="53" t="s">
        <v>969</v>
      </c>
      <c r="G465" s="53" t="s">
        <v>36</v>
      </c>
      <c r="H465" s="53">
        <f>STOCK[[#This Row],[Precio Final]]</f>
        <v>10</v>
      </c>
      <c r="I465" s="53">
        <f>STOCK[[#This Row],[Precio Venta Ideal (x1.5)]]</f>
        <v>11.676136363636365</v>
      </c>
      <c r="J465" s="69">
        <v>2</v>
      </c>
      <c r="K465" s="69">
        <f>SUMIFS(VENTAS[Cantidad],VENTAS[Código del producto Vendido],STOCK[[#This Row],[Code]])</f>
        <v>2</v>
      </c>
      <c r="L465" s="69">
        <f>STOCK[[#This Row],[Entradas]]-STOCK[[#This Row],[Salidas]]</f>
        <v>0</v>
      </c>
      <c r="M465" s="53">
        <f>STOCK[[#This Row],[Precio Final]]*10%</f>
        <v>1</v>
      </c>
      <c r="N465" s="53">
        <v>82</v>
      </c>
      <c r="O465" s="53">
        <v>17.600000000000001</v>
      </c>
      <c r="P465" s="53">
        <v>4.6590909090909101</v>
      </c>
      <c r="Q465" s="69">
        <v>125</v>
      </c>
      <c r="R465" s="53">
        <v>17</v>
      </c>
      <c r="S465" s="53">
        <f>STOCK[[#This Row],[Peso (g)]]*STOCK[[#This Row],[Precio Envío Kilogramo (USD)]]/1000</f>
        <v>2.125</v>
      </c>
      <c r="T465" s="53">
        <f>STOCK[[#This Row],[Costo Unitario (USD)]]+STOCK[[#This Row],[Costo Envío (USD)]]+STOCK[[#This Row],[Comisión 10%]]</f>
        <v>7.7840909090909101</v>
      </c>
      <c r="U465" s="53">
        <f>STOCK[[#This Row],[Costo total]]*1.5</f>
        <v>11.676136363636365</v>
      </c>
      <c r="V465" s="53">
        <v>10</v>
      </c>
      <c r="W465" s="53">
        <f>STOCK[[#This Row],[Precio Final]]-STOCK[[#This Row],[Costo total]]</f>
        <v>2.2159090909090899</v>
      </c>
      <c r="X465" s="53">
        <f>STOCK[[#This Row],[Ganancia Unitaria]]*STOCK[[#This Row],[Salidas]]</f>
        <v>4.4318181818181799</v>
      </c>
      <c r="AA465" s="53">
        <f>STOCK[[#This Row],[Costo total]]*STOCK[[#This Row],[Entradas]]</f>
        <v>15.56818181818182</v>
      </c>
      <c r="AB465" s="53">
        <f>STOCK[[#This Row],[Stock Actual]]*STOCK[[#This Row],[Costo total]]</f>
        <v>0</v>
      </c>
    </row>
    <row r="466" spans="1:28" s="54" customFormat="1" ht="50" customHeight="1">
      <c r="A466" s="54" t="s">
        <v>970</v>
      </c>
      <c r="B466" s="64"/>
      <c r="C466" s="54" t="s">
        <v>32</v>
      </c>
      <c r="D466" s="54" t="s">
        <v>966</v>
      </c>
      <c r="E466" s="66" t="s">
        <v>968</v>
      </c>
      <c r="F466" s="54" t="s">
        <v>971</v>
      </c>
      <c r="G466" s="54" t="s">
        <v>36</v>
      </c>
      <c r="H466" s="54">
        <f>STOCK[[#This Row],[Precio Final]]</f>
        <v>10</v>
      </c>
      <c r="I466" s="54">
        <f>STOCK[[#This Row],[Precio Venta Ideal (x1.5)]]</f>
        <v>11.676136363636365</v>
      </c>
      <c r="J466" s="70">
        <v>1</v>
      </c>
      <c r="K466" s="70">
        <f>SUMIFS(VENTAS[Cantidad],VENTAS[Código del producto Vendido],STOCK[[#This Row],[Code]])</f>
        <v>1</v>
      </c>
      <c r="L466" s="70">
        <f>STOCK[[#This Row],[Entradas]]-STOCK[[#This Row],[Salidas]]</f>
        <v>0</v>
      </c>
      <c r="M466" s="54">
        <f>STOCK[[#This Row],[Precio Final]]*10%</f>
        <v>1</v>
      </c>
      <c r="N466" s="54">
        <v>82</v>
      </c>
      <c r="O466" s="54">
        <v>17.600000000000001</v>
      </c>
      <c r="P466" s="54">
        <v>4.6590909090909101</v>
      </c>
      <c r="Q466" s="70">
        <v>125</v>
      </c>
      <c r="R466" s="54">
        <v>17</v>
      </c>
      <c r="S466" s="54">
        <f>STOCK[[#This Row],[Peso (g)]]*STOCK[[#This Row],[Precio Envío Kilogramo (USD)]]/1000</f>
        <v>2.125</v>
      </c>
      <c r="T466" s="53">
        <f>STOCK[[#This Row],[Costo Unitario (USD)]]+STOCK[[#This Row],[Costo Envío (USD)]]+STOCK[[#This Row],[Comisión 10%]]</f>
        <v>7.7840909090909101</v>
      </c>
      <c r="U466" s="54">
        <f>STOCK[[#This Row],[Costo total]]*1.5</f>
        <v>11.676136363636365</v>
      </c>
      <c r="V466" s="54">
        <v>10</v>
      </c>
      <c r="W466" s="54">
        <f>STOCK[[#This Row],[Precio Final]]-STOCK[[#This Row],[Costo total]]</f>
        <v>2.2159090909090899</v>
      </c>
      <c r="X466" s="54">
        <f>STOCK[[#This Row],[Ganancia Unitaria]]*STOCK[[#This Row],[Salidas]]</f>
        <v>2.2159090909090899</v>
      </c>
      <c r="AA466" s="54">
        <f>STOCK[[#This Row],[Costo total]]*STOCK[[#This Row],[Entradas]]</f>
        <v>7.7840909090909101</v>
      </c>
      <c r="AB466" s="54">
        <f>STOCK[[#This Row],[Stock Actual]]*STOCK[[#This Row],[Costo total]]</f>
        <v>0</v>
      </c>
    </row>
    <row r="467" spans="1:28" s="53" customFormat="1" ht="50" customHeight="1">
      <c r="A467" s="53" t="s">
        <v>972</v>
      </c>
      <c r="B467" s="64"/>
      <c r="C467" s="53" t="s">
        <v>32</v>
      </c>
      <c r="D467" s="53" t="s">
        <v>38</v>
      </c>
      <c r="E467" s="65" t="s">
        <v>973</v>
      </c>
      <c r="F467" s="53" t="s">
        <v>62</v>
      </c>
      <c r="G467" s="53" t="s">
        <v>36</v>
      </c>
      <c r="H467" s="53">
        <f>STOCK[[#This Row],[Precio Final]]</f>
        <v>25</v>
      </c>
      <c r="I467" s="53">
        <f>STOCK[[#This Row],[Precio Venta Ideal (x1.5)]]</f>
        <v>26.737499999999997</v>
      </c>
      <c r="J467" s="69">
        <v>1</v>
      </c>
      <c r="K467" s="69">
        <f>SUMIFS(VENTAS[Cantidad],VENTAS[Código del producto Vendido],STOCK[[#This Row],[Code]])</f>
        <v>1</v>
      </c>
      <c r="L467" s="69">
        <f>STOCK[[#This Row],[Entradas]]-STOCK[[#This Row],[Salidas]]</f>
        <v>0</v>
      </c>
      <c r="M467" s="53">
        <f>STOCK[[#This Row],[Precio Final]]*10%</f>
        <v>2.5</v>
      </c>
      <c r="N467" s="53">
        <v>165</v>
      </c>
      <c r="O467" s="53">
        <v>17.600000000000001</v>
      </c>
      <c r="P467" s="53">
        <v>9.375</v>
      </c>
      <c r="Q467" s="69">
        <v>350</v>
      </c>
      <c r="R467" s="53">
        <v>17</v>
      </c>
      <c r="S467" s="53">
        <f>STOCK[[#This Row],[Peso (g)]]*STOCK[[#This Row],[Precio Envío Kilogramo (USD)]]/1000</f>
        <v>5.95</v>
      </c>
      <c r="T467" s="53">
        <f>STOCK[[#This Row],[Costo Unitario (USD)]]+STOCK[[#This Row],[Costo Envío (USD)]]+STOCK[[#This Row],[Comisión 10%]]</f>
        <v>17.824999999999999</v>
      </c>
      <c r="U467" s="53">
        <f>STOCK[[#This Row],[Costo total]]*1.5</f>
        <v>26.737499999999997</v>
      </c>
      <c r="V467" s="53">
        <v>25</v>
      </c>
      <c r="W467" s="53">
        <f>STOCK[[#This Row],[Precio Final]]-STOCK[[#This Row],[Costo total]]</f>
        <v>7.1750000000000007</v>
      </c>
      <c r="X467" s="53">
        <f>STOCK[[#This Row],[Ganancia Unitaria]]*STOCK[[#This Row],[Salidas]]</f>
        <v>7.1750000000000007</v>
      </c>
      <c r="Y467" s="53" t="s">
        <v>927</v>
      </c>
      <c r="AA467" s="53">
        <f>STOCK[[#This Row],[Costo total]]*STOCK[[#This Row],[Entradas]]</f>
        <v>17.824999999999999</v>
      </c>
      <c r="AB467" s="53">
        <f>STOCK[[#This Row],[Stock Actual]]*STOCK[[#This Row],[Costo total]]</f>
        <v>0</v>
      </c>
    </row>
    <row r="468" spans="1:28" s="54" customFormat="1" ht="50" customHeight="1">
      <c r="A468" s="54" t="s">
        <v>974</v>
      </c>
      <c r="B468" s="64"/>
      <c r="C468" s="54" t="s">
        <v>32</v>
      </c>
      <c r="D468" s="54" t="s">
        <v>975</v>
      </c>
      <c r="E468" s="66" t="s">
        <v>976</v>
      </c>
      <c r="F468" s="54" t="s">
        <v>46</v>
      </c>
      <c r="G468" s="54" t="s">
        <v>36</v>
      </c>
      <c r="H468" s="54">
        <f>STOCK[[#This Row],[Precio Final]]</f>
        <v>25</v>
      </c>
      <c r="I468" s="54">
        <f>STOCK[[#This Row],[Precio Venta Ideal (x1.5)]]</f>
        <v>26.737499999999997</v>
      </c>
      <c r="J468" s="70">
        <v>2</v>
      </c>
      <c r="K468" s="70">
        <f>SUMIFS(VENTAS[Cantidad],VENTAS[Código del producto Vendido],STOCK[[#This Row],[Code]])</f>
        <v>2</v>
      </c>
      <c r="L468" s="70">
        <f>STOCK[[#This Row],[Entradas]]-STOCK[[#This Row],[Salidas]]</f>
        <v>0</v>
      </c>
      <c r="M468" s="54">
        <f>STOCK[[#This Row],[Precio Final]]*10%</f>
        <v>2.5</v>
      </c>
      <c r="N468" s="54">
        <v>165</v>
      </c>
      <c r="O468" s="54">
        <v>17.600000000000001</v>
      </c>
      <c r="P468" s="54">
        <v>9.375</v>
      </c>
      <c r="Q468" s="70">
        <v>350</v>
      </c>
      <c r="R468" s="54">
        <v>17</v>
      </c>
      <c r="S468" s="54">
        <f>STOCK[[#This Row],[Peso (g)]]*STOCK[[#This Row],[Precio Envío Kilogramo (USD)]]/1000</f>
        <v>5.95</v>
      </c>
      <c r="T468" s="53">
        <f>STOCK[[#This Row],[Costo Unitario (USD)]]+STOCK[[#This Row],[Costo Envío (USD)]]+STOCK[[#This Row],[Comisión 10%]]</f>
        <v>17.824999999999999</v>
      </c>
      <c r="U468" s="54">
        <f>STOCK[[#This Row],[Costo total]]*1.5</f>
        <v>26.737499999999997</v>
      </c>
      <c r="V468" s="54">
        <v>25</v>
      </c>
      <c r="W468" s="54">
        <f>STOCK[[#This Row],[Precio Final]]-STOCK[[#This Row],[Costo total]]</f>
        <v>7.1750000000000007</v>
      </c>
      <c r="X468" s="54">
        <f>STOCK[[#This Row],[Ganancia Unitaria]]*STOCK[[#This Row],[Salidas]]</f>
        <v>14.350000000000001</v>
      </c>
      <c r="AA468" s="54">
        <f>STOCK[[#This Row],[Costo total]]*STOCK[[#This Row],[Entradas]]</f>
        <v>35.65</v>
      </c>
      <c r="AB468" s="54">
        <f>STOCK[[#This Row],[Stock Actual]]*STOCK[[#This Row],[Costo total]]</f>
        <v>0</v>
      </c>
    </row>
    <row r="469" spans="1:28" s="53" customFormat="1" ht="50" customHeight="1">
      <c r="A469" s="53" t="s">
        <v>977</v>
      </c>
      <c r="B469" s="64"/>
      <c r="C469" s="53" t="s">
        <v>32</v>
      </c>
      <c r="D469" s="53" t="s">
        <v>125</v>
      </c>
      <c r="E469" s="65" t="s">
        <v>978</v>
      </c>
      <c r="F469" s="53" t="s">
        <v>955</v>
      </c>
      <c r="G469" s="53" t="s">
        <v>36</v>
      </c>
      <c r="H469" s="53">
        <f>STOCK[[#This Row],[Precio Final]]</f>
        <v>25</v>
      </c>
      <c r="I469" s="53">
        <f>STOCK[[#This Row],[Precio Venta Ideal (x1.5)]]</f>
        <v>25.465909090909047</v>
      </c>
      <c r="J469" s="69">
        <v>1</v>
      </c>
      <c r="K469" s="69">
        <f>SUMIFS(VENTAS[Cantidad],VENTAS[Código del producto Vendido],STOCK[[#This Row],[Code]])</f>
        <v>1</v>
      </c>
      <c r="L469" s="69">
        <f>STOCK[[#This Row],[Entradas]]-STOCK[[#This Row],[Salidas]]</f>
        <v>0</v>
      </c>
      <c r="M469" s="53">
        <f>STOCK[[#This Row],[Precio Final]]*10%</f>
        <v>2.5</v>
      </c>
      <c r="N469" s="53">
        <v>180</v>
      </c>
      <c r="O469" s="53">
        <v>17.600000000000001</v>
      </c>
      <c r="P469" s="53">
        <v>10.2272727272727</v>
      </c>
      <c r="Q469" s="69">
        <v>250</v>
      </c>
      <c r="R469" s="53">
        <v>17</v>
      </c>
      <c r="S469" s="53">
        <f>STOCK[[#This Row],[Peso (g)]]*STOCK[[#This Row],[Precio Envío Kilogramo (USD)]]/1000</f>
        <v>4.25</v>
      </c>
      <c r="T469" s="53">
        <f>STOCK[[#This Row],[Costo Unitario (USD)]]+STOCK[[#This Row],[Costo Envío (USD)]]+STOCK[[#This Row],[Comisión 10%]]</f>
        <v>16.977272727272698</v>
      </c>
      <c r="U469" s="53">
        <f>STOCK[[#This Row],[Costo total]]*1.5</f>
        <v>25.465909090909047</v>
      </c>
      <c r="V469" s="53">
        <v>25</v>
      </c>
      <c r="W469" s="53">
        <f>STOCK[[#This Row],[Precio Final]]-STOCK[[#This Row],[Costo total]]</f>
        <v>8.0227272727273018</v>
      </c>
      <c r="X469" s="53">
        <f>STOCK[[#This Row],[Ganancia Unitaria]]*STOCK[[#This Row],[Salidas]]</f>
        <v>8.0227272727273018</v>
      </c>
      <c r="Y469" s="53" t="s">
        <v>979</v>
      </c>
      <c r="AA469" s="53">
        <f>STOCK[[#This Row],[Costo total]]*STOCK[[#This Row],[Entradas]]</f>
        <v>16.977272727272698</v>
      </c>
      <c r="AB469" s="53">
        <f>STOCK[[#This Row],[Stock Actual]]*STOCK[[#This Row],[Costo total]]</f>
        <v>0</v>
      </c>
    </row>
    <row r="470" spans="1:28" s="54" customFormat="1" ht="50" customHeight="1">
      <c r="A470" s="54" t="s">
        <v>980</v>
      </c>
      <c r="B470" s="64"/>
      <c r="C470" s="54" t="s">
        <v>32</v>
      </c>
      <c r="D470" s="54" t="s">
        <v>174</v>
      </c>
      <c r="E470" s="66" t="s">
        <v>981</v>
      </c>
      <c r="F470" s="54" t="s">
        <v>46</v>
      </c>
      <c r="G470" s="54" t="s">
        <v>36</v>
      </c>
      <c r="H470" s="54">
        <f>STOCK[[#This Row],[Precio Final]]</f>
        <v>12</v>
      </c>
      <c r="I470" s="54">
        <f>STOCK[[#This Row],[Precio Venta Ideal (x1.5)]]</f>
        <v>12.01704545454546</v>
      </c>
      <c r="J470" s="70">
        <v>1</v>
      </c>
      <c r="K470" s="70">
        <f>SUMIFS(VENTAS[Cantidad],VENTAS[Código del producto Vendido],STOCK[[#This Row],[Code]])</f>
        <v>1</v>
      </c>
      <c r="L470" s="70">
        <f>STOCK[[#This Row],[Entradas]]-STOCK[[#This Row],[Salidas]]</f>
        <v>0</v>
      </c>
      <c r="M470" s="54">
        <f>STOCK[[#This Row],[Precio Final]]*10%</f>
        <v>1.2000000000000002</v>
      </c>
      <c r="N470" s="54">
        <v>75</v>
      </c>
      <c r="O470" s="54">
        <v>17.600000000000001</v>
      </c>
      <c r="P470" s="54">
        <v>4.2613636363636402</v>
      </c>
      <c r="Q470" s="70">
        <v>150</v>
      </c>
      <c r="R470" s="54">
        <v>17</v>
      </c>
      <c r="S470" s="54">
        <f>STOCK[[#This Row],[Peso (g)]]*STOCK[[#This Row],[Precio Envío Kilogramo (USD)]]/1000</f>
        <v>2.5499999999999998</v>
      </c>
      <c r="T470" s="53">
        <f>STOCK[[#This Row],[Costo Unitario (USD)]]+STOCK[[#This Row],[Costo Envío (USD)]]+STOCK[[#This Row],[Comisión 10%]]</f>
        <v>8.0113636363636402</v>
      </c>
      <c r="U470" s="54">
        <f>STOCK[[#This Row],[Costo total]]*1.5</f>
        <v>12.01704545454546</v>
      </c>
      <c r="V470" s="54">
        <v>12</v>
      </c>
      <c r="W470" s="54">
        <f>STOCK[[#This Row],[Precio Final]]-STOCK[[#This Row],[Costo total]]</f>
        <v>3.9886363636363598</v>
      </c>
      <c r="X470" s="54">
        <f>STOCK[[#This Row],[Ganancia Unitaria]]*STOCK[[#This Row],[Salidas]]</f>
        <v>3.9886363636363598</v>
      </c>
      <c r="AA470" s="54">
        <f>STOCK[[#This Row],[Costo total]]*STOCK[[#This Row],[Entradas]]</f>
        <v>8.0113636363636402</v>
      </c>
      <c r="AB470" s="54">
        <f>STOCK[[#This Row],[Stock Actual]]*STOCK[[#This Row],[Costo total]]</f>
        <v>0</v>
      </c>
    </row>
    <row r="471" spans="1:28" s="53" customFormat="1" ht="50" customHeight="1">
      <c r="A471" s="53" t="s">
        <v>982</v>
      </c>
      <c r="B471" s="64"/>
      <c r="C471" s="53" t="s">
        <v>32</v>
      </c>
      <c r="D471" s="53" t="s">
        <v>174</v>
      </c>
      <c r="E471" s="65" t="s">
        <v>981</v>
      </c>
      <c r="F471" s="53" t="s">
        <v>49</v>
      </c>
      <c r="G471" s="53" t="s">
        <v>36</v>
      </c>
      <c r="H471" s="53">
        <f>STOCK[[#This Row],[Precio Final]]</f>
        <v>12</v>
      </c>
      <c r="I471" s="53">
        <f>STOCK[[#This Row],[Precio Venta Ideal (x1.5)]]</f>
        <v>12.01704545454546</v>
      </c>
      <c r="J471" s="69">
        <v>1</v>
      </c>
      <c r="K471" s="69">
        <f>SUMIFS(VENTAS[Cantidad],VENTAS[Código del producto Vendido],STOCK[[#This Row],[Code]])</f>
        <v>1</v>
      </c>
      <c r="L471" s="69">
        <f>STOCK[[#This Row],[Entradas]]-STOCK[[#This Row],[Salidas]]</f>
        <v>0</v>
      </c>
      <c r="M471" s="53">
        <f>STOCK[[#This Row],[Precio Final]]*10%</f>
        <v>1.2000000000000002</v>
      </c>
      <c r="N471" s="53">
        <v>75</v>
      </c>
      <c r="O471" s="53">
        <v>17.600000000000001</v>
      </c>
      <c r="P471" s="53">
        <v>4.2613636363636402</v>
      </c>
      <c r="Q471" s="69">
        <v>150</v>
      </c>
      <c r="R471" s="53">
        <v>17</v>
      </c>
      <c r="S471" s="53">
        <f>STOCK[[#This Row],[Peso (g)]]*STOCK[[#This Row],[Precio Envío Kilogramo (USD)]]/1000</f>
        <v>2.5499999999999998</v>
      </c>
      <c r="T471" s="53">
        <f>STOCK[[#This Row],[Costo Unitario (USD)]]+STOCK[[#This Row],[Costo Envío (USD)]]+STOCK[[#This Row],[Comisión 10%]]</f>
        <v>8.0113636363636402</v>
      </c>
      <c r="U471" s="53">
        <f>STOCK[[#This Row],[Costo total]]*1.5</f>
        <v>12.01704545454546</v>
      </c>
      <c r="V471" s="53">
        <v>12</v>
      </c>
      <c r="W471" s="53">
        <f>STOCK[[#This Row],[Precio Final]]-STOCK[[#This Row],[Costo total]]</f>
        <v>3.9886363636363598</v>
      </c>
      <c r="X471" s="53">
        <f>STOCK[[#This Row],[Ganancia Unitaria]]*STOCK[[#This Row],[Salidas]]</f>
        <v>3.9886363636363598</v>
      </c>
      <c r="Y471" s="53" t="s">
        <v>927</v>
      </c>
      <c r="AA471" s="53">
        <f>STOCK[[#This Row],[Costo total]]*STOCK[[#This Row],[Entradas]]</f>
        <v>8.0113636363636402</v>
      </c>
      <c r="AB471" s="53">
        <f>STOCK[[#This Row],[Stock Actual]]*STOCK[[#This Row],[Costo total]]</f>
        <v>0</v>
      </c>
    </row>
    <row r="472" spans="1:28" s="54" customFormat="1" ht="50" customHeight="1">
      <c r="A472" s="54" t="s">
        <v>983</v>
      </c>
      <c r="B472" s="64"/>
      <c r="C472" s="54" t="s">
        <v>32</v>
      </c>
      <c r="D472" s="54" t="s">
        <v>174</v>
      </c>
      <c r="E472" s="66" t="s">
        <v>981</v>
      </c>
      <c r="F472" s="54" t="s">
        <v>62</v>
      </c>
      <c r="G472" s="54" t="s">
        <v>36</v>
      </c>
      <c r="H472" s="54">
        <f>STOCK[[#This Row],[Precio Final]]</f>
        <v>12</v>
      </c>
      <c r="I472" s="54">
        <f>STOCK[[#This Row],[Precio Venta Ideal (x1.5)]]</f>
        <v>12.01704545454546</v>
      </c>
      <c r="J472" s="70">
        <v>1</v>
      </c>
      <c r="K472" s="70">
        <f>SUMIFS(VENTAS[Cantidad],VENTAS[Código del producto Vendido],STOCK[[#This Row],[Code]])</f>
        <v>1</v>
      </c>
      <c r="L472" s="70">
        <f>STOCK[[#This Row],[Entradas]]-STOCK[[#This Row],[Salidas]]</f>
        <v>0</v>
      </c>
      <c r="M472" s="54">
        <f>STOCK[[#This Row],[Precio Final]]*10%</f>
        <v>1.2000000000000002</v>
      </c>
      <c r="N472" s="54">
        <v>75</v>
      </c>
      <c r="O472" s="54">
        <v>17.600000000000001</v>
      </c>
      <c r="P472" s="54">
        <v>4.2613636363636402</v>
      </c>
      <c r="Q472" s="70">
        <v>150</v>
      </c>
      <c r="R472" s="54">
        <v>17</v>
      </c>
      <c r="S472" s="54">
        <f>STOCK[[#This Row],[Peso (g)]]*STOCK[[#This Row],[Precio Envío Kilogramo (USD)]]/1000</f>
        <v>2.5499999999999998</v>
      </c>
      <c r="T472" s="53">
        <f>STOCK[[#This Row],[Costo Unitario (USD)]]+STOCK[[#This Row],[Costo Envío (USD)]]+STOCK[[#This Row],[Comisión 10%]]</f>
        <v>8.0113636363636402</v>
      </c>
      <c r="U472" s="54">
        <f>STOCK[[#This Row],[Costo total]]*1.5</f>
        <v>12.01704545454546</v>
      </c>
      <c r="V472" s="54">
        <v>12</v>
      </c>
      <c r="W472" s="54">
        <f>STOCK[[#This Row],[Precio Final]]-STOCK[[#This Row],[Costo total]]</f>
        <v>3.9886363636363598</v>
      </c>
      <c r="X472" s="54">
        <f>STOCK[[#This Row],[Ganancia Unitaria]]*STOCK[[#This Row],[Salidas]]</f>
        <v>3.9886363636363598</v>
      </c>
      <c r="AA472" s="54">
        <f>STOCK[[#This Row],[Costo total]]*STOCK[[#This Row],[Entradas]]</f>
        <v>8.0113636363636402</v>
      </c>
      <c r="AB472" s="54">
        <f>STOCK[[#This Row],[Stock Actual]]*STOCK[[#This Row],[Costo total]]</f>
        <v>0</v>
      </c>
    </row>
    <row r="473" spans="1:28" s="53" customFormat="1" ht="50" customHeight="1">
      <c r="A473" s="53" t="s">
        <v>984</v>
      </c>
      <c r="B473" s="64"/>
      <c r="C473" s="53" t="s">
        <v>32</v>
      </c>
      <c r="D473" s="53" t="s">
        <v>44</v>
      </c>
      <c r="E473" s="65" t="s">
        <v>985</v>
      </c>
      <c r="F473" s="53" t="s">
        <v>62</v>
      </c>
      <c r="G473" s="53" t="s">
        <v>36</v>
      </c>
      <c r="H473" s="53">
        <f>STOCK[[#This Row],[Precio Final]]</f>
        <v>25</v>
      </c>
      <c r="I473" s="53">
        <f>STOCK[[#This Row],[Precio Venta Ideal (x1.5)]]</f>
        <v>27.041590909090949</v>
      </c>
      <c r="J473" s="69">
        <v>1</v>
      </c>
      <c r="K473" s="69">
        <f>SUMIFS(VENTAS[Cantidad],VENTAS[Código del producto Vendido],STOCK[[#This Row],[Code]])</f>
        <v>1</v>
      </c>
      <c r="L473" s="69">
        <f>STOCK[[#This Row],[Entradas]]-STOCK[[#This Row],[Salidas]]</f>
        <v>0</v>
      </c>
      <c r="M473" s="53">
        <f>STOCK[[#This Row],[Precio Final]]*10%</f>
        <v>2.5</v>
      </c>
      <c r="N473" s="53">
        <v>194</v>
      </c>
      <c r="O473" s="53">
        <v>17.600000000000001</v>
      </c>
      <c r="P473" s="53">
        <v>11.0227272727273</v>
      </c>
      <c r="Q473" s="69">
        <v>265</v>
      </c>
      <c r="R473" s="53">
        <v>17</v>
      </c>
      <c r="S473" s="53">
        <f>STOCK[[#This Row],[Peso (g)]]*STOCK[[#This Row],[Precio Envío Kilogramo (USD)]]/1000</f>
        <v>4.5049999999999999</v>
      </c>
      <c r="T473" s="53">
        <f>STOCK[[#This Row],[Costo Unitario (USD)]]+STOCK[[#This Row],[Costo Envío (USD)]]+STOCK[[#This Row],[Comisión 10%]]</f>
        <v>18.027727272727301</v>
      </c>
      <c r="U473" s="53">
        <f>STOCK[[#This Row],[Costo total]]*1.5</f>
        <v>27.041590909090949</v>
      </c>
      <c r="V473" s="53">
        <v>25</v>
      </c>
      <c r="W473" s="53">
        <f>STOCK[[#This Row],[Precio Final]]-STOCK[[#This Row],[Costo total]]</f>
        <v>6.9722727272726992</v>
      </c>
      <c r="X473" s="53">
        <f>STOCK[[#This Row],[Ganancia Unitaria]]*STOCK[[#This Row],[Salidas]]</f>
        <v>6.9722727272726992</v>
      </c>
      <c r="Y473" s="53" t="s">
        <v>895</v>
      </c>
      <c r="AA473" s="53">
        <f>STOCK[[#This Row],[Costo total]]*STOCK[[#This Row],[Entradas]]</f>
        <v>18.027727272727301</v>
      </c>
      <c r="AB473" s="53">
        <f>STOCK[[#This Row],[Stock Actual]]*STOCK[[#This Row],[Costo total]]</f>
        <v>0</v>
      </c>
    </row>
    <row r="474" spans="1:28" s="54" customFormat="1" ht="50" customHeight="1">
      <c r="A474" s="54" t="s">
        <v>986</v>
      </c>
      <c r="B474" s="64"/>
      <c r="C474" s="54" t="s">
        <v>32</v>
      </c>
      <c r="D474" s="54" t="s">
        <v>44</v>
      </c>
      <c r="E474" s="66" t="s">
        <v>985</v>
      </c>
      <c r="F474" s="54" t="s">
        <v>49</v>
      </c>
      <c r="G474" s="54" t="s">
        <v>36</v>
      </c>
      <c r="H474" s="54">
        <f>STOCK[[#This Row],[Precio Final]]</f>
        <v>25</v>
      </c>
      <c r="I474" s="54">
        <f>STOCK[[#This Row],[Precio Venta Ideal (x1.5)]]</f>
        <v>27.041590909090949</v>
      </c>
      <c r="J474" s="70">
        <v>1</v>
      </c>
      <c r="K474" s="70">
        <f>SUMIFS(VENTAS[Cantidad],VENTAS[Código del producto Vendido],STOCK[[#This Row],[Code]])</f>
        <v>1</v>
      </c>
      <c r="L474" s="70">
        <f>STOCK[[#This Row],[Entradas]]-STOCK[[#This Row],[Salidas]]</f>
        <v>0</v>
      </c>
      <c r="M474" s="54">
        <f>STOCK[[#This Row],[Precio Final]]*10%</f>
        <v>2.5</v>
      </c>
      <c r="N474" s="54">
        <v>194</v>
      </c>
      <c r="O474" s="54">
        <v>17.600000000000001</v>
      </c>
      <c r="P474" s="54">
        <v>11.0227272727273</v>
      </c>
      <c r="Q474" s="70">
        <v>265</v>
      </c>
      <c r="R474" s="54">
        <v>17</v>
      </c>
      <c r="S474" s="54">
        <f>STOCK[[#This Row],[Peso (g)]]*STOCK[[#This Row],[Precio Envío Kilogramo (USD)]]/1000</f>
        <v>4.5049999999999999</v>
      </c>
      <c r="T474" s="53">
        <f>STOCK[[#This Row],[Costo Unitario (USD)]]+STOCK[[#This Row],[Costo Envío (USD)]]+STOCK[[#This Row],[Comisión 10%]]</f>
        <v>18.027727272727301</v>
      </c>
      <c r="U474" s="54">
        <f>STOCK[[#This Row],[Costo total]]*1.5</f>
        <v>27.041590909090949</v>
      </c>
      <c r="V474" s="54">
        <v>25</v>
      </c>
      <c r="W474" s="54">
        <f>STOCK[[#This Row],[Precio Final]]-STOCK[[#This Row],[Costo total]]</f>
        <v>6.9722727272726992</v>
      </c>
      <c r="X474" s="54">
        <f>STOCK[[#This Row],[Ganancia Unitaria]]*STOCK[[#This Row],[Salidas]]</f>
        <v>6.9722727272726992</v>
      </c>
      <c r="Y474" s="54" t="s">
        <v>895</v>
      </c>
      <c r="AA474" s="54">
        <f>STOCK[[#This Row],[Costo total]]*STOCK[[#This Row],[Entradas]]</f>
        <v>18.027727272727301</v>
      </c>
      <c r="AB474" s="54">
        <f>STOCK[[#This Row],[Stock Actual]]*STOCK[[#This Row],[Costo total]]</f>
        <v>0</v>
      </c>
    </row>
    <row r="475" spans="1:28" s="53" customFormat="1" ht="50" customHeight="1">
      <c r="A475" s="53" t="s">
        <v>987</v>
      </c>
      <c r="B475" s="64"/>
      <c r="C475" s="53" t="s">
        <v>32</v>
      </c>
      <c r="D475" s="53" t="s">
        <v>213</v>
      </c>
      <c r="E475" s="65" t="s">
        <v>988</v>
      </c>
      <c r="F475" s="53" t="s">
        <v>205</v>
      </c>
      <c r="G475" s="53" t="s">
        <v>36</v>
      </c>
      <c r="H475" s="53">
        <f>STOCK[[#This Row],[Precio Final]]</f>
        <v>20</v>
      </c>
      <c r="I475" s="53">
        <f>STOCK[[#This Row],[Precio Venta Ideal (x1.5)]]</f>
        <v>26.291590909090949</v>
      </c>
      <c r="J475" s="69">
        <v>1</v>
      </c>
      <c r="K475" s="69">
        <f>SUMIFS(VENTAS[Cantidad],VENTAS[Código del producto Vendido],STOCK[[#This Row],[Code]])</f>
        <v>1</v>
      </c>
      <c r="L475" s="69">
        <f>STOCK[[#This Row],[Entradas]]-STOCK[[#This Row],[Salidas]]</f>
        <v>0</v>
      </c>
      <c r="M475" s="53">
        <f>STOCK[[#This Row],[Precio Final]]*10%</f>
        <v>2</v>
      </c>
      <c r="N475" s="53">
        <v>194</v>
      </c>
      <c r="O475" s="53">
        <v>17.600000000000001</v>
      </c>
      <c r="P475" s="53">
        <v>11.0227272727273</v>
      </c>
      <c r="Q475" s="69">
        <v>265</v>
      </c>
      <c r="R475" s="53">
        <v>17</v>
      </c>
      <c r="S475" s="53">
        <f>STOCK[[#This Row],[Peso (g)]]*STOCK[[#This Row],[Precio Envío Kilogramo (USD)]]/1000</f>
        <v>4.5049999999999999</v>
      </c>
      <c r="T475" s="53">
        <f>STOCK[[#This Row],[Costo Unitario (USD)]]+STOCK[[#This Row],[Costo Envío (USD)]]+STOCK[[#This Row],[Comisión 10%]]</f>
        <v>17.527727272727301</v>
      </c>
      <c r="U475" s="53">
        <f>STOCK[[#This Row],[Costo total]]*1.5</f>
        <v>26.291590909090949</v>
      </c>
      <c r="V475" s="53">
        <v>20</v>
      </c>
      <c r="W475" s="53">
        <f>STOCK[[#This Row],[Precio Final]]-STOCK[[#This Row],[Costo total]]</f>
        <v>2.4722727272726992</v>
      </c>
      <c r="X475" s="53">
        <f>STOCK[[#This Row],[Ganancia Unitaria]]*STOCK[[#This Row],[Salidas]]</f>
        <v>2.4722727272726992</v>
      </c>
      <c r="Y475" s="53" t="s">
        <v>895</v>
      </c>
      <c r="AA475" s="53">
        <f>STOCK[[#This Row],[Costo total]]*STOCK[[#This Row],[Entradas]]</f>
        <v>17.527727272727301</v>
      </c>
      <c r="AB475" s="53">
        <f>STOCK[[#This Row],[Stock Actual]]*STOCK[[#This Row],[Costo total]]</f>
        <v>0</v>
      </c>
    </row>
    <row r="476" spans="1:28" s="54" customFormat="1" ht="50" customHeight="1">
      <c r="A476" s="54" t="s">
        <v>989</v>
      </c>
      <c r="B476" s="64"/>
      <c r="C476" s="54" t="s">
        <v>32</v>
      </c>
      <c r="D476" s="54" t="s">
        <v>174</v>
      </c>
      <c r="E476" s="66" t="s">
        <v>990</v>
      </c>
      <c r="F476" s="54" t="s">
        <v>46</v>
      </c>
      <c r="G476" s="54" t="s">
        <v>36</v>
      </c>
      <c r="H476" s="54">
        <f>STOCK[[#This Row],[Precio Final]]</f>
        <v>12</v>
      </c>
      <c r="I476" s="54">
        <f>STOCK[[#This Row],[Precio Venta Ideal (x1.5)]]</f>
        <v>13.251818181818173</v>
      </c>
      <c r="J476" s="70">
        <v>1</v>
      </c>
      <c r="K476" s="70">
        <f>SUMIFS(VENTAS[Cantidad],VENTAS[Código del producto Vendido],STOCK[[#This Row],[Code]])</f>
        <v>1</v>
      </c>
      <c r="L476" s="70">
        <f>STOCK[[#This Row],[Entradas]]-STOCK[[#This Row],[Salidas]]</f>
        <v>0</v>
      </c>
      <c r="M476" s="54">
        <f>STOCK[[#This Row],[Precio Final]]*10%</f>
        <v>1.2000000000000002</v>
      </c>
      <c r="N476" s="54">
        <v>85</v>
      </c>
      <c r="O476" s="54">
        <v>17.600000000000001</v>
      </c>
      <c r="P476" s="54">
        <v>4.8295454545454497</v>
      </c>
      <c r="Q476" s="70">
        <v>165</v>
      </c>
      <c r="R476" s="54">
        <v>17</v>
      </c>
      <c r="S476" s="54">
        <f>STOCK[[#This Row],[Peso (g)]]*STOCK[[#This Row],[Precio Envío Kilogramo (USD)]]/1000</f>
        <v>2.8050000000000002</v>
      </c>
      <c r="T476" s="53">
        <f>STOCK[[#This Row],[Costo Unitario (USD)]]+STOCK[[#This Row],[Costo Envío (USD)]]+STOCK[[#This Row],[Comisión 10%]]</f>
        <v>8.8345454545454487</v>
      </c>
      <c r="U476" s="54">
        <f>STOCK[[#This Row],[Costo total]]*1.5</f>
        <v>13.251818181818173</v>
      </c>
      <c r="V476" s="54">
        <v>12</v>
      </c>
      <c r="W476" s="54">
        <f>STOCK[[#This Row],[Precio Final]]-STOCK[[#This Row],[Costo total]]</f>
        <v>3.1654545454545513</v>
      </c>
      <c r="X476" s="54">
        <f>STOCK[[#This Row],[Ganancia Unitaria]]*STOCK[[#This Row],[Salidas]]</f>
        <v>3.1654545454545513</v>
      </c>
      <c r="Y476" s="54" t="s">
        <v>895</v>
      </c>
      <c r="AA476" s="54">
        <f>STOCK[[#This Row],[Costo total]]*STOCK[[#This Row],[Entradas]]</f>
        <v>8.8345454545454487</v>
      </c>
      <c r="AB476" s="54">
        <f>STOCK[[#This Row],[Stock Actual]]*STOCK[[#This Row],[Costo total]]</f>
        <v>0</v>
      </c>
    </row>
    <row r="477" spans="1:28" s="53" customFormat="1" ht="50" customHeight="1">
      <c r="A477" s="53" t="s">
        <v>991</v>
      </c>
      <c r="B477" s="64"/>
      <c r="C477" s="53" t="s">
        <v>32</v>
      </c>
      <c r="D477" s="53" t="s">
        <v>174</v>
      </c>
      <c r="E477" s="65" t="s">
        <v>990</v>
      </c>
      <c r="F477" s="53" t="s">
        <v>49</v>
      </c>
      <c r="G477" s="53" t="s">
        <v>36</v>
      </c>
      <c r="H477" s="53">
        <f>STOCK[[#This Row],[Precio Final]]</f>
        <v>12</v>
      </c>
      <c r="I477" s="53">
        <f>STOCK[[#This Row],[Precio Venta Ideal (x1.5)]]</f>
        <v>12.869318181818175</v>
      </c>
      <c r="J477" s="69">
        <v>1</v>
      </c>
      <c r="K477" s="69">
        <f>SUMIFS(VENTAS[Cantidad],VENTAS[Código del producto Vendido],STOCK[[#This Row],[Code]])</f>
        <v>1</v>
      </c>
      <c r="L477" s="69">
        <f>STOCK[[#This Row],[Entradas]]-STOCK[[#This Row],[Salidas]]</f>
        <v>0</v>
      </c>
      <c r="M477" s="53">
        <f>STOCK[[#This Row],[Precio Final]]*10%</f>
        <v>1.2000000000000002</v>
      </c>
      <c r="N477" s="53">
        <v>85</v>
      </c>
      <c r="O477" s="53">
        <v>17.600000000000001</v>
      </c>
      <c r="P477" s="53">
        <v>4.8295454545454497</v>
      </c>
      <c r="Q477" s="69">
        <v>150</v>
      </c>
      <c r="R477" s="53">
        <v>17</v>
      </c>
      <c r="S477" s="53">
        <f>STOCK[[#This Row],[Peso (g)]]*STOCK[[#This Row],[Precio Envío Kilogramo (USD)]]/1000</f>
        <v>2.5499999999999998</v>
      </c>
      <c r="T477" s="53">
        <f>STOCK[[#This Row],[Costo Unitario (USD)]]+STOCK[[#This Row],[Costo Envío (USD)]]+STOCK[[#This Row],[Comisión 10%]]</f>
        <v>8.5795454545454497</v>
      </c>
      <c r="U477" s="53">
        <f>STOCK[[#This Row],[Costo total]]*1.5</f>
        <v>12.869318181818175</v>
      </c>
      <c r="V477" s="53">
        <v>12</v>
      </c>
      <c r="W477" s="53">
        <f>STOCK[[#This Row],[Precio Final]]-STOCK[[#This Row],[Costo total]]</f>
        <v>3.4204545454545503</v>
      </c>
      <c r="X477" s="53">
        <f>STOCK[[#This Row],[Ganancia Unitaria]]*STOCK[[#This Row],[Salidas]]</f>
        <v>3.4204545454545503</v>
      </c>
      <c r="Y477" s="53" t="s">
        <v>927</v>
      </c>
      <c r="AA477" s="53">
        <f>STOCK[[#This Row],[Costo total]]*STOCK[[#This Row],[Entradas]]</f>
        <v>8.5795454545454497</v>
      </c>
      <c r="AB477" s="53">
        <f>STOCK[[#This Row],[Stock Actual]]*STOCK[[#This Row],[Costo total]]</f>
        <v>0</v>
      </c>
    </row>
    <row r="478" spans="1:28" s="54" customFormat="1" ht="50" customHeight="1">
      <c r="A478" s="54" t="s">
        <v>992</v>
      </c>
      <c r="B478" s="64"/>
      <c r="C478" s="54" t="s">
        <v>32</v>
      </c>
      <c r="D478" s="54" t="s">
        <v>174</v>
      </c>
      <c r="E478" s="66" t="s">
        <v>947</v>
      </c>
      <c r="F478" s="54" t="s">
        <v>993</v>
      </c>
      <c r="G478" s="54" t="s">
        <v>36</v>
      </c>
      <c r="H478" s="54">
        <f>STOCK[[#This Row],[Precio Final]]</f>
        <v>10</v>
      </c>
      <c r="I478" s="54">
        <f>STOCK[[#This Row],[Precio Venta Ideal (x1.5)]]</f>
        <v>12.569318181818176</v>
      </c>
      <c r="J478" s="70">
        <v>2</v>
      </c>
      <c r="K478" s="70">
        <f>SUMIFS(VENTAS[Cantidad],VENTAS[Código del producto Vendido],STOCK[[#This Row],[Code]])</f>
        <v>2</v>
      </c>
      <c r="L478" s="70">
        <f>STOCK[[#This Row],[Entradas]]-STOCK[[#This Row],[Salidas]]</f>
        <v>0</v>
      </c>
      <c r="M478" s="54">
        <f>STOCK[[#This Row],[Precio Final]]*10%</f>
        <v>1</v>
      </c>
      <c r="N478" s="54">
        <v>85</v>
      </c>
      <c r="O478" s="54">
        <v>17.600000000000001</v>
      </c>
      <c r="P478" s="54">
        <v>4.8295454545454497</v>
      </c>
      <c r="Q478" s="70">
        <v>150</v>
      </c>
      <c r="R478" s="54">
        <v>17</v>
      </c>
      <c r="S478" s="54">
        <f>STOCK[[#This Row],[Peso (g)]]*STOCK[[#This Row],[Precio Envío Kilogramo (USD)]]/1000</f>
        <v>2.5499999999999998</v>
      </c>
      <c r="T478" s="53">
        <f>STOCK[[#This Row],[Costo Unitario (USD)]]+STOCK[[#This Row],[Costo Envío (USD)]]+STOCK[[#This Row],[Comisión 10%]]</f>
        <v>8.3795454545454504</v>
      </c>
      <c r="U478" s="54">
        <f>STOCK[[#This Row],[Costo total]]*1.5</f>
        <v>12.569318181818176</v>
      </c>
      <c r="V478" s="54">
        <v>10</v>
      </c>
      <c r="W478" s="54">
        <f>STOCK[[#This Row],[Precio Final]]-STOCK[[#This Row],[Costo total]]</f>
        <v>1.6204545454545496</v>
      </c>
      <c r="X478" s="54">
        <f>STOCK[[#This Row],[Ganancia Unitaria]]*STOCK[[#This Row],[Salidas]]</f>
        <v>3.2409090909090992</v>
      </c>
      <c r="AA478" s="54">
        <f>STOCK[[#This Row],[Costo total]]*STOCK[[#This Row],[Entradas]]</f>
        <v>16.759090909090901</v>
      </c>
      <c r="AB478" s="54">
        <f>STOCK[[#This Row],[Stock Actual]]*STOCK[[#This Row],[Costo total]]</f>
        <v>0</v>
      </c>
    </row>
    <row r="479" spans="1:28" s="53" customFormat="1" ht="50" customHeight="1">
      <c r="A479" s="53" t="s">
        <v>994</v>
      </c>
      <c r="B479" s="64"/>
      <c r="C479" s="53" t="s">
        <v>32</v>
      </c>
      <c r="D479" s="53" t="s">
        <v>44</v>
      </c>
      <c r="E479" s="65" t="s">
        <v>995</v>
      </c>
      <c r="F479" s="53" t="s">
        <v>996</v>
      </c>
      <c r="G479" s="53" t="s">
        <v>36</v>
      </c>
      <c r="H479" s="53">
        <f>STOCK[[#This Row],[Precio Final]]</f>
        <v>22</v>
      </c>
      <c r="I479" s="53">
        <f>STOCK[[#This Row],[Precio Venta Ideal (x1.5)]]</f>
        <v>24.756818181818176</v>
      </c>
      <c r="J479" s="69">
        <v>1</v>
      </c>
      <c r="K479" s="69">
        <f>SUMIFS(VENTAS[Cantidad],VENTAS[Código del producto Vendido],STOCK[[#This Row],[Code]])</f>
        <v>1</v>
      </c>
      <c r="L479" s="69">
        <f>STOCK[[#This Row],[Entradas]]-STOCK[[#This Row],[Salidas]]</f>
        <v>0</v>
      </c>
      <c r="M479" s="53">
        <f>STOCK[[#This Row],[Precio Final]]*10%</f>
        <v>2.2000000000000002</v>
      </c>
      <c r="N479" s="53">
        <v>162</v>
      </c>
      <c r="O479" s="53">
        <v>17.600000000000001</v>
      </c>
      <c r="P479" s="53">
        <v>9.2045454545454497</v>
      </c>
      <c r="Q479" s="69">
        <v>300</v>
      </c>
      <c r="R479" s="53">
        <v>17</v>
      </c>
      <c r="S479" s="53">
        <f>STOCK[[#This Row],[Peso (g)]]*STOCK[[#This Row],[Precio Envío Kilogramo (USD)]]/1000</f>
        <v>5.0999999999999996</v>
      </c>
      <c r="T479" s="53">
        <f>STOCK[[#This Row],[Costo Unitario (USD)]]+STOCK[[#This Row],[Costo Envío (USD)]]+STOCK[[#This Row],[Comisión 10%]]</f>
        <v>16.50454545454545</v>
      </c>
      <c r="U479" s="53">
        <f>STOCK[[#This Row],[Costo total]]*1.5</f>
        <v>24.756818181818176</v>
      </c>
      <c r="V479" s="53">
        <v>22</v>
      </c>
      <c r="W479" s="53">
        <f>STOCK[[#This Row],[Precio Final]]-STOCK[[#This Row],[Costo total]]</f>
        <v>5.4954545454545496</v>
      </c>
      <c r="X479" s="53">
        <f>STOCK[[#This Row],[Ganancia Unitaria]]*STOCK[[#This Row],[Salidas]]</f>
        <v>5.4954545454545496</v>
      </c>
      <c r="Y479" s="53" t="s">
        <v>895</v>
      </c>
      <c r="AA479" s="53">
        <f>STOCK[[#This Row],[Costo total]]*STOCK[[#This Row],[Entradas]]</f>
        <v>16.50454545454545</v>
      </c>
      <c r="AB479" s="53">
        <f>STOCK[[#This Row],[Stock Actual]]*STOCK[[#This Row],[Costo total]]</f>
        <v>0</v>
      </c>
    </row>
    <row r="480" spans="1:28" s="54" customFormat="1" ht="50" customHeight="1">
      <c r="A480" s="54" t="s">
        <v>997</v>
      </c>
      <c r="B480" s="64"/>
      <c r="C480" s="54" t="s">
        <v>32</v>
      </c>
      <c r="D480" s="54" t="s">
        <v>174</v>
      </c>
      <c r="E480" s="66" t="s">
        <v>998</v>
      </c>
      <c r="F480" s="54" t="s">
        <v>49</v>
      </c>
      <c r="G480" s="54" t="s">
        <v>36</v>
      </c>
      <c r="H480" s="54">
        <f>STOCK[[#This Row],[Precio Final]]</f>
        <v>14</v>
      </c>
      <c r="I480" s="54">
        <f>STOCK[[#This Row],[Precio Venta Ideal (x1.5)]]</f>
        <v>16.02</v>
      </c>
      <c r="J480" s="70">
        <v>2</v>
      </c>
      <c r="K480" s="70">
        <f>SUMIFS(VENTAS[Cantidad],VENTAS[Código del producto Vendido],STOCK[[#This Row],[Code]])</f>
        <v>2</v>
      </c>
      <c r="L480" s="70">
        <f>STOCK[[#This Row],[Entradas]]-STOCK[[#This Row],[Salidas]]</f>
        <v>0</v>
      </c>
      <c r="M480" s="54">
        <f>STOCK[[#This Row],[Precio Final]]*10%</f>
        <v>1.4000000000000001</v>
      </c>
      <c r="N480" s="54">
        <v>99</v>
      </c>
      <c r="O480" s="54">
        <v>17.600000000000001</v>
      </c>
      <c r="P480" s="54">
        <v>5.625</v>
      </c>
      <c r="Q480" s="70">
        <v>215</v>
      </c>
      <c r="R480" s="54">
        <v>17</v>
      </c>
      <c r="S480" s="54">
        <f>STOCK[[#This Row],[Peso (g)]]*STOCK[[#This Row],[Precio Envío Kilogramo (USD)]]/1000</f>
        <v>3.6549999999999998</v>
      </c>
      <c r="T480" s="53">
        <f>STOCK[[#This Row],[Costo Unitario (USD)]]+STOCK[[#This Row],[Costo Envío (USD)]]+STOCK[[#This Row],[Comisión 10%]]</f>
        <v>10.68</v>
      </c>
      <c r="U480" s="54">
        <f>STOCK[[#This Row],[Costo total]]*1.5</f>
        <v>16.02</v>
      </c>
      <c r="V480" s="54">
        <v>14</v>
      </c>
      <c r="W480" s="54">
        <f>STOCK[[#This Row],[Precio Final]]-STOCK[[#This Row],[Costo total]]</f>
        <v>3.3200000000000003</v>
      </c>
      <c r="X480" s="54">
        <f>STOCK[[#This Row],[Ganancia Unitaria]]*STOCK[[#This Row],[Salidas]]</f>
        <v>6.6400000000000006</v>
      </c>
      <c r="Y480" s="54" t="s">
        <v>895</v>
      </c>
      <c r="AA480" s="54">
        <f>STOCK[[#This Row],[Costo total]]*STOCK[[#This Row],[Entradas]]</f>
        <v>21.36</v>
      </c>
      <c r="AB480" s="54">
        <f>STOCK[[#This Row],[Stock Actual]]*STOCK[[#This Row],[Costo total]]</f>
        <v>0</v>
      </c>
    </row>
    <row r="481" spans="1:29" s="53" customFormat="1" ht="50" customHeight="1">
      <c r="A481" s="53" t="s">
        <v>999</v>
      </c>
      <c r="B481" s="64"/>
      <c r="C481" s="53" t="s">
        <v>32</v>
      </c>
      <c r="D481" s="53" t="s">
        <v>174</v>
      </c>
      <c r="E481" s="65" t="s">
        <v>998</v>
      </c>
      <c r="F481" s="53" t="s">
        <v>62</v>
      </c>
      <c r="G481" s="53" t="s">
        <v>36</v>
      </c>
      <c r="H481" s="53">
        <f>STOCK[[#This Row],[Precio Final]]</f>
        <v>14</v>
      </c>
      <c r="I481" s="53">
        <f>STOCK[[#This Row],[Precio Venta Ideal (x1.5)]]</f>
        <v>16.02</v>
      </c>
      <c r="J481" s="69">
        <v>2</v>
      </c>
      <c r="K481" s="69">
        <f>SUMIFS(VENTAS[Cantidad],VENTAS[Código del producto Vendido],STOCK[[#This Row],[Code]])</f>
        <v>2</v>
      </c>
      <c r="L481" s="69">
        <f>STOCK[[#This Row],[Entradas]]-STOCK[[#This Row],[Salidas]]</f>
        <v>0</v>
      </c>
      <c r="M481" s="53">
        <f>STOCK[[#This Row],[Precio Final]]*10%</f>
        <v>1.4000000000000001</v>
      </c>
      <c r="N481" s="53">
        <v>99</v>
      </c>
      <c r="O481" s="53">
        <v>17.600000000000001</v>
      </c>
      <c r="P481" s="53">
        <v>5.625</v>
      </c>
      <c r="Q481" s="69">
        <v>215</v>
      </c>
      <c r="R481" s="53">
        <v>17</v>
      </c>
      <c r="S481" s="53">
        <f>STOCK[[#This Row],[Peso (g)]]*STOCK[[#This Row],[Precio Envío Kilogramo (USD)]]/1000</f>
        <v>3.6549999999999998</v>
      </c>
      <c r="T481" s="53">
        <f>STOCK[[#This Row],[Costo Unitario (USD)]]+STOCK[[#This Row],[Costo Envío (USD)]]+STOCK[[#This Row],[Comisión 10%]]</f>
        <v>10.68</v>
      </c>
      <c r="U481" s="53">
        <f>STOCK[[#This Row],[Costo total]]*1.5</f>
        <v>16.02</v>
      </c>
      <c r="V481" s="53">
        <v>14</v>
      </c>
      <c r="W481" s="53">
        <f>STOCK[[#This Row],[Precio Final]]-STOCK[[#This Row],[Costo total]]</f>
        <v>3.3200000000000003</v>
      </c>
      <c r="X481" s="53">
        <f>STOCK[[#This Row],[Ganancia Unitaria]]*STOCK[[#This Row],[Salidas]]</f>
        <v>6.6400000000000006</v>
      </c>
      <c r="Y481" s="53" t="s">
        <v>895</v>
      </c>
      <c r="AA481" s="53">
        <f>STOCK[[#This Row],[Costo total]]*STOCK[[#This Row],[Entradas]]</f>
        <v>21.36</v>
      </c>
      <c r="AB481" s="53">
        <f>STOCK[[#This Row],[Stock Actual]]*STOCK[[#This Row],[Costo total]]</f>
        <v>0</v>
      </c>
    </row>
    <row r="482" spans="1:29" s="54" customFormat="1" ht="50" customHeight="1">
      <c r="A482" s="54" t="s">
        <v>1000</v>
      </c>
      <c r="B482" s="64"/>
      <c r="C482" s="54" t="s">
        <v>32</v>
      </c>
      <c r="D482" s="54" t="s">
        <v>174</v>
      </c>
      <c r="E482" s="66" t="s">
        <v>1001</v>
      </c>
      <c r="F482" s="54" t="s">
        <v>46</v>
      </c>
      <c r="G482" s="54" t="s">
        <v>36</v>
      </c>
      <c r="H482" s="54">
        <f>STOCK[[#This Row],[Precio Final]]</f>
        <v>14</v>
      </c>
      <c r="I482" s="54">
        <f>STOCK[[#This Row],[Precio Venta Ideal (x1.5)]]</f>
        <v>16.02</v>
      </c>
      <c r="J482" s="70">
        <v>1</v>
      </c>
      <c r="K482" s="70">
        <f>SUMIFS(VENTAS[Cantidad],VENTAS[Código del producto Vendido],STOCK[[#This Row],[Code]])</f>
        <v>1</v>
      </c>
      <c r="L482" s="70">
        <f>STOCK[[#This Row],[Entradas]]-STOCK[[#This Row],[Salidas]]</f>
        <v>0</v>
      </c>
      <c r="M482" s="54">
        <f>STOCK[[#This Row],[Precio Final]]*10%</f>
        <v>1.4000000000000001</v>
      </c>
      <c r="N482" s="54">
        <v>99</v>
      </c>
      <c r="O482" s="54">
        <v>17.600000000000001</v>
      </c>
      <c r="P482" s="54">
        <v>5.625</v>
      </c>
      <c r="Q482" s="70">
        <v>215</v>
      </c>
      <c r="R482" s="54">
        <v>17</v>
      </c>
      <c r="S482" s="54">
        <f>STOCK[[#This Row],[Peso (g)]]*STOCK[[#This Row],[Precio Envío Kilogramo (USD)]]/1000</f>
        <v>3.6549999999999998</v>
      </c>
      <c r="T482" s="53">
        <f>STOCK[[#This Row],[Costo Unitario (USD)]]+STOCK[[#This Row],[Costo Envío (USD)]]+STOCK[[#This Row],[Comisión 10%]]</f>
        <v>10.68</v>
      </c>
      <c r="U482" s="54">
        <f>STOCK[[#This Row],[Costo total]]*1.5</f>
        <v>16.02</v>
      </c>
      <c r="V482" s="54">
        <v>14</v>
      </c>
      <c r="W482" s="54">
        <f>STOCK[[#This Row],[Precio Final]]-STOCK[[#This Row],[Costo total]]</f>
        <v>3.3200000000000003</v>
      </c>
      <c r="X482" s="54">
        <f>STOCK[[#This Row],[Ganancia Unitaria]]*STOCK[[#This Row],[Salidas]]</f>
        <v>3.3200000000000003</v>
      </c>
      <c r="Y482" s="54" t="s">
        <v>895</v>
      </c>
      <c r="AA482" s="54">
        <f>STOCK[[#This Row],[Costo total]]*STOCK[[#This Row],[Entradas]]</f>
        <v>10.68</v>
      </c>
      <c r="AB482" s="54">
        <f>STOCK[[#This Row],[Stock Actual]]*STOCK[[#This Row],[Costo total]]</f>
        <v>0</v>
      </c>
    </row>
    <row r="483" spans="1:29" s="53" customFormat="1" ht="50" customHeight="1">
      <c r="A483" s="53" t="s">
        <v>1002</v>
      </c>
      <c r="B483" s="64"/>
      <c r="C483" s="53" t="s">
        <v>32</v>
      </c>
      <c r="D483" s="53" t="s">
        <v>216</v>
      </c>
      <c r="E483" s="65" t="s">
        <v>1003</v>
      </c>
      <c r="F483" s="53" t="s">
        <v>62</v>
      </c>
      <c r="G483" s="53" t="s">
        <v>36</v>
      </c>
      <c r="H483" s="53">
        <f>STOCK[[#This Row],[Precio Final]]</f>
        <v>25</v>
      </c>
      <c r="I483" s="53">
        <f>STOCK[[#This Row],[Precio Venta Ideal (x1.5)]]</f>
        <v>26.740909090909049</v>
      </c>
      <c r="J483" s="69">
        <v>2</v>
      </c>
      <c r="K483" s="69">
        <f>SUMIFS(VENTAS[Cantidad],VENTAS[Código del producto Vendido],STOCK[[#This Row],[Code]])</f>
        <v>2</v>
      </c>
      <c r="L483" s="69">
        <f>STOCK[[#This Row],[Entradas]]-STOCK[[#This Row],[Salidas]]</f>
        <v>0</v>
      </c>
      <c r="M483" s="53">
        <f>STOCK[[#This Row],[Precio Final]]*10%</f>
        <v>2.5</v>
      </c>
      <c r="N483" s="53">
        <v>180</v>
      </c>
      <c r="O483" s="53">
        <v>17.600000000000001</v>
      </c>
      <c r="P483" s="53">
        <v>10.2272727272727</v>
      </c>
      <c r="Q483" s="69">
        <v>300</v>
      </c>
      <c r="R483" s="53">
        <v>17</v>
      </c>
      <c r="S483" s="53">
        <f>STOCK[[#This Row],[Peso (g)]]*STOCK[[#This Row],[Precio Envío Kilogramo (USD)]]/1000</f>
        <v>5.0999999999999996</v>
      </c>
      <c r="T483" s="53">
        <f>STOCK[[#This Row],[Costo Unitario (USD)]]+STOCK[[#This Row],[Costo Envío (USD)]]+STOCK[[#This Row],[Comisión 10%]]</f>
        <v>17.8272727272727</v>
      </c>
      <c r="U483" s="53">
        <f>STOCK[[#This Row],[Costo total]]*1.5</f>
        <v>26.740909090909049</v>
      </c>
      <c r="V483" s="53">
        <v>25</v>
      </c>
      <c r="W483" s="53">
        <f>STOCK[[#This Row],[Precio Final]]-STOCK[[#This Row],[Costo total]]</f>
        <v>7.1727272727273004</v>
      </c>
      <c r="X483" s="53">
        <f>STOCK[[#This Row],[Ganancia Unitaria]]*STOCK[[#This Row],[Salidas]]</f>
        <v>14.345454545454601</v>
      </c>
      <c r="Y483" s="53" t="s">
        <v>895</v>
      </c>
      <c r="AA483" s="53">
        <f>STOCK[[#This Row],[Costo total]]*STOCK[[#This Row],[Entradas]]</f>
        <v>35.654545454545399</v>
      </c>
      <c r="AB483" s="53">
        <f>STOCK[[#This Row],[Stock Actual]]*STOCK[[#This Row],[Costo total]]</f>
        <v>0</v>
      </c>
      <c r="AC483" s="53">
        <v>22</v>
      </c>
    </row>
    <row r="484" spans="1:29" s="54" customFormat="1" ht="50" customHeight="1">
      <c r="A484" s="54" t="s">
        <v>1004</v>
      </c>
      <c r="B484" s="64"/>
      <c r="C484" s="54" t="s">
        <v>32</v>
      </c>
      <c r="D484" s="54" t="s">
        <v>44</v>
      </c>
      <c r="E484" s="66" t="s">
        <v>1003</v>
      </c>
      <c r="F484" s="54" t="s">
        <v>1005</v>
      </c>
      <c r="G484" s="54" t="s">
        <v>36</v>
      </c>
      <c r="H484" s="54">
        <f>STOCK[[#This Row],[Precio Final]]</f>
        <v>25</v>
      </c>
      <c r="I484" s="54">
        <f>STOCK[[#This Row],[Precio Venta Ideal (x1.5)]]</f>
        <v>26.740909090909049</v>
      </c>
      <c r="J484" s="70">
        <v>2</v>
      </c>
      <c r="K484" s="70">
        <f>SUMIFS(VENTAS[Cantidad],VENTAS[Código del producto Vendido],STOCK[[#This Row],[Code]])</f>
        <v>2</v>
      </c>
      <c r="L484" s="70">
        <f>STOCK[[#This Row],[Entradas]]-STOCK[[#This Row],[Salidas]]</f>
        <v>0</v>
      </c>
      <c r="M484" s="54">
        <f>STOCK[[#This Row],[Precio Final]]*10%</f>
        <v>2.5</v>
      </c>
      <c r="N484" s="54">
        <v>180</v>
      </c>
      <c r="O484" s="54">
        <v>17.600000000000001</v>
      </c>
      <c r="P484" s="54">
        <v>10.2272727272727</v>
      </c>
      <c r="Q484" s="70">
        <v>300</v>
      </c>
      <c r="R484" s="54">
        <v>17</v>
      </c>
      <c r="S484" s="54">
        <f>STOCK[[#This Row],[Peso (g)]]*STOCK[[#This Row],[Precio Envío Kilogramo (USD)]]/1000</f>
        <v>5.0999999999999996</v>
      </c>
      <c r="T484" s="53">
        <f>STOCK[[#This Row],[Costo Unitario (USD)]]+STOCK[[#This Row],[Costo Envío (USD)]]+STOCK[[#This Row],[Comisión 10%]]</f>
        <v>17.8272727272727</v>
      </c>
      <c r="U484" s="54">
        <f>STOCK[[#This Row],[Costo total]]*1.5</f>
        <v>26.740909090909049</v>
      </c>
      <c r="V484" s="54">
        <v>25</v>
      </c>
      <c r="W484" s="54">
        <f>STOCK[[#This Row],[Precio Final]]-STOCK[[#This Row],[Costo total]]</f>
        <v>7.1727272727273004</v>
      </c>
      <c r="X484" s="54">
        <f>STOCK[[#This Row],[Ganancia Unitaria]]*STOCK[[#This Row],[Salidas]]</f>
        <v>14.345454545454601</v>
      </c>
      <c r="Y484" s="54" t="s">
        <v>895</v>
      </c>
      <c r="AA484" s="54">
        <f>STOCK[[#This Row],[Costo total]]*STOCK[[#This Row],[Entradas]]</f>
        <v>35.654545454545399</v>
      </c>
      <c r="AB484" s="54">
        <f>STOCK[[#This Row],[Stock Actual]]*STOCK[[#This Row],[Costo total]]</f>
        <v>0</v>
      </c>
    </row>
    <row r="485" spans="1:29" s="53" customFormat="1" ht="50" customHeight="1">
      <c r="A485" s="53" t="s">
        <v>1006</v>
      </c>
      <c r="B485" s="64"/>
      <c r="C485" s="53" t="s">
        <v>32</v>
      </c>
      <c r="D485" s="53" t="s">
        <v>38</v>
      </c>
      <c r="E485" s="65" t="s">
        <v>1007</v>
      </c>
      <c r="F485" s="53" t="s">
        <v>49</v>
      </c>
      <c r="G485" s="53" t="s">
        <v>36</v>
      </c>
      <c r="H485" s="53">
        <f>STOCK[[#This Row],[Precio Final]]</f>
        <v>25</v>
      </c>
      <c r="I485" s="53">
        <f>STOCK[[#This Row],[Precio Venta Ideal (x1.5)]]</f>
        <v>25.718181818181812</v>
      </c>
      <c r="J485" s="69">
        <v>2</v>
      </c>
      <c r="K485" s="69">
        <f>SUMIFS(VENTAS[Cantidad],VENTAS[Código del producto Vendido],STOCK[[#This Row],[Code]])</f>
        <v>2</v>
      </c>
      <c r="L485" s="69">
        <f>STOCK[[#This Row],[Entradas]]-STOCK[[#This Row],[Salidas]]</f>
        <v>0</v>
      </c>
      <c r="M485" s="53">
        <f>STOCK[[#This Row],[Precio Final]]*10%</f>
        <v>2.5</v>
      </c>
      <c r="N485" s="53">
        <v>168</v>
      </c>
      <c r="O485" s="53">
        <v>17.600000000000001</v>
      </c>
      <c r="P485" s="53">
        <v>9.5454545454545396</v>
      </c>
      <c r="Q485" s="69">
        <v>300</v>
      </c>
      <c r="R485" s="53">
        <v>17</v>
      </c>
      <c r="S485" s="53">
        <f>STOCK[[#This Row],[Peso (g)]]*STOCK[[#This Row],[Precio Envío Kilogramo (USD)]]/1000</f>
        <v>5.0999999999999996</v>
      </c>
      <c r="T485" s="53">
        <f>STOCK[[#This Row],[Costo Unitario (USD)]]+STOCK[[#This Row],[Costo Envío (USD)]]+STOCK[[#This Row],[Comisión 10%]]</f>
        <v>17.145454545454541</v>
      </c>
      <c r="U485" s="53">
        <f>STOCK[[#This Row],[Costo total]]*1.5</f>
        <v>25.718181818181812</v>
      </c>
      <c r="V485" s="53">
        <v>25</v>
      </c>
      <c r="W485" s="53">
        <f>STOCK[[#This Row],[Precio Final]]-STOCK[[#This Row],[Costo total]]</f>
        <v>7.8545454545454589</v>
      </c>
      <c r="X485" s="53">
        <f>STOCK[[#This Row],[Ganancia Unitaria]]*STOCK[[#This Row],[Salidas]]</f>
        <v>15.709090909090918</v>
      </c>
      <c r="Y485" s="53" t="s">
        <v>895</v>
      </c>
      <c r="AA485" s="53">
        <f>STOCK[[#This Row],[Costo total]]*STOCK[[#This Row],[Entradas]]</f>
        <v>34.290909090909082</v>
      </c>
      <c r="AB485" s="53">
        <f>STOCK[[#This Row],[Stock Actual]]*STOCK[[#This Row],[Costo total]]</f>
        <v>0</v>
      </c>
    </row>
    <row r="486" spans="1:29" s="54" customFormat="1" ht="50" customHeight="1">
      <c r="A486" s="54" t="s">
        <v>1008</v>
      </c>
      <c r="B486" s="64"/>
      <c r="C486" s="54" t="s">
        <v>32</v>
      </c>
      <c r="D486" s="54" t="s">
        <v>1009</v>
      </c>
      <c r="E486" s="66" t="s">
        <v>1010</v>
      </c>
      <c r="F486" s="54" t="s">
        <v>83</v>
      </c>
      <c r="G486" s="54" t="s">
        <v>36</v>
      </c>
      <c r="H486" s="54">
        <f>STOCK[[#This Row],[Precio Final]]</f>
        <v>35</v>
      </c>
      <c r="I486" s="54">
        <f>STOCK[[#This Row],[Precio Venta Ideal (x1.5)]]</f>
        <v>42.344318181818252</v>
      </c>
      <c r="J486" s="70">
        <v>1</v>
      </c>
      <c r="K486" s="70">
        <f>SUMIFS(VENTAS[Cantidad],VENTAS[Código del producto Vendido],STOCK[[#This Row],[Code]])</f>
        <v>1</v>
      </c>
      <c r="L486" s="70">
        <f>STOCK[[#This Row],[Entradas]]-STOCK[[#This Row],[Salidas]]</f>
        <v>0</v>
      </c>
      <c r="M486" s="54">
        <f>STOCK[[#This Row],[Precio Final]]*10%</f>
        <v>3.5</v>
      </c>
      <c r="N486" s="54">
        <v>272</v>
      </c>
      <c r="O486" s="54">
        <v>17.600000000000001</v>
      </c>
      <c r="P486" s="54">
        <v>15.454545454545499</v>
      </c>
      <c r="Q486" s="70">
        <v>530</v>
      </c>
      <c r="R486" s="54">
        <v>17.5</v>
      </c>
      <c r="S486" s="54">
        <f>STOCK[[#This Row],[Peso (g)]]*STOCK[[#This Row],[Precio Envío Kilogramo (USD)]]/1000</f>
        <v>9.2750000000000004</v>
      </c>
      <c r="T486" s="53">
        <f>STOCK[[#This Row],[Costo Unitario (USD)]]+STOCK[[#This Row],[Costo Envío (USD)]]+STOCK[[#This Row],[Comisión 10%]]</f>
        <v>28.229545454545502</v>
      </c>
      <c r="U486" s="54">
        <f>STOCK[[#This Row],[Costo total]]*1.5</f>
        <v>42.344318181818252</v>
      </c>
      <c r="V486" s="54">
        <v>35</v>
      </c>
      <c r="W486" s="54">
        <f>STOCK[[#This Row],[Precio Final]]-STOCK[[#This Row],[Costo total]]</f>
        <v>6.7704545454544984</v>
      </c>
      <c r="X486" s="54">
        <f>STOCK[[#This Row],[Ganancia Unitaria]]*STOCK[[#This Row],[Salidas]]</f>
        <v>6.7704545454544984</v>
      </c>
      <c r="Y486" s="54" t="s">
        <v>927</v>
      </c>
      <c r="AA486" s="54">
        <f>STOCK[[#This Row],[Costo total]]*STOCK[[#This Row],[Entradas]]</f>
        <v>28.229545454545502</v>
      </c>
      <c r="AB486" s="54">
        <f>STOCK[[#This Row],[Stock Actual]]*STOCK[[#This Row],[Costo total]]</f>
        <v>0</v>
      </c>
    </row>
    <row r="487" spans="1:29" s="53" customFormat="1" ht="50" customHeight="1">
      <c r="A487" s="53" t="s">
        <v>1011</v>
      </c>
      <c r="B487" s="64"/>
      <c r="C487" s="53" t="s">
        <v>32</v>
      </c>
      <c r="D487" s="53" t="s">
        <v>213</v>
      </c>
      <c r="E487" s="65" t="s">
        <v>1010</v>
      </c>
      <c r="F487" s="53" t="s">
        <v>46</v>
      </c>
      <c r="G487" s="53" t="s">
        <v>36</v>
      </c>
      <c r="H487" s="53">
        <f>STOCK[[#This Row],[Precio Final]]</f>
        <v>35</v>
      </c>
      <c r="I487" s="53">
        <f>STOCK[[#This Row],[Precio Venta Ideal (x1.5)]]</f>
        <v>41.556818181818251</v>
      </c>
      <c r="J487" s="69">
        <v>1</v>
      </c>
      <c r="K487" s="69">
        <f>SUMIFS(VENTAS[Cantidad],VENTAS[Código del producto Vendido],STOCK[[#This Row],[Code]])</f>
        <v>1</v>
      </c>
      <c r="L487" s="69">
        <f>STOCK[[#This Row],[Entradas]]-STOCK[[#This Row],[Salidas]]</f>
        <v>0</v>
      </c>
      <c r="M487" s="53">
        <f>STOCK[[#This Row],[Precio Final]]*10%</f>
        <v>3.5</v>
      </c>
      <c r="N487" s="53">
        <v>272</v>
      </c>
      <c r="O487" s="53">
        <v>17.600000000000001</v>
      </c>
      <c r="P487" s="53">
        <v>15.454545454545499</v>
      </c>
      <c r="Q487" s="69">
        <v>500</v>
      </c>
      <c r="R487" s="53">
        <v>17.5</v>
      </c>
      <c r="S487" s="53">
        <f>STOCK[[#This Row],[Peso (g)]]*STOCK[[#This Row],[Precio Envío Kilogramo (USD)]]/1000</f>
        <v>8.75</v>
      </c>
      <c r="T487" s="53">
        <f>STOCK[[#This Row],[Costo Unitario (USD)]]+STOCK[[#This Row],[Costo Envío (USD)]]+STOCK[[#This Row],[Comisión 10%]]</f>
        <v>27.704545454545499</v>
      </c>
      <c r="U487" s="53">
        <f>STOCK[[#This Row],[Costo total]]*1.5</f>
        <v>41.556818181818251</v>
      </c>
      <c r="V487" s="53">
        <v>35</v>
      </c>
      <c r="W487" s="53">
        <f>STOCK[[#This Row],[Precio Final]]-STOCK[[#This Row],[Costo total]]</f>
        <v>7.2954545454545006</v>
      </c>
      <c r="X487" s="53">
        <f>STOCK[[#This Row],[Ganancia Unitaria]]*STOCK[[#This Row],[Salidas]]</f>
        <v>7.2954545454545006</v>
      </c>
      <c r="Y487" s="53" t="s">
        <v>927</v>
      </c>
      <c r="AA487" s="53">
        <f>STOCK[[#This Row],[Costo total]]*STOCK[[#This Row],[Entradas]]</f>
        <v>27.704545454545499</v>
      </c>
      <c r="AB487" s="53">
        <f>STOCK[[#This Row],[Stock Actual]]*STOCK[[#This Row],[Costo total]]</f>
        <v>0</v>
      </c>
    </row>
    <row r="488" spans="1:29" s="54" customFormat="1" ht="50" customHeight="1">
      <c r="A488" s="54" t="s">
        <v>1012</v>
      </c>
      <c r="B488" s="64"/>
      <c r="C488" s="54" t="s">
        <v>32</v>
      </c>
      <c r="D488" s="54" t="s">
        <v>1013</v>
      </c>
      <c r="E488" s="66" t="s">
        <v>1010</v>
      </c>
      <c r="F488" s="54" t="s">
        <v>211</v>
      </c>
      <c r="G488" s="54" t="s">
        <v>36</v>
      </c>
      <c r="H488" s="54">
        <f>STOCK[[#This Row],[Precio Final]]</f>
        <v>35</v>
      </c>
      <c r="I488" s="54">
        <f>STOCK[[#This Row],[Precio Venta Ideal (x1.5)]]</f>
        <v>38.538068181818247</v>
      </c>
      <c r="J488" s="70">
        <v>2</v>
      </c>
      <c r="K488" s="70">
        <f>SUMIFS(VENTAS[Cantidad],VENTAS[Código del producto Vendido],STOCK[[#This Row],[Code]])</f>
        <v>2</v>
      </c>
      <c r="L488" s="70">
        <f>STOCK[[#This Row],[Entradas]]-STOCK[[#This Row],[Salidas]]</f>
        <v>0</v>
      </c>
      <c r="M488" s="54">
        <f>STOCK[[#This Row],[Precio Final]]*10%</f>
        <v>3.5</v>
      </c>
      <c r="N488" s="54">
        <v>272</v>
      </c>
      <c r="O488" s="54">
        <v>17.600000000000001</v>
      </c>
      <c r="P488" s="54">
        <v>15.454545454545499</v>
      </c>
      <c r="Q488" s="70">
        <v>385</v>
      </c>
      <c r="R488" s="54">
        <v>17.5</v>
      </c>
      <c r="S488" s="54">
        <f>STOCK[[#This Row],[Peso (g)]]*STOCK[[#This Row],[Precio Envío Kilogramo (USD)]]/1000</f>
        <v>6.7374999999999998</v>
      </c>
      <c r="T488" s="53">
        <f>STOCK[[#This Row],[Costo Unitario (USD)]]+STOCK[[#This Row],[Costo Envío (USD)]]+STOCK[[#This Row],[Comisión 10%]]</f>
        <v>25.6920454545455</v>
      </c>
      <c r="U488" s="54">
        <f>STOCK[[#This Row],[Costo total]]*1.5</f>
        <v>38.538068181818247</v>
      </c>
      <c r="V488" s="54">
        <v>35</v>
      </c>
      <c r="W488" s="54">
        <f>STOCK[[#This Row],[Precio Final]]-STOCK[[#This Row],[Costo total]]</f>
        <v>9.3079545454544999</v>
      </c>
      <c r="X488" s="54">
        <f>STOCK[[#This Row],[Ganancia Unitaria]]*STOCK[[#This Row],[Salidas]]</f>
        <v>18.615909090909</v>
      </c>
      <c r="Y488" s="54" t="s">
        <v>895</v>
      </c>
      <c r="AA488" s="54">
        <f>STOCK[[#This Row],[Costo total]]*STOCK[[#This Row],[Entradas]]</f>
        <v>51.384090909091</v>
      </c>
      <c r="AB488" s="54">
        <f>STOCK[[#This Row],[Stock Actual]]*STOCK[[#This Row],[Costo total]]</f>
        <v>0</v>
      </c>
    </row>
    <row r="489" spans="1:29" s="53" customFormat="1" ht="50" customHeight="1">
      <c r="A489" s="53" t="s">
        <v>1014</v>
      </c>
      <c r="B489" s="64"/>
      <c r="C489" s="53" t="s">
        <v>32</v>
      </c>
      <c r="D489" s="53" t="s">
        <v>546</v>
      </c>
      <c r="E489" s="65" t="s">
        <v>1015</v>
      </c>
      <c r="F489" s="53" t="s">
        <v>49</v>
      </c>
      <c r="G489" s="53" t="s">
        <v>36</v>
      </c>
      <c r="H489" s="53">
        <f>STOCK[[#This Row],[Precio Final]]</f>
        <v>12</v>
      </c>
      <c r="I489" s="53">
        <f>STOCK[[#This Row],[Precio Venta Ideal (x1.5)]]</f>
        <v>13.348295454545459</v>
      </c>
      <c r="J489" s="69">
        <v>2</v>
      </c>
      <c r="K489" s="69">
        <f>SUMIFS(VENTAS[Cantidad],VENTAS[Código del producto Vendido],STOCK[[#This Row],[Code]])</f>
        <v>2</v>
      </c>
      <c r="L489" s="69">
        <f>STOCK[[#This Row],[Entradas]]-STOCK[[#This Row],[Salidas]]</f>
        <v>0</v>
      </c>
      <c r="M489" s="53">
        <f>STOCK[[#This Row],[Precio Final]]*10%</f>
        <v>1.2000000000000002</v>
      </c>
      <c r="N489" s="53">
        <v>97</v>
      </c>
      <c r="O489" s="53">
        <v>17.600000000000001</v>
      </c>
      <c r="P489" s="53">
        <v>5.5113636363636402</v>
      </c>
      <c r="Q489" s="69">
        <v>125</v>
      </c>
      <c r="R489" s="53">
        <v>17.5</v>
      </c>
      <c r="S489" s="53">
        <f>STOCK[[#This Row],[Peso (g)]]*STOCK[[#This Row],[Precio Envío Kilogramo (USD)]]/1000</f>
        <v>2.1875</v>
      </c>
      <c r="T489" s="53">
        <f>STOCK[[#This Row],[Costo Unitario (USD)]]+STOCK[[#This Row],[Costo Envío (USD)]]+STOCK[[#This Row],[Comisión 10%]]</f>
        <v>8.8988636363636395</v>
      </c>
      <c r="U489" s="53">
        <f>STOCK[[#This Row],[Costo total]]*1.5</f>
        <v>13.348295454545459</v>
      </c>
      <c r="V489" s="53">
        <v>12</v>
      </c>
      <c r="W489" s="53">
        <f>STOCK[[#This Row],[Precio Final]]-STOCK[[#This Row],[Costo total]]</f>
        <v>3.1011363636363605</v>
      </c>
      <c r="X489" s="53">
        <f>STOCK[[#This Row],[Ganancia Unitaria]]*STOCK[[#This Row],[Salidas]]</f>
        <v>6.2022727272727209</v>
      </c>
      <c r="Y489" s="53" t="s">
        <v>927</v>
      </c>
      <c r="AA489" s="53">
        <f>STOCK[[#This Row],[Costo total]]*STOCK[[#This Row],[Entradas]]</f>
        <v>17.797727272727279</v>
      </c>
      <c r="AB489" s="53">
        <f>STOCK[[#This Row],[Stock Actual]]*STOCK[[#This Row],[Costo total]]</f>
        <v>0</v>
      </c>
    </row>
    <row r="490" spans="1:29" s="54" customFormat="1" ht="50" customHeight="1">
      <c r="A490" s="54" t="s">
        <v>1016</v>
      </c>
      <c r="B490" s="64"/>
      <c r="C490" s="54" t="s">
        <v>32</v>
      </c>
      <c r="D490" s="54" t="s">
        <v>174</v>
      </c>
      <c r="E490" s="66" t="s">
        <v>1017</v>
      </c>
      <c r="F490" s="54" t="s">
        <v>40</v>
      </c>
      <c r="G490" s="54" t="s">
        <v>36</v>
      </c>
      <c r="H490" s="54">
        <f>STOCK[[#This Row],[Precio Final]]</f>
        <v>12</v>
      </c>
      <c r="I490" s="54">
        <f>STOCK[[#This Row],[Precio Venta Ideal (x1.5)]]</f>
        <v>12.535227272727271</v>
      </c>
      <c r="J490" s="70">
        <v>1</v>
      </c>
      <c r="K490" s="70">
        <f>SUMIFS(VENTAS[Cantidad],VENTAS[Código del producto Vendido],STOCK[[#This Row],[Code]])</f>
        <v>1</v>
      </c>
      <c r="L490" s="70">
        <f>STOCK[[#This Row],[Entradas]]-STOCK[[#This Row],[Salidas]]</f>
        <v>0</v>
      </c>
      <c r="M490" s="54">
        <f>STOCK[[#This Row],[Precio Final]]*10%</f>
        <v>1.2000000000000002</v>
      </c>
      <c r="N490" s="54">
        <v>89</v>
      </c>
      <c r="O490" s="54">
        <v>17.600000000000001</v>
      </c>
      <c r="P490" s="54">
        <v>5.0568181818181799</v>
      </c>
      <c r="Q490" s="70">
        <v>120</v>
      </c>
      <c r="R490" s="54">
        <v>17.5</v>
      </c>
      <c r="S490" s="54">
        <f>STOCK[[#This Row],[Peso (g)]]*STOCK[[#This Row],[Precio Envío Kilogramo (USD)]]/1000</f>
        <v>2.1</v>
      </c>
      <c r="T490" s="53">
        <f>STOCK[[#This Row],[Costo Unitario (USD)]]+STOCK[[#This Row],[Costo Envío (USD)]]+STOCK[[#This Row],[Comisión 10%]]</f>
        <v>8.3568181818181806</v>
      </c>
      <c r="U490" s="54">
        <f>STOCK[[#This Row],[Costo total]]*1.5</f>
        <v>12.535227272727271</v>
      </c>
      <c r="V490" s="54">
        <v>12</v>
      </c>
      <c r="W490" s="54">
        <f>STOCK[[#This Row],[Precio Final]]-STOCK[[#This Row],[Costo total]]</f>
        <v>3.6431818181818194</v>
      </c>
      <c r="X490" s="54">
        <f>STOCK[[#This Row],[Ganancia Unitaria]]*STOCK[[#This Row],[Salidas]]</f>
        <v>3.6431818181818194</v>
      </c>
      <c r="Y490" s="54" t="s">
        <v>895</v>
      </c>
      <c r="AA490" s="54">
        <f>STOCK[[#This Row],[Costo total]]*STOCK[[#This Row],[Entradas]]</f>
        <v>8.3568181818181806</v>
      </c>
      <c r="AB490" s="54">
        <f>STOCK[[#This Row],[Stock Actual]]*STOCK[[#This Row],[Costo total]]</f>
        <v>0</v>
      </c>
    </row>
    <row r="491" spans="1:29" s="53" customFormat="1" ht="50" customHeight="1">
      <c r="A491" s="53" t="s">
        <v>1018</v>
      </c>
      <c r="B491" s="64"/>
      <c r="C491" s="53" t="s">
        <v>32</v>
      </c>
      <c r="D491" s="53" t="s">
        <v>174</v>
      </c>
      <c r="E491" s="65" t="s">
        <v>1017</v>
      </c>
      <c r="F491" s="53" t="s">
        <v>62</v>
      </c>
      <c r="G491" s="53" t="s">
        <v>36</v>
      </c>
      <c r="H491" s="53">
        <f>STOCK[[#This Row],[Precio Final]]</f>
        <v>12</v>
      </c>
      <c r="I491" s="53">
        <f>STOCK[[#This Row],[Precio Venta Ideal (x1.5)]]</f>
        <v>12.535227272727271</v>
      </c>
      <c r="J491" s="69">
        <v>2</v>
      </c>
      <c r="K491" s="69">
        <f>SUMIFS(VENTAS[Cantidad],VENTAS[Código del producto Vendido],STOCK[[#This Row],[Code]])</f>
        <v>2</v>
      </c>
      <c r="L491" s="69">
        <f>STOCK[[#This Row],[Entradas]]-STOCK[[#This Row],[Salidas]]</f>
        <v>0</v>
      </c>
      <c r="M491" s="53">
        <f>STOCK[[#This Row],[Precio Final]]*10%</f>
        <v>1.2000000000000002</v>
      </c>
      <c r="N491" s="53">
        <v>89</v>
      </c>
      <c r="O491" s="53">
        <v>17.600000000000001</v>
      </c>
      <c r="P491" s="53">
        <v>5.0568181818181799</v>
      </c>
      <c r="Q491" s="69">
        <v>120</v>
      </c>
      <c r="R491" s="53">
        <v>17.5</v>
      </c>
      <c r="S491" s="53">
        <f>STOCK[[#This Row],[Peso (g)]]*STOCK[[#This Row],[Precio Envío Kilogramo (USD)]]/1000</f>
        <v>2.1</v>
      </c>
      <c r="T491" s="53">
        <f>STOCK[[#This Row],[Costo Unitario (USD)]]+STOCK[[#This Row],[Costo Envío (USD)]]+STOCK[[#This Row],[Comisión 10%]]</f>
        <v>8.3568181818181806</v>
      </c>
      <c r="U491" s="53">
        <f>STOCK[[#This Row],[Costo total]]*1.5</f>
        <v>12.535227272727271</v>
      </c>
      <c r="V491" s="53">
        <v>12</v>
      </c>
      <c r="W491" s="53">
        <f>STOCK[[#This Row],[Precio Final]]-STOCK[[#This Row],[Costo total]]</f>
        <v>3.6431818181818194</v>
      </c>
      <c r="X491" s="53">
        <f>STOCK[[#This Row],[Ganancia Unitaria]]*STOCK[[#This Row],[Salidas]]</f>
        <v>7.2863636363636388</v>
      </c>
      <c r="Y491" s="53" t="s">
        <v>927</v>
      </c>
      <c r="AA491" s="53">
        <f>STOCK[[#This Row],[Costo total]]*STOCK[[#This Row],[Entradas]]</f>
        <v>16.713636363636361</v>
      </c>
      <c r="AB491" s="53">
        <f>STOCK[[#This Row],[Stock Actual]]*STOCK[[#This Row],[Costo total]]</f>
        <v>0</v>
      </c>
    </row>
    <row r="492" spans="1:29" s="54" customFormat="1" ht="50" customHeight="1">
      <c r="A492" s="54" t="s">
        <v>1019</v>
      </c>
      <c r="B492" s="64"/>
      <c r="C492" s="54" t="s">
        <v>32</v>
      </c>
      <c r="D492" s="54" t="s">
        <v>174</v>
      </c>
      <c r="E492" s="66" t="s">
        <v>1017</v>
      </c>
      <c r="F492" s="54" t="s">
        <v>49</v>
      </c>
      <c r="G492" s="54" t="s">
        <v>36</v>
      </c>
      <c r="H492" s="54">
        <f>STOCK[[#This Row],[Precio Final]]</f>
        <v>12</v>
      </c>
      <c r="I492" s="54">
        <f>STOCK[[#This Row],[Precio Venta Ideal (x1.5)]]</f>
        <v>12.535227272727271</v>
      </c>
      <c r="J492" s="70">
        <v>1</v>
      </c>
      <c r="K492" s="70">
        <f>SUMIFS(VENTAS[Cantidad],VENTAS[Código del producto Vendido],STOCK[[#This Row],[Code]])</f>
        <v>1</v>
      </c>
      <c r="L492" s="70">
        <f>STOCK[[#This Row],[Entradas]]-STOCK[[#This Row],[Salidas]]</f>
        <v>0</v>
      </c>
      <c r="M492" s="54">
        <f>STOCK[[#This Row],[Precio Final]]*10%</f>
        <v>1.2000000000000002</v>
      </c>
      <c r="N492" s="54">
        <v>89</v>
      </c>
      <c r="O492" s="54">
        <v>17.600000000000001</v>
      </c>
      <c r="P492" s="54">
        <v>5.0568181818181799</v>
      </c>
      <c r="Q492" s="70">
        <v>120</v>
      </c>
      <c r="R492" s="54">
        <v>17.5</v>
      </c>
      <c r="S492" s="54">
        <f>STOCK[[#This Row],[Peso (g)]]*STOCK[[#This Row],[Precio Envío Kilogramo (USD)]]/1000</f>
        <v>2.1</v>
      </c>
      <c r="T492" s="53">
        <f>STOCK[[#This Row],[Costo Unitario (USD)]]+STOCK[[#This Row],[Costo Envío (USD)]]+STOCK[[#This Row],[Comisión 10%]]</f>
        <v>8.3568181818181806</v>
      </c>
      <c r="U492" s="54">
        <f>STOCK[[#This Row],[Costo total]]*1.5</f>
        <v>12.535227272727271</v>
      </c>
      <c r="V492" s="54">
        <v>12</v>
      </c>
      <c r="W492" s="54">
        <f>STOCK[[#This Row],[Precio Final]]-STOCK[[#This Row],[Costo total]]</f>
        <v>3.6431818181818194</v>
      </c>
      <c r="X492" s="54">
        <f>STOCK[[#This Row],[Ganancia Unitaria]]*STOCK[[#This Row],[Salidas]]</f>
        <v>3.6431818181818194</v>
      </c>
      <c r="Y492" s="54" t="s">
        <v>927</v>
      </c>
      <c r="AA492" s="54">
        <f>STOCK[[#This Row],[Costo total]]*STOCK[[#This Row],[Entradas]]</f>
        <v>8.3568181818181806</v>
      </c>
      <c r="AB492" s="54">
        <f>STOCK[[#This Row],[Stock Actual]]*STOCK[[#This Row],[Costo total]]</f>
        <v>0</v>
      </c>
    </row>
    <row r="493" spans="1:29" s="53" customFormat="1" ht="50" customHeight="1">
      <c r="A493" s="53" t="s">
        <v>1020</v>
      </c>
      <c r="B493" s="64"/>
      <c r="C493" s="53" t="s">
        <v>32</v>
      </c>
      <c r="D493" s="53" t="s">
        <v>196</v>
      </c>
      <c r="E493" s="65" t="s">
        <v>1021</v>
      </c>
      <c r="F493" s="53" t="s">
        <v>40</v>
      </c>
      <c r="G493" s="53" t="s">
        <v>36</v>
      </c>
      <c r="H493" s="53">
        <f>STOCK[[#This Row],[Precio Final]]</f>
        <v>20</v>
      </c>
      <c r="I493" s="53">
        <f>STOCK[[#This Row],[Precio Venta Ideal (x1.5)]]</f>
        <v>15.157500000000001</v>
      </c>
      <c r="J493" s="69">
        <v>2</v>
      </c>
      <c r="K493" s="69">
        <f>SUMIFS(VENTAS[Cantidad],VENTAS[Código del producto Vendido],STOCK[[#This Row],[Code]])</f>
        <v>1</v>
      </c>
      <c r="L493" s="69">
        <f>STOCK[[#This Row],[Entradas]]-STOCK[[#This Row],[Salidas]]</f>
        <v>1</v>
      </c>
      <c r="M493" s="53">
        <f>STOCK[[#This Row],[Precio Final]]*10%</f>
        <v>2</v>
      </c>
      <c r="N493" s="53">
        <v>110</v>
      </c>
      <c r="O493" s="53">
        <v>17.600000000000001</v>
      </c>
      <c r="P493" s="53">
        <v>6.25</v>
      </c>
      <c r="Q493" s="69">
        <v>106</v>
      </c>
      <c r="R493" s="53">
        <v>17.5</v>
      </c>
      <c r="S493" s="53">
        <f>STOCK[[#This Row],[Peso (g)]]*STOCK[[#This Row],[Precio Envío Kilogramo (USD)]]/1000</f>
        <v>1.855</v>
      </c>
      <c r="T493" s="53">
        <f>STOCK[[#This Row],[Costo Unitario (USD)]]+STOCK[[#This Row],[Costo Envío (USD)]]+STOCK[[#This Row],[Comisión 10%]]</f>
        <v>10.105</v>
      </c>
      <c r="U493" s="53">
        <f>STOCK[[#This Row],[Costo total]]*1.5</f>
        <v>15.157500000000001</v>
      </c>
      <c r="V493" s="53">
        <v>20</v>
      </c>
      <c r="W493" s="53">
        <f>STOCK[[#This Row],[Precio Final]]-STOCK[[#This Row],[Costo total]]</f>
        <v>9.8949999999999996</v>
      </c>
      <c r="X493" s="53">
        <f>STOCK[[#This Row],[Ganancia Unitaria]]*STOCK[[#This Row],[Salidas]]</f>
        <v>9.8949999999999996</v>
      </c>
      <c r="AA493" s="53">
        <f>STOCK[[#This Row],[Costo total]]*STOCK[[#This Row],[Entradas]]</f>
        <v>20.21</v>
      </c>
      <c r="AB493" s="53">
        <f>STOCK[[#This Row],[Stock Actual]]*STOCK[[#This Row],[Costo total]]</f>
        <v>10.105</v>
      </c>
      <c r="AC493" s="53">
        <v>15</v>
      </c>
    </row>
    <row r="494" spans="1:29" s="54" customFormat="1" ht="50" customHeight="1">
      <c r="A494" s="54" t="s">
        <v>1022</v>
      </c>
      <c r="B494" s="64"/>
      <c r="C494" s="54" t="s">
        <v>32</v>
      </c>
      <c r="D494" s="54" t="s">
        <v>152</v>
      </c>
      <c r="E494" s="66" t="s">
        <v>1023</v>
      </c>
      <c r="F494" s="54" t="s">
        <v>62</v>
      </c>
      <c r="G494" s="54" t="s">
        <v>36</v>
      </c>
      <c r="H494" s="54">
        <f>STOCK[[#This Row],[Precio Final]]</f>
        <v>19</v>
      </c>
      <c r="I494" s="54">
        <f>STOCK[[#This Row],[Precio Venta Ideal (x1.5)]]</f>
        <v>15.0075</v>
      </c>
      <c r="J494" s="70">
        <v>1</v>
      </c>
      <c r="K494" s="70">
        <f>SUMIFS(VENTAS[Cantidad],VENTAS[Código del producto Vendido],STOCK[[#This Row],[Code]])</f>
        <v>1</v>
      </c>
      <c r="L494" s="70">
        <f>STOCK[[#This Row],[Entradas]]-STOCK[[#This Row],[Salidas]]</f>
        <v>0</v>
      </c>
      <c r="M494" s="54">
        <f>STOCK[[#This Row],[Precio Final]]*10%</f>
        <v>1.9000000000000001</v>
      </c>
      <c r="N494" s="54">
        <v>110</v>
      </c>
      <c r="O494" s="54">
        <v>17.600000000000001</v>
      </c>
      <c r="P494" s="54">
        <v>6.25</v>
      </c>
      <c r="Q494" s="70">
        <v>106</v>
      </c>
      <c r="R494" s="54">
        <v>17.5</v>
      </c>
      <c r="S494" s="54">
        <f>STOCK[[#This Row],[Peso (g)]]*STOCK[[#This Row],[Precio Envío Kilogramo (USD)]]/1000</f>
        <v>1.855</v>
      </c>
      <c r="T494" s="53">
        <f>STOCK[[#This Row],[Costo Unitario (USD)]]+STOCK[[#This Row],[Costo Envío (USD)]]+STOCK[[#This Row],[Comisión 10%]]</f>
        <v>10.005000000000001</v>
      </c>
      <c r="U494" s="54">
        <f>STOCK[[#This Row],[Costo total]]*1.5</f>
        <v>15.0075</v>
      </c>
      <c r="V494" s="54">
        <v>19</v>
      </c>
      <c r="W494" s="54">
        <f>STOCK[[#This Row],[Precio Final]]-STOCK[[#This Row],[Costo total]]</f>
        <v>8.9949999999999992</v>
      </c>
      <c r="X494" s="54">
        <f>STOCK[[#This Row],[Ganancia Unitaria]]*STOCK[[#This Row],[Salidas]]</f>
        <v>8.9949999999999992</v>
      </c>
      <c r="AA494" s="54">
        <f>STOCK[[#This Row],[Costo total]]*STOCK[[#This Row],[Entradas]]</f>
        <v>10.005000000000001</v>
      </c>
      <c r="AB494" s="54">
        <f>STOCK[[#This Row],[Stock Actual]]*STOCK[[#This Row],[Costo total]]</f>
        <v>0</v>
      </c>
    </row>
    <row r="495" spans="1:29" s="53" customFormat="1" ht="50" customHeight="1">
      <c r="A495" s="53" t="s">
        <v>1024</v>
      </c>
      <c r="B495" s="64"/>
      <c r="C495" s="53" t="s">
        <v>32</v>
      </c>
      <c r="D495" s="53" t="s">
        <v>152</v>
      </c>
      <c r="E495" s="65" t="s">
        <v>1023</v>
      </c>
      <c r="F495" s="53" t="s">
        <v>49</v>
      </c>
      <c r="G495" s="53" t="s">
        <v>36</v>
      </c>
      <c r="H495" s="53">
        <f>STOCK[[#This Row],[Precio Final]]</f>
        <v>19</v>
      </c>
      <c r="I495" s="53">
        <f>STOCK[[#This Row],[Precio Venta Ideal (x1.5)]]</f>
        <v>15.0075</v>
      </c>
      <c r="J495" s="69">
        <v>1</v>
      </c>
      <c r="K495" s="69">
        <f>SUMIFS(VENTAS[Cantidad],VENTAS[Código del producto Vendido],STOCK[[#This Row],[Code]])</f>
        <v>1</v>
      </c>
      <c r="L495" s="69">
        <f>STOCK[[#This Row],[Entradas]]-STOCK[[#This Row],[Salidas]]</f>
        <v>0</v>
      </c>
      <c r="M495" s="53">
        <f>STOCK[[#This Row],[Precio Final]]*10%</f>
        <v>1.9000000000000001</v>
      </c>
      <c r="N495" s="53">
        <v>110</v>
      </c>
      <c r="O495" s="53">
        <v>17.600000000000001</v>
      </c>
      <c r="P495" s="53">
        <v>6.25</v>
      </c>
      <c r="Q495" s="69">
        <v>106</v>
      </c>
      <c r="R495" s="53">
        <v>17.5</v>
      </c>
      <c r="S495" s="53">
        <f>STOCK[[#This Row],[Peso (g)]]*STOCK[[#This Row],[Precio Envío Kilogramo (USD)]]/1000</f>
        <v>1.855</v>
      </c>
      <c r="T495" s="53">
        <f>STOCK[[#This Row],[Costo Unitario (USD)]]+STOCK[[#This Row],[Costo Envío (USD)]]+STOCK[[#This Row],[Comisión 10%]]</f>
        <v>10.005000000000001</v>
      </c>
      <c r="U495" s="53">
        <f>STOCK[[#This Row],[Costo total]]*1.5</f>
        <v>15.0075</v>
      </c>
      <c r="V495" s="53">
        <v>19</v>
      </c>
      <c r="W495" s="53">
        <f>STOCK[[#This Row],[Precio Final]]-STOCK[[#This Row],[Costo total]]</f>
        <v>8.9949999999999992</v>
      </c>
      <c r="X495" s="53">
        <f>STOCK[[#This Row],[Ganancia Unitaria]]*STOCK[[#This Row],[Salidas]]</f>
        <v>8.9949999999999992</v>
      </c>
      <c r="AA495" s="53">
        <f>STOCK[[#This Row],[Costo total]]*STOCK[[#This Row],[Entradas]]</f>
        <v>10.005000000000001</v>
      </c>
      <c r="AB495" s="53">
        <f>STOCK[[#This Row],[Stock Actual]]*STOCK[[#This Row],[Costo total]]</f>
        <v>0</v>
      </c>
    </row>
    <row r="496" spans="1:29" s="54" customFormat="1" ht="50" customHeight="1">
      <c r="A496" s="54" t="s">
        <v>1025</v>
      </c>
      <c r="B496" s="64"/>
      <c r="C496" s="54" t="s">
        <v>32</v>
      </c>
      <c r="D496" s="54" t="s">
        <v>174</v>
      </c>
      <c r="E496" s="66" t="s">
        <v>1026</v>
      </c>
      <c r="F496" s="54" t="s">
        <v>40</v>
      </c>
      <c r="G496" s="54" t="s">
        <v>36</v>
      </c>
      <c r="H496" s="54">
        <f>STOCK[[#This Row],[Precio Final]]</f>
        <v>12</v>
      </c>
      <c r="I496" s="54">
        <f>STOCK[[#This Row],[Precio Venta Ideal (x1.5)]]</f>
        <v>11.938636363636364</v>
      </c>
      <c r="J496" s="70">
        <v>1</v>
      </c>
      <c r="K496" s="70">
        <f>SUMIFS(VENTAS[Cantidad],VENTAS[Código del producto Vendido],STOCK[[#This Row],[Code]])</f>
        <v>1</v>
      </c>
      <c r="L496" s="70">
        <f>STOCK[[#This Row],[Entradas]]-STOCK[[#This Row],[Salidas]]</f>
        <v>0</v>
      </c>
      <c r="M496" s="54">
        <f>STOCK[[#This Row],[Precio Final]]*10%</f>
        <v>1.2000000000000002</v>
      </c>
      <c r="N496" s="54">
        <v>82</v>
      </c>
      <c r="O496" s="54">
        <v>17.600000000000001</v>
      </c>
      <c r="P496" s="54">
        <v>4.6590909090909101</v>
      </c>
      <c r="Q496" s="70">
        <v>120</v>
      </c>
      <c r="R496" s="54">
        <v>17.5</v>
      </c>
      <c r="S496" s="54">
        <f>STOCK[[#This Row],[Peso (g)]]*STOCK[[#This Row],[Precio Envío Kilogramo (USD)]]/1000</f>
        <v>2.1</v>
      </c>
      <c r="T496" s="53">
        <f>STOCK[[#This Row],[Costo Unitario (USD)]]+STOCK[[#This Row],[Costo Envío (USD)]]+STOCK[[#This Row],[Comisión 10%]]</f>
        <v>7.9590909090909099</v>
      </c>
      <c r="U496" s="54">
        <f>STOCK[[#This Row],[Costo total]]*1.5</f>
        <v>11.938636363636364</v>
      </c>
      <c r="V496" s="54">
        <v>12</v>
      </c>
      <c r="W496" s="54">
        <f>STOCK[[#This Row],[Precio Final]]-STOCK[[#This Row],[Costo total]]</f>
        <v>4.0409090909090901</v>
      </c>
      <c r="X496" s="54">
        <f>STOCK[[#This Row],[Ganancia Unitaria]]*STOCK[[#This Row],[Salidas]]</f>
        <v>4.0409090909090901</v>
      </c>
      <c r="Y496" s="54" t="s">
        <v>895</v>
      </c>
      <c r="AA496" s="54">
        <f>STOCK[[#This Row],[Costo total]]*STOCK[[#This Row],[Entradas]]</f>
        <v>7.9590909090909099</v>
      </c>
      <c r="AB496" s="54">
        <f>STOCK[[#This Row],[Stock Actual]]*STOCK[[#This Row],[Costo total]]</f>
        <v>0</v>
      </c>
    </row>
    <row r="497" spans="1:28" s="53" customFormat="1" ht="50" customHeight="1">
      <c r="A497" s="53" t="s">
        <v>1027</v>
      </c>
      <c r="B497" s="64"/>
      <c r="C497" s="53" t="s">
        <v>32</v>
      </c>
      <c r="D497" s="53" t="s">
        <v>174</v>
      </c>
      <c r="E497" s="65" t="s">
        <v>1026</v>
      </c>
      <c r="F497" s="53" t="s">
        <v>62</v>
      </c>
      <c r="G497" s="53" t="s">
        <v>36</v>
      </c>
      <c r="H497" s="53">
        <f>STOCK[[#This Row],[Precio Final]]</f>
        <v>12</v>
      </c>
      <c r="I497" s="53">
        <f>STOCK[[#This Row],[Precio Venta Ideal (x1.5)]]</f>
        <v>11.938636363636364</v>
      </c>
      <c r="J497" s="69">
        <v>1</v>
      </c>
      <c r="K497" s="69">
        <f>SUMIFS(VENTAS[Cantidad],VENTAS[Código del producto Vendido],STOCK[[#This Row],[Code]])</f>
        <v>1</v>
      </c>
      <c r="L497" s="69">
        <f>STOCK[[#This Row],[Entradas]]-STOCK[[#This Row],[Salidas]]</f>
        <v>0</v>
      </c>
      <c r="M497" s="53">
        <f>STOCK[[#This Row],[Precio Final]]*10%</f>
        <v>1.2000000000000002</v>
      </c>
      <c r="N497" s="53">
        <v>82</v>
      </c>
      <c r="O497" s="53">
        <v>17.600000000000001</v>
      </c>
      <c r="P497" s="53">
        <v>4.6590909090909101</v>
      </c>
      <c r="Q497" s="69">
        <v>120</v>
      </c>
      <c r="R497" s="53">
        <v>17.5</v>
      </c>
      <c r="S497" s="53">
        <f>STOCK[[#This Row],[Peso (g)]]*STOCK[[#This Row],[Precio Envío Kilogramo (USD)]]/1000</f>
        <v>2.1</v>
      </c>
      <c r="T497" s="53">
        <f>STOCK[[#This Row],[Costo Unitario (USD)]]+STOCK[[#This Row],[Costo Envío (USD)]]+STOCK[[#This Row],[Comisión 10%]]</f>
        <v>7.9590909090909099</v>
      </c>
      <c r="U497" s="53">
        <f>STOCK[[#This Row],[Costo total]]*1.5</f>
        <v>11.938636363636364</v>
      </c>
      <c r="V497" s="53">
        <v>12</v>
      </c>
      <c r="W497" s="53">
        <f>STOCK[[#This Row],[Precio Final]]-STOCK[[#This Row],[Costo total]]</f>
        <v>4.0409090909090901</v>
      </c>
      <c r="X497" s="53">
        <f>STOCK[[#This Row],[Ganancia Unitaria]]*STOCK[[#This Row],[Salidas]]</f>
        <v>4.0409090909090901</v>
      </c>
      <c r="Y497" s="53" t="s">
        <v>895</v>
      </c>
      <c r="AA497" s="53">
        <f>STOCK[[#This Row],[Costo total]]*STOCK[[#This Row],[Entradas]]</f>
        <v>7.9590909090909099</v>
      </c>
      <c r="AB497" s="53">
        <f>STOCK[[#This Row],[Stock Actual]]*STOCK[[#This Row],[Costo total]]</f>
        <v>0</v>
      </c>
    </row>
    <row r="498" spans="1:28" s="54" customFormat="1" ht="50" customHeight="1">
      <c r="A498" s="54" t="s">
        <v>1028</v>
      </c>
      <c r="B498" s="64"/>
      <c r="C498" s="54" t="s">
        <v>32</v>
      </c>
      <c r="D498" s="54" t="s">
        <v>174</v>
      </c>
      <c r="E498" s="66" t="s">
        <v>1026</v>
      </c>
      <c r="F498" s="54" t="s">
        <v>49</v>
      </c>
      <c r="G498" s="54" t="s">
        <v>36</v>
      </c>
      <c r="H498" s="54">
        <f>STOCK[[#This Row],[Precio Final]]</f>
        <v>12</v>
      </c>
      <c r="I498" s="54">
        <f>STOCK[[#This Row],[Precio Venta Ideal (x1.5)]]</f>
        <v>11.938636363636364</v>
      </c>
      <c r="J498" s="70">
        <v>1</v>
      </c>
      <c r="K498" s="70">
        <f>SUMIFS(VENTAS[Cantidad],VENTAS[Código del producto Vendido],STOCK[[#This Row],[Code]])</f>
        <v>1</v>
      </c>
      <c r="L498" s="70">
        <f>STOCK[[#This Row],[Entradas]]-STOCK[[#This Row],[Salidas]]</f>
        <v>0</v>
      </c>
      <c r="M498" s="54">
        <f>STOCK[[#This Row],[Precio Final]]*10%</f>
        <v>1.2000000000000002</v>
      </c>
      <c r="N498" s="54">
        <v>82</v>
      </c>
      <c r="O498" s="54">
        <v>17.600000000000001</v>
      </c>
      <c r="P498" s="54">
        <v>4.6590909090909101</v>
      </c>
      <c r="Q498" s="70">
        <v>120</v>
      </c>
      <c r="R498" s="54">
        <v>17.5</v>
      </c>
      <c r="S498" s="54">
        <f>STOCK[[#This Row],[Peso (g)]]*STOCK[[#This Row],[Precio Envío Kilogramo (USD)]]/1000</f>
        <v>2.1</v>
      </c>
      <c r="T498" s="53">
        <f>STOCK[[#This Row],[Costo Unitario (USD)]]+STOCK[[#This Row],[Costo Envío (USD)]]+STOCK[[#This Row],[Comisión 10%]]</f>
        <v>7.9590909090909099</v>
      </c>
      <c r="U498" s="54">
        <f>STOCK[[#This Row],[Costo total]]*1.5</f>
        <v>11.938636363636364</v>
      </c>
      <c r="V498" s="54">
        <v>12</v>
      </c>
      <c r="W498" s="54">
        <f>STOCK[[#This Row],[Precio Final]]-STOCK[[#This Row],[Costo total]]</f>
        <v>4.0409090909090901</v>
      </c>
      <c r="X498" s="54">
        <f>STOCK[[#This Row],[Ganancia Unitaria]]*STOCK[[#This Row],[Salidas]]</f>
        <v>4.0409090909090901</v>
      </c>
      <c r="Y498" s="54" t="s">
        <v>895</v>
      </c>
      <c r="AA498" s="54">
        <f>STOCK[[#This Row],[Costo total]]*STOCK[[#This Row],[Entradas]]</f>
        <v>7.9590909090909099</v>
      </c>
      <c r="AB498" s="54">
        <f>STOCK[[#This Row],[Stock Actual]]*STOCK[[#This Row],[Costo total]]</f>
        <v>0</v>
      </c>
    </row>
    <row r="499" spans="1:28" s="53" customFormat="1" ht="50" customHeight="1">
      <c r="A499" s="53" t="s">
        <v>1029</v>
      </c>
      <c r="B499" s="64"/>
      <c r="C499" s="53" t="s">
        <v>32</v>
      </c>
      <c r="D499" s="53" t="s">
        <v>174</v>
      </c>
      <c r="E499" s="65" t="s">
        <v>1030</v>
      </c>
      <c r="F499" s="53" t="s">
        <v>62</v>
      </c>
      <c r="G499" s="53" t="s">
        <v>36</v>
      </c>
      <c r="H499" s="53">
        <f>STOCK[[#This Row],[Precio Final]]</f>
        <v>12</v>
      </c>
      <c r="I499" s="53">
        <f>STOCK[[#This Row],[Precio Venta Ideal (x1.5)]]</f>
        <v>13.433522727272729</v>
      </c>
      <c r="J499" s="69">
        <v>3</v>
      </c>
      <c r="K499" s="69">
        <f>SUMIFS(VENTAS[Cantidad],VENTAS[Código del producto Vendido],STOCK[[#This Row],[Code]])</f>
        <v>3</v>
      </c>
      <c r="L499" s="69">
        <f>STOCK[[#This Row],[Entradas]]-STOCK[[#This Row],[Salidas]]</f>
        <v>0</v>
      </c>
      <c r="M499" s="53">
        <f>STOCK[[#This Row],[Precio Final]]*10%</f>
        <v>1.2000000000000002</v>
      </c>
      <c r="N499" s="53">
        <v>98</v>
      </c>
      <c r="O499" s="53">
        <v>17.600000000000001</v>
      </c>
      <c r="P499" s="53">
        <v>5.5681818181818201</v>
      </c>
      <c r="Q499" s="69">
        <v>125</v>
      </c>
      <c r="R499" s="53">
        <v>17.5</v>
      </c>
      <c r="S499" s="53">
        <f>STOCK[[#This Row],[Peso (g)]]*STOCK[[#This Row],[Precio Envío Kilogramo (USD)]]/1000</f>
        <v>2.1875</v>
      </c>
      <c r="T499" s="53">
        <f>STOCK[[#This Row],[Costo Unitario (USD)]]+STOCK[[#This Row],[Costo Envío (USD)]]+STOCK[[#This Row],[Comisión 10%]]</f>
        <v>8.9556818181818194</v>
      </c>
      <c r="U499" s="53">
        <f>STOCK[[#This Row],[Costo total]]*1.5</f>
        <v>13.433522727272729</v>
      </c>
      <c r="V499" s="53">
        <v>12</v>
      </c>
      <c r="W499" s="53">
        <f>STOCK[[#This Row],[Precio Final]]-STOCK[[#This Row],[Costo total]]</f>
        <v>3.0443181818181806</v>
      </c>
      <c r="X499" s="53">
        <f>STOCK[[#This Row],[Ganancia Unitaria]]*STOCK[[#This Row],[Salidas]]</f>
        <v>9.1329545454545418</v>
      </c>
      <c r="Y499" s="53" t="s">
        <v>892</v>
      </c>
      <c r="AA499" s="53">
        <f>STOCK[[#This Row],[Costo total]]*STOCK[[#This Row],[Entradas]]</f>
        <v>26.867045454545458</v>
      </c>
      <c r="AB499" s="53">
        <f>STOCK[[#This Row],[Stock Actual]]*STOCK[[#This Row],[Costo total]]</f>
        <v>0</v>
      </c>
    </row>
    <row r="500" spans="1:28" s="54" customFormat="1" ht="50" customHeight="1">
      <c r="A500" s="54" t="s">
        <v>1031</v>
      </c>
      <c r="B500" s="64"/>
      <c r="C500" s="54" t="s">
        <v>32</v>
      </c>
      <c r="D500" s="54" t="s">
        <v>546</v>
      </c>
      <c r="E500" s="66" t="s">
        <v>1032</v>
      </c>
      <c r="F500" s="54" t="s">
        <v>49</v>
      </c>
      <c r="G500" s="54" t="s">
        <v>36</v>
      </c>
      <c r="H500" s="54">
        <f>STOCK[[#This Row],[Precio Final]]</f>
        <v>12</v>
      </c>
      <c r="I500" s="54">
        <f>STOCK[[#This Row],[Precio Venta Ideal (x1.5)]]</f>
        <v>7.5051136363636344</v>
      </c>
      <c r="J500" s="70">
        <v>1</v>
      </c>
      <c r="K500" s="70">
        <f>SUMIFS(VENTAS[Cantidad],VENTAS[Código del producto Vendido],STOCK[[#This Row],[Code]])</f>
        <v>1</v>
      </c>
      <c r="L500" s="70">
        <f>STOCK[[#This Row],[Entradas]]-STOCK[[#This Row],[Salidas]]</f>
        <v>0</v>
      </c>
      <c r="M500" s="54">
        <f>STOCK[[#This Row],[Precio Final]]*10%</f>
        <v>1.2000000000000002</v>
      </c>
      <c r="N500" s="54">
        <v>50</v>
      </c>
      <c r="O500" s="54">
        <v>17.600000000000001</v>
      </c>
      <c r="P500" s="54">
        <v>2.8409090909090899</v>
      </c>
      <c r="Q500" s="70">
        <v>55</v>
      </c>
      <c r="R500" s="54">
        <v>17.5</v>
      </c>
      <c r="S500" s="54">
        <f>STOCK[[#This Row],[Peso (g)]]*STOCK[[#This Row],[Precio Envío Kilogramo (USD)]]/1000</f>
        <v>0.96250000000000002</v>
      </c>
      <c r="T500" s="53">
        <f>STOCK[[#This Row],[Costo Unitario (USD)]]+STOCK[[#This Row],[Costo Envío (USD)]]+STOCK[[#This Row],[Comisión 10%]]</f>
        <v>5.0034090909090896</v>
      </c>
      <c r="U500" s="54">
        <f>STOCK[[#This Row],[Costo total]]*1.5</f>
        <v>7.5051136363636344</v>
      </c>
      <c r="V500" s="54">
        <v>12</v>
      </c>
      <c r="W500" s="54">
        <f>STOCK[[#This Row],[Precio Final]]-STOCK[[#This Row],[Costo total]]</f>
        <v>6.9965909090909104</v>
      </c>
      <c r="X500" s="54">
        <f>STOCK[[#This Row],[Ganancia Unitaria]]*STOCK[[#This Row],[Salidas]]</f>
        <v>6.9965909090909104</v>
      </c>
      <c r="Y500" s="54" t="s">
        <v>895</v>
      </c>
      <c r="AA500" s="54">
        <f>STOCK[[#This Row],[Costo total]]*STOCK[[#This Row],[Entradas]]</f>
        <v>5.0034090909090896</v>
      </c>
      <c r="AB500" s="54">
        <f>STOCK[[#This Row],[Stock Actual]]*STOCK[[#This Row],[Costo total]]</f>
        <v>0</v>
      </c>
    </row>
    <row r="501" spans="1:28" s="53" customFormat="1" ht="50" customHeight="1">
      <c r="A501" s="53" t="s">
        <v>1033</v>
      </c>
      <c r="B501" s="64"/>
      <c r="C501" s="53" t="s">
        <v>32</v>
      </c>
      <c r="D501" s="53" t="s">
        <v>155</v>
      </c>
      <c r="E501" s="65" t="s">
        <v>1034</v>
      </c>
      <c r="F501" s="53" t="s">
        <v>62</v>
      </c>
      <c r="G501" s="53" t="s">
        <v>36</v>
      </c>
      <c r="H501" s="53">
        <f>STOCK[[#This Row],[Precio Final]]</f>
        <v>35</v>
      </c>
      <c r="I501" s="53">
        <f>STOCK[[#This Row],[Precio Venta Ideal (x1.5)]]</f>
        <v>42.272727272727302</v>
      </c>
      <c r="J501" s="69">
        <v>3</v>
      </c>
      <c r="K501" s="69">
        <f>SUMIFS(VENTAS[Cantidad],VENTAS[Código del producto Vendido],STOCK[[#This Row],[Code]])</f>
        <v>3</v>
      </c>
      <c r="L501" s="69">
        <f>STOCK[[#This Row],[Entradas]]-STOCK[[#This Row],[Salidas]]</f>
        <v>0</v>
      </c>
      <c r="M501" s="53">
        <f>STOCK[[#This Row],[Precio Final]]*10%</f>
        <v>3.5</v>
      </c>
      <c r="N501" s="53">
        <v>265</v>
      </c>
      <c r="O501" s="53">
        <v>17.600000000000001</v>
      </c>
      <c r="P501" s="53">
        <v>15.056818181818199</v>
      </c>
      <c r="Q501" s="69">
        <v>550</v>
      </c>
      <c r="R501" s="53">
        <v>17.5</v>
      </c>
      <c r="S501" s="53">
        <f>STOCK[[#This Row],[Peso (g)]]*STOCK[[#This Row],[Precio Envío Kilogramo (USD)]]/1000</f>
        <v>9.625</v>
      </c>
      <c r="T501" s="53">
        <f>STOCK[[#This Row],[Costo Unitario (USD)]]+STOCK[[#This Row],[Costo Envío (USD)]]+STOCK[[#This Row],[Comisión 10%]]</f>
        <v>28.181818181818201</v>
      </c>
      <c r="U501" s="53">
        <f>STOCK[[#This Row],[Costo total]]*1.5</f>
        <v>42.272727272727302</v>
      </c>
      <c r="V501" s="53">
        <v>35</v>
      </c>
      <c r="W501" s="53">
        <f>STOCK[[#This Row],[Precio Final]]-STOCK[[#This Row],[Costo total]]</f>
        <v>6.8181818181817988</v>
      </c>
      <c r="X501" s="53">
        <f>STOCK[[#This Row],[Ganancia Unitaria]]*STOCK[[#This Row],[Salidas]]</f>
        <v>20.454545454545396</v>
      </c>
      <c r="AA501" s="53">
        <f>STOCK[[#This Row],[Costo total]]*STOCK[[#This Row],[Entradas]]</f>
        <v>84.545454545454604</v>
      </c>
      <c r="AB501" s="53">
        <f>STOCK[[#This Row],[Stock Actual]]*STOCK[[#This Row],[Costo total]]</f>
        <v>0</v>
      </c>
    </row>
    <row r="502" spans="1:28" s="54" customFormat="1" ht="50" customHeight="1">
      <c r="A502" s="54" t="s">
        <v>1035</v>
      </c>
      <c r="B502" s="64"/>
      <c r="C502" s="54" t="s">
        <v>32</v>
      </c>
      <c r="D502" s="54" t="s">
        <v>155</v>
      </c>
      <c r="E502" s="66" t="s">
        <v>1034</v>
      </c>
      <c r="F502" s="54" t="s">
        <v>49</v>
      </c>
      <c r="G502" s="54" t="s">
        <v>36</v>
      </c>
      <c r="H502" s="54">
        <f>STOCK[[#This Row],[Precio Final]]</f>
        <v>35</v>
      </c>
      <c r="I502" s="54">
        <f>STOCK[[#This Row],[Precio Venta Ideal (x1.5)]]</f>
        <v>42.272727272727302</v>
      </c>
      <c r="J502" s="70">
        <v>3</v>
      </c>
      <c r="K502" s="70">
        <f>SUMIFS(VENTAS[Cantidad],VENTAS[Código del producto Vendido],STOCK[[#This Row],[Code]])</f>
        <v>3</v>
      </c>
      <c r="L502" s="70">
        <f>STOCK[[#This Row],[Entradas]]-STOCK[[#This Row],[Salidas]]</f>
        <v>0</v>
      </c>
      <c r="M502" s="54">
        <f>STOCK[[#This Row],[Precio Final]]*10%</f>
        <v>3.5</v>
      </c>
      <c r="N502" s="54">
        <v>265</v>
      </c>
      <c r="O502" s="54">
        <v>17.600000000000001</v>
      </c>
      <c r="P502" s="54">
        <v>15.056818181818199</v>
      </c>
      <c r="Q502" s="70">
        <v>550</v>
      </c>
      <c r="R502" s="54">
        <v>17.5</v>
      </c>
      <c r="S502" s="54">
        <f>STOCK[[#This Row],[Peso (g)]]*STOCK[[#This Row],[Precio Envío Kilogramo (USD)]]/1000</f>
        <v>9.625</v>
      </c>
      <c r="T502" s="53">
        <f>STOCK[[#This Row],[Costo Unitario (USD)]]+STOCK[[#This Row],[Costo Envío (USD)]]+STOCK[[#This Row],[Comisión 10%]]</f>
        <v>28.181818181818201</v>
      </c>
      <c r="U502" s="54">
        <f>STOCK[[#This Row],[Costo total]]*1.5</f>
        <v>42.272727272727302</v>
      </c>
      <c r="V502" s="54">
        <v>35</v>
      </c>
      <c r="W502" s="54">
        <f>STOCK[[#This Row],[Precio Final]]-STOCK[[#This Row],[Costo total]]</f>
        <v>6.8181818181817988</v>
      </c>
      <c r="X502" s="54">
        <f>STOCK[[#This Row],[Ganancia Unitaria]]*STOCK[[#This Row],[Salidas]]</f>
        <v>20.454545454545396</v>
      </c>
      <c r="AA502" s="54">
        <f>STOCK[[#This Row],[Costo total]]*STOCK[[#This Row],[Entradas]]</f>
        <v>84.545454545454604</v>
      </c>
      <c r="AB502" s="54">
        <f>STOCK[[#This Row],[Stock Actual]]*STOCK[[#This Row],[Costo total]]</f>
        <v>0</v>
      </c>
    </row>
    <row r="503" spans="1:28" s="53" customFormat="1" ht="50" customHeight="1">
      <c r="A503" s="53" t="s">
        <v>1036</v>
      </c>
      <c r="B503" s="64"/>
      <c r="C503" s="53" t="s">
        <v>32</v>
      </c>
      <c r="D503" s="53" t="s">
        <v>152</v>
      </c>
      <c r="E503" s="65" t="s">
        <v>1037</v>
      </c>
      <c r="F503" s="53" t="s">
        <v>49</v>
      </c>
      <c r="G503" s="53" t="s">
        <v>36</v>
      </c>
      <c r="H503" s="53">
        <f>STOCK[[#This Row],[Precio Final]]</f>
        <v>23</v>
      </c>
      <c r="I503" s="53">
        <f>STOCK[[#This Row],[Precio Venta Ideal (x1.5)]]</f>
        <v>25.387500000000003</v>
      </c>
      <c r="J503" s="69">
        <v>2</v>
      </c>
      <c r="K503" s="69">
        <f>SUMIFS(VENTAS[Cantidad],VENTAS[Código del producto Vendido],STOCK[[#This Row],[Code]])</f>
        <v>1</v>
      </c>
      <c r="L503" s="69">
        <f>STOCK[[#This Row],[Entradas]]-STOCK[[#This Row],[Salidas]]</f>
        <v>1</v>
      </c>
      <c r="M503" s="53">
        <f>STOCK[[#This Row],[Precio Final]]*10%</f>
        <v>2.3000000000000003</v>
      </c>
      <c r="N503" s="53">
        <v>165</v>
      </c>
      <c r="O503" s="53">
        <v>17.600000000000001</v>
      </c>
      <c r="P503" s="53">
        <v>9.375</v>
      </c>
      <c r="Q503" s="69">
        <v>300</v>
      </c>
      <c r="R503" s="53">
        <v>17.5</v>
      </c>
      <c r="S503" s="53">
        <f>STOCK[[#This Row],[Peso (g)]]*STOCK[[#This Row],[Precio Envío Kilogramo (USD)]]/1000</f>
        <v>5.25</v>
      </c>
      <c r="T503" s="53">
        <f>STOCK[[#This Row],[Costo Unitario (USD)]]+STOCK[[#This Row],[Costo Envío (USD)]]+STOCK[[#This Row],[Comisión 10%]]</f>
        <v>16.925000000000001</v>
      </c>
      <c r="U503" s="53">
        <f>STOCK[[#This Row],[Costo total]]*1.5</f>
        <v>25.387500000000003</v>
      </c>
      <c r="V503" s="53">
        <v>23</v>
      </c>
      <c r="W503" s="53">
        <f>STOCK[[#This Row],[Precio Final]]-STOCK[[#This Row],[Costo total]]</f>
        <v>6.0749999999999993</v>
      </c>
      <c r="X503" s="53">
        <f>STOCK[[#This Row],[Ganancia Unitaria]]*STOCK[[#This Row],[Salidas]]</f>
        <v>6.0749999999999993</v>
      </c>
      <c r="AA503" s="53">
        <f>STOCK[[#This Row],[Costo total]]*STOCK[[#This Row],[Entradas]]</f>
        <v>33.85</v>
      </c>
      <c r="AB503" s="53">
        <f>STOCK[[#This Row],[Stock Actual]]*STOCK[[#This Row],[Costo total]]</f>
        <v>16.925000000000001</v>
      </c>
    </row>
    <row r="504" spans="1:28" s="54" customFormat="1" ht="50" customHeight="1">
      <c r="A504" s="54" t="s">
        <v>1038</v>
      </c>
      <c r="B504" s="64"/>
      <c r="C504" s="54" t="s">
        <v>32</v>
      </c>
      <c r="D504" s="54" t="s">
        <v>152</v>
      </c>
      <c r="E504" s="66" t="s">
        <v>1039</v>
      </c>
      <c r="F504" s="54" t="s">
        <v>211</v>
      </c>
      <c r="G504" s="54" t="s">
        <v>36</v>
      </c>
      <c r="H504" s="54">
        <f>STOCK[[#This Row],[Precio Final]]</f>
        <v>25</v>
      </c>
      <c r="I504" s="54">
        <f>STOCK[[#This Row],[Precio Venta Ideal (x1.5)]]</f>
        <v>25.6875</v>
      </c>
      <c r="J504" s="70">
        <v>1</v>
      </c>
      <c r="K504" s="70">
        <f>SUMIFS(VENTAS[Cantidad],VENTAS[Código del producto Vendido],STOCK[[#This Row],[Code]])</f>
        <v>1</v>
      </c>
      <c r="L504" s="70">
        <f>STOCK[[#This Row],[Entradas]]-STOCK[[#This Row],[Salidas]]</f>
        <v>0</v>
      </c>
      <c r="M504" s="54">
        <f>STOCK[[#This Row],[Precio Final]]*10%</f>
        <v>2.5</v>
      </c>
      <c r="N504" s="54">
        <v>165</v>
      </c>
      <c r="O504" s="54">
        <v>17.600000000000001</v>
      </c>
      <c r="P504" s="54">
        <v>9.375</v>
      </c>
      <c r="Q504" s="70">
        <v>300</v>
      </c>
      <c r="R504" s="54">
        <v>17.5</v>
      </c>
      <c r="S504" s="54">
        <f>STOCK[[#This Row],[Peso (g)]]*STOCK[[#This Row],[Precio Envío Kilogramo (USD)]]/1000</f>
        <v>5.25</v>
      </c>
      <c r="T504" s="53">
        <f>STOCK[[#This Row],[Costo Unitario (USD)]]+STOCK[[#This Row],[Costo Envío (USD)]]+STOCK[[#This Row],[Comisión 10%]]</f>
        <v>17.125</v>
      </c>
      <c r="U504" s="54">
        <f>STOCK[[#This Row],[Costo total]]*1.5</f>
        <v>25.6875</v>
      </c>
      <c r="V504" s="54">
        <v>25</v>
      </c>
      <c r="W504" s="54">
        <f>STOCK[[#This Row],[Precio Final]]-STOCK[[#This Row],[Costo total]]</f>
        <v>7.875</v>
      </c>
      <c r="X504" s="54">
        <f>STOCK[[#This Row],[Ganancia Unitaria]]*STOCK[[#This Row],[Salidas]]</f>
        <v>7.875</v>
      </c>
      <c r="AA504" s="54">
        <f>STOCK[[#This Row],[Costo total]]*STOCK[[#This Row],[Entradas]]</f>
        <v>17.125</v>
      </c>
      <c r="AB504" s="54">
        <f>STOCK[[#This Row],[Stock Actual]]*STOCK[[#This Row],[Costo total]]</f>
        <v>0</v>
      </c>
    </row>
    <row r="505" spans="1:28" s="53" customFormat="1" ht="50" customHeight="1">
      <c r="A505" s="53" t="s">
        <v>1040</v>
      </c>
      <c r="B505" s="64"/>
      <c r="C505" s="53" t="s">
        <v>32</v>
      </c>
      <c r="D505" s="53" t="s">
        <v>155</v>
      </c>
      <c r="E505" s="65" t="s">
        <v>1041</v>
      </c>
      <c r="F505" s="53" t="s">
        <v>40</v>
      </c>
      <c r="G505" s="53" t="s">
        <v>36</v>
      </c>
      <c r="H505" s="53">
        <f>STOCK[[#This Row],[Precio Final]]</f>
        <v>35</v>
      </c>
      <c r="I505" s="53">
        <f>STOCK[[#This Row],[Precio Venta Ideal (x1.5)]]</f>
        <v>46.534090909090949</v>
      </c>
      <c r="J505" s="69">
        <v>4</v>
      </c>
      <c r="K505" s="69">
        <f>SUMIFS(VENTAS[Cantidad],VENTAS[Código del producto Vendido],STOCK[[#This Row],[Code]])</f>
        <v>4</v>
      </c>
      <c r="L505" s="69">
        <f>STOCK[[#This Row],[Entradas]]-STOCK[[#This Row],[Salidas]]</f>
        <v>0</v>
      </c>
      <c r="M505" s="53">
        <f>STOCK[[#This Row],[Precio Final]]*10%</f>
        <v>3.5</v>
      </c>
      <c r="N505" s="53">
        <v>315</v>
      </c>
      <c r="O505" s="53">
        <v>17.600000000000001</v>
      </c>
      <c r="P505" s="53">
        <v>17.897727272727298</v>
      </c>
      <c r="Q505" s="69">
        <v>550</v>
      </c>
      <c r="R505" s="53">
        <v>17.5</v>
      </c>
      <c r="S505" s="53">
        <f>STOCK[[#This Row],[Peso (g)]]*STOCK[[#This Row],[Precio Envío Kilogramo (USD)]]/1000</f>
        <v>9.625</v>
      </c>
      <c r="T505" s="53">
        <f>STOCK[[#This Row],[Costo Unitario (USD)]]+STOCK[[#This Row],[Costo Envío (USD)]]+STOCK[[#This Row],[Comisión 10%]]</f>
        <v>31.022727272727298</v>
      </c>
      <c r="U505" s="53">
        <f>STOCK[[#This Row],[Costo total]]*1.5</f>
        <v>46.534090909090949</v>
      </c>
      <c r="V505" s="53">
        <v>35</v>
      </c>
      <c r="W505" s="53">
        <f>STOCK[[#This Row],[Precio Final]]-STOCK[[#This Row],[Costo total]]</f>
        <v>3.9772727272727018</v>
      </c>
      <c r="X505" s="53">
        <f>STOCK[[#This Row],[Ganancia Unitaria]]*STOCK[[#This Row],[Salidas]]</f>
        <v>15.909090909090807</v>
      </c>
      <c r="AA505" s="53">
        <f>STOCK[[#This Row],[Costo total]]*STOCK[[#This Row],[Entradas]]</f>
        <v>124.09090909090919</v>
      </c>
      <c r="AB505" s="53">
        <f>STOCK[[#This Row],[Stock Actual]]*STOCK[[#This Row],[Costo total]]</f>
        <v>0</v>
      </c>
    </row>
    <row r="506" spans="1:28" s="54" customFormat="1" ht="50" customHeight="1">
      <c r="A506" s="54" t="s">
        <v>1042</v>
      </c>
      <c r="B506" s="64"/>
      <c r="C506" s="54" t="s">
        <v>32</v>
      </c>
      <c r="D506" s="54" t="s">
        <v>155</v>
      </c>
      <c r="E506" s="66" t="s">
        <v>1041</v>
      </c>
      <c r="F506" s="54" t="s">
        <v>62</v>
      </c>
      <c r="G506" s="54" t="s">
        <v>36</v>
      </c>
      <c r="H506" s="54">
        <f>STOCK[[#This Row],[Precio Final]]</f>
        <v>35</v>
      </c>
      <c r="I506" s="54">
        <f>STOCK[[#This Row],[Precio Venta Ideal (x1.5)]]</f>
        <v>46.534090909090949</v>
      </c>
      <c r="J506" s="70">
        <v>3</v>
      </c>
      <c r="K506" s="70">
        <f>SUMIFS(VENTAS[Cantidad],VENTAS[Código del producto Vendido],STOCK[[#This Row],[Code]])</f>
        <v>3</v>
      </c>
      <c r="L506" s="70">
        <f>STOCK[[#This Row],[Entradas]]-STOCK[[#This Row],[Salidas]]</f>
        <v>0</v>
      </c>
      <c r="M506" s="54">
        <f>STOCK[[#This Row],[Precio Final]]*10%</f>
        <v>3.5</v>
      </c>
      <c r="N506" s="54">
        <v>315</v>
      </c>
      <c r="O506" s="54">
        <v>17.600000000000001</v>
      </c>
      <c r="P506" s="54">
        <v>17.897727272727298</v>
      </c>
      <c r="Q506" s="70">
        <v>550</v>
      </c>
      <c r="R506" s="54">
        <v>17.5</v>
      </c>
      <c r="S506" s="54">
        <f>STOCK[[#This Row],[Peso (g)]]*STOCK[[#This Row],[Precio Envío Kilogramo (USD)]]/1000</f>
        <v>9.625</v>
      </c>
      <c r="T506" s="53">
        <f>STOCK[[#This Row],[Costo Unitario (USD)]]+STOCK[[#This Row],[Costo Envío (USD)]]+STOCK[[#This Row],[Comisión 10%]]</f>
        <v>31.022727272727298</v>
      </c>
      <c r="U506" s="54">
        <f>STOCK[[#This Row],[Costo total]]*1.5</f>
        <v>46.534090909090949</v>
      </c>
      <c r="V506" s="54">
        <v>35</v>
      </c>
      <c r="W506" s="54">
        <f>STOCK[[#This Row],[Precio Final]]-STOCK[[#This Row],[Costo total]]</f>
        <v>3.9772727272727018</v>
      </c>
      <c r="X506" s="54">
        <f>STOCK[[#This Row],[Ganancia Unitaria]]*STOCK[[#This Row],[Salidas]]</f>
        <v>11.931818181818105</v>
      </c>
      <c r="AA506" s="54">
        <f>STOCK[[#This Row],[Costo total]]*STOCK[[#This Row],[Entradas]]</f>
        <v>93.068181818181898</v>
      </c>
      <c r="AB506" s="54">
        <f>STOCK[[#This Row],[Stock Actual]]*STOCK[[#This Row],[Costo total]]</f>
        <v>0</v>
      </c>
    </row>
    <row r="507" spans="1:28" s="53" customFormat="1" ht="50" customHeight="1">
      <c r="A507" s="53" t="s">
        <v>1043</v>
      </c>
      <c r="B507" s="64"/>
      <c r="C507" s="53" t="s">
        <v>32</v>
      </c>
      <c r="D507" s="53" t="s">
        <v>155</v>
      </c>
      <c r="E507" s="65" t="s">
        <v>1041</v>
      </c>
      <c r="F507" s="53" t="s">
        <v>49</v>
      </c>
      <c r="G507" s="53" t="s">
        <v>36</v>
      </c>
      <c r="H507" s="53">
        <f>STOCK[[#This Row],[Precio Final]]</f>
        <v>35</v>
      </c>
      <c r="I507" s="53">
        <f>STOCK[[#This Row],[Precio Venta Ideal (x1.5)]]</f>
        <v>46.534090909090949</v>
      </c>
      <c r="J507" s="69">
        <v>2</v>
      </c>
      <c r="K507" s="69">
        <f>SUMIFS(VENTAS[Cantidad],VENTAS[Código del producto Vendido],STOCK[[#This Row],[Code]])</f>
        <v>2</v>
      </c>
      <c r="L507" s="69">
        <f>STOCK[[#This Row],[Entradas]]-STOCK[[#This Row],[Salidas]]</f>
        <v>0</v>
      </c>
      <c r="M507" s="53">
        <f>STOCK[[#This Row],[Precio Final]]*10%</f>
        <v>3.5</v>
      </c>
      <c r="N507" s="53">
        <v>315</v>
      </c>
      <c r="O507" s="53">
        <v>17.600000000000001</v>
      </c>
      <c r="P507" s="53">
        <v>17.897727272727298</v>
      </c>
      <c r="Q507" s="69">
        <v>550</v>
      </c>
      <c r="R507" s="53">
        <v>17.5</v>
      </c>
      <c r="S507" s="53">
        <f>STOCK[[#This Row],[Peso (g)]]*STOCK[[#This Row],[Precio Envío Kilogramo (USD)]]/1000</f>
        <v>9.625</v>
      </c>
      <c r="T507" s="53">
        <f>STOCK[[#This Row],[Costo Unitario (USD)]]+STOCK[[#This Row],[Costo Envío (USD)]]+STOCK[[#This Row],[Comisión 10%]]</f>
        <v>31.022727272727298</v>
      </c>
      <c r="U507" s="53">
        <f>STOCK[[#This Row],[Costo total]]*1.5</f>
        <v>46.534090909090949</v>
      </c>
      <c r="V507" s="53">
        <v>35</v>
      </c>
      <c r="W507" s="53">
        <f>STOCK[[#This Row],[Precio Final]]-STOCK[[#This Row],[Costo total]]</f>
        <v>3.9772727272727018</v>
      </c>
      <c r="X507" s="53">
        <f>STOCK[[#This Row],[Ganancia Unitaria]]*STOCK[[#This Row],[Salidas]]</f>
        <v>7.9545454545454035</v>
      </c>
      <c r="AA507" s="53">
        <f>STOCK[[#This Row],[Costo total]]*STOCK[[#This Row],[Entradas]]</f>
        <v>62.045454545454596</v>
      </c>
      <c r="AB507" s="53">
        <f>STOCK[[#This Row],[Stock Actual]]*STOCK[[#This Row],[Costo total]]</f>
        <v>0</v>
      </c>
    </row>
    <row r="508" spans="1:28" s="54" customFormat="1" ht="50" customHeight="1">
      <c r="A508" s="54" t="s">
        <v>1044</v>
      </c>
      <c r="B508" s="64"/>
      <c r="C508" s="54" t="s">
        <v>32</v>
      </c>
      <c r="D508" s="54" t="s">
        <v>155</v>
      </c>
      <c r="E508" s="66" t="s">
        <v>1045</v>
      </c>
      <c r="F508" s="54" t="s">
        <v>1046</v>
      </c>
      <c r="G508" s="54" t="s">
        <v>36</v>
      </c>
      <c r="H508" s="54">
        <f>STOCK[[#This Row],[Precio Final]]</f>
        <v>30</v>
      </c>
      <c r="I508" s="54">
        <f>STOCK[[#This Row],[Precio Venta Ideal (x1.5)]]</f>
        <v>43.227272727272698</v>
      </c>
      <c r="J508" s="70">
        <v>3</v>
      </c>
      <c r="K508" s="70">
        <f>SUMIFS(VENTAS[Cantidad],VENTAS[Código del producto Vendido],STOCK[[#This Row],[Code]])</f>
        <v>3</v>
      </c>
      <c r="L508" s="70">
        <f>STOCK[[#This Row],[Entradas]]-STOCK[[#This Row],[Salidas]]</f>
        <v>0</v>
      </c>
      <c r="M508" s="54">
        <f>STOCK[[#This Row],[Precio Final]]*10%</f>
        <v>3</v>
      </c>
      <c r="N508" s="54">
        <v>285</v>
      </c>
      <c r="O508" s="54">
        <v>17.600000000000001</v>
      </c>
      <c r="P508" s="54">
        <v>16.193181818181799</v>
      </c>
      <c r="Q508" s="70">
        <v>550</v>
      </c>
      <c r="R508" s="54">
        <v>17.5</v>
      </c>
      <c r="S508" s="54">
        <f>STOCK[[#This Row],[Peso (g)]]*STOCK[[#This Row],[Precio Envío Kilogramo (USD)]]/1000</f>
        <v>9.625</v>
      </c>
      <c r="T508" s="53">
        <f>STOCK[[#This Row],[Costo Unitario (USD)]]+STOCK[[#This Row],[Costo Envío (USD)]]+STOCK[[#This Row],[Comisión 10%]]</f>
        <v>28.818181818181799</v>
      </c>
      <c r="U508" s="54">
        <f>STOCK[[#This Row],[Costo total]]*1.5</f>
        <v>43.227272727272698</v>
      </c>
      <c r="V508" s="54">
        <v>30</v>
      </c>
      <c r="W508" s="54">
        <f>STOCK[[#This Row],[Precio Final]]-STOCK[[#This Row],[Costo total]]</f>
        <v>1.1818181818182012</v>
      </c>
      <c r="X508" s="54">
        <f>STOCK[[#This Row],[Ganancia Unitaria]]*STOCK[[#This Row],[Salidas]]</f>
        <v>3.5454545454546036</v>
      </c>
      <c r="AA508" s="54">
        <f>STOCK[[#This Row],[Costo total]]*STOCK[[#This Row],[Entradas]]</f>
        <v>86.454545454545396</v>
      </c>
      <c r="AB508" s="54">
        <f>STOCK[[#This Row],[Stock Actual]]*STOCK[[#This Row],[Costo total]]</f>
        <v>0</v>
      </c>
    </row>
    <row r="509" spans="1:28" s="53" customFormat="1" ht="50" customHeight="1">
      <c r="A509" s="53" t="s">
        <v>1047</v>
      </c>
      <c r="B509" s="64"/>
      <c r="C509" s="53" t="s">
        <v>32</v>
      </c>
      <c r="D509" s="53" t="s">
        <v>155</v>
      </c>
      <c r="E509" s="65" t="s">
        <v>1045</v>
      </c>
      <c r="F509" s="53" t="s">
        <v>49</v>
      </c>
      <c r="G509" s="53" t="s">
        <v>36</v>
      </c>
      <c r="H509" s="53">
        <f>STOCK[[#This Row],[Precio Final]]</f>
        <v>35</v>
      </c>
      <c r="I509" s="53">
        <f>STOCK[[#This Row],[Precio Venta Ideal (x1.5)]]</f>
        <v>43.977272727272698</v>
      </c>
      <c r="J509" s="69">
        <v>2</v>
      </c>
      <c r="K509" s="69">
        <f>SUMIFS(VENTAS[Cantidad],VENTAS[Código del producto Vendido],STOCK[[#This Row],[Code]])</f>
        <v>2</v>
      </c>
      <c r="L509" s="69">
        <f>STOCK[[#This Row],[Entradas]]-STOCK[[#This Row],[Salidas]]</f>
        <v>0</v>
      </c>
      <c r="M509" s="53">
        <f>STOCK[[#This Row],[Precio Final]]*10%</f>
        <v>3.5</v>
      </c>
      <c r="N509" s="53">
        <v>285</v>
      </c>
      <c r="O509" s="53">
        <v>17.600000000000001</v>
      </c>
      <c r="P509" s="53">
        <v>16.193181818181799</v>
      </c>
      <c r="Q509" s="69">
        <v>550</v>
      </c>
      <c r="R509" s="53">
        <v>17.5</v>
      </c>
      <c r="S509" s="53">
        <f>STOCK[[#This Row],[Peso (g)]]*STOCK[[#This Row],[Precio Envío Kilogramo (USD)]]/1000</f>
        <v>9.625</v>
      </c>
      <c r="T509" s="53">
        <f>STOCK[[#This Row],[Costo Unitario (USD)]]+STOCK[[#This Row],[Costo Envío (USD)]]+STOCK[[#This Row],[Comisión 10%]]</f>
        <v>29.318181818181799</v>
      </c>
      <c r="U509" s="53">
        <f>STOCK[[#This Row],[Costo total]]*1.5</f>
        <v>43.977272727272698</v>
      </c>
      <c r="V509" s="53">
        <v>35</v>
      </c>
      <c r="W509" s="53">
        <f>STOCK[[#This Row],[Precio Final]]-STOCK[[#This Row],[Costo total]]</f>
        <v>5.6818181818182012</v>
      </c>
      <c r="X509" s="53">
        <f>STOCK[[#This Row],[Ganancia Unitaria]]*STOCK[[#This Row],[Salidas]]</f>
        <v>11.363636363636402</v>
      </c>
      <c r="AA509" s="53">
        <f>STOCK[[#This Row],[Costo total]]*STOCK[[#This Row],[Entradas]]</f>
        <v>58.636363636363598</v>
      </c>
      <c r="AB509" s="53">
        <f>STOCK[[#This Row],[Stock Actual]]*STOCK[[#This Row],[Costo total]]</f>
        <v>0</v>
      </c>
    </row>
    <row r="510" spans="1:28" s="54" customFormat="1" ht="50" customHeight="1">
      <c r="A510" s="54" t="s">
        <v>1048</v>
      </c>
      <c r="B510" s="64"/>
      <c r="C510" s="54" t="s">
        <v>32</v>
      </c>
      <c r="D510" s="54" t="s">
        <v>152</v>
      </c>
      <c r="E510" s="66" t="s">
        <v>1049</v>
      </c>
      <c r="F510" s="54" t="s">
        <v>62</v>
      </c>
      <c r="G510" s="54" t="s">
        <v>36</v>
      </c>
      <c r="H510" s="54">
        <f>STOCK[[#This Row],[Precio Final]]</f>
        <v>20</v>
      </c>
      <c r="I510" s="54">
        <f>STOCK[[#This Row],[Precio Venta Ideal (x1.5)]]</f>
        <v>30.971590909090953</v>
      </c>
      <c r="J510" s="70">
        <v>1</v>
      </c>
      <c r="K510" s="70">
        <f>SUMIFS(VENTAS[Cantidad],VENTAS[Código del producto Vendido],STOCK[[#This Row],[Code]])</f>
        <v>1</v>
      </c>
      <c r="L510" s="70">
        <f>STOCK[[#This Row],[Entradas]]-STOCK[[#This Row],[Salidas]]</f>
        <v>0</v>
      </c>
      <c r="M510" s="54">
        <f>STOCK[[#This Row],[Precio Final]]*10%</f>
        <v>2</v>
      </c>
      <c r="N510" s="54">
        <v>205</v>
      </c>
      <c r="O510" s="54">
        <v>17.600000000000001</v>
      </c>
      <c r="P510" s="54">
        <v>11.6477272727273</v>
      </c>
      <c r="Q510" s="70">
        <v>400</v>
      </c>
      <c r="R510" s="54">
        <v>17.5</v>
      </c>
      <c r="S510" s="54">
        <f>STOCK[[#This Row],[Peso (g)]]*STOCK[[#This Row],[Precio Envío Kilogramo (USD)]]/1000</f>
        <v>7</v>
      </c>
      <c r="T510" s="53">
        <f>STOCK[[#This Row],[Costo Unitario (USD)]]+STOCK[[#This Row],[Costo Envío (USD)]]+STOCK[[#This Row],[Comisión 10%]]</f>
        <v>20.647727272727302</v>
      </c>
      <c r="U510" s="54">
        <f>STOCK[[#This Row],[Costo total]]*1.5</f>
        <v>30.971590909090953</v>
      </c>
      <c r="V510" s="54">
        <v>20</v>
      </c>
      <c r="W510" s="54">
        <f>STOCK[[#This Row],[Precio Final]]-STOCK[[#This Row],[Costo total]]</f>
        <v>-0.64772727272730179</v>
      </c>
      <c r="X510" s="54">
        <f>STOCK[[#This Row],[Ganancia Unitaria]]*STOCK[[#This Row],[Salidas]]</f>
        <v>-0.64772727272730179</v>
      </c>
      <c r="AA510" s="54">
        <f>STOCK[[#This Row],[Costo total]]*STOCK[[#This Row],[Entradas]]</f>
        <v>20.647727272727302</v>
      </c>
      <c r="AB510" s="54">
        <f>STOCK[[#This Row],[Stock Actual]]*STOCK[[#This Row],[Costo total]]</f>
        <v>0</v>
      </c>
    </row>
    <row r="511" spans="1:28" s="53" customFormat="1" ht="50" customHeight="1">
      <c r="A511" s="53" t="s">
        <v>1050</v>
      </c>
      <c r="B511" s="64"/>
      <c r="C511" s="53" t="s">
        <v>32</v>
      </c>
      <c r="D511" s="53" t="s">
        <v>152</v>
      </c>
      <c r="E511" s="65" t="s">
        <v>1049</v>
      </c>
      <c r="F511" s="53" t="s">
        <v>49</v>
      </c>
      <c r="G511" s="53" t="s">
        <v>36</v>
      </c>
      <c r="H511" s="53">
        <f>STOCK[[#This Row],[Precio Final]]</f>
        <v>30</v>
      </c>
      <c r="I511" s="53">
        <f>STOCK[[#This Row],[Precio Venta Ideal (x1.5)]]</f>
        <v>32.471590909090949</v>
      </c>
      <c r="J511" s="69">
        <v>1</v>
      </c>
      <c r="K511" s="69">
        <f>SUMIFS(VENTAS[Cantidad],VENTAS[Código del producto Vendido],STOCK[[#This Row],[Code]])</f>
        <v>1</v>
      </c>
      <c r="L511" s="69">
        <f>STOCK[[#This Row],[Entradas]]-STOCK[[#This Row],[Salidas]]</f>
        <v>0</v>
      </c>
      <c r="M511" s="53">
        <f>STOCK[[#This Row],[Precio Final]]*10%</f>
        <v>3</v>
      </c>
      <c r="N511" s="53">
        <v>205</v>
      </c>
      <c r="O511" s="53">
        <v>17.600000000000001</v>
      </c>
      <c r="P511" s="53">
        <v>11.6477272727273</v>
      </c>
      <c r="Q511" s="69">
        <v>400</v>
      </c>
      <c r="R511" s="53">
        <v>17.5</v>
      </c>
      <c r="S511" s="53">
        <f>STOCK[[#This Row],[Peso (g)]]*STOCK[[#This Row],[Precio Envío Kilogramo (USD)]]/1000</f>
        <v>7</v>
      </c>
      <c r="T511" s="53">
        <f>STOCK[[#This Row],[Costo Unitario (USD)]]+STOCK[[#This Row],[Costo Envío (USD)]]+STOCK[[#This Row],[Comisión 10%]]</f>
        <v>21.647727272727302</v>
      </c>
      <c r="U511" s="53">
        <f>STOCK[[#This Row],[Costo total]]*1.5</f>
        <v>32.471590909090949</v>
      </c>
      <c r="V511" s="53">
        <v>30</v>
      </c>
      <c r="W511" s="53">
        <f>STOCK[[#This Row],[Precio Final]]-STOCK[[#This Row],[Costo total]]</f>
        <v>8.3522727272726982</v>
      </c>
      <c r="X511" s="53">
        <f>STOCK[[#This Row],[Ganancia Unitaria]]*STOCK[[#This Row],[Salidas]]</f>
        <v>8.3522727272726982</v>
      </c>
      <c r="AA511" s="53">
        <f>STOCK[[#This Row],[Costo total]]*STOCK[[#This Row],[Entradas]]</f>
        <v>21.647727272727302</v>
      </c>
      <c r="AB511" s="53">
        <f>STOCK[[#This Row],[Stock Actual]]*STOCK[[#This Row],[Costo total]]</f>
        <v>0</v>
      </c>
    </row>
    <row r="512" spans="1:28" s="54" customFormat="1" ht="50" customHeight="1">
      <c r="A512" s="54" t="s">
        <v>1051</v>
      </c>
      <c r="B512" s="64"/>
      <c r="C512" s="54" t="s">
        <v>32</v>
      </c>
      <c r="D512" s="54" t="s">
        <v>152</v>
      </c>
      <c r="E512" s="66" t="s">
        <v>1049</v>
      </c>
      <c r="F512" s="54" t="s">
        <v>46</v>
      </c>
      <c r="G512" s="54" t="s">
        <v>36</v>
      </c>
      <c r="H512" s="54">
        <f>STOCK[[#This Row],[Precio Final]]</f>
        <v>30</v>
      </c>
      <c r="I512" s="54">
        <f>STOCK[[#This Row],[Precio Venta Ideal (x1.5)]]</f>
        <v>32.471590909090949</v>
      </c>
      <c r="J512" s="70">
        <v>3</v>
      </c>
      <c r="K512" s="70">
        <f>SUMIFS(VENTAS[Cantidad],VENTAS[Código del producto Vendido],STOCK[[#This Row],[Code]])</f>
        <v>3</v>
      </c>
      <c r="L512" s="70">
        <f>STOCK[[#This Row],[Entradas]]-STOCK[[#This Row],[Salidas]]</f>
        <v>0</v>
      </c>
      <c r="M512" s="54">
        <f>STOCK[[#This Row],[Precio Final]]*10%</f>
        <v>3</v>
      </c>
      <c r="N512" s="54">
        <v>205</v>
      </c>
      <c r="O512" s="54">
        <v>17.600000000000001</v>
      </c>
      <c r="P512" s="54">
        <v>11.6477272727273</v>
      </c>
      <c r="Q512" s="70">
        <v>400</v>
      </c>
      <c r="R512" s="54">
        <v>17.5</v>
      </c>
      <c r="S512" s="54">
        <f>STOCK[[#This Row],[Peso (g)]]*STOCK[[#This Row],[Precio Envío Kilogramo (USD)]]/1000</f>
        <v>7</v>
      </c>
      <c r="T512" s="53">
        <f>STOCK[[#This Row],[Costo Unitario (USD)]]+STOCK[[#This Row],[Costo Envío (USD)]]+STOCK[[#This Row],[Comisión 10%]]</f>
        <v>21.647727272727302</v>
      </c>
      <c r="U512" s="54">
        <f>STOCK[[#This Row],[Costo total]]*1.5</f>
        <v>32.471590909090949</v>
      </c>
      <c r="V512" s="54">
        <v>30</v>
      </c>
      <c r="W512" s="54">
        <f>STOCK[[#This Row],[Precio Final]]-STOCK[[#This Row],[Costo total]]</f>
        <v>8.3522727272726982</v>
      </c>
      <c r="X512" s="54">
        <f>STOCK[[#This Row],[Ganancia Unitaria]]*STOCK[[#This Row],[Salidas]]</f>
        <v>25.056818181818095</v>
      </c>
      <c r="AA512" s="54">
        <f>STOCK[[#This Row],[Costo total]]*STOCK[[#This Row],[Entradas]]</f>
        <v>64.943181818181898</v>
      </c>
      <c r="AB512" s="54">
        <f>STOCK[[#This Row],[Stock Actual]]*STOCK[[#This Row],[Costo total]]</f>
        <v>0</v>
      </c>
    </row>
    <row r="513" spans="1:29" s="53" customFormat="1" ht="50" customHeight="1">
      <c r="A513" s="53" t="s">
        <v>1052</v>
      </c>
      <c r="B513" s="64"/>
      <c r="C513" s="53" t="s">
        <v>32</v>
      </c>
      <c r="D513" s="53" t="s">
        <v>1013</v>
      </c>
      <c r="E513" s="65" t="s">
        <v>1053</v>
      </c>
      <c r="F513" s="53" t="s">
        <v>88</v>
      </c>
      <c r="G513" s="53" t="s">
        <v>36</v>
      </c>
      <c r="H513" s="53">
        <f>STOCK[[#This Row],[Precio Final]]</f>
        <v>30</v>
      </c>
      <c r="I513" s="53">
        <f>STOCK[[#This Row],[Precio Venta Ideal (x1.5)]]</f>
        <v>36.705681818181752</v>
      </c>
      <c r="J513" s="69">
        <v>1</v>
      </c>
      <c r="K513" s="69">
        <f>SUMIFS(VENTAS[Cantidad],VENTAS[Código del producto Vendido],STOCK[[#This Row],[Code]])</f>
        <v>1</v>
      </c>
      <c r="L513" s="69">
        <f>STOCK[[#This Row],[Entradas]]-STOCK[[#This Row],[Salidas]]</f>
        <v>0</v>
      </c>
      <c r="M513" s="53">
        <f>STOCK[[#This Row],[Precio Final]]*10%</f>
        <v>3</v>
      </c>
      <c r="N513" s="53">
        <v>267</v>
      </c>
      <c r="O513" s="53">
        <v>17.600000000000001</v>
      </c>
      <c r="P513" s="53">
        <v>15.170454545454501</v>
      </c>
      <c r="Q513" s="69">
        <v>360</v>
      </c>
      <c r="R513" s="53">
        <v>17.5</v>
      </c>
      <c r="S513" s="53">
        <f>STOCK[[#This Row],[Peso (g)]]*STOCK[[#This Row],[Precio Envío Kilogramo (USD)]]/1000</f>
        <v>6.3</v>
      </c>
      <c r="T513" s="53">
        <f>STOCK[[#This Row],[Costo Unitario (USD)]]+STOCK[[#This Row],[Costo Envío (USD)]]+STOCK[[#This Row],[Comisión 10%]]</f>
        <v>24.470454545454501</v>
      </c>
      <c r="U513" s="53">
        <f>STOCK[[#This Row],[Costo total]]*1.5</f>
        <v>36.705681818181752</v>
      </c>
      <c r="V513" s="53">
        <v>30</v>
      </c>
      <c r="W513" s="53">
        <f>STOCK[[#This Row],[Precio Final]]-STOCK[[#This Row],[Costo total]]</f>
        <v>5.5295454545454987</v>
      </c>
      <c r="X513" s="53">
        <f>STOCK[[#This Row],[Ganancia Unitaria]]*STOCK[[#This Row],[Salidas]]</f>
        <v>5.5295454545454987</v>
      </c>
      <c r="Y513" s="53" t="s">
        <v>927</v>
      </c>
      <c r="AA513" s="53">
        <f>STOCK[[#This Row],[Costo total]]*STOCK[[#This Row],[Entradas]]</f>
        <v>24.470454545454501</v>
      </c>
      <c r="AB513" s="53">
        <f>STOCK[[#This Row],[Stock Actual]]*STOCK[[#This Row],[Costo total]]</f>
        <v>0</v>
      </c>
    </row>
    <row r="514" spans="1:29" s="54" customFormat="1" ht="50" customHeight="1">
      <c r="A514" s="54" t="s">
        <v>1054</v>
      </c>
      <c r="B514" s="64"/>
      <c r="C514" s="54" t="s">
        <v>32</v>
      </c>
      <c r="D514" s="54" t="s">
        <v>1013</v>
      </c>
      <c r="E514" s="66" t="s">
        <v>1053</v>
      </c>
      <c r="F514" s="54" t="s">
        <v>211</v>
      </c>
      <c r="G514" s="54" t="s">
        <v>36</v>
      </c>
      <c r="H514" s="54">
        <f>STOCK[[#This Row],[Precio Final]]</f>
        <v>30</v>
      </c>
      <c r="I514" s="54">
        <f>STOCK[[#This Row],[Precio Venta Ideal (x1.5)]]</f>
        <v>36.705681818181752</v>
      </c>
      <c r="J514" s="70">
        <v>1</v>
      </c>
      <c r="K514" s="70">
        <f>SUMIFS(VENTAS[Cantidad],VENTAS[Código del producto Vendido],STOCK[[#This Row],[Code]])</f>
        <v>1</v>
      </c>
      <c r="L514" s="70">
        <f>STOCK[[#This Row],[Entradas]]-STOCK[[#This Row],[Salidas]]</f>
        <v>0</v>
      </c>
      <c r="M514" s="54">
        <f>STOCK[[#This Row],[Precio Final]]*10%</f>
        <v>3</v>
      </c>
      <c r="N514" s="54">
        <v>267</v>
      </c>
      <c r="O514" s="54">
        <v>17.600000000000001</v>
      </c>
      <c r="P514" s="54">
        <v>15.170454545454501</v>
      </c>
      <c r="Q514" s="70">
        <v>360</v>
      </c>
      <c r="R514" s="54">
        <v>17.5</v>
      </c>
      <c r="S514" s="54">
        <f>STOCK[[#This Row],[Peso (g)]]*STOCK[[#This Row],[Precio Envío Kilogramo (USD)]]/1000</f>
        <v>6.3</v>
      </c>
      <c r="T514" s="53">
        <f>STOCK[[#This Row],[Costo Unitario (USD)]]+STOCK[[#This Row],[Costo Envío (USD)]]+STOCK[[#This Row],[Comisión 10%]]</f>
        <v>24.470454545454501</v>
      </c>
      <c r="U514" s="54">
        <f>STOCK[[#This Row],[Costo total]]*1.5</f>
        <v>36.705681818181752</v>
      </c>
      <c r="V514" s="54">
        <v>30</v>
      </c>
      <c r="W514" s="54">
        <f>STOCK[[#This Row],[Precio Final]]-STOCK[[#This Row],[Costo total]]</f>
        <v>5.5295454545454987</v>
      </c>
      <c r="X514" s="54">
        <f>STOCK[[#This Row],[Ganancia Unitaria]]*STOCK[[#This Row],[Salidas]]</f>
        <v>5.5295454545454987</v>
      </c>
      <c r="Y514" s="54" t="s">
        <v>927</v>
      </c>
      <c r="AA514" s="54">
        <f>STOCK[[#This Row],[Costo total]]*STOCK[[#This Row],[Entradas]]</f>
        <v>24.470454545454501</v>
      </c>
      <c r="AB514" s="54">
        <f>STOCK[[#This Row],[Stock Actual]]*STOCK[[#This Row],[Costo total]]</f>
        <v>0</v>
      </c>
    </row>
    <row r="515" spans="1:29" s="53" customFormat="1" ht="50" customHeight="1">
      <c r="A515" s="53" t="s">
        <v>1055</v>
      </c>
      <c r="B515" s="64"/>
      <c r="C515" s="53" t="s">
        <v>32</v>
      </c>
      <c r="D515" s="53" t="s">
        <v>1056</v>
      </c>
      <c r="E515" s="65" t="s">
        <v>1053</v>
      </c>
      <c r="F515" s="53" t="s">
        <v>46</v>
      </c>
      <c r="G515" s="53" t="s">
        <v>36</v>
      </c>
      <c r="H515" s="53">
        <f>STOCK[[#This Row],[Precio Final]]</f>
        <v>30</v>
      </c>
      <c r="I515" s="53">
        <f>STOCK[[#This Row],[Precio Venta Ideal (x1.5)]]</f>
        <v>36.705681818181752</v>
      </c>
      <c r="J515" s="69">
        <v>2</v>
      </c>
      <c r="K515" s="69">
        <f>SUMIFS(VENTAS[Cantidad],VENTAS[Código del producto Vendido],STOCK[[#This Row],[Code]])</f>
        <v>0</v>
      </c>
      <c r="L515" s="69">
        <f>STOCK[[#This Row],[Entradas]]-STOCK[[#This Row],[Salidas]]</f>
        <v>2</v>
      </c>
      <c r="M515" s="53">
        <f>STOCK[[#This Row],[Precio Final]]*10%</f>
        <v>3</v>
      </c>
      <c r="N515" s="53">
        <v>267</v>
      </c>
      <c r="O515" s="53">
        <v>17.600000000000001</v>
      </c>
      <c r="P515" s="53">
        <v>15.170454545454501</v>
      </c>
      <c r="Q515" s="69">
        <v>360</v>
      </c>
      <c r="R515" s="53">
        <v>17.5</v>
      </c>
      <c r="S515" s="53">
        <f>STOCK[[#This Row],[Peso (g)]]*STOCK[[#This Row],[Precio Envío Kilogramo (USD)]]/1000</f>
        <v>6.3</v>
      </c>
      <c r="T515" s="53">
        <f>STOCK[[#This Row],[Costo Unitario (USD)]]+STOCK[[#This Row],[Costo Envío (USD)]]+STOCK[[#This Row],[Comisión 10%]]</f>
        <v>24.470454545454501</v>
      </c>
      <c r="U515" s="53">
        <f>STOCK[[#This Row],[Costo total]]*1.5</f>
        <v>36.705681818181752</v>
      </c>
      <c r="V515" s="53">
        <v>30</v>
      </c>
      <c r="W515" s="53">
        <f>STOCK[[#This Row],[Precio Final]]-STOCK[[#This Row],[Costo total]]</f>
        <v>5.5295454545454987</v>
      </c>
      <c r="X515" s="53">
        <f>STOCK[[#This Row],[Ganancia Unitaria]]*STOCK[[#This Row],[Salidas]]</f>
        <v>0</v>
      </c>
      <c r="Y515" s="53" t="s">
        <v>927</v>
      </c>
      <c r="AA515" s="53">
        <f>STOCK[[#This Row],[Costo total]]*STOCK[[#This Row],[Entradas]]</f>
        <v>48.940909090909003</v>
      </c>
      <c r="AB515" s="53">
        <f>STOCK[[#This Row],[Stock Actual]]*STOCK[[#This Row],[Costo total]]</f>
        <v>48.940909090909003</v>
      </c>
    </row>
    <row r="516" spans="1:29" s="54" customFormat="1" ht="50" customHeight="1">
      <c r="A516" s="54" t="s">
        <v>1057</v>
      </c>
      <c r="B516" s="64"/>
      <c r="C516" s="54" t="s">
        <v>32</v>
      </c>
      <c r="D516" s="54" t="s">
        <v>152</v>
      </c>
      <c r="E516" s="66" t="s">
        <v>1058</v>
      </c>
      <c r="F516" s="54" t="s">
        <v>211</v>
      </c>
      <c r="G516" s="54" t="s">
        <v>36</v>
      </c>
      <c r="H516" s="54">
        <f>STOCK[[#This Row],[Precio Final]]</f>
        <v>20</v>
      </c>
      <c r="I516" s="54">
        <f>STOCK[[#This Row],[Precio Venta Ideal (x1.5)]]</f>
        <v>25.295454545454604</v>
      </c>
      <c r="J516" s="70">
        <v>1</v>
      </c>
      <c r="K516" s="70">
        <f>SUMIFS(VENTAS[Cantidad],VENTAS[Código del producto Vendido],STOCK[[#This Row],[Code]])</f>
        <v>1</v>
      </c>
      <c r="L516" s="70">
        <f>STOCK[[#This Row],[Entradas]]-STOCK[[#This Row],[Salidas]]</f>
        <v>0</v>
      </c>
      <c r="M516" s="54">
        <f>STOCK[[#This Row],[Precio Final]]*10%</f>
        <v>2</v>
      </c>
      <c r="N516" s="54">
        <v>200</v>
      </c>
      <c r="O516" s="54">
        <v>17.600000000000001</v>
      </c>
      <c r="P516" s="54">
        <v>11.363636363636401</v>
      </c>
      <c r="Q516" s="70">
        <v>200</v>
      </c>
      <c r="R516" s="54">
        <v>17.5</v>
      </c>
      <c r="S516" s="54">
        <f>STOCK[[#This Row],[Peso (g)]]*STOCK[[#This Row],[Precio Envío Kilogramo (USD)]]/1000</f>
        <v>3.5</v>
      </c>
      <c r="T516" s="53">
        <f>STOCK[[#This Row],[Costo Unitario (USD)]]+STOCK[[#This Row],[Costo Envío (USD)]]+STOCK[[#This Row],[Comisión 10%]]</f>
        <v>16.863636363636402</v>
      </c>
      <c r="U516" s="54">
        <f>STOCK[[#This Row],[Costo total]]*1.5</f>
        <v>25.295454545454604</v>
      </c>
      <c r="V516" s="54">
        <v>20</v>
      </c>
      <c r="W516" s="54">
        <f>STOCK[[#This Row],[Precio Final]]-STOCK[[#This Row],[Costo total]]</f>
        <v>3.1363636363635976</v>
      </c>
      <c r="X516" s="54">
        <f>STOCK[[#This Row],[Ganancia Unitaria]]*STOCK[[#This Row],[Salidas]]</f>
        <v>3.1363636363635976</v>
      </c>
      <c r="AA516" s="54">
        <f>STOCK[[#This Row],[Costo total]]*STOCK[[#This Row],[Entradas]]</f>
        <v>16.863636363636402</v>
      </c>
      <c r="AB516" s="54">
        <f>STOCK[[#This Row],[Stock Actual]]*STOCK[[#This Row],[Costo total]]</f>
        <v>0</v>
      </c>
    </row>
    <row r="517" spans="1:29" s="53" customFormat="1" ht="50" customHeight="1">
      <c r="A517" s="53" t="s">
        <v>1059</v>
      </c>
      <c r="B517" s="64"/>
      <c r="C517" s="53" t="s">
        <v>32</v>
      </c>
      <c r="D517" s="53" t="s">
        <v>706</v>
      </c>
      <c r="E517" s="65" t="s">
        <v>1060</v>
      </c>
      <c r="F517" s="53" t="s">
        <v>62</v>
      </c>
      <c r="G517" s="53" t="s">
        <v>704</v>
      </c>
      <c r="H517" s="53">
        <f>STOCK[[#This Row],[Precio Final]]</f>
        <v>8</v>
      </c>
      <c r="I517" s="53">
        <f>STOCK[[#This Row],[Precio Venta Ideal (x1.5)]]</f>
        <v>8.6889705882352946</v>
      </c>
      <c r="J517" s="69">
        <v>4</v>
      </c>
      <c r="K517" s="69">
        <f>SUMIFS(VENTAS[Cantidad],VENTAS[Código del producto Vendido],STOCK[[#This Row],[Code]])</f>
        <v>1</v>
      </c>
      <c r="L517" s="69">
        <f>STOCK[[#This Row],[Entradas]]-STOCK[[#This Row],[Salidas]]</f>
        <v>3</v>
      </c>
      <c r="M517" s="53">
        <f>STOCK[[#This Row],[Precio Final]]*10%</f>
        <v>0.8</v>
      </c>
      <c r="N517" s="53">
        <v>70</v>
      </c>
      <c r="O517" s="53">
        <v>17</v>
      </c>
      <c r="P517" s="53">
        <v>4.1176470588235299</v>
      </c>
      <c r="Q517" s="69">
        <v>50</v>
      </c>
      <c r="R517" s="53">
        <v>17.5</v>
      </c>
      <c r="S517" s="53">
        <f>STOCK[[#This Row],[Peso (g)]]*STOCK[[#This Row],[Precio Envío Kilogramo (USD)]]/1000</f>
        <v>0.875</v>
      </c>
      <c r="T517" s="53">
        <f>STOCK[[#This Row],[Costo Unitario (USD)]]+STOCK[[#This Row],[Costo Envío (USD)]]+STOCK[[#This Row],[Comisión 10%]]</f>
        <v>5.7926470588235297</v>
      </c>
      <c r="U517" s="53">
        <f>STOCK[[#This Row],[Costo total]]*1.5</f>
        <v>8.6889705882352946</v>
      </c>
      <c r="V517" s="53">
        <v>8</v>
      </c>
      <c r="W517" s="53">
        <f>STOCK[[#This Row],[Precio Final]]-STOCK[[#This Row],[Costo total]]</f>
        <v>2.2073529411764703</v>
      </c>
      <c r="X517" s="53">
        <f>STOCK[[#This Row],[Ganancia Unitaria]]*STOCK[[#This Row],[Salidas]]</f>
        <v>2.2073529411764703</v>
      </c>
      <c r="AA517" s="53">
        <f>STOCK[[#This Row],[Costo total]]*STOCK[[#This Row],[Entradas]]</f>
        <v>23.170588235294119</v>
      </c>
      <c r="AB517" s="53">
        <f>STOCK[[#This Row],[Stock Actual]]*STOCK[[#This Row],[Costo total]]</f>
        <v>17.377941176470589</v>
      </c>
      <c r="AC517" s="53">
        <v>7</v>
      </c>
    </row>
    <row r="518" spans="1:29" s="54" customFormat="1" ht="50" customHeight="1">
      <c r="B518" s="64"/>
      <c r="E518" s="66"/>
      <c r="H518" s="54">
        <f>STOCK[[#This Row],[Precio Final]]</f>
        <v>0</v>
      </c>
      <c r="I518" s="54">
        <f>STOCK[[#This Row],[Precio Venta Ideal (x1.5)]]</f>
        <v>0</v>
      </c>
      <c r="J518" s="70"/>
      <c r="K518" s="70">
        <f>SUMIFS(VENTAS[Cantidad],VENTAS[Código del producto Vendido],STOCK[[#This Row],[Code]])</f>
        <v>0</v>
      </c>
      <c r="L518" s="70">
        <f>STOCK[[#This Row],[Entradas]]-STOCK[[#This Row],[Salidas]]</f>
        <v>0</v>
      </c>
      <c r="M518" s="54">
        <f>STOCK[[#This Row],[Precio Final]]*10%</f>
        <v>0</v>
      </c>
      <c r="Q518" s="70"/>
      <c r="S518" s="54">
        <f>STOCK[[#This Row],[Peso (g)]]*STOCK[[#This Row],[Precio Envío Kilogramo (USD)]]/1000</f>
        <v>0</v>
      </c>
      <c r="T518" s="53">
        <f>STOCK[[#This Row],[Costo Unitario (USD)]]+STOCK[[#This Row],[Costo Envío (USD)]]+STOCK[[#This Row],[Comisión 10%]]</f>
        <v>0</v>
      </c>
      <c r="U518" s="54">
        <f>STOCK[[#This Row],[Costo total]]*1.5</f>
        <v>0</v>
      </c>
      <c r="W518" s="54">
        <f>STOCK[[#This Row],[Precio Final]]-STOCK[[#This Row],[Costo total]]</f>
        <v>0</v>
      </c>
      <c r="X518" s="54">
        <f>STOCK[[#This Row],[Ganancia Unitaria]]*STOCK[[#This Row],[Salidas]]</f>
        <v>0</v>
      </c>
      <c r="AA518" s="54">
        <f>STOCK[[#This Row],[Costo total]]*STOCK[[#This Row],[Entradas]]</f>
        <v>0</v>
      </c>
      <c r="AB518" s="54">
        <f>STOCK[[#This Row],[Stock Actual]]*STOCK[[#This Row],[Costo total]]</f>
        <v>0</v>
      </c>
    </row>
    <row r="519" spans="1:29" s="53" customFormat="1" ht="50" customHeight="1">
      <c r="A519" s="53" t="s">
        <v>1061</v>
      </c>
      <c r="B519" s="64"/>
      <c r="C519" s="53" t="s">
        <v>32</v>
      </c>
      <c r="D519" s="53" t="s">
        <v>706</v>
      </c>
      <c r="E519" s="65" t="s">
        <v>1062</v>
      </c>
      <c r="F519" s="53" t="s">
        <v>40</v>
      </c>
      <c r="G519" s="53" t="s">
        <v>704</v>
      </c>
      <c r="H519" s="53">
        <f>STOCK[[#This Row],[Precio Final]]</f>
        <v>8</v>
      </c>
      <c r="I519" s="53">
        <f>STOCK[[#This Row],[Precio Venta Ideal (x1.5)]]</f>
        <v>7.80661764705882</v>
      </c>
      <c r="J519" s="69">
        <v>6</v>
      </c>
      <c r="K519" s="69">
        <f>SUMIFS(VENTAS[Cantidad],VENTAS[Código del producto Vendido],STOCK[[#This Row],[Code]])</f>
        <v>3</v>
      </c>
      <c r="L519" s="69">
        <f>STOCK[[#This Row],[Entradas]]-STOCK[[#This Row],[Salidas]]</f>
        <v>3</v>
      </c>
      <c r="M519" s="53">
        <f>STOCK[[#This Row],[Precio Final]]*10%</f>
        <v>0.8</v>
      </c>
      <c r="N519" s="53">
        <v>60</v>
      </c>
      <c r="O519" s="53">
        <v>17</v>
      </c>
      <c r="P519" s="53">
        <v>3.52941176470588</v>
      </c>
      <c r="Q519" s="69">
        <v>50</v>
      </c>
      <c r="R519" s="53">
        <v>17.5</v>
      </c>
      <c r="S519" s="53">
        <f>STOCK[[#This Row],[Peso (g)]]*STOCK[[#This Row],[Precio Envío Kilogramo (USD)]]/1000</f>
        <v>0.875</v>
      </c>
      <c r="T519" s="53">
        <f>STOCK[[#This Row],[Costo Unitario (USD)]]+STOCK[[#This Row],[Costo Envío (USD)]]+STOCK[[#This Row],[Comisión 10%]]</f>
        <v>5.2044117647058803</v>
      </c>
      <c r="U519" s="53">
        <f>STOCK[[#This Row],[Costo total]]*1.5</f>
        <v>7.80661764705882</v>
      </c>
      <c r="V519" s="53">
        <v>8</v>
      </c>
      <c r="W519" s="53">
        <f>STOCK[[#This Row],[Precio Final]]-STOCK[[#This Row],[Costo total]]</f>
        <v>2.7955882352941197</v>
      </c>
      <c r="X519" s="53">
        <f>STOCK[[#This Row],[Ganancia Unitaria]]*STOCK[[#This Row],[Salidas]]</f>
        <v>8.38676470588236</v>
      </c>
      <c r="AA519" s="53">
        <f>STOCK[[#This Row],[Costo total]]*STOCK[[#This Row],[Entradas]]</f>
        <v>31.22647058823528</v>
      </c>
      <c r="AB519" s="53">
        <f>STOCK[[#This Row],[Stock Actual]]*STOCK[[#This Row],[Costo total]]</f>
        <v>15.61323529411764</v>
      </c>
      <c r="AC519" s="53">
        <v>7</v>
      </c>
    </row>
    <row r="520" spans="1:29" s="54" customFormat="1" ht="50" customHeight="1">
      <c r="A520" s="54" t="s">
        <v>1063</v>
      </c>
      <c r="B520" s="64"/>
      <c r="C520" s="54" t="s">
        <v>32</v>
      </c>
      <c r="D520" s="54" t="s">
        <v>706</v>
      </c>
      <c r="E520" s="66" t="s">
        <v>1064</v>
      </c>
      <c r="F520" s="54" t="s">
        <v>62</v>
      </c>
      <c r="G520" s="54" t="s">
        <v>704</v>
      </c>
      <c r="H520" s="54">
        <f>STOCK[[#This Row],[Precio Final]]</f>
        <v>9</v>
      </c>
      <c r="I520" s="54">
        <f>STOCK[[#This Row],[Precio Venta Ideal (x1.5)]]</f>
        <v>8.8389705882352949</v>
      </c>
      <c r="J520" s="70">
        <v>4</v>
      </c>
      <c r="K520" s="70">
        <f>SUMIFS(VENTAS[Cantidad],VENTAS[Código del producto Vendido],STOCK[[#This Row],[Code]])</f>
        <v>3</v>
      </c>
      <c r="L520" s="70">
        <f>STOCK[[#This Row],[Entradas]]-STOCK[[#This Row],[Salidas]]</f>
        <v>1</v>
      </c>
      <c r="M520" s="54">
        <f>STOCK[[#This Row],[Precio Final]]*10%</f>
        <v>0.9</v>
      </c>
      <c r="N520" s="54">
        <v>70</v>
      </c>
      <c r="O520" s="54">
        <v>17</v>
      </c>
      <c r="P520" s="54">
        <v>4.1176470588235299</v>
      </c>
      <c r="Q520" s="70">
        <v>50</v>
      </c>
      <c r="R520" s="54">
        <v>17.5</v>
      </c>
      <c r="S520" s="54">
        <f>STOCK[[#This Row],[Peso (g)]]*STOCK[[#This Row],[Precio Envío Kilogramo (USD)]]/1000</f>
        <v>0.875</v>
      </c>
      <c r="T520" s="53">
        <f>STOCK[[#This Row],[Costo Unitario (USD)]]+STOCK[[#This Row],[Costo Envío (USD)]]+STOCK[[#This Row],[Comisión 10%]]</f>
        <v>5.8926470588235302</v>
      </c>
      <c r="U520" s="54">
        <f>STOCK[[#This Row],[Costo total]]*1.5</f>
        <v>8.8389705882352949</v>
      </c>
      <c r="V520" s="54">
        <v>9</v>
      </c>
      <c r="W520" s="54">
        <f>STOCK[[#This Row],[Precio Final]]-STOCK[[#This Row],[Costo total]]</f>
        <v>3.1073529411764698</v>
      </c>
      <c r="X520" s="54">
        <f>STOCK[[#This Row],[Ganancia Unitaria]]*STOCK[[#This Row],[Salidas]]</f>
        <v>9.3220588235294102</v>
      </c>
      <c r="AA520" s="54">
        <f>STOCK[[#This Row],[Costo total]]*STOCK[[#This Row],[Entradas]]</f>
        <v>23.570588235294121</v>
      </c>
      <c r="AB520" s="54">
        <f>STOCK[[#This Row],[Stock Actual]]*STOCK[[#This Row],[Costo total]]</f>
        <v>5.8926470588235302</v>
      </c>
      <c r="AC520" s="54">
        <v>7</v>
      </c>
    </row>
    <row r="521" spans="1:29" s="53" customFormat="1" ht="50" customHeight="1">
      <c r="A521" s="53" t="s">
        <v>1065</v>
      </c>
      <c r="B521" s="64"/>
      <c r="C521" s="53" t="s">
        <v>32</v>
      </c>
      <c r="D521" s="53" t="s">
        <v>152</v>
      </c>
      <c r="E521" s="65" t="s">
        <v>1066</v>
      </c>
      <c r="F521" s="53" t="s">
        <v>62</v>
      </c>
      <c r="G521" s="53" t="s">
        <v>36</v>
      </c>
      <c r="H521" s="53">
        <f>STOCK[[#This Row],[Precio Final]]</f>
        <v>20</v>
      </c>
      <c r="I521" s="53">
        <f>STOCK[[#This Row],[Precio Venta Ideal (x1.5)]]</f>
        <v>23.465073529411768</v>
      </c>
      <c r="J521" s="69">
        <v>2</v>
      </c>
      <c r="K521" s="69">
        <f>SUMIFS(VENTAS[Cantidad],VENTAS[Código del producto Vendido],STOCK[[#This Row],[Code]])</f>
        <v>2</v>
      </c>
      <c r="L521" s="69">
        <f>STOCK[[#This Row],[Entradas]]-STOCK[[#This Row],[Salidas]]</f>
        <v>0</v>
      </c>
      <c r="M521" s="53">
        <f>STOCK[[#This Row],[Precio Final]]*10%</f>
        <v>2</v>
      </c>
      <c r="N521" s="53">
        <v>165</v>
      </c>
      <c r="O521" s="53">
        <v>17</v>
      </c>
      <c r="P521" s="53">
        <v>9.7058823529411793</v>
      </c>
      <c r="Q521" s="69">
        <v>225</v>
      </c>
      <c r="R521" s="53">
        <v>17.5</v>
      </c>
      <c r="S521" s="53">
        <f>STOCK[[#This Row],[Peso (g)]]*STOCK[[#This Row],[Precio Envío Kilogramo (USD)]]/1000</f>
        <v>3.9375</v>
      </c>
      <c r="T521" s="53">
        <f>STOCK[[#This Row],[Costo Unitario (USD)]]+STOCK[[#This Row],[Costo Envío (USD)]]+STOCK[[#This Row],[Comisión 10%]]</f>
        <v>15.643382352941179</v>
      </c>
      <c r="U521" s="53">
        <f>STOCK[[#This Row],[Costo total]]*1.5</f>
        <v>23.465073529411768</v>
      </c>
      <c r="V521" s="53">
        <v>20</v>
      </c>
      <c r="W521" s="53">
        <f>STOCK[[#This Row],[Precio Final]]-STOCK[[#This Row],[Costo total]]</f>
        <v>4.3566176470588207</v>
      </c>
      <c r="X521" s="53">
        <f>STOCK[[#This Row],[Ganancia Unitaria]]*STOCK[[#This Row],[Salidas]]</f>
        <v>8.7132352941176414</v>
      </c>
      <c r="Y521" s="53" t="s">
        <v>927</v>
      </c>
      <c r="AA521" s="53">
        <f>STOCK[[#This Row],[Costo total]]*STOCK[[#This Row],[Entradas]]</f>
        <v>31.286764705882359</v>
      </c>
      <c r="AB521" s="53">
        <f>STOCK[[#This Row],[Stock Actual]]*STOCK[[#This Row],[Costo total]]</f>
        <v>0</v>
      </c>
    </row>
    <row r="522" spans="1:29" s="54" customFormat="1" ht="50" customHeight="1">
      <c r="A522" s="54" t="s">
        <v>1067</v>
      </c>
      <c r="B522" s="64"/>
      <c r="C522" s="54" t="s">
        <v>32</v>
      </c>
      <c r="D522" s="54" t="s">
        <v>152</v>
      </c>
      <c r="E522" s="66" t="s">
        <v>1066</v>
      </c>
      <c r="F522" s="54" t="s">
        <v>49</v>
      </c>
      <c r="G522" s="54" t="s">
        <v>36</v>
      </c>
      <c r="H522" s="54">
        <f>STOCK[[#This Row],[Precio Final]]</f>
        <v>20</v>
      </c>
      <c r="I522" s="54">
        <f>STOCK[[#This Row],[Precio Venta Ideal (x1.5)]]</f>
        <v>23.465073529411768</v>
      </c>
      <c r="J522" s="70">
        <v>2</v>
      </c>
      <c r="K522" s="70">
        <f>SUMIFS(VENTAS[Cantidad],VENTAS[Código del producto Vendido],STOCK[[#This Row],[Code]])</f>
        <v>2</v>
      </c>
      <c r="L522" s="70">
        <f>STOCK[[#This Row],[Entradas]]-STOCK[[#This Row],[Salidas]]</f>
        <v>0</v>
      </c>
      <c r="M522" s="54">
        <f>STOCK[[#This Row],[Precio Final]]*10%</f>
        <v>2</v>
      </c>
      <c r="N522" s="54">
        <v>165</v>
      </c>
      <c r="O522" s="54">
        <v>17</v>
      </c>
      <c r="P522" s="54">
        <v>9.7058823529411793</v>
      </c>
      <c r="Q522" s="70">
        <v>225</v>
      </c>
      <c r="R522" s="54">
        <v>17.5</v>
      </c>
      <c r="S522" s="54">
        <f>STOCK[[#This Row],[Peso (g)]]*STOCK[[#This Row],[Precio Envío Kilogramo (USD)]]/1000</f>
        <v>3.9375</v>
      </c>
      <c r="T522" s="53">
        <f>STOCK[[#This Row],[Costo Unitario (USD)]]+STOCK[[#This Row],[Costo Envío (USD)]]+STOCK[[#This Row],[Comisión 10%]]</f>
        <v>15.643382352941179</v>
      </c>
      <c r="U522" s="54">
        <f>STOCK[[#This Row],[Costo total]]*1.5</f>
        <v>23.465073529411768</v>
      </c>
      <c r="V522" s="54">
        <v>20</v>
      </c>
      <c r="W522" s="54">
        <f>STOCK[[#This Row],[Precio Final]]-STOCK[[#This Row],[Costo total]]</f>
        <v>4.3566176470588207</v>
      </c>
      <c r="X522" s="54">
        <f>STOCK[[#This Row],[Ganancia Unitaria]]*STOCK[[#This Row],[Salidas]]</f>
        <v>8.7132352941176414</v>
      </c>
      <c r="Y522" s="54" t="s">
        <v>927</v>
      </c>
      <c r="AA522" s="54">
        <f>STOCK[[#This Row],[Costo total]]*STOCK[[#This Row],[Entradas]]</f>
        <v>31.286764705882359</v>
      </c>
      <c r="AB522" s="54">
        <f>STOCK[[#This Row],[Stock Actual]]*STOCK[[#This Row],[Costo total]]</f>
        <v>0</v>
      </c>
    </row>
    <row r="523" spans="1:29" s="53" customFormat="1" ht="50" customHeight="1">
      <c r="A523" s="53" t="s">
        <v>1068</v>
      </c>
      <c r="B523" s="64"/>
      <c r="C523" s="53" t="s">
        <v>32</v>
      </c>
      <c r="D523" s="53" t="s">
        <v>174</v>
      </c>
      <c r="E523" s="65" t="s">
        <v>1069</v>
      </c>
      <c r="F523" s="53" t="s">
        <v>40</v>
      </c>
      <c r="G523" s="53" t="s">
        <v>36</v>
      </c>
      <c r="H523" s="53">
        <f>STOCK[[#This Row],[Precio Final]]</f>
        <v>17</v>
      </c>
      <c r="I523" s="53">
        <f>STOCK[[#This Row],[Precio Venta Ideal (x1.5)]]</f>
        <v>21.313235294117696</v>
      </c>
      <c r="J523" s="69">
        <v>2</v>
      </c>
      <c r="K523" s="69">
        <f>SUMIFS(VENTAS[Cantidad],VENTAS[Código del producto Vendido],STOCK[[#This Row],[Code]])</f>
        <v>2</v>
      </c>
      <c r="L523" s="69">
        <f>STOCK[[#This Row],[Entradas]]-STOCK[[#This Row],[Salidas]]</f>
        <v>0</v>
      </c>
      <c r="M523" s="53">
        <f>STOCK[[#This Row],[Precio Final]]*10%</f>
        <v>1.7000000000000002</v>
      </c>
      <c r="N523" s="53">
        <v>171</v>
      </c>
      <c r="O523" s="53">
        <v>17</v>
      </c>
      <c r="P523" s="53">
        <v>10.0588235294118</v>
      </c>
      <c r="Q523" s="69">
        <v>140</v>
      </c>
      <c r="R523" s="53">
        <v>17.5</v>
      </c>
      <c r="S523" s="53">
        <f>STOCK[[#This Row],[Peso (g)]]*STOCK[[#This Row],[Precio Envío Kilogramo (USD)]]/1000</f>
        <v>2.4500000000000002</v>
      </c>
      <c r="T523" s="53">
        <f>STOCK[[#This Row],[Costo Unitario (USD)]]+STOCK[[#This Row],[Costo Envío (USD)]]+STOCK[[#This Row],[Comisión 10%]]</f>
        <v>14.208823529411799</v>
      </c>
      <c r="U523" s="53">
        <f>STOCK[[#This Row],[Costo total]]*1.5</f>
        <v>21.313235294117696</v>
      </c>
      <c r="V523" s="53">
        <v>17</v>
      </c>
      <c r="W523" s="53">
        <f>STOCK[[#This Row],[Precio Final]]-STOCK[[#This Row],[Costo total]]</f>
        <v>2.7911764705882014</v>
      </c>
      <c r="X523" s="53">
        <f>STOCK[[#This Row],[Ganancia Unitaria]]*STOCK[[#This Row],[Salidas]]</f>
        <v>5.5823529411764028</v>
      </c>
      <c r="Y523" s="53" t="s">
        <v>927</v>
      </c>
      <c r="AA523" s="53">
        <f>STOCK[[#This Row],[Costo total]]*STOCK[[#This Row],[Entradas]]</f>
        <v>28.417647058823597</v>
      </c>
      <c r="AB523" s="53">
        <f>STOCK[[#This Row],[Stock Actual]]*STOCK[[#This Row],[Costo total]]</f>
        <v>0</v>
      </c>
    </row>
    <row r="524" spans="1:29" s="54" customFormat="1" ht="50" customHeight="1">
      <c r="A524" s="54" t="s">
        <v>1070</v>
      </c>
      <c r="B524" s="64"/>
      <c r="C524" s="54" t="s">
        <v>32</v>
      </c>
      <c r="D524" s="54" t="s">
        <v>174</v>
      </c>
      <c r="E524" s="66" t="s">
        <v>1069</v>
      </c>
      <c r="F524" s="54" t="s">
        <v>49</v>
      </c>
      <c r="G524" s="54" t="s">
        <v>36</v>
      </c>
      <c r="H524" s="54">
        <f>STOCK[[#This Row],[Precio Final]]</f>
        <v>17</v>
      </c>
      <c r="I524" s="54">
        <f>STOCK[[#This Row],[Precio Venta Ideal (x1.5)]]</f>
        <v>21.313235294117696</v>
      </c>
      <c r="J524" s="70">
        <v>2</v>
      </c>
      <c r="K524" s="70">
        <f>SUMIFS(VENTAS[Cantidad],VENTAS[Código del producto Vendido],STOCK[[#This Row],[Code]])</f>
        <v>2</v>
      </c>
      <c r="L524" s="70">
        <f>STOCK[[#This Row],[Entradas]]-STOCK[[#This Row],[Salidas]]</f>
        <v>0</v>
      </c>
      <c r="M524" s="54">
        <f>STOCK[[#This Row],[Precio Final]]*10%</f>
        <v>1.7000000000000002</v>
      </c>
      <c r="N524" s="54">
        <v>171</v>
      </c>
      <c r="O524" s="54">
        <v>17</v>
      </c>
      <c r="P524" s="54">
        <v>10.0588235294118</v>
      </c>
      <c r="Q524" s="70">
        <v>140</v>
      </c>
      <c r="R524" s="54">
        <v>17.5</v>
      </c>
      <c r="S524" s="54">
        <f>STOCK[[#This Row],[Peso (g)]]*STOCK[[#This Row],[Precio Envío Kilogramo (USD)]]/1000</f>
        <v>2.4500000000000002</v>
      </c>
      <c r="T524" s="53">
        <f>STOCK[[#This Row],[Costo Unitario (USD)]]+STOCK[[#This Row],[Costo Envío (USD)]]+STOCK[[#This Row],[Comisión 10%]]</f>
        <v>14.208823529411799</v>
      </c>
      <c r="U524" s="54">
        <f>STOCK[[#This Row],[Costo total]]*1.5</f>
        <v>21.313235294117696</v>
      </c>
      <c r="V524" s="54">
        <v>17</v>
      </c>
      <c r="W524" s="54">
        <f>STOCK[[#This Row],[Precio Final]]-STOCK[[#This Row],[Costo total]]</f>
        <v>2.7911764705882014</v>
      </c>
      <c r="X524" s="54">
        <f>STOCK[[#This Row],[Ganancia Unitaria]]*STOCK[[#This Row],[Salidas]]</f>
        <v>5.5823529411764028</v>
      </c>
      <c r="Y524" s="54" t="s">
        <v>927</v>
      </c>
      <c r="AA524" s="54">
        <f>STOCK[[#This Row],[Costo total]]*STOCK[[#This Row],[Entradas]]</f>
        <v>28.417647058823597</v>
      </c>
      <c r="AB524" s="54">
        <f>STOCK[[#This Row],[Stock Actual]]*STOCK[[#This Row],[Costo total]]</f>
        <v>0</v>
      </c>
    </row>
    <row r="525" spans="1:29" s="53" customFormat="1" ht="50" customHeight="1">
      <c r="A525" s="53" t="s">
        <v>1071</v>
      </c>
      <c r="B525" s="64"/>
      <c r="C525" s="53" t="s">
        <v>32</v>
      </c>
      <c r="D525" s="53" t="s">
        <v>38</v>
      </c>
      <c r="E525" s="65" t="s">
        <v>1072</v>
      </c>
      <c r="F525" s="53" t="s">
        <v>62</v>
      </c>
      <c r="G525" s="53" t="s">
        <v>36</v>
      </c>
      <c r="H525" s="53">
        <f>STOCK[[#This Row],[Precio Final]]</f>
        <v>25</v>
      </c>
      <c r="I525" s="53">
        <f>STOCK[[#This Row],[Precio Venta Ideal (x1.5)]]</f>
        <v>33.957352941176396</v>
      </c>
      <c r="J525" s="69">
        <v>1</v>
      </c>
      <c r="K525" s="69">
        <f>SUMIFS(VENTAS[Cantidad],VENTAS[Código del producto Vendido],STOCK[[#This Row],[Code]])</f>
        <v>1</v>
      </c>
      <c r="L525" s="69">
        <f>STOCK[[#This Row],[Entradas]]-STOCK[[#This Row],[Salidas]]</f>
        <v>0</v>
      </c>
      <c r="M525" s="53">
        <f>STOCK[[#This Row],[Precio Final]]*10%</f>
        <v>2.5</v>
      </c>
      <c r="N525" s="53">
        <v>265</v>
      </c>
      <c r="O525" s="53">
        <v>17</v>
      </c>
      <c r="P525" s="53">
        <v>15.588235294117601</v>
      </c>
      <c r="Q525" s="69">
        <v>260</v>
      </c>
      <c r="R525" s="53">
        <v>17.5</v>
      </c>
      <c r="S525" s="53">
        <f>STOCK[[#This Row],[Peso (g)]]*STOCK[[#This Row],[Precio Envío Kilogramo (USD)]]/1000</f>
        <v>4.55</v>
      </c>
      <c r="T525" s="53">
        <f>STOCK[[#This Row],[Costo Unitario (USD)]]+STOCK[[#This Row],[Costo Envío (USD)]]+STOCK[[#This Row],[Comisión 10%]]</f>
        <v>22.638235294117599</v>
      </c>
      <c r="U525" s="53">
        <f>STOCK[[#This Row],[Costo total]]*1.5</f>
        <v>33.957352941176396</v>
      </c>
      <c r="V525" s="53">
        <v>25</v>
      </c>
      <c r="W525" s="53">
        <f>STOCK[[#This Row],[Precio Final]]-STOCK[[#This Row],[Costo total]]</f>
        <v>2.3617647058824005</v>
      </c>
      <c r="X525" s="53">
        <f>STOCK[[#This Row],[Ganancia Unitaria]]*STOCK[[#This Row],[Salidas]]</f>
        <v>2.3617647058824005</v>
      </c>
      <c r="Y525" s="53" t="s">
        <v>927</v>
      </c>
      <c r="AA525" s="53">
        <f>STOCK[[#This Row],[Costo total]]*STOCK[[#This Row],[Entradas]]</f>
        <v>22.638235294117599</v>
      </c>
      <c r="AB525" s="53">
        <f>STOCK[[#This Row],[Stock Actual]]*STOCK[[#This Row],[Costo total]]</f>
        <v>0</v>
      </c>
    </row>
    <row r="526" spans="1:29" s="54" customFormat="1" ht="50" customHeight="1">
      <c r="A526" s="54" t="s">
        <v>1073</v>
      </c>
      <c r="B526" s="64"/>
      <c r="C526" s="54" t="s">
        <v>32</v>
      </c>
      <c r="D526" s="54" t="s">
        <v>1074</v>
      </c>
      <c r="E526" s="66" t="s">
        <v>1075</v>
      </c>
      <c r="F526" s="54" t="s">
        <v>62</v>
      </c>
      <c r="G526" s="54" t="s">
        <v>36</v>
      </c>
      <c r="H526" s="54">
        <f>STOCK[[#This Row],[Precio Final]]</f>
        <v>20</v>
      </c>
      <c r="I526" s="54">
        <f>STOCK[[#This Row],[Precio Venta Ideal (x1.5)]]</f>
        <v>23.523529411764748</v>
      </c>
      <c r="J526" s="70">
        <v>1</v>
      </c>
      <c r="K526" s="70">
        <f>SUMIFS(VENTAS[Cantidad],VENTAS[Código del producto Vendido],STOCK[[#This Row],[Code]])</f>
        <v>1</v>
      </c>
      <c r="L526" s="70">
        <f>STOCK[[#This Row],[Entradas]]-STOCK[[#This Row],[Salidas]]</f>
        <v>0</v>
      </c>
      <c r="M526" s="54">
        <f>STOCK[[#This Row],[Precio Final]]*10%</f>
        <v>2</v>
      </c>
      <c r="N526" s="54">
        <v>185</v>
      </c>
      <c r="O526" s="54">
        <v>17</v>
      </c>
      <c r="P526" s="54">
        <v>10.882352941176499</v>
      </c>
      <c r="Q526" s="70">
        <v>160</v>
      </c>
      <c r="R526" s="54">
        <v>17.5</v>
      </c>
      <c r="S526" s="54">
        <f>STOCK[[#This Row],[Peso (g)]]*STOCK[[#This Row],[Precio Envío Kilogramo (USD)]]/1000</f>
        <v>2.8</v>
      </c>
      <c r="T526" s="53">
        <f>STOCK[[#This Row],[Costo Unitario (USD)]]+STOCK[[#This Row],[Costo Envío (USD)]]+STOCK[[#This Row],[Comisión 10%]]</f>
        <v>15.6823529411765</v>
      </c>
      <c r="U526" s="54">
        <f>STOCK[[#This Row],[Costo total]]*1.5</f>
        <v>23.523529411764748</v>
      </c>
      <c r="V526" s="54">
        <v>20</v>
      </c>
      <c r="W526" s="54">
        <f>STOCK[[#This Row],[Precio Final]]-STOCK[[#This Row],[Costo total]]</f>
        <v>4.3176470588234999</v>
      </c>
      <c r="X526" s="54">
        <f>STOCK[[#This Row],[Ganancia Unitaria]]*STOCK[[#This Row],[Salidas]]</f>
        <v>4.3176470588234999</v>
      </c>
      <c r="Y526" s="54" t="s">
        <v>927</v>
      </c>
      <c r="AA526" s="54">
        <f>STOCK[[#This Row],[Costo total]]*STOCK[[#This Row],[Entradas]]</f>
        <v>15.6823529411765</v>
      </c>
      <c r="AB526" s="54">
        <f>STOCK[[#This Row],[Stock Actual]]*STOCK[[#This Row],[Costo total]]</f>
        <v>0</v>
      </c>
    </row>
    <row r="527" spans="1:29" s="53" customFormat="1" ht="50" customHeight="1">
      <c r="A527" s="53" t="s">
        <v>1076</v>
      </c>
      <c r="B527" s="64"/>
      <c r="C527" s="53" t="s">
        <v>32</v>
      </c>
      <c r="D527" s="53" t="s">
        <v>125</v>
      </c>
      <c r="E527" s="65" t="s">
        <v>1077</v>
      </c>
      <c r="F527" s="53" t="s">
        <v>1078</v>
      </c>
      <c r="G527" s="53" t="s">
        <v>36</v>
      </c>
      <c r="H527" s="53">
        <f>STOCK[[#This Row],[Precio Final]]</f>
        <v>20</v>
      </c>
      <c r="I527" s="53">
        <f>STOCK[[#This Row],[Precio Venta Ideal (x1.5)]]</f>
        <v>36.076102941176401</v>
      </c>
      <c r="J527" s="69">
        <v>1</v>
      </c>
      <c r="K527" s="69">
        <f>SUMIFS(VENTAS[Cantidad],VENTAS[Código del producto Vendido],STOCK[[#This Row],[Code]])</f>
        <v>1</v>
      </c>
      <c r="L527" s="69">
        <f>STOCK[[#This Row],[Entradas]]-STOCK[[#This Row],[Salidas]]</f>
        <v>0</v>
      </c>
      <c r="M527" s="53">
        <f>STOCK[[#This Row],[Precio Final]]*10%</f>
        <v>2</v>
      </c>
      <c r="N527" s="53">
        <v>299</v>
      </c>
      <c r="O527" s="53">
        <v>17</v>
      </c>
      <c r="P527" s="53">
        <v>17.588235294117599</v>
      </c>
      <c r="Q527" s="69">
        <v>255</v>
      </c>
      <c r="R527" s="53">
        <v>17.5</v>
      </c>
      <c r="S527" s="53">
        <f>STOCK[[#This Row],[Peso (g)]]*STOCK[[#This Row],[Precio Envío Kilogramo (USD)]]/1000</f>
        <v>4.4625000000000004</v>
      </c>
      <c r="T527" s="53">
        <f>STOCK[[#This Row],[Costo Unitario (USD)]]+STOCK[[#This Row],[Costo Envío (USD)]]+STOCK[[#This Row],[Comisión 10%]]</f>
        <v>24.050735294117601</v>
      </c>
      <c r="U527" s="53">
        <f>STOCK[[#This Row],[Costo total]]*1.5</f>
        <v>36.076102941176401</v>
      </c>
      <c r="V527" s="53">
        <v>20</v>
      </c>
      <c r="W527" s="53">
        <f>STOCK[[#This Row],[Precio Final]]-STOCK[[#This Row],[Costo total]]</f>
        <v>-4.0507352941176009</v>
      </c>
      <c r="X527" s="53">
        <f>STOCK[[#This Row],[Ganancia Unitaria]]*STOCK[[#This Row],[Salidas]]</f>
        <v>-4.0507352941176009</v>
      </c>
      <c r="Y527" s="53" t="s">
        <v>927</v>
      </c>
      <c r="AA527" s="53">
        <f>STOCK[[#This Row],[Costo total]]*STOCK[[#This Row],[Entradas]]</f>
        <v>24.050735294117601</v>
      </c>
      <c r="AB527" s="53">
        <f>STOCK[[#This Row],[Stock Actual]]*STOCK[[#This Row],[Costo total]]</f>
        <v>0</v>
      </c>
    </row>
    <row r="528" spans="1:29" s="54" customFormat="1" ht="50" customHeight="1">
      <c r="A528" s="54" t="s">
        <v>1079</v>
      </c>
      <c r="B528" s="64"/>
      <c r="C528" s="54" t="s">
        <v>32</v>
      </c>
      <c r="D528" s="54" t="s">
        <v>44</v>
      </c>
      <c r="E528" s="66" t="s">
        <v>1080</v>
      </c>
      <c r="F528" s="54" t="s">
        <v>49</v>
      </c>
      <c r="G528" s="54" t="s">
        <v>36</v>
      </c>
      <c r="H528" s="54">
        <f>STOCK[[#This Row],[Precio Final]]</f>
        <v>35</v>
      </c>
      <c r="I528" s="54">
        <f>STOCK[[#This Row],[Precio Venta Ideal (x1.5)]]</f>
        <v>38.833455882352951</v>
      </c>
      <c r="J528" s="70">
        <v>1</v>
      </c>
      <c r="K528" s="70">
        <f>SUMIFS(VENTAS[Cantidad],VENTAS[Código del producto Vendido],STOCK[[#This Row],[Code]])</f>
        <v>1</v>
      </c>
      <c r="L528" s="70">
        <f>STOCK[[#This Row],[Entradas]]-STOCK[[#This Row],[Salidas]]</f>
        <v>0</v>
      </c>
      <c r="M528" s="54">
        <f>STOCK[[#This Row],[Precio Final]]*10%</f>
        <v>3.5</v>
      </c>
      <c r="N528" s="54">
        <v>275</v>
      </c>
      <c r="O528" s="54">
        <v>17</v>
      </c>
      <c r="P528" s="54">
        <v>16.176470588235301</v>
      </c>
      <c r="Q528" s="70">
        <v>355</v>
      </c>
      <c r="R528" s="54">
        <v>17.5</v>
      </c>
      <c r="S528" s="54">
        <f>STOCK[[#This Row],[Peso (g)]]*STOCK[[#This Row],[Precio Envío Kilogramo (USD)]]/1000</f>
        <v>6.2125000000000004</v>
      </c>
      <c r="T528" s="53">
        <f>STOCK[[#This Row],[Costo Unitario (USD)]]+STOCK[[#This Row],[Costo Envío (USD)]]+STOCK[[#This Row],[Comisión 10%]]</f>
        <v>25.888970588235303</v>
      </c>
      <c r="U528" s="54">
        <f>STOCK[[#This Row],[Costo total]]*1.5</f>
        <v>38.833455882352951</v>
      </c>
      <c r="V528" s="54">
        <v>35</v>
      </c>
      <c r="W528" s="54">
        <f>STOCK[[#This Row],[Precio Final]]-STOCK[[#This Row],[Costo total]]</f>
        <v>9.1110294117646973</v>
      </c>
      <c r="X528" s="54">
        <f>STOCK[[#This Row],[Ganancia Unitaria]]*STOCK[[#This Row],[Salidas]]</f>
        <v>9.1110294117646973</v>
      </c>
      <c r="Y528" s="54" t="s">
        <v>927</v>
      </c>
      <c r="AA528" s="54">
        <f>STOCK[[#This Row],[Costo total]]*STOCK[[#This Row],[Entradas]]</f>
        <v>25.888970588235303</v>
      </c>
      <c r="AB528" s="54">
        <f>STOCK[[#This Row],[Stock Actual]]*STOCK[[#This Row],[Costo total]]</f>
        <v>0</v>
      </c>
    </row>
    <row r="529" spans="1:28" s="53" customFormat="1" ht="50" customHeight="1">
      <c r="A529" s="53" t="s">
        <v>1081</v>
      </c>
      <c r="B529" s="64"/>
      <c r="C529" s="53" t="s">
        <v>32</v>
      </c>
      <c r="D529" s="53" t="s">
        <v>44</v>
      </c>
      <c r="E529" s="65" t="s">
        <v>1080</v>
      </c>
      <c r="F529" s="53" t="s">
        <v>62</v>
      </c>
      <c r="G529" s="53" t="s">
        <v>36</v>
      </c>
      <c r="H529" s="53">
        <f>STOCK[[#This Row],[Precio Final]]</f>
        <v>35</v>
      </c>
      <c r="I529" s="53">
        <f>STOCK[[#This Row],[Precio Venta Ideal (x1.5)]]</f>
        <v>38.702205882352949</v>
      </c>
      <c r="J529" s="69">
        <v>1</v>
      </c>
      <c r="K529" s="69">
        <f>SUMIFS(VENTAS[Cantidad],VENTAS[Código del producto Vendido],STOCK[[#This Row],[Code]])</f>
        <v>1</v>
      </c>
      <c r="L529" s="69">
        <f>STOCK[[#This Row],[Entradas]]-STOCK[[#This Row],[Salidas]]</f>
        <v>0</v>
      </c>
      <c r="M529" s="53">
        <f>STOCK[[#This Row],[Precio Final]]*10%</f>
        <v>3.5</v>
      </c>
      <c r="N529" s="53">
        <v>275</v>
      </c>
      <c r="O529" s="53">
        <v>17</v>
      </c>
      <c r="P529" s="53">
        <v>16.176470588235301</v>
      </c>
      <c r="Q529" s="69">
        <v>350</v>
      </c>
      <c r="R529" s="53">
        <v>17.5</v>
      </c>
      <c r="S529" s="53">
        <f>STOCK[[#This Row],[Peso (g)]]*STOCK[[#This Row],[Precio Envío Kilogramo (USD)]]/1000</f>
        <v>6.125</v>
      </c>
      <c r="T529" s="53">
        <f>STOCK[[#This Row],[Costo Unitario (USD)]]+STOCK[[#This Row],[Costo Envío (USD)]]+STOCK[[#This Row],[Comisión 10%]]</f>
        <v>25.801470588235301</v>
      </c>
      <c r="U529" s="53">
        <f>STOCK[[#This Row],[Costo total]]*1.5</f>
        <v>38.702205882352949</v>
      </c>
      <c r="V529" s="53">
        <v>35</v>
      </c>
      <c r="W529" s="53">
        <f>STOCK[[#This Row],[Precio Final]]-STOCK[[#This Row],[Costo total]]</f>
        <v>9.1985294117646994</v>
      </c>
      <c r="X529" s="53">
        <f>STOCK[[#This Row],[Ganancia Unitaria]]*STOCK[[#This Row],[Salidas]]</f>
        <v>9.1985294117646994</v>
      </c>
      <c r="Y529" s="53" t="s">
        <v>927</v>
      </c>
      <c r="AA529" s="53">
        <f>STOCK[[#This Row],[Costo total]]*STOCK[[#This Row],[Entradas]]</f>
        <v>25.801470588235301</v>
      </c>
      <c r="AB529" s="53">
        <f>STOCK[[#This Row],[Stock Actual]]*STOCK[[#This Row],[Costo total]]</f>
        <v>0</v>
      </c>
    </row>
    <row r="530" spans="1:28" s="54" customFormat="1" ht="50" customHeight="1">
      <c r="A530" s="54" t="s">
        <v>1082</v>
      </c>
      <c r="B530" s="64"/>
      <c r="C530" s="54" t="s">
        <v>32</v>
      </c>
      <c r="D530" s="54" t="s">
        <v>44</v>
      </c>
      <c r="E530" s="66" t="s">
        <v>1083</v>
      </c>
      <c r="F530" s="54" t="s">
        <v>49</v>
      </c>
      <c r="G530" s="54" t="s">
        <v>36</v>
      </c>
      <c r="H530" s="54">
        <f>STOCK[[#This Row],[Precio Final]]</f>
        <v>25</v>
      </c>
      <c r="I530" s="54">
        <f>STOCK[[#This Row],[Precio Venta Ideal (x1.5)]]</f>
        <v>27.459926470588201</v>
      </c>
      <c r="J530" s="70">
        <v>1</v>
      </c>
      <c r="K530" s="70">
        <f>SUMIFS(VENTAS[Cantidad],VENTAS[Código del producto Vendido],STOCK[[#This Row],[Code]])</f>
        <v>1</v>
      </c>
      <c r="L530" s="70">
        <f>STOCK[[#This Row],[Entradas]]-STOCK[[#This Row],[Salidas]]</f>
        <v>0</v>
      </c>
      <c r="M530" s="54">
        <f>STOCK[[#This Row],[Precio Final]]*10%</f>
        <v>2.5</v>
      </c>
      <c r="N530" s="54">
        <v>175</v>
      </c>
      <c r="O530" s="54">
        <v>17</v>
      </c>
      <c r="P530" s="54">
        <v>10.294117647058799</v>
      </c>
      <c r="Q530" s="70">
        <v>315</v>
      </c>
      <c r="R530" s="54">
        <v>17.5</v>
      </c>
      <c r="S530" s="54">
        <f>STOCK[[#This Row],[Peso (g)]]*STOCK[[#This Row],[Precio Envío Kilogramo (USD)]]/1000</f>
        <v>5.5125000000000002</v>
      </c>
      <c r="T530" s="53">
        <f>STOCK[[#This Row],[Costo Unitario (USD)]]+STOCK[[#This Row],[Costo Envío (USD)]]+STOCK[[#This Row],[Comisión 10%]]</f>
        <v>18.3066176470588</v>
      </c>
      <c r="U530" s="54">
        <f>STOCK[[#This Row],[Costo total]]*1.5</f>
        <v>27.459926470588201</v>
      </c>
      <c r="V530" s="54">
        <v>25</v>
      </c>
      <c r="W530" s="54">
        <f>STOCK[[#This Row],[Precio Final]]-STOCK[[#This Row],[Costo total]]</f>
        <v>6.6933823529411995</v>
      </c>
      <c r="X530" s="54">
        <f>STOCK[[#This Row],[Ganancia Unitaria]]*STOCK[[#This Row],[Salidas]]</f>
        <v>6.6933823529411995</v>
      </c>
      <c r="Y530" s="54" t="s">
        <v>927</v>
      </c>
      <c r="AA530" s="54">
        <f>STOCK[[#This Row],[Costo total]]*STOCK[[#This Row],[Entradas]]</f>
        <v>18.3066176470588</v>
      </c>
      <c r="AB530" s="54">
        <f>STOCK[[#This Row],[Stock Actual]]*STOCK[[#This Row],[Costo total]]</f>
        <v>0</v>
      </c>
    </row>
    <row r="531" spans="1:28" s="53" customFormat="1" ht="50" customHeight="1">
      <c r="A531" s="53" t="s">
        <v>1084</v>
      </c>
      <c r="B531" s="64"/>
      <c r="C531" s="53" t="s">
        <v>32</v>
      </c>
      <c r="D531" s="53" t="s">
        <v>44</v>
      </c>
      <c r="E531" s="65" t="s">
        <v>1085</v>
      </c>
      <c r="F531" s="53" t="s">
        <v>62</v>
      </c>
      <c r="G531" s="53" t="s">
        <v>36</v>
      </c>
      <c r="H531" s="53">
        <f>STOCK[[#This Row],[Precio Final]]</f>
        <v>25</v>
      </c>
      <c r="I531" s="53">
        <f>STOCK[[#This Row],[Precio Venta Ideal (x1.5)]]</f>
        <v>28.950000000000003</v>
      </c>
      <c r="J531" s="69">
        <v>1</v>
      </c>
      <c r="K531" s="69">
        <f>SUMIFS(VENTAS[Cantidad],VENTAS[Código del producto Vendido],STOCK[[#This Row],[Code]])</f>
        <v>1</v>
      </c>
      <c r="L531" s="69">
        <f>STOCK[[#This Row],[Entradas]]-STOCK[[#This Row],[Salidas]]</f>
        <v>0</v>
      </c>
      <c r="M531" s="53">
        <f>STOCK[[#This Row],[Precio Final]]*10%</f>
        <v>2.5</v>
      </c>
      <c r="N531" s="53">
        <v>238</v>
      </c>
      <c r="O531" s="53">
        <v>17</v>
      </c>
      <c r="P531" s="53">
        <v>14</v>
      </c>
      <c r="Q531" s="69">
        <v>160</v>
      </c>
      <c r="R531" s="53">
        <v>17.5</v>
      </c>
      <c r="S531" s="53">
        <f>STOCK[[#This Row],[Peso (g)]]*STOCK[[#This Row],[Precio Envío Kilogramo (USD)]]/1000</f>
        <v>2.8</v>
      </c>
      <c r="T531" s="53">
        <f>STOCK[[#This Row],[Costo Unitario (USD)]]+STOCK[[#This Row],[Costo Envío (USD)]]+STOCK[[#This Row],[Comisión 10%]]</f>
        <v>19.3</v>
      </c>
      <c r="U531" s="53">
        <f>STOCK[[#This Row],[Costo total]]*1.5</f>
        <v>28.950000000000003</v>
      </c>
      <c r="V531" s="53">
        <v>25</v>
      </c>
      <c r="W531" s="53">
        <f>STOCK[[#This Row],[Precio Final]]-STOCK[[#This Row],[Costo total]]</f>
        <v>5.6999999999999993</v>
      </c>
      <c r="X531" s="53">
        <f>STOCK[[#This Row],[Ganancia Unitaria]]*STOCK[[#This Row],[Salidas]]</f>
        <v>5.6999999999999993</v>
      </c>
      <c r="Y531" s="53" t="s">
        <v>1086</v>
      </c>
      <c r="AA531" s="53">
        <f>STOCK[[#This Row],[Costo total]]*STOCK[[#This Row],[Entradas]]</f>
        <v>19.3</v>
      </c>
      <c r="AB531" s="53">
        <f>STOCK[[#This Row],[Stock Actual]]*STOCK[[#This Row],[Costo total]]</f>
        <v>0</v>
      </c>
    </row>
    <row r="532" spans="1:28" s="54" customFormat="1" ht="50" customHeight="1">
      <c r="A532" s="54" t="s">
        <v>1087</v>
      </c>
      <c r="B532" s="64"/>
      <c r="C532" s="54" t="s">
        <v>32</v>
      </c>
      <c r="D532" s="54" t="s">
        <v>38</v>
      </c>
      <c r="E532" s="66" t="s">
        <v>1088</v>
      </c>
      <c r="F532" s="54" t="s">
        <v>394</v>
      </c>
      <c r="G532" s="54" t="s">
        <v>36</v>
      </c>
      <c r="H532" s="54">
        <f>STOCK[[#This Row],[Precio Final]]</f>
        <v>10</v>
      </c>
      <c r="I532" s="54">
        <f>STOCK[[#This Row],[Precio Venta Ideal (x1.5)]]</f>
        <v>8.2830882352941142</v>
      </c>
      <c r="J532" s="70">
        <v>1</v>
      </c>
      <c r="K532" s="70">
        <f>SUMIFS(VENTAS[Cantidad],VENTAS[Código del producto Vendido],STOCK[[#This Row],[Code]])</f>
        <v>1</v>
      </c>
      <c r="L532" s="70">
        <f>STOCK[[#This Row],[Entradas]]-STOCK[[#This Row],[Salidas]]</f>
        <v>0</v>
      </c>
      <c r="M532" s="54">
        <f>STOCK[[#This Row],[Precio Final]]*10%</f>
        <v>1</v>
      </c>
      <c r="N532" s="54">
        <v>62</v>
      </c>
      <c r="O532" s="54">
        <v>17</v>
      </c>
      <c r="P532" s="54">
        <v>3.6470588235294099</v>
      </c>
      <c r="Q532" s="70">
        <v>50</v>
      </c>
      <c r="R532" s="54">
        <v>17.5</v>
      </c>
      <c r="S532" s="54">
        <f>STOCK[[#This Row],[Peso (g)]]*STOCK[[#This Row],[Precio Envío Kilogramo (USD)]]/1000</f>
        <v>0.875</v>
      </c>
      <c r="T532" s="53">
        <f>STOCK[[#This Row],[Costo Unitario (USD)]]+STOCK[[#This Row],[Costo Envío (USD)]]+STOCK[[#This Row],[Comisión 10%]]</f>
        <v>5.5220588235294095</v>
      </c>
      <c r="U532" s="54">
        <f>STOCK[[#This Row],[Costo total]]*1.5</f>
        <v>8.2830882352941142</v>
      </c>
      <c r="V532" s="54">
        <v>10</v>
      </c>
      <c r="W532" s="54">
        <f>STOCK[[#This Row],[Precio Final]]-STOCK[[#This Row],[Costo total]]</f>
        <v>4.4779411764705905</v>
      </c>
      <c r="X532" s="54">
        <f>STOCK[[#This Row],[Ganancia Unitaria]]*STOCK[[#This Row],[Salidas]]</f>
        <v>4.4779411764705905</v>
      </c>
      <c r="Y532" s="54" t="s">
        <v>927</v>
      </c>
      <c r="AA532" s="54">
        <f>STOCK[[#This Row],[Costo total]]*STOCK[[#This Row],[Entradas]]</f>
        <v>5.5220588235294095</v>
      </c>
      <c r="AB532" s="54">
        <f>STOCK[[#This Row],[Stock Actual]]*STOCK[[#This Row],[Costo total]]</f>
        <v>0</v>
      </c>
    </row>
    <row r="533" spans="1:28" s="53" customFormat="1" ht="50" customHeight="1">
      <c r="A533" s="53" t="s">
        <v>1089</v>
      </c>
      <c r="B533" s="64"/>
      <c r="C533" s="53" t="s">
        <v>32</v>
      </c>
      <c r="D533" s="53" t="s">
        <v>38</v>
      </c>
      <c r="E533" s="65" t="s">
        <v>1090</v>
      </c>
      <c r="F533" s="53" t="s">
        <v>62</v>
      </c>
      <c r="G533" s="53" t="s">
        <v>36</v>
      </c>
      <c r="H533" s="53">
        <f>STOCK[[#This Row],[Precio Final]]</f>
        <v>10</v>
      </c>
      <c r="I533" s="53">
        <f>STOCK[[#This Row],[Precio Venta Ideal (x1.5)]]</f>
        <v>11.885294117647064</v>
      </c>
      <c r="J533" s="69">
        <v>1</v>
      </c>
      <c r="K533" s="69">
        <f>SUMIFS(VENTAS[Cantidad],VENTAS[Código del producto Vendido],STOCK[[#This Row],[Code]])</f>
        <v>1</v>
      </c>
      <c r="L533" s="69">
        <f>STOCK[[#This Row],[Entradas]]-STOCK[[#This Row],[Salidas]]</f>
        <v>0</v>
      </c>
      <c r="M533" s="53">
        <f>STOCK[[#This Row],[Precio Final]]*10%</f>
        <v>1</v>
      </c>
      <c r="N533" s="53">
        <v>82</v>
      </c>
      <c r="O533" s="53">
        <v>17</v>
      </c>
      <c r="P533" s="53">
        <v>4.8235294117647101</v>
      </c>
      <c r="Q533" s="69">
        <v>120</v>
      </c>
      <c r="R533" s="53">
        <v>17.5</v>
      </c>
      <c r="S533" s="53">
        <f>STOCK[[#This Row],[Peso (g)]]*STOCK[[#This Row],[Precio Envío Kilogramo (USD)]]/1000</f>
        <v>2.1</v>
      </c>
      <c r="T533" s="53">
        <f>STOCK[[#This Row],[Costo Unitario (USD)]]+STOCK[[#This Row],[Costo Envío (USD)]]+STOCK[[#This Row],[Comisión 10%]]</f>
        <v>7.9235294117647097</v>
      </c>
      <c r="U533" s="53">
        <f>STOCK[[#This Row],[Costo total]]*1.5</f>
        <v>11.885294117647064</v>
      </c>
      <c r="V533" s="53">
        <v>10</v>
      </c>
      <c r="W533" s="53">
        <f>STOCK[[#This Row],[Precio Final]]-STOCK[[#This Row],[Costo total]]</f>
        <v>2.0764705882352903</v>
      </c>
      <c r="X533" s="53">
        <f>STOCK[[#This Row],[Ganancia Unitaria]]*STOCK[[#This Row],[Salidas]]</f>
        <v>2.0764705882352903</v>
      </c>
      <c r="Y533" s="53" t="s">
        <v>927</v>
      </c>
      <c r="AA533" s="53">
        <f>STOCK[[#This Row],[Costo total]]*STOCK[[#This Row],[Entradas]]</f>
        <v>7.9235294117647097</v>
      </c>
      <c r="AB533" s="53">
        <f>STOCK[[#This Row],[Stock Actual]]*STOCK[[#This Row],[Costo total]]</f>
        <v>0</v>
      </c>
    </row>
    <row r="534" spans="1:28" s="54" customFormat="1" ht="50" customHeight="1">
      <c r="A534" s="54" t="s">
        <v>1091</v>
      </c>
      <c r="B534" s="64"/>
      <c r="C534" s="54" t="s">
        <v>32</v>
      </c>
      <c r="D534" s="54" t="s">
        <v>38</v>
      </c>
      <c r="E534" s="66" t="s">
        <v>1092</v>
      </c>
      <c r="F534" s="54" t="s">
        <v>46</v>
      </c>
      <c r="G534" s="54" t="s">
        <v>36</v>
      </c>
      <c r="H534" s="54">
        <f>STOCK[[#This Row],[Precio Final]]</f>
        <v>28</v>
      </c>
      <c r="I534" s="54">
        <f>STOCK[[#This Row],[Precio Venta Ideal (x1.5)]]</f>
        <v>34.919117647058854</v>
      </c>
      <c r="J534" s="70">
        <v>2</v>
      </c>
      <c r="K534" s="70">
        <f>SUMIFS(VENTAS[Cantidad],VENTAS[Código del producto Vendido],STOCK[[#This Row],[Code]])</f>
        <v>2</v>
      </c>
      <c r="L534" s="70">
        <f>STOCK[[#This Row],[Entradas]]-STOCK[[#This Row],[Salidas]]</f>
        <v>0</v>
      </c>
      <c r="M534" s="54">
        <f>STOCK[[#This Row],[Precio Final]]*10%</f>
        <v>2.8000000000000003</v>
      </c>
      <c r="N534" s="54">
        <v>247</v>
      </c>
      <c r="O534" s="54">
        <v>17</v>
      </c>
      <c r="P534" s="54">
        <v>14.5294117647059</v>
      </c>
      <c r="Q534" s="70">
        <v>340</v>
      </c>
      <c r="R534" s="54">
        <v>17.5</v>
      </c>
      <c r="S534" s="54">
        <f>STOCK[[#This Row],[Peso (g)]]*STOCK[[#This Row],[Precio Envío Kilogramo (USD)]]/1000</f>
        <v>5.95</v>
      </c>
      <c r="T534" s="53">
        <f>STOCK[[#This Row],[Costo Unitario (USD)]]+STOCK[[#This Row],[Costo Envío (USD)]]+STOCK[[#This Row],[Comisión 10%]]</f>
        <v>23.279411764705902</v>
      </c>
      <c r="U534" s="54">
        <f>STOCK[[#This Row],[Costo total]]*1.5</f>
        <v>34.919117647058854</v>
      </c>
      <c r="V534" s="54">
        <v>28</v>
      </c>
      <c r="W534" s="54">
        <f>STOCK[[#This Row],[Precio Final]]-STOCK[[#This Row],[Costo total]]</f>
        <v>4.7205882352940982</v>
      </c>
      <c r="X534" s="54">
        <f>STOCK[[#This Row],[Ganancia Unitaria]]*STOCK[[#This Row],[Salidas]]</f>
        <v>9.4411764705881964</v>
      </c>
      <c r="Y534" s="54" t="s">
        <v>927</v>
      </c>
      <c r="AA534" s="54">
        <f>STOCK[[#This Row],[Costo total]]*STOCK[[#This Row],[Entradas]]</f>
        <v>46.558823529411804</v>
      </c>
      <c r="AB534" s="54">
        <f>STOCK[[#This Row],[Stock Actual]]*STOCK[[#This Row],[Costo total]]</f>
        <v>0</v>
      </c>
    </row>
    <row r="535" spans="1:28" s="53" customFormat="1" ht="50" customHeight="1">
      <c r="A535" s="53" t="s">
        <v>1093</v>
      </c>
      <c r="B535" s="64"/>
      <c r="C535" s="53" t="s">
        <v>32</v>
      </c>
      <c r="D535" s="53" t="s">
        <v>38</v>
      </c>
      <c r="E535" s="65" t="s">
        <v>1092</v>
      </c>
      <c r="F535" s="53" t="s">
        <v>42</v>
      </c>
      <c r="G535" s="53" t="s">
        <v>36</v>
      </c>
      <c r="H535" s="53">
        <f>STOCK[[#This Row],[Precio Final]]</f>
        <v>28</v>
      </c>
      <c r="I535" s="53">
        <f>STOCK[[#This Row],[Precio Venta Ideal (x1.5)]]</f>
        <v>34.919117647058854</v>
      </c>
      <c r="J535" s="69">
        <v>2</v>
      </c>
      <c r="K535" s="69">
        <f>SUMIFS(VENTAS[Cantidad],VENTAS[Código del producto Vendido],STOCK[[#This Row],[Code]])</f>
        <v>2</v>
      </c>
      <c r="L535" s="69">
        <f>STOCK[[#This Row],[Entradas]]-STOCK[[#This Row],[Salidas]]</f>
        <v>0</v>
      </c>
      <c r="M535" s="53">
        <f>STOCK[[#This Row],[Precio Final]]*10%</f>
        <v>2.8000000000000003</v>
      </c>
      <c r="N535" s="53">
        <v>247</v>
      </c>
      <c r="O535" s="53">
        <v>17</v>
      </c>
      <c r="P535" s="53">
        <v>14.5294117647059</v>
      </c>
      <c r="Q535" s="69">
        <v>340</v>
      </c>
      <c r="R535" s="53">
        <v>17.5</v>
      </c>
      <c r="S535" s="53">
        <f>STOCK[[#This Row],[Peso (g)]]*STOCK[[#This Row],[Precio Envío Kilogramo (USD)]]/1000</f>
        <v>5.95</v>
      </c>
      <c r="T535" s="53">
        <f>STOCK[[#This Row],[Costo Unitario (USD)]]+STOCK[[#This Row],[Costo Envío (USD)]]+STOCK[[#This Row],[Comisión 10%]]</f>
        <v>23.279411764705902</v>
      </c>
      <c r="U535" s="53">
        <f>STOCK[[#This Row],[Costo total]]*1.5</f>
        <v>34.919117647058854</v>
      </c>
      <c r="V535" s="53">
        <v>28</v>
      </c>
      <c r="W535" s="53">
        <f>STOCK[[#This Row],[Precio Final]]-STOCK[[#This Row],[Costo total]]</f>
        <v>4.7205882352940982</v>
      </c>
      <c r="X535" s="53">
        <f>STOCK[[#This Row],[Ganancia Unitaria]]*STOCK[[#This Row],[Salidas]]</f>
        <v>9.4411764705881964</v>
      </c>
      <c r="Y535" s="53" t="s">
        <v>927</v>
      </c>
      <c r="AA535" s="53">
        <f>STOCK[[#This Row],[Costo total]]*STOCK[[#This Row],[Entradas]]</f>
        <v>46.558823529411804</v>
      </c>
      <c r="AB535" s="53">
        <f>STOCK[[#This Row],[Stock Actual]]*STOCK[[#This Row],[Costo total]]</f>
        <v>0</v>
      </c>
    </row>
    <row r="536" spans="1:28" s="54" customFormat="1" ht="50" customHeight="1">
      <c r="A536" s="54" t="s">
        <v>1094</v>
      </c>
      <c r="B536" s="64"/>
      <c r="C536" s="54" t="s">
        <v>32</v>
      </c>
      <c r="D536" s="54" t="s">
        <v>155</v>
      </c>
      <c r="E536" s="66" t="s">
        <v>1095</v>
      </c>
      <c r="F536" s="54" t="s">
        <v>92</v>
      </c>
      <c r="G536" s="54" t="s">
        <v>36</v>
      </c>
      <c r="H536" s="54">
        <f>STOCK[[#This Row],[Precio Final]]</f>
        <v>40</v>
      </c>
      <c r="I536" s="54">
        <f>STOCK[[#This Row],[Precio Venta Ideal (x1.5)]]</f>
        <v>54.397058823529349</v>
      </c>
      <c r="J536" s="70">
        <v>1</v>
      </c>
      <c r="K536" s="70">
        <f>SUMIFS(VENTAS[Cantidad],VENTAS[Código del producto Vendido],STOCK[[#This Row],[Code]])</f>
        <v>1</v>
      </c>
      <c r="L536" s="70">
        <f>STOCK[[#This Row],[Entradas]]-STOCK[[#This Row],[Salidas]]</f>
        <v>0</v>
      </c>
      <c r="M536" s="54">
        <f>STOCK[[#This Row],[Precio Final]]*10%</f>
        <v>4</v>
      </c>
      <c r="N536" s="54">
        <v>370</v>
      </c>
      <c r="O536" s="54">
        <v>17</v>
      </c>
      <c r="P536" s="54">
        <v>21.764705882352899</v>
      </c>
      <c r="Q536" s="70">
        <v>600</v>
      </c>
      <c r="R536" s="54">
        <v>17.5</v>
      </c>
      <c r="S536" s="54">
        <f>STOCK[[#This Row],[Peso (g)]]*STOCK[[#This Row],[Precio Envío Kilogramo (USD)]]/1000</f>
        <v>10.5</v>
      </c>
      <c r="T536" s="53">
        <f>STOCK[[#This Row],[Costo Unitario (USD)]]+STOCK[[#This Row],[Costo Envío (USD)]]+STOCK[[#This Row],[Comisión 10%]]</f>
        <v>36.264705882352899</v>
      </c>
      <c r="U536" s="54">
        <f>STOCK[[#This Row],[Costo total]]*1.5</f>
        <v>54.397058823529349</v>
      </c>
      <c r="V536" s="54">
        <v>40</v>
      </c>
      <c r="W536" s="54">
        <f>STOCK[[#This Row],[Precio Final]]-STOCK[[#This Row],[Costo total]]</f>
        <v>3.7352941176471006</v>
      </c>
      <c r="X536" s="54">
        <f>STOCK[[#This Row],[Ganancia Unitaria]]*STOCK[[#This Row],[Salidas]]</f>
        <v>3.7352941176471006</v>
      </c>
      <c r="AA536" s="54">
        <f>STOCK[[#This Row],[Costo total]]*STOCK[[#This Row],[Entradas]]</f>
        <v>36.264705882352899</v>
      </c>
      <c r="AB536" s="54">
        <f>STOCK[[#This Row],[Stock Actual]]*STOCK[[#This Row],[Costo total]]</f>
        <v>0</v>
      </c>
    </row>
    <row r="537" spans="1:28" s="53" customFormat="1" ht="50" customHeight="1">
      <c r="A537" s="53" t="s">
        <v>1096</v>
      </c>
      <c r="B537" s="64"/>
      <c r="C537" s="53" t="s">
        <v>32</v>
      </c>
      <c r="D537" s="53" t="s">
        <v>38</v>
      </c>
      <c r="E537" s="65" t="s">
        <v>1097</v>
      </c>
      <c r="F537" s="53" t="s">
        <v>46</v>
      </c>
      <c r="G537" s="53" t="s">
        <v>36</v>
      </c>
      <c r="H537" s="53">
        <f>STOCK[[#This Row],[Precio Final]]</f>
        <v>28</v>
      </c>
      <c r="I537" s="53">
        <f>STOCK[[#This Row],[Precio Venta Ideal (x1.5)]]</f>
        <v>33.208455882352951</v>
      </c>
      <c r="J537" s="69">
        <v>1</v>
      </c>
      <c r="K537" s="69">
        <f>SUMIFS(VENTAS[Cantidad],VENTAS[Código del producto Vendido],STOCK[[#This Row],[Code]])</f>
        <v>1</v>
      </c>
      <c r="L537" s="69">
        <f>STOCK[[#This Row],[Entradas]]-STOCK[[#This Row],[Salidas]]</f>
        <v>0</v>
      </c>
      <c r="M537" s="53">
        <f>STOCK[[#This Row],[Precio Final]]*10%</f>
        <v>2.8000000000000003</v>
      </c>
      <c r="N537" s="53">
        <v>241</v>
      </c>
      <c r="O537" s="53">
        <v>17</v>
      </c>
      <c r="P537" s="53">
        <v>14.176470588235301</v>
      </c>
      <c r="Q537" s="69">
        <v>295</v>
      </c>
      <c r="R537" s="53">
        <v>17.5</v>
      </c>
      <c r="S537" s="53">
        <f>STOCK[[#This Row],[Peso (g)]]*STOCK[[#This Row],[Precio Envío Kilogramo (USD)]]/1000</f>
        <v>5.1624999999999996</v>
      </c>
      <c r="T537" s="53">
        <f>STOCK[[#This Row],[Costo Unitario (USD)]]+STOCK[[#This Row],[Costo Envío (USD)]]+STOCK[[#This Row],[Comisión 10%]]</f>
        <v>22.138970588235299</v>
      </c>
      <c r="U537" s="53">
        <f>STOCK[[#This Row],[Costo total]]*1.5</f>
        <v>33.208455882352951</v>
      </c>
      <c r="V537" s="53">
        <v>28</v>
      </c>
      <c r="W537" s="53">
        <f>STOCK[[#This Row],[Precio Final]]-STOCK[[#This Row],[Costo total]]</f>
        <v>5.8610294117647008</v>
      </c>
      <c r="X537" s="53">
        <f>STOCK[[#This Row],[Ganancia Unitaria]]*STOCK[[#This Row],[Salidas]]</f>
        <v>5.8610294117647008</v>
      </c>
      <c r="Y537" s="53" t="s">
        <v>927</v>
      </c>
      <c r="AA537" s="53">
        <f>STOCK[[#This Row],[Costo total]]*STOCK[[#This Row],[Entradas]]</f>
        <v>22.138970588235299</v>
      </c>
      <c r="AB537" s="53">
        <f>STOCK[[#This Row],[Stock Actual]]*STOCK[[#This Row],[Costo total]]</f>
        <v>0</v>
      </c>
    </row>
    <row r="538" spans="1:28" s="54" customFormat="1" ht="50" customHeight="1">
      <c r="A538" s="54" t="s">
        <v>1098</v>
      </c>
      <c r="B538" s="64"/>
      <c r="C538" s="54" t="s">
        <v>32</v>
      </c>
      <c r="D538" s="54" t="s">
        <v>38</v>
      </c>
      <c r="E538" s="66" t="s">
        <v>1097</v>
      </c>
      <c r="F538" s="54" t="s">
        <v>42</v>
      </c>
      <c r="G538" s="54" t="s">
        <v>36</v>
      </c>
      <c r="H538" s="54">
        <f>STOCK[[#This Row],[Precio Final]]</f>
        <v>28</v>
      </c>
      <c r="I538" s="54">
        <f>STOCK[[#This Row],[Precio Venta Ideal (x1.5)]]</f>
        <v>33.208455882352951</v>
      </c>
      <c r="J538" s="70">
        <v>2</v>
      </c>
      <c r="K538" s="70">
        <f>SUMIFS(VENTAS[Cantidad],VENTAS[Código del producto Vendido],STOCK[[#This Row],[Code]])</f>
        <v>2</v>
      </c>
      <c r="L538" s="70">
        <f>STOCK[[#This Row],[Entradas]]-STOCK[[#This Row],[Salidas]]</f>
        <v>0</v>
      </c>
      <c r="M538" s="54">
        <f>STOCK[[#This Row],[Precio Final]]*10%</f>
        <v>2.8000000000000003</v>
      </c>
      <c r="N538" s="54">
        <v>241</v>
      </c>
      <c r="O538" s="54">
        <v>17</v>
      </c>
      <c r="P538" s="54">
        <v>14.176470588235301</v>
      </c>
      <c r="Q538" s="70">
        <v>295</v>
      </c>
      <c r="R538" s="54">
        <v>17.5</v>
      </c>
      <c r="S538" s="54">
        <f>STOCK[[#This Row],[Peso (g)]]*STOCK[[#This Row],[Precio Envío Kilogramo (USD)]]/1000</f>
        <v>5.1624999999999996</v>
      </c>
      <c r="T538" s="53">
        <f>STOCK[[#This Row],[Costo Unitario (USD)]]+STOCK[[#This Row],[Costo Envío (USD)]]+STOCK[[#This Row],[Comisión 10%]]</f>
        <v>22.138970588235299</v>
      </c>
      <c r="U538" s="54">
        <f>STOCK[[#This Row],[Costo total]]*1.5</f>
        <v>33.208455882352951</v>
      </c>
      <c r="V538" s="54">
        <v>28</v>
      </c>
      <c r="W538" s="54">
        <f>STOCK[[#This Row],[Precio Final]]-STOCK[[#This Row],[Costo total]]</f>
        <v>5.8610294117647008</v>
      </c>
      <c r="X538" s="54">
        <f>STOCK[[#This Row],[Ganancia Unitaria]]*STOCK[[#This Row],[Salidas]]</f>
        <v>11.722058823529402</v>
      </c>
      <c r="Y538" s="54" t="s">
        <v>927</v>
      </c>
      <c r="AA538" s="54">
        <f>STOCK[[#This Row],[Costo total]]*STOCK[[#This Row],[Entradas]]</f>
        <v>44.277941176470598</v>
      </c>
      <c r="AB538" s="54">
        <f>STOCK[[#This Row],[Stock Actual]]*STOCK[[#This Row],[Costo total]]</f>
        <v>0</v>
      </c>
    </row>
    <row r="539" spans="1:28" s="53" customFormat="1" ht="50" customHeight="1">
      <c r="A539" s="53" t="s">
        <v>1099</v>
      </c>
      <c r="B539" s="64"/>
      <c r="C539" s="53" t="s">
        <v>32</v>
      </c>
      <c r="D539" s="53" t="s">
        <v>515</v>
      </c>
      <c r="E539" s="65" t="s">
        <v>1100</v>
      </c>
      <c r="F539" s="53" t="s">
        <v>765</v>
      </c>
      <c r="G539" s="53" t="s">
        <v>36</v>
      </c>
      <c r="H539" s="53">
        <f>STOCK[[#This Row],[Precio Final]]</f>
        <v>35</v>
      </c>
      <c r="I539" s="53">
        <f>STOCK[[#This Row],[Precio Venta Ideal (x1.5)]]</f>
        <v>45.529411764705898</v>
      </c>
      <c r="J539" s="69">
        <v>3</v>
      </c>
      <c r="K539" s="69">
        <f>SUMIFS(VENTAS[Cantidad],VENTAS[Código del producto Vendido],STOCK[[#This Row],[Code]])</f>
        <v>3</v>
      </c>
      <c r="L539" s="69">
        <f>STOCK[[#This Row],[Entradas]]-STOCK[[#This Row],[Salidas]]</f>
        <v>0</v>
      </c>
      <c r="M539" s="53">
        <f>STOCK[[#This Row],[Precio Final]]*10%</f>
        <v>3.5</v>
      </c>
      <c r="N539" s="53">
        <v>278</v>
      </c>
      <c r="O539" s="53">
        <v>17</v>
      </c>
      <c r="P539" s="53">
        <v>16.352941176470601</v>
      </c>
      <c r="Q539" s="69">
        <v>600</v>
      </c>
      <c r="R539" s="53">
        <v>17.5</v>
      </c>
      <c r="S539" s="53">
        <f>STOCK[[#This Row],[Peso (g)]]*STOCK[[#This Row],[Precio Envío Kilogramo (USD)]]/1000</f>
        <v>10.5</v>
      </c>
      <c r="T539" s="53">
        <f>STOCK[[#This Row],[Costo Unitario (USD)]]+STOCK[[#This Row],[Costo Envío (USD)]]+STOCK[[#This Row],[Comisión 10%]]</f>
        <v>30.352941176470601</v>
      </c>
      <c r="U539" s="53">
        <f>STOCK[[#This Row],[Costo total]]*1.5</f>
        <v>45.529411764705898</v>
      </c>
      <c r="V539" s="53">
        <v>35</v>
      </c>
      <c r="W539" s="53">
        <f>STOCK[[#This Row],[Precio Final]]-STOCK[[#This Row],[Costo total]]</f>
        <v>4.6470588235293988</v>
      </c>
      <c r="X539" s="53">
        <f>STOCK[[#This Row],[Ganancia Unitaria]]*STOCK[[#This Row],[Salidas]]</f>
        <v>13.941176470588196</v>
      </c>
      <c r="AA539" s="53">
        <f>STOCK[[#This Row],[Costo total]]*STOCK[[#This Row],[Entradas]]</f>
        <v>91.058823529411796</v>
      </c>
      <c r="AB539" s="53">
        <f>STOCK[[#This Row],[Stock Actual]]*STOCK[[#This Row],[Costo total]]</f>
        <v>0</v>
      </c>
    </row>
    <row r="540" spans="1:28" s="53" customFormat="1" ht="50" customHeight="1">
      <c r="A540" s="53" t="s">
        <v>1101</v>
      </c>
      <c r="B540" s="64"/>
      <c r="C540" s="53" t="s">
        <v>32</v>
      </c>
      <c r="D540" s="53" t="s">
        <v>515</v>
      </c>
      <c r="E540" s="65" t="s">
        <v>1100</v>
      </c>
      <c r="F540" s="53" t="s">
        <v>1102</v>
      </c>
      <c r="G540" s="53" t="s">
        <v>36</v>
      </c>
      <c r="H540" s="53">
        <f>STOCK[[#This Row],[Precio Final]]</f>
        <v>40</v>
      </c>
      <c r="I540" s="53">
        <f>STOCK[[#This Row],[Precio Venta Ideal (x1.5)]]</f>
        <v>46.279411764705898</v>
      </c>
      <c r="J540" s="69">
        <v>2</v>
      </c>
      <c r="K540" s="69">
        <f>SUMIFS(VENTAS[Cantidad],VENTAS[Código del producto Vendido],STOCK[[#This Row],[Code]])</f>
        <v>2</v>
      </c>
      <c r="L540" s="69">
        <f>STOCK[[#This Row],[Entradas]]-STOCK[[#This Row],[Salidas]]</f>
        <v>0</v>
      </c>
      <c r="M540" s="53">
        <f>STOCK[[#This Row],[Precio Final]]*10%</f>
        <v>4</v>
      </c>
      <c r="N540" s="53">
        <v>278</v>
      </c>
      <c r="O540" s="53">
        <v>17</v>
      </c>
      <c r="P540" s="53">
        <v>16.352941176470601</v>
      </c>
      <c r="Q540" s="69">
        <v>600</v>
      </c>
      <c r="R540" s="53">
        <v>17.5</v>
      </c>
      <c r="S540" s="53">
        <f>STOCK[[#This Row],[Peso (g)]]*STOCK[[#This Row],[Precio Envío Kilogramo (USD)]]/1000</f>
        <v>10.5</v>
      </c>
      <c r="T540" s="53">
        <f>STOCK[[#This Row],[Costo Unitario (USD)]]+STOCK[[#This Row],[Costo Envío (USD)]]+STOCK[[#This Row],[Comisión 10%]]</f>
        <v>30.852941176470601</v>
      </c>
      <c r="U540" s="53">
        <f>STOCK[[#This Row],[Costo total]]*1.5</f>
        <v>46.279411764705898</v>
      </c>
      <c r="V540" s="53">
        <v>40</v>
      </c>
      <c r="W540" s="53">
        <f>STOCK[[#This Row],[Precio Final]]-STOCK[[#This Row],[Costo total]]</f>
        <v>9.1470588235293988</v>
      </c>
      <c r="X540" s="53">
        <f>STOCK[[#This Row],[Ganancia Unitaria]]*STOCK[[#This Row],[Salidas]]</f>
        <v>18.294117647058798</v>
      </c>
      <c r="AA540" s="53">
        <f>STOCK[[#This Row],[Costo total]]*STOCK[[#This Row],[Entradas]]</f>
        <v>61.705882352941202</v>
      </c>
      <c r="AB540" s="53">
        <f>STOCK[[#This Row],[Stock Actual]]*STOCK[[#This Row],[Costo total]]</f>
        <v>0</v>
      </c>
    </row>
    <row r="541" spans="1:28" s="54" customFormat="1" ht="50" customHeight="1">
      <c r="A541" s="54" t="s">
        <v>1103</v>
      </c>
      <c r="B541" s="64"/>
      <c r="C541" s="54" t="s">
        <v>32</v>
      </c>
      <c r="D541" s="53" t="s">
        <v>515</v>
      </c>
      <c r="E541" s="66" t="s">
        <v>1100</v>
      </c>
      <c r="F541" s="54" t="s">
        <v>540</v>
      </c>
      <c r="G541" s="54" t="s">
        <v>36</v>
      </c>
      <c r="H541" s="54">
        <f>STOCK[[#This Row],[Precio Final]]</f>
        <v>35</v>
      </c>
      <c r="I541" s="54">
        <f>STOCK[[#This Row],[Precio Venta Ideal (x1.5)]]</f>
        <v>45.529411764705898</v>
      </c>
      <c r="J541" s="70">
        <v>2</v>
      </c>
      <c r="K541" s="70">
        <f>SUMIFS(VENTAS[Cantidad],VENTAS[Código del producto Vendido],STOCK[[#This Row],[Code]])</f>
        <v>2</v>
      </c>
      <c r="L541" s="70">
        <f>STOCK[[#This Row],[Entradas]]-STOCK[[#This Row],[Salidas]]</f>
        <v>0</v>
      </c>
      <c r="M541" s="54">
        <f>STOCK[[#This Row],[Precio Final]]*10%</f>
        <v>3.5</v>
      </c>
      <c r="N541" s="54">
        <v>278</v>
      </c>
      <c r="O541" s="54">
        <v>17</v>
      </c>
      <c r="P541" s="54">
        <v>16.352941176470601</v>
      </c>
      <c r="Q541" s="70">
        <v>600</v>
      </c>
      <c r="R541" s="54">
        <v>17.5</v>
      </c>
      <c r="S541" s="54">
        <f>STOCK[[#This Row],[Peso (g)]]*STOCK[[#This Row],[Precio Envío Kilogramo (USD)]]/1000</f>
        <v>10.5</v>
      </c>
      <c r="T541" s="53">
        <f>STOCK[[#This Row],[Costo Unitario (USD)]]+STOCK[[#This Row],[Costo Envío (USD)]]+STOCK[[#This Row],[Comisión 10%]]</f>
        <v>30.352941176470601</v>
      </c>
      <c r="U541" s="54">
        <f>STOCK[[#This Row],[Costo total]]*1.5</f>
        <v>45.529411764705898</v>
      </c>
      <c r="V541" s="54">
        <v>35</v>
      </c>
      <c r="W541" s="54">
        <f>STOCK[[#This Row],[Precio Final]]-STOCK[[#This Row],[Costo total]]</f>
        <v>4.6470588235293988</v>
      </c>
      <c r="X541" s="54">
        <f>STOCK[[#This Row],[Ganancia Unitaria]]*STOCK[[#This Row],[Salidas]]</f>
        <v>9.2941176470587976</v>
      </c>
      <c r="AA541" s="54">
        <f>STOCK[[#This Row],[Costo total]]*STOCK[[#This Row],[Entradas]]</f>
        <v>60.705882352941202</v>
      </c>
      <c r="AB541" s="54">
        <f>STOCK[[#This Row],[Stock Actual]]*STOCK[[#This Row],[Costo total]]</f>
        <v>0</v>
      </c>
    </row>
    <row r="542" spans="1:28" s="53" customFormat="1" ht="50" customHeight="1">
      <c r="A542" s="53" t="s">
        <v>1104</v>
      </c>
      <c r="B542" s="64"/>
      <c r="C542" s="53" t="s">
        <v>32</v>
      </c>
      <c r="D542" s="53" t="s">
        <v>302</v>
      </c>
      <c r="E542" s="65" t="s">
        <v>1105</v>
      </c>
      <c r="F542" s="53" t="s">
        <v>49</v>
      </c>
      <c r="G542" s="53" t="s">
        <v>36</v>
      </c>
      <c r="H542" s="53">
        <f>STOCK[[#This Row],[Precio Final]]</f>
        <v>22</v>
      </c>
      <c r="I542" s="53">
        <f>STOCK[[#This Row],[Precio Venta Ideal (x1.5)]]</f>
        <v>25.122794117647068</v>
      </c>
      <c r="J542" s="69">
        <v>1</v>
      </c>
      <c r="K542" s="69">
        <f>SUMIFS(VENTAS[Cantidad],VENTAS[Código del producto Vendido],STOCK[[#This Row],[Code]])</f>
        <v>1</v>
      </c>
      <c r="L542" s="69">
        <f>STOCK[[#This Row],[Entradas]]-STOCK[[#This Row],[Salidas]]</f>
        <v>0</v>
      </c>
      <c r="M542" s="53">
        <f>STOCK[[#This Row],[Precio Final]]*10%</f>
        <v>2.2000000000000002</v>
      </c>
      <c r="N542" s="53">
        <v>167</v>
      </c>
      <c r="O542" s="53">
        <v>17</v>
      </c>
      <c r="P542" s="53">
        <v>9.8235294117647101</v>
      </c>
      <c r="Q542" s="69">
        <v>270</v>
      </c>
      <c r="R542" s="53">
        <v>17.5</v>
      </c>
      <c r="S542" s="53">
        <f>STOCK[[#This Row],[Peso (g)]]*STOCK[[#This Row],[Precio Envío Kilogramo (USD)]]/1000</f>
        <v>4.7249999999999996</v>
      </c>
      <c r="T542" s="53">
        <f>STOCK[[#This Row],[Costo Unitario (USD)]]+STOCK[[#This Row],[Costo Envío (USD)]]+STOCK[[#This Row],[Comisión 10%]]</f>
        <v>16.748529411764711</v>
      </c>
      <c r="U542" s="53">
        <f>STOCK[[#This Row],[Costo total]]*1.5</f>
        <v>25.122794117647068</v>
      </c>
      <c r="V542" s="53">
        <v>22</v>
      </c>
      <c r="W542" s="53">
        <f>STOCK[[#This Row],[Precio Final]]-STOCK[[#This Row],[Costo total]]</f>
        <v>5.2514705882352892</v>
      </c>
      <c r="X542" s="53">
        <f>STOCK[[#This Row],[Ganancia Unitaria]]*STOCK[[#This Row],[Salidas]]</f>
        <v>5.2514705882352892</v>
      </c>
      <c r="Y542" s="53" t="s">
        <v>927</v>
      </c>
      <c r="AA542" s="53">
        <f>STOCK[[#This Row],[Costo total]]*STOCK[[#This Row],[Entradas]]</f>
        <v>16.748529411764711</v>
      </c>
      <c r="AB542" s="53">
        <f>STOCK[[#This Row],[Stock Actual]]*STOCK[[#This Row],[Costo total]]</f>
        <v>0</v>
      </c>
    </row>
    <row r="543" spans="1:28" s="54" customFormat="1" ht="50" customHeight="1">
      <c r="A543" s="54" t="s">
        <v>1106</v>
      </c>
      <c r="B543" s="64"/>
      <c r="C543" s="54" t="s">
        <v>32</v>
      </c>
      <c r="D543" s="54" t="s">
        <v>302</v>
      </c>
      <c r="E543" s="66" t="s">
        <v>1105</v>
      </c>
      <c r="F543" s="54" t="s">
        <v>46</v>
      </c>
      <c r="G543" s="54" t="s">
        <v>36</v>
      </c>
      <c r="H543" s="54">
        <f>STOCK[[#This Row],[Precio Final]]</f>
        <v>25</v>
      </c>
      <c r="I543" s="54">
        <f>STOCK[[#This Row],[Precio Venta Ideal (x1.5)]]</f>
        <v>25.572794117647067</v>
      </c>
      <c r="J543" s="70">
        <v>2</v>
      </c>
      <c r="K543" s="70">
        <f>SUMIFS(VENTAS[Cantidad],VENTAS[Código del producto Vendido],STOCK[[#This Row],[Code]])</f>
        <v>2</v>
      </c>
      <c r="L543" s="70">
        <f>STOCK[[#This Row],[Entradas]]-STOCK[[#This Row],[Salidas]]</f>
        <v>0</v>
      </c>
      <c r="M543" s="54">
        <f>STOCK[[#This Row],[Precio Final]]*10%</f>
        <v>2.5</v>
      </c>
      <c r="N543" s="54">
        <v>167</v>
      </c>
      <c r="O543" s="54">
        <v>17</v>
      </c>
      <c r="P543" s="54">
        <v>9.8235294117647101</v>
      </c>
      <c r="Q543" s="70">
        <v>270</v>
      </c>
      <c r="R543" s="54">
        <v>17.5</v>
      </c>
      <c r="S543" s="54">
        <f>STOCK[[#This Row],[Peso (g)]]*STOCK[[#This Row],[Precio Envío Kilogramo (USD)]]/1000</f>
        <v>4.7249999999999996</v>
      </c>
      <c r="T543" s="53">
        <f>STOCK[[#This Row],[Costo Unitario (USD)]]+STOCK[[#This Row],[Costo Envío (USD)]]+STOCK[[#This Row],[Comisión 10%]]</f>
        <v>17.048529411764711</v>
      </c>
      <c r="U543" s="54">
        <f>STOCK[[#This Row],[Costo total]]*1.5</f>
        <v>25.572794117647067</v>
      </c>
      <c r="V543" s="54">
        <v>25</v>
      </c>
      <c r="W543" s="54">
        <f>STOCK[[#This Row],[Precio Final]]-STOCK[[#This Row],[Costo total]]</f>
        <v>7.9514705882352885</v>
      </c>
      <c r="X543" s="54">
        <f>STOCK[[#This Row],[Ganancia Unitaria]]*STOCK[[#This Row],[Salidas]]</f>
        <v>15.902941176470577</v>
      </c>
      <c r="Y543" s="54" t="s">
        <v>927</v>
      </c>
      <c r="AA543" s="54">
        <f>STOCK[[#This Row],[Costo total]]*STOCK[[#This Row],[Entradas]]</f>
        <v>34.097058823529423</v>
      </c>
      <c r="AB543" s="54">
        <f>STOCK[[#This Row],[Stock Actual]]*STOCK[[#This Row],[Costo total]]</f>
        <v>0</v>
      </c>
    </row>
    <row r="544" spans="1:28" s="53" customFormat="1" ht="50" customHeight="1">
      <c r="A544" s="53" t="s">
        <v>1107</v>
      </c>
      <c r="B544" s="64"/>
      <c r="C544" s="53" t="s">
        <v>32</v>
      </c>
      <c r="D544" s="53" t="s">
        <v>302</v>
      </c>
      <c r="E544" s="65" t="s">
        <v>1108</v>
      </c>
      <c r="F544" s="53" t="s">
        <v>1109</v>
      </c>
      <c r="G544" s="53" t="s">
        <v>36</v>
      </c>
      <c r="H544" s="53">
        <f>STOCK[[#This Row],[Precio Final]]</f>
        <v>28</v>
      </c>
      <c r="I544" s="53">
        <f>STOCK[[#This Row],[Precio Venta Ideal (x1.5)]]</f>
        <v>31.841911764705902</v>
      </c>
      <c r="J544" s="69">
        <v>1</v>
      </c>
      <c r="K544" s="69">
        <f>SUMIFS(VENTAS[Cantidad],VENTAS[Código del producto Vendido],STOCK[[#This Row],[Code]])</f>
        <v>1</v>
      </c>
      <c r="L544" s="69">
        <f>STOCK[[#This Row],[Entradas]]-STOCK[[#This Row],[Salidas]]</f>
        <v>0</v>
      </c>
      <c r="M544" s="53">
        <f>STOCK[[#This Row],[Precio Final]]*10%</f>
        <v>2.8000000000000003</v>
      </c>
      <c r="N544" s="53">
        <v>227</v>
      </c>
      <c r="O544" s="53">
        <v>17</v>
      </c>
      <c r="P544" s="53">
        <v>13.352941176470599</v>
      </c>
      <c r="Q544" s="69">
        <v>290</v>
      </c>
      <c r="R544" s="53">
        <v>17.5</v>
      </c>
      <c r="S544" s="53">
        <f>STOCK[[#This Row],[Peso (g)]]*STOCK[[#This Row],[Precio Envío Kilogramo (USD)]]/1000</f>
        <v>5.0750000000000002</v>
      </c>
      <c r="T544" s="53">
        <f>STOCK[[#This Row],[Costo Unitario (USD)]]+STOCK[[#This Row],[Costo Envío (USD)]]+STOCK[[#This Row],[Comisión 10%]]</f>
        <v>21.227941176470601</v>
      </c>
      <c r="U544" s="53">
        <f>STOCK[[#This Row],[Costo total]]*1.5</f>
        <v>31.841911764705902</v>
      </c>
      <c r="V544" s="53">
        <v>28</v>
      </c>
      <c r="W544" s="53">
        <f>STOCK[[#This Row],[Precio Final]]-STOCK[[#This Row],[Costo total]]</f>
        <v>6.7720588235293988</v>
      </c>
      <c r="X544" s="53">
        <f>STOCK[[#This Row],[Ganancia Unitaria]]*STOCK[[#This Row],[Salidas]]</f>
        <v>6.7720588235293988</v>
      </c>
      <c r="AA544" s="53">
        <f>STOCK[[#This Row],[Costo total]]*STOCK[[#This Row],[Entradas]]</f>
        <v>21.227941176470601</v>
      </c>
      <c r="AB544" s="53">
        <f>STOCK[[#This Row],[Stock Actual]]*STOCK[[#This Row],[Costo total]]</f>
        <v>0</v>
      </c>
    </row>
    <row r="545" spans="1:28" s="54" customFormat="1" ht="50" customHeight="1">
      <c r="A545" s="54" t="s">
        <v>1110</v>
      </c>
      <c r="B545" s="64"/>
      <c r="C545" s="54" t="s">
        <v>32</v>
      </c>
      <c r="D545" s="54" t="s">
        <v>302</v>
      </c>
      <c r="E545" s="66" t="s">
        <v>1111</v>
      </c>
      <c r="F545" s="54" t="s">
        <v>49</v>
      </c>
      <c r="G545" s="54" t="s">
        <v>36</v>
      </c>
      <c r="H545" s="54">
        <f>STOCK[[#This Row],[Precio Final]]</f>
        <v>30</v>
      </c>
      <c r="I545" s="54">
        <f>STOCK[[#This Row],[Precio Venta Ideal (x1.5)]]</f>
        <v>32.141911764705902</v>
      </c>
      <c r="J545" s="70">
        <v>1</v>
      </c>
      <c r="K545" s="70">
        <f>SUMIFS(VENTAS[Cantidad],VENTAS[Código del producto Vendido],STOCK[[#This Row],[Code]])</f>
        <v>1</v>
      </c>
      <c r="L545" s="70">
        <f>STOCK[[#This Row],[Entradas]]-STOCK[[#This Row],[Salidas]]</f>
        <v>0</v>
      </c>
      <c r="M545" s="54">
        <f>STOCK[[#This Row],[Precio Final]]*10%</f>
        <v>3</v>
      </c>
      <c r="N545" s="54">
        <v>227</v>
      </c>
      <c r="O545" s="54">
        <v>17</v>
      </c>
      <c r="P545" s="54">
        <v>13.352941176470599</v>
      </c>
      <c r="Q545" s="70">
        <v>290</v>
      </c>
      <c r="R545" s="54">
        <v>17.5</v>
      </c>
      <c r="S545" s="54">
        <f>STOCK[[#This Row],[Peso (g)]]*STOCK[[#This Row],[Precio Envío Kilogramo (USD)]]/1000</f>
        <v>5.0750000000000002</v>
      </c>
      <c r="T545" s="53">
        <f>STOCK[[#This Row],[Costo Unitario (USD)]]+STOCK[[#This Row],[Costo Envío (USD)]]+STOCK[[#This Row],[Comisión 10%]]</f>
        <v>21.4279411764706</v>
      </c>
      <c r="U545" s="54">
        <f>STOCK[[#This Row],[Costo total]]*1.5</f>
        <v>32.141911764705902</v>
      </c>
      <c r="V545" s="54">
        <v>30</v>
      </c>
      <c r="W545" s="54">
        <f>STOCK[[#This Row],[Precio Final]]-STOCK[[#This Row],[Costo total]]</f>
        <v>8.5720588235293995</v>
      </c>
      <c r="X545" s="54">
        <f>STOCK[[#This Row],[Ganancia Unitaria]]*STOCK[[#This Row],[Salidas]]</f>
        <v>8.5720588235293995</v>
      </c>
      <c r="AA545" s="54">
        <f>STOCK[[#This Row],[Costo total]]*STOCK[[#This Row],[Entradas]]</f>
        <v>21.4279411764706</v>
      </c>
      <c r="AB545" s="54">
        <f>STOCK[[#This Row],[Stock Actual]]*STOCK[[#This Row],[Costo total]]</f>
        <v>0</v>
      </c>
    </row>
    <row r="546" spans="1:28" s="53" customFormat="1" ht="50" customHeight="1">
      <c r="A546" s="53" t="s">
        <v>1112</v>
      </c>
      <c r="B546" s="64"/>
      <c r="C546" s="53" t="s">
        <v>32</v>
      </c>
      <c r="D546" s="53" t="s">
        <v>302</v>
      </c>
      <c r="E546" s="65" t="s">
        <v>1111</v>
      </c>
      <c r="F546" s="53" t="s">
        <v>46</v>
      </c>
      <c r="G546" s="53" t="s">
        <v>36</v>
      </c>
      <c r="H546" s="53">
        <f>STOCK[[#This Row],[Precio Final]]</f>
        <v>22</v>
      </c>
      <c r="I546" s="53">
        <f>STOCK[[#This Row],[Precio Venta Ideal (x1.5)]]</f>
        <v>30.9419117647059</v>
      </c>
      <c r="J546" s="69">
        <v>1</v>
      </c>
      <c r="K546" s="69">
        <f>SUMIFS(VENTAS[Cantidad],VENTAS[Código del producto Vendido],STOCK[[#This Row],[Code]])</f>
        <v>1</v>
      </c>
      <c r="L546" s="69">
        <f>STOCK[[#This Row],[Entradas]]-STOCK[[#This Row],[Salidas]]</f>
        <v>0</v>
      </c>
      <c r="M546" s="53">
        <f>STOCK[[#This Row],[Precio Final]]*10%</f>
        <v>2.2000000000000002</v>
      </c>
      <c r="N546" s="53">
        <v>227</v>
      </c>
      <c r="O546" s="53">
        <v>17</v>
      </c>
      <c r="P546" s="53">
        <v>13.352941176470599</v>
      </c>
      <c r="Q546" s="69">
        <v>290</v>
      </c>
      <c r="R546" s="53">
        <v>17.5</v>
      </c>
      <c r="S546" s="53">
        <f>STOCK[[#This Row],[Peso (g)]]*STOCK[[#This Row],[Precio Envío Kilogramo (USD)]]/1000</f>
        <v>5.0750000000000002</v>
      </c>
      <c r="T546" s="53">
        <f>STOCK[[#This Row],[Costo Unitario (USD)]]+STOCK[[#This Row],[Costo Envío (USD)]]+STOCK[[#This Row],[Comisión 10%]]</f>
        <v>20.6279411764706</v>
      </c>
      <c r="U546" s="53">
        <f>STOCK[[#This Row],[Costo total]]*1.5</f>
        <v>30.9419117647059</v>
      </c>
      <c r="V546" s="53">
        <v>22</v>
      </c>
      <c r="W546" s="53">
        <f>STOCK[[#This Row],[Precio Final]]-STOCK[[#This Row],[Costo total]]</f>
        <v>1.3720588235294002</v>
      </c>
      <c r="X546" s="53">
        <f>STOCK[[#This Row],[Ganancia Unitaria]]*STOCK[[#This Row],[Salidas]]</f>
        <v>1.3720588235294002</v>
      </c>
      <c r="AA546" s="53">
        <f>STOCK[[#This Row],[Costo total]]*STOCK[[#This Row],[Entradas]]</f>
        <v>20.6279411764706</v>
      </c>
      <c r="AB546" s="53">
        <f>STOCK[[#This Row],[Stock Actual]]*STOCK[[#This Row],[Costo total]]</f>
        <v>0</v>
      </c>
    </row>
    <row r="547" spans="1:28" s="54" customFormat="1" ht="50" customHeight="1">
      <c r="A547" s="54" t="s">
        <v>1113</v>
      </c>
      <c r="B547" s="64"/>
      <c r="C547" s="54" t="s">
        <v>32</v>
      </c>
      <c r="D547" s="54" t="s">
        <v>351</v>
      </c>
      <c r="E547" s="66" t="s">
        <v>1114</v>
      </c>
      <c r="F547" s="54" t="s">
        <v>394</v>
      </c>
      <c r="G547" s="54" t="s">
        <v>36</v>
      </c>
      <c r="H547" s="54">
        <f>STOCK[[#This Row],[Precio Final]]</f>
        <v>20</v>
      </c>
      <c r="I547" s="54">
        <f>STOCK[[#This Row],[Precio Venta Ideal (x1.5)]]</f>
        <v>20.743014705882363</v>
      </c>
      <c r="J547" s="70">
        <v>2</v>
      </c>
      <c r="K547" s="70">
        <f>SUMIFS(VENTAS[Cantidad],VENTAS[Código del producto Vendido],STOCK[[#This Row],[Code]])</f>
        <v>2</v>
      </c>
      <c r="L547" s="70">
        <f>STOCK[[#This Row],[Entradas]]-STOCK[[#This Row],[Salidas]]</f>
        <v>0</v>
      </c>
      <c r="M547" s="54">
        <f>STOCK[[#This Row],[Precio Final]]*10%</f>
        <v>2</v>
      </c>
      <c r="N547" s="54">
        <v>152</v>
      </c>
      <c r="O547" s="54">
        <v>17</v>
      </c>
      <c r="P547" s="54">
        <v>8.9411764705882408</v>
      </c>
      <c r="Q547" s="70">
        <v>165</v>
      </c>
      <c r="R547" s="54">
        <v>17.5</v>
      </c>
      <c r="S547" s="54">
        <f>STOCK[[#This Row],[Peso (g)]]*STOCK[[#This Row],[Precio Envío Kilogramo (USD)]]/1000</f>
        <v>2.8875000000000002</v>
      </c>
      <c r="T547" s="53">
        <f>STOCK[[#This Row],[Costo Unitario (USD)]]+STOCK[[#This Row],[Costo Envío (USD)]]+STOCK[[#This Row],[Comisión 10%]]</f>
        <v>13.828676470588242</v>
      </c>
      <c r="U547" s="54">
        <f>STOCK[[#This Row],[Costo total]]*1.5</f>
        <v>20.743014705882363</v>
      </c>
      <c r="V547" s="54">
        <v>20</v>
      </c>
      <c r="W547" s="54">
        <f>STOCK[[#This Row],[Precio Final]]-STOCK[[#This Row],[Costo total]]</f>
        <v>6.1713235294117581</v>
      </c>
      <c r="X547" s="54">
        <f>STOCK[[#This Row],[Ganancia Unitaria]]*STOCK[[#This Row],[Salidas]]</f>
        <v>12.342647058823516</v>
      </c>
      <c r="AA547" s="54">
        <f>STOCK[[#This Row],[Costo total]]*STOCK[[#This Row],[Entradas]]</f>
        <v>27.657352941176484</v>
      </c>
      <c r="AB547" s="54">
        <f>STOCK[[#This Row],[Stock Actual]]*STOCK[[#This Row],[Costo total]]</f>
        <v>0</v>
      </c>
    </row>
    <row r="548" spans="1:28" s="53" customFormat="1" ht="50" customHeight="1">
      <c r="A548" s="53" t="s">
        <v>1115</v>
      </c>
      <c r="B548" s="64"/>
      <c r="C548" s="53" t="s">
        <v>32</v>
      </c>
      <c r="D548" s="53" t="s">
        <v>1116</v>
      </c>
      <c r="E548" s="65" t="s">
        <v>1117</v>
      </c>
      <c r="F548" s="53" t="s">
        <v>205</v>
      </c>
      <c r="G548" s="53" t="s">
        <v>36</v>
      </c>
      <c r="H548" s="53">
        <f>STOCK[[#This Row],[Precio Final]]</f>
        <v>12</v>
      </c>
      <c r="I548" s="53">
        <f>STOCK[[#This Row],[Precio Venta Ideal (x1.5)]]</f>
        <v>11.445220588235294</v>
      </c>
      <c r="J548" s="69">
        <v>1</v>
      </c>
      <c r="K548" s="69">
        <f>SUMIFS(VENTAS[Cantidad],VENTAS[Código del producto Vendido],STOCK[[#This Row],[Code]])</f>
        <v>1</v>
      </c>
      <c r="L548" s="69">
        <f>STOCK[[#This Row],[Entradas]]-STOCK[[#This Row],[Salidas]]</f>
        <v>0</v>
      </c>
      <c r="M548" s="53">
        <f>STOCK[[#This Row],[Precio Final]]*10%</f>
        <v>1.2000000000000002</v>
      </c>
      <c r="N548" s="53">
        <v>87</v>
      </c>
      <c r="O548" s="53">
        <v>17</v>
      </c>
      <c r="P548" s="53">
        <v>5.1176470588235299</v>
      </c>
      <c r="Q548" s="69">
        <v>75</v>
      </c>
      <c r="R548" s="53">
        <v>17.5</v>
      </c>
      <c r="S548" s="53">
        <f>STOCK[[#This Row],[Peso (g)]]*STOCK[[#This Row],[Precio Envío Kilogramo (USD)]]/1000</f>
        <v>1.3125</v>
      </c>
      <c r="T548" s="53">
        <f>STOCK[[#This Row],[Costo Unitario (USD)]]+STOCK[[#This Row],[Costo Envío (USD)]]+STOCK[[#This Row],[Comisión 10%]]</f>
        <v>7.6301470588235301</v>
      </c>
      <c r="U548" s="53">
        <f>STOCK[[#This Row],[Costo total]]*1.5</f>
        <v>11.445220588235294</v>
      </c>
      <c r="V548" s="53">
        <v>12</v>
      </c>
      <c r="W548" s="53">
        <f>STOCK[[#This Row],[Precio Final]]-STOCK[[#This Row],[Costo total]]</f>
        <v>4.3698529411764699</v>
      </c>
      <c r="X548" s="53">
        <f>STOCK[[#This Row],[Ganancia Unitaria]]*STOCK[[#This Row],[Salidas]]</f>
        <v>4.3698529411764699</v>
      </c>
      <c r="Y548" s="53" t="s">
        <v>927</v>
      </c>
      <c r="AA548" s="53">
        <f>STOCK[[#This Row],[Costo total]]*STOCK[[#This Row],[Entradas]]</f>
        <v>7.6301470588235301</v>
      </c>
      <c r="AB548" s="53">
        <f>STOCK[[#This Row],[Stock Actual]]*STOCK[[#This Row],[Costo total]]</f>
        <v>0</v>
      </c>
    </row>
    <row r="549" spans="1:28" s="54" customFormat="1" ht="50" customHeight="1">
      <c r="A549" s="54" t="s">
        <v>1118</v>
      </c>
      <c r="B549" s="64"/>
      <c r="C549" s="54" t="s">
        <v>32</v>
      </c>
      <c r="D549" s="54" t="s">
        <v>546</v>
      </c>
      <c r="E549" s="66" t="s">
        <v>1119</v>
      </c>
      <c r="F549" s="54" t="s">
        <v>716</v>
      </c>
      <c r="G549" s="54" t="s">
        <v>36</v>
      </c>
      <c r="H549" s="54">
        <f>STOCK[[#This Row],[Precio Final]]</f>
        <v>12</v>
      </c>
      <c r="I549" s="54">
        <f>STOCK[[#This Row],[Precio Venta Ideal (x1.5)]]</f>
        <v>11.445220588235294</v>
      </c>
      <c r="J549" s="70">
        <v>1</v>
      </c>
      <c r="K549" s="70">
        <f>SUMIFS(VENTAS[Cantidad],VENTAS[Código del producto Vendido],STOCK[[#This Row],[Code]])</f>
        <v>0</v>
      </c>
      <c r="L549" s="70">
        <f>STOCK[[#This Row],[Entradas]]-STOCK[[#This Row],[Salidas]]</f>
        <v>1</v>
      </c>
      <c r="M549" s="54">
        <f>STOCK[[#This Row],[Precio Final]]*10%</f>
        <v>1.2000000000000002</v>
      </c>
      <c r="N549" s="54">
        <v>87</v>
      </c>
      <c r="O549" s="54">
        <v>17</v>
      </c>
      <c r="P549" s="54">
        <v>5.1176470588235299</v>
      </c>
      <c r="Q549" s="70">
        <v>75</v>
      </c>
      <c r="R549" s="54">
        <v>17.5</v>
      </c>
      <c r="S549" s="54">
        <f>STOCK[[#This Row],[Peso (g)]]*STOCK[[#This Row],[Precio Envío Kilogramo (USD)]]/1000</f>
        <v>1.3125</v>
      </c>
      <c r="T549" s="53">
        <f>STOCK[[#This Row],[Costo Unitario (USD)]]+STOCK[[#This Row],[Costo Envío (USD)]]+STOCK[[#This Row],[Comisión 10%]]</f>
        <v>7.6301470588235301</v>
      </c>
      <c r="U549" s="54">
        <f>STOCK[[#This Row],[Costo total]]*1.5</f>
        <v>11.445220588235294</v>
      </c>
      <c r="V549" s="54">
        <v>12</v>
      </c>
      <c r="W549" s="54">
        <f>STOCK[[#This Row],[Precio Final]]-STOCK[[#This Row],[Costo total]]</f>
        <v>4.3698529411764699</v>
      </c>
      <c r="X549" s="54">
        <f>STOCK[[#This Row],[Ganancia Unitaria]]*STOCK[[#This Row],[Salidas]]</f>
        <v>0</v>
      </c>
      <c r="Y549" s="54" t="s">
        <v>927</v>
      </c>
      <c r="AA549" s="54">
        <f>STOCK[[#This Row],[Costo total]]*STOCK[[#This Row],[Entradas]]</f>
        <v>7.6301470588235301</v>
      </c>
      <c r="AB549" s="54">
        <f>STOCK[[#This Row],[Stock Actual]]*STOCK[[#This Row],[Costo total]]</f>
        <v>7.6301470588235301</v>
      </c>
    </row>
    <row r="550" spans="1:28" s="53" customFormat="1" ht="50" customHeight="1">
      <c r="A550" s="53" t="s">
        <v>1120</v>
      </c>
      <c r="B550" s="64"/>
      <c r="C550" s="53" t="s">
        <v>32</v>
      </c>
      <c r="D550" s="53" t="s">
        <v>546</v>
      </c>
      <c r="E550" s="66" t="s">
        <v>1119</v>
      </c>
      <c r="F550" s="53" t="s">
        <v>62</v>
      </c>
      <c r="G550" s="53" t="s">
        <v>36</v>
      </c>
      <c r="H550" s="53">
        <f>STOCK[[#This Row],[Precio Final]]</f>
        <v>12</v>
      </c>
      <c r="I550" s="53">
        <f>STOCK[[#This Row],[Precio Venta Ideal (x1.5)]]</f>
        <v>11.445220588235294</v>
      </c>
      <c r="J550" s="69">
        <v>1</v>
      </c>
      <c r="K550" s="69">
        <f>SUMIFS(VENTAS[Cantidad],VENTAS[Código del producto Vendido],STOCK[[#This Row],[Code]])</f>
        <v>0</v>
      </c>
      <c r="L550" s="69">
        <f>STOCK[[#This Row],[Entradas]]-STOCK[[#This Row],[Salidas]]</f>
        <v>1</v>
      </c>
      <c r="M550" s="53">
        <f>STOCK[[#This Row],[Precio Final]]*10%</f>
        <v>1.2000000000000002</v>
      </c>
      <c r="N550" s="53">
        <v>87</v>
      </c>
      <c r="O550" s="53">
        <v>17</v>
      </c>
      <c r="P550" s="53">
        <v>5.1176470588235299</v>
      </c>
      <c r="Q550" s="69">
        <v>75</v>
      </c>
      <c r="R550" s="53">
        <v>17.5</v>
      </c>
      <c r="S550" s="53">
        <f>STOCK[[#This Row],[Peso (g)]]*STOCK[[#This Row],[Precio Envío Kilogramo (USD)]]/1000</f>
        <v>1.3125</v>
      </c>
      <c r="T550" s="53">
        <f>STOCK[[#This Row],[Costo Unitario (USD)]]+STOCK[[#This Row],[Costo Envío (USD)]]+STOCK[[#This Row],[Comisión 10%]]</f>
        <v>7.6301470588235301</v>
      </c>
      <c r="U550" s="53">
        <f>STOCK[[#This Row],[Costo total]]*1.5</f>
        <v>11.445220588235294</v>
      </c>
      <c r="V550" s="53">
        <v>12</v>
      </c>
      <c r="W550" s="53">
        <f>STOCK[[#This Row],[Precio Final]]-STOCK[[#This Row],[Costo total]]</f>
        <v>4.3698529411764699</v>
      </c>
      <c r="X550" s="53">
        <f>STOCK[[#This Row],[Ganancia Unitaria]]*STOCK[[#This Row],[Salidas]]</f>
        <v>0</v>
      </c>
      <c r="Y550" s="53" t="s">
        <v>927</v>
      </c>
      <c r="AA550" s="53">
        <f>STOCK[[#This Row],[Costo total]]*STOCK[[#This Row],[Entradas]]</f>
        <v>7.6301470588235301</v>
      </c>
      <c r="AB550" s="53">
        <f>STOCK[[#This Row],[Stock Actual]]*STOCK[[#This Row],[Costo total]]</f>
        <v>7.6301470588235301</v>
      </c>
    </row>
    <row r="551" spans="1:28" s="54" customFormat="1" ht="50" customHeight="1">
      <c r="A551" s="54" t="s">
        <v>1121</v>
      </c>
      <c r="B551" s="64"/>
      <c r="C551" s="54" t="s">
        <v>32</v>
      </c>
      <c r="D551" s="54" t="s">
        <v>546</v>
      </c>
      <c r="E551" s="66" t="s">
        <v>1122</v>
      </c>
      <c r="F551" s="54" t="s">
        <v>62</v>
      </c>
      <c r="G551" s="54" t="s">
        <v>36</v>
      </c>
      <c r="H551" s="54">
        <f>STOCK[[#This Row],[Precio Final]]</f>
        <v>15</v>
      </c>
      <c r="I551" s="54">
        <f>STOCK[[#This Row],[Precio Venta Ideal (x1.5)]]</f>
        <v>12.913235294117641</v>
      </c>
      <c r="J551" s="70">
        <v>2</v>
      </c>
      <c r="K551" s="70">
        <f>SUMIFS(VENTAS[Cantidad],VENTAS[Código del producto Vendido],STOCK[[#This Row],[Code]])</f>
        <v>2</v>
      </c>
      <c r="L551" s="70">
        <f>STOCK[[#This Row],[Entradas]]-STOCK[[#This Row],[Salidas]]</f>
        <v>0</v>
      </c>
      <c r="M551" s="54">
        <f>STOCK[[#This Row],[Precio Final]]*10%</f>
        <v>1.5</v>
      </c>
      <c r="N551" s="54">
        <v>103</v>
      </c>
      <c r="O551" s="54">
        <v>17</v>
      </c>
      <c r="P551" s="54">
        <v>6.0588235294117601</v>
      </c>
      <c r="Q551" s="70">
        <v>60</v>
      </c>
      <c r="R551" s="54">
        <v>17.5</v>
      </c>
      <c r="S551" s="54">
        <f>STOCK[[#This Row],[Peso (g)]]*STOCK[[#This Row],[Precio Envío Kilogramo (USD)]]/1000</f>
        <v>1.05</v>
      </c>
      <c r="T551" s="53">
        <f>STOCK[[#This Row],[Costo Unitario (USD)]]+STOCK[[#This Row],[Costo Envío (USD)]]+STOCK[[#This Row],[Comisión 10%]]</f>
        <v>8.6088235294117599</v>
      </c>
      <c r="U551" s="54">
        <f>STOCK[[#This Row],[Costo total]]*1.5</f>
        <v>12.913235294117641</v>
      </c>
      <c r="V551" s="54">
        <v>15</v>
      </c>
      <c r="W551" s="54">
        <f>STOCK[[#This Row],[Precio Final]]-STOCK[[#This Row],[Costo total]]</f>
        <v>6.3911764705882401</v>
      </c>
      <c r="X551" s="54">
        <f>STOCK[[#This Row],[Ganancia Unitaria]]*STOCK[[#This Row],[Salidas]]</f>
        <v>12.78235294117648</v>
      </c>
      <c r="Y551" s="54" t="s">
        <v>927</v>
      </c>
      <c r="AA551" s="54">
        <f>STOCK[[#This Row],[Costo total]]*STOCK[[#This Row],[Entradas]]</f>
        <v>17.21764705882352</v>
      </c>
      <c r="AB551" s="54">
        <f>STOCK[[#This Row],[Stock Actual]]*STOCK[[#This Row],[Costo total]]</f>
        <v>0</v>
      </c>
    </row>
    <row r="552" spans="1:28" s="53" customFormat="1" ht="50" customHeight="1">
      <c r="A552" s="53" t="s">
        <v>1123</v>
      </c>
      <c r="B552" s="64"/>
      <c r="C552" s="53" t="s">
        <v>32</v>
      </c>
      <c r="D552" s="53" t="s">
        <v>546</v>
      </c>
      <c r="E552" s="65" t="s">
        <v>1122</v>
      </c>
      <c r="F552" s="53" t="s">
        <v>49</v>
      </c>
      <c r="G552" s="53" t="s">
        <v>36</v>
      </c>
      <c r="H552" s="53">
        <f>STOCK[[#This Row],[Precio Final]]</f>
        <v>12</v>
      </c>
      <c r="I552" s="53">
        <f>STOCK[[#This Row],[Precio Venta Ideal (x1.5)]]</f>
        <v>12.463235294117641</v>
      </c>
      <c r="J552" s="69">
        <v>2</v>
      </c>
      <c r="K552" s="69">
        <f>SUMIFS(VENTAS[Cantidad],VENTAS[Código del producto Vendido],STOCK[[#This Row],[Code]])</f>
        <v>2</v>
      </c>
      <c r="L552" s="69">
        <f>STOCK[[#This Row],[Entradas]]-STOCK[[#This Row],[Salidas]]</f>
        <v>0</v>
      </c>
      <c r="M552" s="53">
        <f>STOCK[[#This Row],[Precio Final]]*10%</f>
        <v>1.2000000000000002</v>
      </c>
      <c r="N552" s="53">
        <v>103</v>
      </c>
      <c r="O552" s="53">
        <v>17</v>
      </c>
      <c r="P552" s="53">
        <v>6.0588235294117601</v>
      </c>
      <c r="Q552" s="69">
        <v>60</v>
      </c>
      <c r="R552" s="53">
        <v>17.5</v>
      </c>
      <c r="S552" s="53">
        <f>STOCK[[#This Row],[Peso (g)]]*STOCK[[#This Row],[Precio Envío Kilogramo (USD)]]/1000</f>
        <v>1.05</v>
      </c>
      <c r="T552" s="53">
        <f>STOCK[[#This Row],[Costo Unitario (USD)]]+STOCK[[#This Row],[Costo Envío (USD)]]+STOCK[[#This Row],[Comisión 10%]]</f>
        <v>8.3088235294117609</v>
      </c>
      <c r="U552" s="53">
        <f>STOCK[[#This Row],[Costo total]]*1.5</f>
        <v>12.463235294117641</v>
      </c>
      <c r="V552" s="53">
        <v>12</v>
      </c>
      <c r="W552" s="53">
        <f>STOCK[[#This Row],[Precio Final]]-STOCK[[#This Row],[Costo total]]</f>
        <v>3.6911764705882391</v>
      </c>
      <c r="X552" s="53">
        <f>STOCK[[#This Row],[Ganancia Unitaria]]*STOCK[[#This Row],[Salidas]]</f>
        <v>7.3823529411764781</v>
      </c>
      <c r="Y552" s="53" t="s">
        <v>927</v>
      </c>
      <c r="AA552" s="53">
        <f>STOCK[[#This Row],[Costo total]]*STOCK[[#This Row],[Entradas]]</f>
        <v>16.617647058823522</v>
      </c>
      <c r="AB552" s="53">
        <f>STOCK[[#This Row],[Stock Actual]]*STOCK[[#This Row],[Costo total]]</f>
        <v>0</v>
      </c>
    </row>
    <row r="553" spans="1:28" s="54" customFormat="1" ht="50" customHeight="1">
      <c r="A553" s="54" t="s">
        <v>1124</v>
      </c>
      <c r="B553" s="64"/>
      <c r="C553" s="54" t="s">
        <v>32</v>
      </c>
      <c r="D553" s="53" t="s">
        <v>515</v>
      </c>
      <c r="E553" s="66" t="s">
        <v>1125</v>
      </c>
      <c r="F553" s="54" t="s">
        <v>540</v>
      </c>
      <c r="G553" s="54" t="s">
        <v>36</v>
      </c>
      <c r="H553" s="54">
        <f>STOCK[[#This Row],[Precio Final]]</f>
        <v>40</v>
      </c>
      <c r="I553" s="54">
        <f>STOCK[[#This Row],[Precio Venta Ideal (x1.5)]]</f>
        <v>46.729411764705901</v>
      </c>
      <c r="J553" s="70">
        <v>2</v>
      </c>
      <c r="K553" s="70">
        <f>SUMIFS(VENTAS[Cantidad],VENTAS[Código del producto Vendido],STOCK[[#This Row],[Code]])</f>
        <v>2</v>
      </c>
      <c r="L553" s="70">
        <f>STOCK[[#This Row],[Entradas]]-STOCK[[#This Row],[Salidas]]</f>
        <v>0</v>
      </c>
      <c r="M553" s="54">
        <f>STOCK[[#This Row],[Precio Final]]*10%</f>
        <v>4</v>
      </c>
      <c r="N553" s="54">
        <v>295</v>
      </c>
      <c r="O553" s="54">
        <v>17</v>
      </c>
      <c r="P553" s="54">
        <v>17.352941176470601</v>
      </c>
      <c r="Q553" s="70">
        <v>560</v>
      </c>
      <c r="R553" s="54">
        <v>17.5</v>
      </c>
      <c r="S553" s="54">
        <f>STOCK[[#This Row],[Peso (g)]]*STOCK[[#This Row],[Precio Envío Kilogramo (USD)]]/1000</f>
        <v>9.8000000000000007</v>
      </c>
      <c r="T553" s="53">
        <f>STOCK[[#This Row],[Costo Unitario (USD)]]+STOCK[[#This Row],[Costo Envío (USD)]]+STOCK[[#This Row],[Comisión 10%]]</f>
        <v>31.152941176470602</v>
      </c>
      <c r="U553" s="54">
        <f>STOCK[[#This Row],[Costo total]]*1.5</f>
        <v>46.729411764705901</v>
      </c>
      <c r="V553" s="54">
        <v>40</v>
      </c>
      <c r="W553" s="54">
        <f>STOCK[[#This Row],[Precio Final]]-STOCK[[#This Row],[Costo total]]</f>
        <v>8.8470588235293981</v>
      </c>
      <c r="X553" s="54">
        <f>STOCK[[#This Row],[Ganancia Unitaria]]*STOCK[[#This Row],[Salidas]]</f>
        <v>17.694117647058796</v>
      </c>
      <c r="Y553" s="54" t="s">
        <v>927</v>
      </c>
      <c r="AA553" s="54">
        <f>STOCK[[#This Row],[Costo total]]*STOCK[[#This Row],[Entradas]]</f>
        <v>62.305882352941204</v>
      </c>
      <c r="AB553" s="54">
        <f>STOCK[[#This Row],[Stock Actual]]*STOCK[[#This Row],[Costo total]]</f>
        <v>0</v>
      </c>
    </row>
    <row r="554" spans="1:28" s="53" customFormat="1" ht="50" customHeight="1">
      <c r="A554" s="53" t="s">
        <v>1126</v>
      </c>
      <c r="B554" s="64"/>
      <c r="C554" s="53" t="s">
        <v>32</v>
      </c>
      <c r="D554" s="53" t="s">
        <v>174</v>
      </c>
      <c r="E554" s="65" t="s">
        <v>1127</v>
      </c>
      <c r="F554" s="53" t="s">
        <v>88</v>
      </c>
      <c r="G554" s="53" t="s">
        <v>36</v>
      </c>
      <c r="H554" s="53">
        <f>STOCK[[#This Row],[Precio Final]]</f>
        <v>15</v>
      </c>
      <c r="I554" s="53">
        <f>STOCK[[#This Row],[Precio Venta Ideal (x1.5)]]</f>
        <v>20.391176470588228</v>
      </c>
      <c r="J554" s="69">
        <v>1</v>
      </c>
      <c r="K554" s="69">
        <f>SUMIFS(VENTAS[Cantidad],VENTAS[Código del producto Vendido],STOCK[[#This Row],[Code]])</f>
        <v>1</v>
      </c>
      <c r="L554" s="69">
        <f>STOCK[[#This Row],[Entradas]]-STOCK[[#This Row],[Salidas]]</f>
        <v>0</v>
      </c>
      <c r="M554" s="53">
        <f>STOCK[[#This Row],[Precio Final]]*10%</f>
        <v>1.5</v>
      </c>
      <c r="N554" s="53">
        <v>158</v>
      </c>
      <c r="O554" s="53">
        <v>17</v>
      </c>
      <c r="P554" s="53">
        <v>9.2941176470588207</v>
      </c>
      <c r="Q554" s="69">
        <v>160</v>
      </c>
      <c r="R554" s="53">
        <v>17.5</v>
      </c>
      <c r="S554" s="53">
        <f>STOCK[[#This Row],[Peso (g)]]*STOCK[[#This Row],[Precio Envío Kilogramo (USD)]]/1000</f>
        <v>2.8</v>
      </c>
      <c r="T554" s="53">
        <f>STOCK[[#This Row],[Costo Unitario (USD)]]+STOCK[[#This Row],[Costo Envío (USD)]]+STOCK[[#This Row],[Comisión 10%]]</f>
        <v>13.59411764705882</v>
      </c>
      <c r="U554" s="53">
        <f>STOCK[[#This Row],[Costo total]]*1.5</f>
        <v>20.391176470588228</v>
      </c>
      <c r="V554" s="53">
        <v>15</v>
      </c>
      <c r="W554" s="53">
        <f>STOCK[[#This Row],[Precio Final]]-STOCK[[#This Row],[Costo total]]</f>
        <v>1.4058823529411804</v>
      </c>
      <c r="X554" s="53">
        <f>STOCK[[#This Row],[Ganancia Unitaria]]*STOCK[[#This Row],[Salidas]]</f>
        <v>1.4058823529411804</v>
      </c>
      <c r="Y554" s="53" t="s">
        <v>927</v>
      </c>
      <c r="AA554" s="53">
        <f>STOCK[[#This Row],[Costo total]]*STOCK[[#This Row],[Entradas]]</f>
        <v>13.59411764705882</v>
      </c>
      <c r="AB554" s="53">
        <f>STOCK[[#This Row],[Stock Actual]]*STOCK[[#This Row],[Costo total]]</f>
        <v>0</v>
      </c>
    </row>
    <row r="555" spans="1:28" s="54" customFormat="1" ht="50" customHeight="1">
      <c r="A555" s="54" t="s">
        <v>1128</v>
      </c>
      <c r="B555" s="64"/>
      <c r="C555" s="54" t="s">
        <v>32</v>
      </c>
      <c r="D555" s="54" t="s">
        <v>174</v>
      </c>
      <c r="E555" s="66" t="s">
        <v>1129</v>
      </c>
      <c r="F555" s="54" t="s">
        <v>62</v>
      </c>
      <c r="G555" s="54" t="s">
        <v>36</v>
      </c>
      <c r="H555" s="54">
        <f>STOCK[[#This Row],[Precio Final]]</f>
        <v>18</v>
      </c>
      <c r="I555" s="54">
        <f>STOCK[[#This Row],[Precio Venta Ideal (x1.5)]]</f>
        <v>20.664705882352937</v>
      </c>
      <c r="J555" s="70">
        <v>1</v>
      </c>
      <c r="K555" s="70">
        <f>SUMIFS(VENTAS[Cantidad],VENTAS[Código del producto Vendido],STOCK[[#This Row],[Code]])</f>
        <v>1</v>
      </c>
      <c r="L555" s="70">
        <f>STOCK[[#This Row],[Entradas]]-STOCK[[#This Row],[Salidas]]</f>
        <v>0</v>
      </c>
      <c r="M555" s="54">
        <f>STOCK[[#This Row],[Precio Final]]*10%</f>
        <v>1.8</v>
      </c>
      <c r="N555" s="54">
        <v>156</v>
      </c>
      <c r="O555" s="54">
        <v>17</v>
      </c>
      <c r="P555" s="54">
        <v>9.1764705882352899</v>
      </c>
      <c r="Q555" s="70">
        <v>160</v>
      </c>
      <c r="R555" s="54">
        <v>17.5</v>
      </c>
      <c r="S555" s="54">
        <f>STOCK[[#This Row],[Peso (g)]]*STOCK[[#This Row],[Precio Envío Kilogramo (USD)]]/1000</f>
        <v>2.8</v>
      </c>
      <c r="T555" s="53">
        <f>STOCK[[#This Row],[Costo Unitario (USD)]]+STOCK[[#This Row],[Costo Envío (USD)]]+STOCK[[#This Row],[Comisión 10%]]</f>
        <v>13.776470588235291</v>
      </c>
      <c r="U555" s="54">
        <f>STOCK[[#This Row],[Costo total]]*1.5</f>
        <v>20.664705882352937</v>
      </c>
      <c r="V555" s="54">
        <v>18</v>
      </c>
      <c r="W555" s="54">
        <f>STOCK[[#This Row],[Precio Final]]-STOCK[[#This Row],[Costo total]]</f>
        <v>4.2235294117647086</v>
      </c>
      <c r="X555" s="54">
        <f>STOCK[[#This Row],[Ganancia Unitaria]]*STOCK[[#This Row],[Salidas]]</f>
        <v>4.2235294117647086</v>
      </c>
      <c r="Y555" s="54" t="s">
        <v>927</v>
      </c>
      <c r="AA555" s="54">
        <f>STOCK[[#This Row],[Costo total]]*STOCK[[#This Row],[Entradas]]</f>
        <v>13.776470588235291</v>
      </c>
      <c r="AB555" s="54">
        <f>STOCK[[#This Row],[Stock Actual]]*STOCK[[#This Row],[Costo total]]</f>
        <v>0</v>
      </c>
    </row>
    <row r="556" spans="1:28" s="53" customFormat="1" ht="50" customHeight="1">
      <c r="A556" s="53" t="s">
        <v>1130</v>
      </c>
      <c r="B556" s="64"/>
      <c r="C556" s="53" t="s">
        <v>32</v>
      </c>
      <c r="D556" s="53" t="s">
        <v>44</v>
      </c>
      <c r="E556" s="65" t="s">
        <v>1131</v>
      </c>
      <c r="F556" s="53" t="s">
        <v>88</v>
      </c>
      <c r="G556" s="53" t="s">
        <v>36</v>
      </c>
      <c r="H556" s="53">
        <f>STOCK[[#This Row],[Precio Final]]</f>
        <v>35</v>
      </c>
      <c r="I556" s="53">
        <f>STOCK[[#This Row],[Precio Venta Ideal (x1.5)]]</f>
        <v>40.731617647058847</v>
      </c>
      <c r="J556" s="69">
        <v>2</v>
      </c>
      <c r="K556" s="69">
        <f>SUMIFS(VENTAS[Cantidad],VENTAS[Código del producto Vendido],STOCK[[#This Row],[Code]])</f>
        <v>2</v>
      </c>
      <c r="L556" s="69">
        <f>STOCK[[#This Row],[Entradas]]-STOCK[[#This Row],[Salidas]]</f>
        <v>0</v>
      </c>
      <c r="M556" s="53">
        <f>STOCK[[#This Row],[Precio Final]]*10%</f>
        <v>3.5</v>
      </c>
      <c r="N556" s="53">
        <v>298</v>
      </c>
      <c r="O556" s="53">
        <v>17</v>
      </c>
      <c r="P556" s="53">
        <v>17.529411764705898</v>
      </c>
      <c r="Q556" s="69">
        <v>350</v>
      </c>
      <c r="R556" s="53">
        <v>17.5</v>
      </c>
      <c r="S556" s="53">
        <f>STOCK[[#This Row],[Peso (g)]]*STOCK[[#This Row],[Precio Envío Kilogramo (USD)]]/1000</f>
        <v>6.125</v>
      </c>
      <c r="T556" s="53">
        <f>STOCK[[#This Row],[Costo Unitario (USD)]]+STOCK[[#This Row],[Costo Envío (USD)]]+STOCK[[#This Row],[Comisión 10%]]</f>
        <v>27.154411764705898</v>
      </c>
      <c r="U556" s="53">
        <f>STOCK[[#This Row],[Costo total]]*1.5</f>
        <v>40.731617647058847</v>
      </c>
      <c r="V556" s="53">
        <v>35</v>
      </c>
      <c r="W556" s="53">
        <f>STOCK[[#This Row],[Precio Final]]-STOCK[[#This Row],[Costo total]]</f>
        <v>7.8455882352941018</v>
      </c>
      <c r="X556" s="53">
        <f>STOCK[[#This Row],[Ganancia Unitaria]]*STOCK[[#This Row],[Salidas]]</f>
        <v>15.691176470588204</v>
      </c>
      <c r="AA556" s="53">
        <f>STOCK[[#This Row],[Costo total]]*STOCK[[#This Row],[Entradas]]</f>
        <v>54.308823529411796</v>
      </c>
      <c r="AB556" s="53">
        <f>STOCK[[#This Row],[Stock Actual]]*STOCK[[#This Row],[Costo total]]</f>
        <v>0</v>
      </c>
    </row>
    <row r="557" spans="1:28" s="54" customFormat="1" ht="50" customHeight="1">
      <c r="A557" s="54" t="s">
        <v>1132</v>
      </c>
      <c r="B557" s="64"/>
      <c r="C557" s="54" t="s">
        <v>32</v>
      </c>
      <c r="D557" s="54" t="s">
        <v>44</v>
      </c>
      <c r="E557" s="66" t="s">
        <v>1133</v>
      </c>
      <c r="F557" s="54" t="s">
        <v>49</v>
      </c>
      <c r="G557" s="54" t="s">
        <v>36</v>
      </c>
      <c r="H557" s="54">
        <f>STOCK[[#This Row],[Precio Final]]</f>
        <v>35</v>
      </c>
      <c r="I557" s="54">
        <f>STOCK[[#This Row],[Precio Venta Ideal (x1.5)]]</f>
        <v>40.731617647058847</v>
      </c>
      <c r="J557" s="70">
        <v>1</v>
      </c>
      <c r="K557" s="70">
        <f>SUMIFS(VENTAS[Cantidad],VENTAS[Código del producto Vendido],STOCK[[#This Row],[Code]])</f>
        <v>1</v>
      </c>
      <c r="L557" s="70">
        <f>STOCK[[#This Row],[Entradas]]-STOCK[[#This Row],[Salidas]]</f>
        <v>0</v>
      </c>
      <c r="M557" s="54">
        <f>STOCK[[#This Row],[Precio Final]]*10%</f>
        <v>3.5</v>
      </c>
      <c r="N557" s="54">
        <v>298</v>
      </c>
      <c r="O557" s="54">
        <v>17</v>
      </c>
      <c r="P557" s="54">
        <v>17.529411764705898</v>
      </c>
      <c r="Q557" s="70">
        <v>350</v>
      </c>
      <c r="R557" s="54">
        <v>17.5</v>
      </c>
      <c r="S557" s="54">
        <f>STOCK[[#This Row],[Peso (g)]]*STOCK[[#This Row],[Precio Envío Kilogramo (USD)]]/1000</f>
        <v>6.125</v>
      </c>
      <c r="T557" s="53">
        <f>STOCK[[#This Row],[Costo Unitario (USD)]]+STOCK[[#This Row],[Costo Envío (USD)]]+STOCK[[#This Row],[Comisión 10%]]</f>
        <v>27.154411764705898</v>
      </c>
      <c r="U557" s="54">
        <f>STOCK[[#This Row],[Costo total]]*1.5</f>
        <v>40.731617647058847</v>
      </c>
      <c r="V557" s="54">
        <v>35</v>
      </c>
      <c r="W557" s="54">
        <f>STOCK[[#This Row],[Precio Final]]-STOCK[[#This Row],[Costo total]]</f>
        <v>7.8455882352941018</v>
      </c>
      <c r="X557" s="54">
        <f>STOCK[[#This Row],[Ganancia Unitaria]]*STOCK[[#This Row],[Salidas]]</f>
        <v>7.8455882352941018</v>
      </c>
      <c r="AA557" s="54">
        <f>STOCK[[#This Row],[Costo total]]*STOCK[[#This Row],[Entradas]]</f>
        <v>27.154411764705898</v>
      </c>
      <c r="AB557" s="54">
        <f>STOCK[[#This Row],[Stock Actual]]*STOCK[[#This Row],[Costo total]]</f>
        <v>0</v>
      </c>
    </row>
    <row r="558" spans="1:28" s="53" customFormat="1" ht="50" customHeight="1">
      <c r="A558" s="53" t="s">
        <v>1134</v>
      </c>
      <c r="B558" s="64"/>
      <c r="C558" s="53" t="s">
        <v>32</v>
      </c>
      <c r="D558" s="53" t="s">
        <v>726</v>
      </c>
      <c r="E558" s="65" t="s">
        <v>1135</v>
      </c>
      <c r="F558" s="53" t="s">
        <v>818</v>
      </c>
      <c r="G558" s="53" t="s">
        <v>704</v>
      </c>
      <c r="H558" s="53">
        <f>STOCK[[#This Row],[Precio Final]]</f>
        <v>35</v>
      </c>
      <c r="I558" s="53">
        <f>STOCK[[#This Row],[Precio Venta Ideal (x1.5)]]</f>
        <v>43.169117647058847</v>
      </c>
      <c r="J558" s="69">
        <v>1</v>
      </c>
      <c r="K558" s="69">
        <f>SUMIFS(VENTAS[Cantidad],VENTAS[Código del producto Vendido],STOCK[[#This Row],[Code]])</f>
        <v>0</v>
      </c>
      <c r="L558" s="69">
        <f>STOCK[[#This Row],[Entradas]]-STOCK[[#This Row],[Salidas]]</f>
        <v>1</v>
      </c>
      <c r="M558" s="53">
        <f>STOCK[[#This Row],[Precio Final]]*10%</f>
        <v>3.5</v>
      </c>
      <c r="N558" s="53">
        <v>400</v>
      </c>
      <c r="O558" s="53">
        <v>17</v>
      </c>
      <c r="P558" s="53">
        <v>23.529411764705898</v>
      </c>
      <c r="Q558" s="69">
        <v>100</v>
      </c>
      <c r="R558" s="53">
        <v>17.5</v>
      </c>
      <c r="S558" s="53">
        <f>STOCK[[#This Row],[Peso (g)]]*STOCK[[#This Row],[Precio Envío Kilogramo (USD)]]/1000</f>
        <v>1.75</v>
      </c>
      <c r="T558" s="53">
        <f>STOCK[[#This Row],[Costo Unitario (USD)]]+STOCK[[#This Row],[Costo Envío (USD)]]+STOCK[[#This Row],[Comisión 10%]]</f>
        <v>28.779411764705898</v>
      </c>
      <c r="U558" s="53">
        <f>STOCK[[#This Row],[Costo total]]*1.5</f>
        <v>43.169117647058847</v>
      </c>
      <c r="V558" s="53">
        <v>35</v>
      </c>
      <c r="W558" s="53">
        <f>STOCK[[#This Row],[Precio Final]]-STOCK[[#This Row],[Costo total]]</f>
        <v>6.2205882352941018</v>
      </c>
      <c r="X558" s="53">
        <f>STOCK[[#This Row],[Ganancia Unitaria]]*STOCK[[#This Row],[Salidas]]</f>
        <v>0</v>
      </c>
      <c r="AA558" s="53">
        <f>STOCK[[#This Row],[Costo total]]*STOCK[[#This Row],[Entradas]]</f>
        <v>28.779411764705898</v>
      </c>
      <c r="AB558" s="53">
        <f>STOCK[[#This Row],[Stock Actual]]*STOCK[[#This Row],[Costo total]]</f>
        <v>28.779411764705898</v>
      </c>
    </row>
    <row r="559" spans="1:28" s="54" customFormat="1" ht="50" customHeight="1">
      <c r="A559" s="54" t="s">
        <v>1136</v>
      </c>
      <c r="B559" s="64"/>
      <c r="C559" s="54" t="s">
        <v>32</v>
      </c>
      <c r="D559" s="54" t="s">
        <v>44</v>
      </c>
      <c r="E559" s="66" t="s">
        <v>1137</v>
      </c>
      <c r="F559" s="54" t="s">
        <v>40</v>
      </c>
      <c r="G559" s="54" t="s">
        <v>36</v>
      </c>
      <c r="H559" s="54">
        <f>STOCK[[#This Row],[Precio Final]]</f>
        <v>30</v>
      </c>
      <c r="I559" s="54">
        <f>STOCK[[#This Row],[Precio Venta Ideal (x1.5)]]</f>
        <v>37.522058823529349</v>
      </c>
      <c r="J559" s="70">
        <v>1</v>
      </c>
      <c r="K559" s="70">
        <f>SUMIFS(VENTAS[Cantidad],VENTAS[Código del producto Vendido],STOCK[[#This Row],[Code]])</f>
        <v>1</v>
      </c>
      <c r="L559" s="70">
        <f>STOCK[[#This Row],[Entradas]]-STOCK[[#This Row],[Salidas]]</f>
        <v>0</v>
      </c>
      <c r="M559" s="54">
        <f>STOCK[[#This Row],[Precio Final]]*10%</f>
        <v>3</v>
      </c>
      <c r="N559" s="54">
        <v>285</v>
      </c>
      <c r="O559" s="54">
        <v>17</v>
      </c>
      <c r="P559" s="54">
        <v>16.764705882352899</v>
      </c>
      <c r="Q559" s="70">
        <v>300</v>
      </c>
      <c r="R559" s="54">
        <v>17.5</v>
      </c>
      <c r="S559" s="54">
        <f>STOCK[[#This Row],[Peso (g)]]*STOCK[[#This Row],[Precio Envío Kilogramo (USD)]]/1000</f>
        <v>5.25</v>
      </c>
      <c r="T559" s="53">
        <f>STOCK[[#This Row],[Costo Unitario (USD)]]+STOCK[[#This Row],[Costo Envío (USD)]]+STOCK[[#This Row],[Comisión 10%]]</f>
        <v>25.014705882352899</v>
      </c>
      <c r="U559" s="54">
        <f>STOCK[[#This Row],[Costo total]]*1.5</f>
        <v>37.522058823529349</v>
      </c>
      <c r="V559" s="54">
        <v>30</v>
      </c>
      <c r="W559" s="54">
        <f>STOCK[[#This Row],[Precio Final]]-STOCK[[#This Row],[Costo total]]</f>
        <v>4.9852941176471006</v>
      </c>
      <c r="X559" s="54">
        <f>STOCK[[#This Row],[Ganancia Unitaria]]*STOCK[[#This Row],[Salidas]]</f>
        <v>4.9852941176471006</v>
      </c>
      <c r="AA559" s="54">
        <f>STOCK[[#This Row],[Costo total]]*STOCK[[#This Row],[Entradas]]</f>
        <v>25.014705882352899</v>
      </c>
      <c r="AB559" s="54">
        <f>STOCK[[#This Row],[Stock Actual]]*STOCK[[#This Row],[Costo total]]</f>
        <v>0</v>
      </c>
    </row>
    <row r="560" spans="1:28" s="53" customFormat="1" ht="50" customHeight="1">
      <c r="A560" s="53" t="s">
        <v>1138</v>
      </c>
      <c r="B560" s="64"/>
      <c r="C560" s="53" t="s">
        <v>32</v>
      </c>
      <c r="D560" s="53" t="s">
        <v>735</v>
      </c>
      <c r="E560" s="65" t="s">
        <v>1139</v>
      </c>
      <c r="F560" s="53" t="s">
        <v>62</v>
      </c>
      <c r="G560" s="53" t="s">
        <v>704</v>
      </c>
      <c r="H560" s="53">
        <f>STOCK[[#This Row],[Precio Final]]</f>
        <v>25</v>
      </c>
      <c r="I560" s="53">
        <f>STOCK[[#This Row],[Precio Venta Ideal (x1.5)]]</f>
        <v>30.926470588235251</v>
      </c>
      <c r="J560" s="69">
        <v>3</v>
      </c>
      <c r="K560" s="69">
        <f>SUMIFS(VENTAS[Cantidad],VENTAS[Código del producto Vendido],STOCK[[#This Row],[Code]])</f>
        <v>2</v>
      </c>
      <c r="L560" s="69">
        <f>STOCK[[#This Row],[Entradas]]-STOCK[[#This Row],[Salidas]]</f>
        <v>1</v>
      </c>
      <c r="M560" s="53">
        <f>STOCK[[#This Row],[Precio Final]]*10%</f>
        <v>2.5</v>
      </c>
      <c r="N560" s="53">
        <v>240</v>
      </c>
      <c r="O560" s="53">
        <v>17</v>
      </c>
      <c r="P560" s="53">
        <v>14.117647058823501</v>
      </c>
      <c r="Q560" s="69">
        <v>350</v>
      </c>
      <c r="R560" s="53">
        <v>0</v>
      </c>
      <c r="S560" s="53">
        <v>4</v>
      </c>
      <c r="T560" s="53">
        <f>STOCK[[#This Row],[Costo Unitario (USD)]]+STOCK[[#This Row],[Costo Envío (USD)]]+STOCK[[#This Row],[Comisión 10%]]</f>
        <v>20.617647058823501</v>
      </c>
      <c r="U560" s="53">
        <f>STOCK[[#This Row],[Costo total]]*1.5</f>
        <v>30.926470588235251</v>
      </c>
      <c r="V560" s="53">
        <v>25</v>
      </c>
      <c r="W560" s="53">
        <f>STOCK[[#This Row],[Precio Final]]-STOCK[[#This Row],[Costo total]]</f>
        <v>4.3823529411764994</v>
      </c>
      <c r="X560" s="53">
        <f>STOCK[[#This Row],[Ganancia Unitaria]]*STOCK[[#This Row],[Salidas]]</f>
        <v>8.7647058823529989</v>
      </c>
      <c r="AA560" s="53">
        <f>STOCK[[#This Row],[Costo total]]*STOCK[[#This Row],[Entradas]]</f>
        <v>61.852941176470502</v>
      </c>
      <c r="AB560" s="53">
        <f>STOCK[[#This Row],[Stock Actual]]*STOCK[[#This Row],[Costo total]]</f>
        <v>20.617647058823501</v>
      </c>
    </row>
    <row r="561" spans="1:28" s="54" customFormat="1" ht="50" customHeight="1">
      <c r="A561" s="54" t="s">
        <v>1140</v>
      </c>
      <c r="B561" s="64"/>
      <c r="C561" s="54" t="s">
        <v>32</v>
      </c>
      <c r="D561" s="54" t="s">
        <v>546</v>
      </c>
      <c r="E561" s="66" t="s">
        <v>1141</v>
      </c>
      <c r="F561" s="54" t="s">
        <v>62</v>
      </c>
      <c r="G561" s="54" t="s">
        <v>36</v>
      </c>
      <c r="H561" s="54">
        <f>STOCK[[#This Row],[Precio Final]]</f>
        <v>15</v>
      </c>
      <c r="I561" s="54">
        <f>STOCK[[#This Row],[Precio Venta Ideal (x1.5)]]</f>
        <v>16.619117647058822</v>
      </c>
      <c r="J561" s="70">
        <v>1</v>
      </c>
      <c r="K561" s="70">
        <f>SUMIFS(VENTAS[Cantidad],VENTAS[Código del producto Vendido],STOCK[[#This Row],[Code]])</f>
        <v>1</v>
      </c>
      <c r="L561" s="70">
        <f>STOCK[[#This Row],[Entradas]]-STOCK[[#This Row],[Salidas]]</f>
        <v>0</v>
      </c>
      <c r="M561" s="54">
        <f>STOCK[[#This Row],[Precio Final]]*10%</f>
        <v>1.5</v>
      </c>
      <c r="N561" s="54">
        <v>145</v>
      </c>
      <c r="O561" s="54">
        <v>17</v>
      </c>
      <c r="P561" s="54">
        <v>8.5294117647058805</v>
      </c>
      <c r="Q561" s="70">
        <v>60</v>
      </c>
      <c r="R561" s="54">
        <v>17.5</v>
      </c>
      <c r="S561" s="54">
        <f>STOCK[[#This Row],[Peso (g)]]*STOCK[[#This Row],[Precio Envío Kilogramo (USD)]]/1000</f>
        <v>1.05</v>
      </c>
      <c r="T561" s="53">
        <f>STOCK[[#This Row],[Costo Unitario (USD)]]+STOCK[[#This Row],[Costo Envío (USD)]]+STOCK[[#This Row],[Comisión 10%]]</f>
        <v>11.079411764705881</v>
      </c>
      <c r="U561" s="54">
        <f>STOCK[[#This Row],[Costo total]]*1.5</f>
        <v>16.619117647058822</v>
      </c>
      <c r="V561" s="54">
        <v>15</v>
      </c>
      <c r="W561" s="54">
        <f>STOCK[[#This Row],[Precio Final]]-STOCK[[#This Row],[Costo total]]</f>
        <v>3.9205882352941188</v>
      </c>
      <c r="X561" s="54">
        <f>STOCK[[#This Row],[Ganancia Unitaria]]*STOCK[[#This Row],[Salidas]]</f>
        <v>3.9205882352941188</v>
      </c>
      <c r="AA561" s="54">
        <f>STOCK[[#This Row],[Costo total]]*STOCK[[#This Row],[Entradas]]</f>
        <v>11.079411764705881</v>
      </c>
      <c r="AB561" s="54">
        <f>STOCK[[#This Row],[Stock Actual]]*STOCK[[#This Row],[Costo total]]</f>
        <v>0</v>
      </c>
    </row>
    <row r="562" spans="1:28" s="53" customFormat="1" ht="50" customHeight="1">
      <c r="A562" s="53" t="s">
        <v>1142</v>
      </c>
      <c r="B562" s="64"/>
      <c r="C562" s="53" t="s">
        <v>32</v>
      </c>
      <c r="D562" s="53" t="s">
        <v>38</v>
      </c>
      <c r="E562" s="65" t="s">
        <v>1143</v>
      </c>
      <c r="F562" s="53" t="s">
        <v>88</v>
      </c>
      <c r="G562" s="53" t="s">
        <v>36</v>
      </c>
      <c r="H562" s="53">
        <f>STOCK[[#This Row],[Precio Final]]</f>
        <v>12</v>
      </c>
      <c r="I562" s="53">
        <f>STOCK[[#This Row],[Precio Venta Ideal (x1.5)]]</f>
        <v>13.963235294117641</v>
      </c>
      <c r="J562" s="69">
        <v>0</v>
      </c>
      <c r="K562" s="69">
        <f>SUMIFS(VENTAS[Cantidad],VENTAS[Código del producto Vendido],STOCK[[#This Row],[Code]])</f>
        <v>0</v>
      </c>
      <c r="L562" s="69">
        <f>STOCK[[#This Row],[Entradas]]-STOCK[[#This Row],[Salidas]]</f>
        <v>0</v>
      </c>
      <c r="M562" s="53">
        <f>STOCK[[#This Row],[Precio Final]]*10%</f>
        <v>1.2000000000000002</v>
      </c>
      <c r="N562" s="53">
        <v>120</v>
      </c>
      <c r="O562" s="53">
        <v>17</v>
      </c>
      <c r="P562" s="53">
        <v>7.0588235294117601</v>
      </c>
      <c r="Q562" s="69">
        <v>60</v>
      </c>
      <c r="R562" s="53">
        <v>17.5</v>
      </c>
      <c r="S562" s="53">
        <f>STOCK[[#This Row],[Peso (g)]]*STOCK[[#This Row],[Precio Envío Kilogramo (USD)]]/1000</f>
        <v>1.05</v>
      </c>
      <c r="T562" s="53">
        <f>STOCK[[#This Row],[Costo Unitario (USD)]]+STOCK[[#This Row],[Costo Envío (USD)]]+STOCK[[#This Row],[Comisión 10%]]</f>
        <v>9.3088235294117609</v>
      </c>
      <c r="U562" s="53">
        <f>STOCK[[#This Row],[Costo total]]*1.5</f>
        <v>13.963235294117641</v>
      </c>
      <c r="V562" s="53">
        <v>12</v>
      </c>
      <c r="W562" s="53">
        <f>STOCK[[#This Row],[Precio Final]]-STOCK[[#This Row],[Costo total]]</f>
        <v>2.6911764705882391</v>
      </c>
      <c r="X562" s="53">
        <f>STOCK[[#This Row],[Ganancia Unitaria]]*STOCK[[#This Row],[Salidas]]</f>
        <v>0</v>
      </c>
      <c r="AA562" s="53">
        <f>STOCK[[#This Row],[Costo total]]*STOCK[[#This Row],[Entradas]]</f>
        <v>0</v>
      </c>
      <c r="AB562" s="53">
        <f>STOCK[[#This Row],[Stock Actual]]*STOCK[[#This Row],[Costo total]]</f>
        <v>0</v>
      </c>
    </row>
    <row r="563" spans="1:28" s="54" customFormat="1" ht="50" customHeight="1">
      <c r="A563" s="54" t="s">
        <v>1144</v>
      </c>
      <c r="B563" s="64"/>
      <c r="C563" s="54" t="s">
        <v>32</v>
      </c>
      <c r="D563" s="54" t="s">
        <v>743</v>
      </c>
      <c r="E563" s="66" t="s">
        <v>1145</v>
      </c>
      <c r="F563" s="54" t="s">
        <v>49</v>
      </c>
      <c r="G563" s="54" t="s">
        <v>704</v>
      </c>
      <c r="H563" s="54">
        <f>STOCK[[#This Row],[Precio Final]]</f>
        <v>25</v>
      </c>
      <c r="I563" s="54">
        <f>STOCK[[#This Row],[Precio Venta Ideal (x1.5)]]</f>
        <v>28.155882352941148</v>
      </c>
      <c r="J563" s="70">
        <v>1</v>
      </c>
      <c r="K563" s="70">
        <f>SUMIFS(VENTAS[Cantidad],VENTAS[Código del producto Vendido],STOCK[[#This Row],[Code]])</f>
        <v>1</v>
      </c>
      <c r="L563" s="70">
        <f>STOCK[[#This Row],[Entradas]]-STOCK[[#This Row],[Salidas]]</f>
        <v>0</v>
      </c>
      <c r="M563" s="54">
        <f>STOCK[[#This Row],[Precio Final]]*10%</f>
        <v>2.5</v>
      </c>
      <c r="N563" s="54">
        <v>229</v>
      </c>
      <c r="O563" s="54">
        <v>17</v>
      </c>
      <c r="P563" s="54">
        <v>13.4705882352941</v>
      </c>
      <c r="Q563" s="70">
        <v>160</v>
      </c>
      <c r="R563" s="54">
        <v>17.5</v>
      </c>
      <c r="S563" s="54">
        <f>STOCK[[#This Row],[Peso (g)]]*STOCK[[#This Row],[Precio Envío Kilogramo (USD)]]/1000</f>
        <v>2.8</v>
      </c>
      <c r="T563" s="53">
        <f>STOCK[[#This Row],[Costo Unitario (USD)]]+STOCK[[#This Row],[Costo Envío (USD)]]+STOCK[[#This Row],[Comisión 10%]]</f>
        <v>18.770588235294099</v>
      </c>
      <c r="U563" s="54">
        <f>STOCK[[#This Row],[Costo total]]*1.5</f>
        <v>28.155882352941148</v>
      </c>
      <c r="V563" s="54">
        <v>25</v>
      </c>
      <c r="W563" s="54">
        <f>STOCK[[#This Row],[Precio Final]]-STOCK[[#This Row],[Costo total]]</f>
        <v>6.2294117647059011</v>
      </c>
      <c r="X563" s="54">
        <f>STOCK[[#This Row],[Ganancia Unitaria]]*STOCK[[#This Row],[Salidas]]</f>
        <v>6.2294117647059011</v>
      </c>
      <c r="AA563" s="54">
        <f>STOCK[[#This Row],[Costo total]]*STOCK[[#This Row],[Entradas]]</f>
        <v>18.770588235294099</v>
      </c>
      <c r="AB563" s="54">
        <f>STOCK[[#This Row],[Stock Actual]]*STOCK[[#This Row],[Costo total]]</f>
        <v>0</v>
      </c>
    </row>
    <row r="564" spans="1:28" s="53" customFormat="1" ht="50" customHeight="1">
      <c r="A564" s="53" t="s">
        <v>1146</v>
      </c>
      <c r="B564" s="64"/>
      <c r="C564" s="53" t="s">
        <v>32</v>
      </c>
      <c r="D564" s="53" t="s">
        <v>749</v>
      </c>
      <c r="E564" s="65" t="s">
        <v>1147</v>
      </c>
      <c r="F564" s="53" t="s">
        <v>49</v>
      </c>
      <c r="G564" s="53" t="s">
        <v>704</v>
      </c>
      <c r="H564" s="53">
        <f>STOCK[[#This Row],[Precio Final]]</f>
        <v>25</v>
      </c>
      <c r="I564" s="53">
        <f>STOCK[[#This Row],[Precio Venta Ideal (x1.5)]]</f>
        <v>33.712500000000006</v>
      </c>
      <c r="J564" s="69">
        <v>1</v>
      </c>
      <c r="K564" s="69">
        <f>SUMIFS(VENTAS[Cantidad],VENTAS[Código del producto Vendido],STOCK[[#This Row],[Code]])</f>
        <v>0</v>
      </c>
      <c r="L564" s="69">
        <f>STOCK[[#This Row],[Entradas]]-STOCK[[#This Row],[Salidas]]</f>
        <v>1</v>
      </c>
      <c r="M564" s="53">
        <f>STOCK[[#This Row],[Precio Final]]*10%</f>
        <v>2.5</v>
      </c>
      <c r="N564" s="53">
        <v>289</v>
      </c>
      <c r="O564" s="53">
        <v>17</v>
      </c>
      <c r="P564" s="53">
        <v>17</v>
      </c>
      <c r="Q564" s="69">
        <v>170</v>
      </c>
      <c r="R564" s="53">
        <v>17.5</v>
      </c>
      <c r="S564" s="53">
        <f>STOCK[[#This Row],[Peso (g)]]*STOCK[[#This Row],[Precio Envío Kilogramo (USD)]]/1000</f>
        <v>2.9750000000000001</v>
      </c>
      <c r="T564" s="53">
        <f>STOCK[[#This Row],[Costo Unitario (USD)]]+STOCK[[#This Row],[Costo Envío (USD)]]+STOCK[[#This Row],[Comisión 10%]]</f>
        <v>22.475000000000001</v>
      </c>
      <c r="U564" s="53">
        <f>STOCK[[#This Row],[Costo total]]*1.5</f>
        <v>33.712500000000006</v>
      </c>
      <c r="V564" s="53">
        <v>25</v>
      </c>
      <c r="W564" s="53">
        <f>STOCK[[#This Row],[Precio Final]]-STOCK[[#This Row],[Costo total]]</f>
        <v>2.5249999999999986</v>
      </c>
      <c r="X564" s="53">
        <f>STOCK[[#This Row],[Ganancia Unitaria]]*STOCK[[#This Row],[Salidas]]</f>
        <v>0</v>
      </c>
      <c r="AA564" s="53">
        <f>STOCK[[#This Row],[Costo total]]*STOCK[[#This Row],[Entradas]]</f>
        <v>22.475000000000001</v>
      </c>
      <c r="AB564" s="53">
        <f>STOCK[[#This Row],[Stock Actual]]*STOCK[[#This Row],[Costo total]]</f>
        <v>22.475000000000001</v>
      </c>
    </row>
    <row r="565" spans="1:28" s="54" customFormat="1" ht="50" customHeight="1">
      <c r="A565" s="54" t="s">
        <v>1148</v>
      </c>
      <c r="B565" s="64"/>
      <c r="C565" s="54" t="s">
        <v>32</v>
      </c>
      <c r="D565" s="54" t="s">
        <v>749</v>
      </c>
      <c r="E565" s="66" t="s">
        <v>1149</v>
      </c>
      <c r="F565" s="54" t="s">
        <v>46</v>
      </c>
      <c r="G565" s="54" t="s">
        <v>704</v>
      </c>
      <c r="H565" s="54">
        <f>STOCK[[#This Row],[Precio Final]]</f>
        <v>35</v>
      </c>
      <c r="I565" s="54">
        <f>STOCK[[#This Row],[Precio Venta Ideal (x1.5)]]</f>
        <v>43.153676470588202</v>
      </c>
      <c r="J565" s="70">
        <v>1</v>
      </c>
      <c r="K565" s="70">
        <f>SUMIFS(VENTAS[Cantidad],VENTAS[Código del producto Vendido],STOCK[[#This Row],[Code]])</f>
        <v>0</v>
      </c>
      <c r="L565" s="70">
        <f>STOCK[[#This Row],[Entradas]]-STOCK[[#This Row],[Salidas]]</f>
        <v>1</v>
      </c>
      <c r="M565" s="54">
        <f>STOCK[[#This Row],[Precio Final]]*10%</f>
        <v>3.5</v>
      </c>
      <c r="N565" s="54">
        <v>379</v>
      </c>
      <c r="O565" s="54">
        <v>17</v>
      </c>
      <c r="P565" s="54">
        <v>22.294117647058801</v>
      </c>
      <c r="Q565" s="70">
        <v>170</v>
      </c>
      <c r="R565" s="54">
        <v>17.5</v>
      </c>
      <c r="S565" s="54">
        <f>STOCK[[#This Row],[Peso (g)]]*STOCK[[#This Row],[Precio Envío Kilogramo (USD)]]/1000</f>
        <v>2.9750000000000001</v>
      </c>
      <c r="T565" s="53">
        <f>STOCK[[#This Row],[Costo Unitario (USD)]]+STOCK[[#This Row],[Costo Envío (USD)]]+STOCK[[#This Row],[Comisión 10%]]</f>
        <v>28.769117647058803</v>
      </c>
      <c r="U565" s="54">
        <f>STOCK[[#This Row],[Costo total]]*1.5</f>
        <v>43.153676470588202</v>
      </c>
      <c r="V565" s="54">
        <v>35</v>
      </c>
      <c r="W565" s="54">
        <f>STOCK[[#This Row],[Precio Final]]-STOCK[[#This Row],[Costo total]]</f>
        <v>6.2308823529411974</v>
      </c>
      <c r="X565" s="54">
        <f>STOCK[[#This Row],[Ganancia Unitaria]]*STOCK[[#This Row],[Salidas]]</f>
        <v>0</v>
      </c>
      <c r="AA565" s="54">
        <f>STOCK[[#This Row],[Costo total]]*STOCK[[#This Row],[Entradas]]</f>
        <v>28.769117647058803</v>
      </c>
      <c r="AB565" s="54">
        <f>STOCK[[#This Row],[Stock Actual]]*STOCK[[#This Row],[Costo total]]</f>
        <v>28.769117647058803</v>
      </c>
    </row>
    <row r="566" spans="1:28" s="53" customFormat="1" ht="50" customHeight="1">
      <c r="A566" s="53" t="s">
        <v>1150</v>
      </c>
      <c r="B566" s="64"/>
      <c r="C566" s="53" t="s">
        <v>32</v>
      </c>
      <c r="D566" s="53" t="s">
        <v>515</v>
      </c>
      <c r="E566" s="65" t="s">
        <v>1151</v>
      </c>
      <c r="F566" s="53" t="s">
        <v>540</v>
      </c>
      <c r="G566" s="53" t="s">
        <v>36</v>
      </c>
      <c r="H566" s="53">
        <f>STOCK[[#This Row],[Precio Final]]</f>
        <v>40</v>
      </c>
      <c r="I566" s="53">
        <f>STOCK[[#This Row],[Precio Venta Ideal (x1.5)]]</f>
        <v>54.419117647058847</v>
      </c>
      <c r="J566" s="69">
        <v>1</v>
      </c>
      <c r="K566" s="69">
        <f>SUMIFS(VENTAS[Cantidad],VENTAS[Código del producto Vendido],STOCK[[#This Row],[Code]])</f>
        <v>1</v>
      </c>
      <c r="L566" s="69">
        <f>STOCK[[#This Row],[Entradas]]-STOCK[[#This Row],[Salidas]]</f>
        <v>0</v>
      </c>
      <c r="M566" s="53">
        <f>STOCK[[#This Row],[Precio Final]]*10%</f>
        <v>4</v>
      </c>
      <c r="N566" s="53">
        <v>400</v>
      </c>
      <c r="O566" s="53">
        <v>17</v>
      </c>
      <c r="P566" s="53">
        <v>23.529411764705898</v>
      </c>
      <c r="Q566" s="69">
        <v>500</v>
      </c>
      <c r="R566" s="53">
        <v>17.5</v>
      </c>
      <c r="S566" s="53">
        <f>STOCK[[#This Row],[Peso (g)]]*STOCK[[#This Row],[Precio Envío Kilogramo (USD)]]/1000</f>
        <v>8.75</v>
      </c>
      <c r="T566" s="53">
        <f>STOCK[[#This Row],[Costo Unitario (USD)]]+STOCK[[#This Row],[Costo Envío (USD)]]+STOCK[[#This Row],[Comisión 10%]]</f>
        <v>36.279411764705898</v>
      </c>
      <c r="U566" s="53">
        <f>STOCK[[#This Row],[Costo total]]*1.5</f>
        <v>54.419117647058847</v>
      </c>
      <c r="V566" s="53">
        <v>40</v>
      </c>
      <c r="W566" s="53">
        <f>STOCK[[#This Row],[Precio Final]]-STOCK[[#This Row],[Costo total]]</f>
        <v>3.7205882352941018</v>
      </c>
      <c r="X566" s="53">
        <f>STOCK[[#This Row],[Ganancia Unitaria]]*STOCK[[#This Row],[Salidas]]</f>
        <v>3.7205882352941018</v>
      </c>
      <c r="AA566" s="53">
        <f>STOCK[[#This Row],[Costo total]]*STOCK[[#This Row],[Entradas]]</f>
        <v>36.279411764705898</v>
      </c>
      <c r="AB566" s="53">
        <f>STOCK[[#This Row],[Stock Actual]]*STOCK[[#This Row],[Costo total]]</f>
        <v>0</v>
      </c>
    </row>
    <row r="567" spans="1:28" s="54" customFormat="1" ht="50" customHeight="1">
      <c r="A567" s="54" t="s">
        <v>1152</v>
      </c>
      <c r="B567" s="64"/>
      <c r="C567" s="54" t="s">
        <v>32</v>
      </c>
      <c r="D567" s="54" t="s">
        <v>515</v>
      </c>
      <c r="E567" s="66" t="s">
        <v>1153</v>
      </c>
      <c r="F567" s="54" t="s">
        <v>540</v>
      </c>
      <c r="G567" s="54" t="s">
        <v>704</v>
      </c>
      <c r="H567" s="54">
        <f>STOCK[[#This Row],[Precio Final]]</f>
        <v>45</v>
      </c>
      <c r="I567" s="54">
        <f>STOCK[[#This Row],[Precio Venta Ideal (x1.5)]]</f>
        <v>59.792647058823604</v>
      </c>
      <c r="J567" s="70">
        <v>1</v>
      </c>
      <c r="K567" s="70">
        <f>SUMIFS(VENTAS[Cantidad],VENTAS[Código del producto Vendido],STOCK[[#This Row],[Code]])</f>
        <v>1</v>
      </c>
      <c r="L567" s="70">
        <f>STOCK[[#This Row],[Entradas]]-STOCK[[#This Row],[Salidas]]</f>
        <v>0</v>
      </c>
      <c r="M567" s="54">
        <f>STOCK[[#This Row],[Precio Final]]*10%</f>
        <v>4.5</v>
      </c>
      <c r="N567" s="54">
        <v>500</v>
      </c>
      <c r="O567" s="54">
        <v>17</v>
      </c>
      <c r="P567" s="54">
        <v>29.411764705882401</v>
      </c>
      <c r="Q567" s="70">
        <v>350</v>
      </c>
      <c r="R567" s="54">
        <v>17</v>
      </c>
      <c r="S567" s="54">
        <f>STOCK[[#This Row],[Peso (g)]]*STOCK[[#This Row],[Precio Envío Kilogramo (USD)]]/1000</f>
        <v>5.95</v>
      </c>
      <c r="T567" s="53">
        <f>STOCK[[#This Row],[Costo Unitario (USD)]]+STOCK[[#This Row],[Costo Envío (USD)]]+STOCK[[#This Row],[Comisión 10%]]</f>
        <v>39.861764705882401</v>
      </c>
      <c r="U567" s="54">
        <f>STOCK[[#This Row],[Costo total]]*1.5</f>
        <v>59.792647058823604</v>
      </c>
      <c r="V567" s="54">
        <v>45</v>
      </c>
      <c r="W567" s="54">
        <f>STOCK[[#This Row],[Precio Final]]-STOCK[[#This Row],[Costo total]]</f>
        <v>5.1382352941175995</v>
      </c>
      <c r="X567" s="54">
        <f>STOCK[[#This Row],[Ganancia Unitaria]]*STOCK[[#This Row],[Salidas]]</f>
        <v>5.1382352941175995</v>
      </c>
      <c r="AA567" s="54">
        <f>STOCK[[#This Row],[Costo total]]*STOCK[[#This Row],[Entradas]]</f>
        <v>39.861764705882401</v>
      </c>
      <c r="AB567" s="54">
        <f>STOCK[[#This Row],[Stock Actual]]*STOCK[[#This Row],[Costo total]]</f>
        <v>0</v>
      </c>
    </row>
    <row r="568" spans="1:28" s="53" customFormat="1" ht="50" customHeight="1">
      <c r="A568" s="53" t="s">
        <v>1154</v>
      </c>
      <c r="B568" s="64"/>
      <c r="C568" s="53" t="s">
        <v>32</v>
      </c>
      <c r="D568" s="53" t="s">
        <v>174</v>
      </c>
      <c r="E568" s="65" t="s">
        <v>1155</v>
      </c>
      <c r="F568" s="53" t="s">
        <v>1156</v>
      </c>
      <c r="G568" s="53" t="s">
        <v>704</v>
      </c>
      <c r="H568" s="53">
        <f>STOCK[[#This Row],[Precio Final]]</f>
        <v>10</v>
      </c>
      <c r="I568" s="53">
        <f>STOCK[[#This Row],[Precio Venta Ideal (x1.5)]]</f>
        <v>12</v>
      </c>
      <c r="J568" s="69">
        <v>1</v>
      </c>
      <c r="K568" s="69">
        <f>SUMIFS(VENTAS[Cantidad],VENTAS[Código del producto Vendido],STOCK[[#This Row],[Code]])</f>
        <v>1</v>
      </c>
      <c r="L568" s="69">
        <f>STOCK[[#This Row],[Entradas]]-STOCK[[#This Row],[Salidas]]</f>
        <v>0</v>
      </c>
      <c r="M568" s="53">
        <f>STOCK[[#This Row],[Precio Final]]*10%</f>
        <v>1</v>
      </c>
      <c r="N568" s="53">
        <v>2.68</v>
      </c>
      <c r="O568" s="53">
        <v>0</v>
      </c>
      <c r="P568" s="53">
        <v>6</v>
      </c>
      <c r="Q568" s="69">
        <v>0</v>
      </c>
      <c r="R568" s="53">
        <v>0</v>
      </c>
      <c r="S568" s="53">
        <v>1</v>
      </c>
      <c r="T568" s="53">
        <f>STOCK[[#This Row],[Costo Unitario (USD)]]+STOCK[[#This Row],[Costo Envío (USD)]]+STOCK[[#This Row],[Comisión 10%]]</f>
        <v>8</v>
      </c>
      <c r="U568" s="53">
        <f>STOCK[[#This Row],[Costo total]]*1.5</f>
        <v>12</v>
      </c>
      <c r="V568" s="53">
        <v>10</v>
      </c>
      <c r="W568" s="53">
        <f>STOCK[[#This Row],[Precio Final]]-STOCK[[#This Row],[Costo total]]</f>
        <v>2</v>
      </c>
      <c r="X568" s="53">
        <f>STOCK[[#This Row],[Ganancia Unitaria]]*STOCK[[#This Row],[Salidas]]</f>
        <v>2</v>
      </c>
      <c r="AA568" s="53">
        <f>STOCK[[#This Row],[Costo total]]*STOCK[[#This Row],[Entradas]]</f>
        <v>8</v>
      </c>
      <c r="AB568" s="53">
        <f>STOCK[[#This Row],[Stock Actual]]*STOCK[[#This Row],[Costo total]]</f>
        <v>0</v>
      </c>
    </row>
    <row r="569" spans="1:28" s="54" customFormat="1" ht="50" customHeight="1">
      <c r="A569" s="54" t="s">
        <v>1157</v>
      </c>
      <c r="B569" s="64"/>
      <c r="C569" s="54" t="s">
        <v>32</v>
      </c>
      <c r="D569" s="54" t="s">
        <v>174</v>
      </c>
      <c r="E569" s="66" t="s">
        <v>1158</v>
      </c>
      <c r="F569" s="54" t="s">
        <v>49</v>
      </c>
      <c r="G569" s="54" t="s">
        <v>36</v>
      </c>
      <c r="H569" s="54">
        <f>STOCK[[#This Row],[Precio Final]]</f>
        <v>13</v>
      </c>
      <c r="I569" s="54">
        <f>STOCK[[#This Row],[Precio Venta Ideal (x1.5)]]</f>
        <v>14.745000000000003</v>
      </c>
      <c r="J569" s="70">
        <v>1</v>
      </c>
      <c r="K569" s="70">
        <f>SUMIFS(VENTAS[Cantidad],VENTAS[Código del producto Vendido],STOCK[[#This Row],[Code]])</f>
        <v>1</v>
      </c>
      <c r="L569" s="70">
        <f>STOCK[[#This Row],[Entradas]]-STOCK[[#This Row],[Salidas]]</f>
        <v>0</v>
      </c>
      <c r="M569" s="54">
        <f>STOCK[[#This Row],[Precio Final]]*10%</f>
        <v>1.3</v>
      </c>
      <c r="N569" s="54">
        <v>0</v>
      </c>
      <c r="O569" s="54">
        <v>8.25</v>
      </c>
      <c r="P569" s="54">
        <v>6.53</v>
      </c>
      <c r="Q569" s="70">
        <v>0</v>
      </c>
      <c r="R569" s="54">
        <v>0</v>
      </c>
      <c r="S569" s="54">
        <v>2</v>
      </c>
      <c r="T569" s="53">
        <f>STOCK[[#This Row],[Costo Unitario (USD)]]+STOCK[[#This Row],[Costo Envío (USD)]]+STOCK[[#This Row],[Comisión 10%]]</f>
        <v>9.8300000000000018</v>
      </c>
      <c r="U569" s="54">
        <f>STOCK[[#This Row],[Costo total]]*1.5</f>
        <v>14.745000000000003</v>
      </c>
      <c r="V569" s="54">
        <v>13</v>
      </c>
      <c r="W569" s="54">
        <f>STOCK[[#This Row],[Precio Final]]-STOCK[[#This Row],[Costo total]]</f>
        <v>3.1699999999999982</v>
      </c>
      <c r="X569" s="54">
        <f>STOCK[[#This Row],[Ganancia Unitaria]]*STOCK[[#This Row],[Salidas]]</f>
        <v>3.1699999999999982</v>
      </c>
      <c r="Y569" s="54" t="s">
        <v>1159</v>
      </c>
      <c r="AA569" s="54">
        <f>STOCK[[#This Row],[Costo total]]*STOCK[[#This Row],[Entradas]]</f>
        <v>9.8300000000000018</v>
      </c>
      <c r="AB569" s="54">
        <f>STOCK[[#This Row],[Stock Actual]]*STOCK[[#This Row],[Costo total]]</f>
        <v>0</v>
      </c>
    </row>
    <row r="570" spans="1:28" s="53" customFormat="1" ht="50" customHeight="1">
      <c r="A570" s="53" t="s">
        <v>1160</v>
      </c>
      <c r="B570" s="64"/>
      <c r="C570" s="53" t="s">
        <v>32</v>
      </c>
      <c r="D570" s="53" t="s">
        <v>174</v>
      </c>
      <c r="E570" s="65" t="s">
        <v>1158</v>
      </c>
      <c r="F570" s="53" t="s">
        <v>62</v>
      </c>
      <c r="G570" s="53" t="s">
        <v>36</v>
      </c>
      <c r="H570" s="53">
        <f>STOCK[[#This Row],[Precio Final]]</f>
        <v>13</v>
      </c>
      <c r="I570" s="53">
        <f>STOCK[[#This Row],[Precio Venta Ideal (x1.5)]]</f>
        <v>14.745000000000003</v>
      </c>
      <c r="J570" s="69">
        <v>1</v>
      </c>
      <c r="K570" s="69">
        <f>SUMIFS(VENTAS[Cantidad],VENTAS[Código del producto Vendido],STOCK[[#This Row],[Code]])</f>
        <v>1</v>
      </c>
      <c r="L570" s="69">
        <f>STOCK[[#This Row],[Entradas]]-STOCK[[#This Row],[Salidas]]</f>
        <v>0</v>
      </c>
      <c r="M570" s="53">
        <f>STOCK[[#This Row],[Precio Final]]*10%</f>
        <v>1.3</v>
      </c>
      <c r="N570" s="53">
        <v>3.75</v>
      </c>
      <c r="O570" s="53">
        <v>0</v>
      </c>
      <c r="P570" s="53">
        <v>6.53</v>
      </c>
      <c r="Q570" s="69">
        <v>0</v>
      </c>
      <c r="R570" s="53">
        <v>0</v>
      </c>
      <c r="S570" s="53">
        <v>2</v>
      </c>
      <c r="T570" s="53">
        <f>STOCK[[#This Row],[Costo Unitario (USD)]]+STOCK[[#This Row],[Costo Envío (USD)]]+STOCK[[#This Row],[Comisión 10%]]</f>
        <v>9.8300000000000018</v>
      </c>
      <c r="U570" s="53">
        <f>STOCK[[#This Row],[Costo total]]*1.5</f>
        <v>14.745000000000003</v>
      </c>
      <c r="V570" s="53">
        <v>13</v>
      </c>
      <c r="W570" s="53">
        <f>STOCK[[#This Row],[Precio Final]]-STOCK[[#This Row],[Costo total]]</f>
        <v>3.1699999999999982</v>
      </c>
      <c r="X570" s="53">
        <f>STOCK[[#This Row],[Ganancia Unitaria]]*STOCK[[#This Row],[Salidas]]</f>
        <v>3.1699999999999982</v>
      </c>
      <c r="Y570" s="53" t="s">
        <v>1159</v>
      </c>
      <c r="AA570" s="53">
        <f>STOCK[[#This Row],[Costo total]]*STOCK[[#This Row],[Entradas]]</f>
        <v>9.8300000000000018</v>
      </c>
      <c r="AB570" s="53">
        <f>STOCK[[#This Row],[Stock Actual]]*STOCK[[#This Row],[Costo total]]</f>
        <v>0</v>
      </c>
    </row>
    <row r="571" spans="1:28" s="54" customFormat="1" ht="50" customHeight="1">
      <c r="A571" s="54" t="s">
        <v>1161</v>
      </c>
      <c r="B571" s="64"/>
      <c r="C571" s="54" t="s">
        <v>32</v>
      </c>
      <c r="D571" s="54" t="s">
        <v>546</v>
      </c>
      <c r="E571" s="66" t="s">
        <v>1162</v>
      </c>
      <c r="F571" s="54" t="s">
        <v>525</v>
      </c>
      <c r="G571" s="54" t="s">
        <v>36</v>
      </c>
      <c r="H571" s="54">
        <f>STOCK[[#This Row],[Precio Final]]</f>
        <v>5</v>
      </c>
      <c r="I571" s="54">
        <f>STOCK[[#This Row],[Precio Venta Ideal (x1.5)]]</f>
        <v>3.7950000000000004</v>
      </c>
      <c r="J571" s="70">
        <v>11</v>
      </c>
      <c r="K571" s="70">
        <f>SUMIFS(VENTAS[Cantidad],VENTAS[Código del producto Vendido],STOCK[[#This Row],[Code]])</f>
        <v>9</v>
      </c>
      <c r="L571" s="70">
        <f>STOCK[[#This Row],[Entradas]]-STOCK[[#This Row],[Salidas]]</f>
        <v>2</v>
      </c>
      <c r="M571" s="54">
        <f>STOCK[[#This Row],[Precio Final]]*10%</f>
        <v>0.5</v>
      </c>
      <c r="N571" s="54">
        <v>21.29</v>
      </c>
      <c r="O571" s="54">
        <v>12.26</v>
      </c>
      <c r="P571" s="54">
        <v>1.03</v>
      </c>
      <c r="Q571" s="70">
        <v>0</v>
      </c>
      <c r="R571" s="54">
        <v>0</v>
      </c>
      <c r="S571" s="54">
        <v>1</v>
      </c>
      <c r="T571" s="53">
        <f>STOCK[[#This Row],[Costo Unitario (USD)]]+STOCK[[#This Row],[Costo Envío (USD)]]+STOCK[[#This Row],[Comisión 10%]]</f>
        <v>2.5300000000000002</v>
      </c>
      <c r="U571" s="54">
        <f>STOCK[[#This Row],[Costo total]]*1.5</f>
        <v>3.7950000000000004</v>
      </c>
      <c r="V571" s="54">
        <v>5</v>
      </c>
      <c r="W571" s="54">
        <f>STOCK[[#This Row],[Precio Final]]-STOCK[[#This Row],[Costo total]]</f>
        <v>2.4699999999999998</v>
      </c>
      <c r="X571" s="54">
        <f>STOCK[[#This Row],[Ganancia Unitaria]]*STOCK[[#This Row],[Salidas]]</f>
        <v>22.229999999999997</v>
      </c>
      <c r="Y571" s="54" t="s">
        <v>1159</v>
      </c>
      <c r="AA571" s="54">
        <f>STOCK[[#This Row],[Costo total]]*STOCK[[#This Row],[Entradas]]</f>
        <v>27.830000000000002</v>
      </c>
      <c r="AB571" s="54">
        <f>STOCK[[#This Row],[Stock Actual]]*STOCK[[#This Row],[Costo total]]</f>
        <v>5.0600000000000005</v>
      </c>
    </row>
    <row r="572" spans="1:28" s="53" customFormat="1" ht="50" customHeight="1">
      <c r="A572" s="53" t="s">
        <v>1163</v>
      </c>
      <c r="B572" s="64"/>
      <c r="C572" s="53" t="s">
        <v>32</v>
      </c>
      <c r="D572" s="53" t="s">
        <v>152</v>
      </c>
      <c r="E572" s="65" t="s">
        <v>1164</v>
      </c>
      <c r="F572" s="53" t="s">
        <v>46</v>
      </c>
      <c r="G572" s="53" t="s">
        <v>36</v>
      </c>
      <c r="H572" s="53">
        <f>STOCK[[#This Row],[Precio Final]]</f>
        <v>22</v>
      </c>
      <c r="I572" s="53">
        <f>STOCK[[#This Row],[Precio Venta Ideal (x1.5)]]</f>
        <v>24.734999999999999</v>
      </c>
      <c r="J572" s="69">
        <v>2</v>
      </c>
      <c r="K572" s="69">
        <f>SUMIFS(VENTAS[Cantidad],VENTAS[Código del producto Vendido],STOCK[[#This Row],[Code]])</f>
        <v>2</v>
      </c>
      <c r="L572" s="69">
        <f>STOCK[[#This Row],[Entradas]]-STOCK[[#This Row],[Salidas]]</f>
        <v>0</v>
      </c>
      <c r="M572" s="53">
        <f>STOCK[[#This Row],[Precio Final]]*10%</f>
        <v>2.2000000000000002</v>
      </c>
      <c r="N572" s="53">
        <v>9.02</v>
      </c>
      <c r="O572" s="53">
        <v>0</v>
      </c>
      <c r="P572" s="53">
        <v>12.29</v>
      </c>
      <c r="Q572" s="69">
        <v>0</v>
      </c>
      <c r="R572" s="53">
        <v>0</v>
      </c>
      <c r="S572" s="53">
        <v>2</v>
      </c>
      <c r="T572" s="53">
        <f>STOCK[[#This Row],[Costo Unitario (USD)]]+STOCK[[#This Row],[Costo Envío (USD)]]+STOCK[[#This Row],[Comisión 10%]]</f>
        <v>16.489999999999998</v>
      </c>
      <c r="U572" s="53">
        <f>STOCK[[#This Row],[Costo total]]*1.5</f>
        <v>24.734999999999999</v>
      </c>
      <c r="V572" s="53">
        <v>22</v>
      </c>
      <c r="W572" s="53">
        <f>STOCK[[#This Row],[Precio Final]]-STOCK[[#This Row],[Costo total]]</f>
        <v>5.5100000000000016</v>
      </c>
      <c r="X572" s="53">
        <f>STOCK[[#This Row],[Ganancia Unitaria]]*STOCK[[#This Row],[Salidas]]</f>
        <v>11.020000000000003</v>
      </c>
      <c r="Y572" s="53" t="s">
        <v>1159</v>
      </c>
      <c r="AA572" s="53">
        <f>STOCK[[#This Row],[Costo total]]*STOCK[[#This Row],[Entradas]]</f>
        <v>32.979999999999997</v>
      </c>
      <c r="AB572" s="53">
        <f>STOCK[[#This Row],[Stock Actual]]*STOCK[[#This Row],[Costo total]]</f>
        <v>0</v>
      </c>
    </row>
    <row r="573" spans="1:28" s="54" customFormat="1" ht="50" customHeight="1">
      <c r="A573" s="54" t="s">
        <v>1165</v>
      </c>
      <c r="B573" s="64"/>
      <c r="C573" s="54" t="s">
        <v>32</v>
      </c>
      <c r="D573" s="54" t="s">
        <v>152</v>
      </c>
      <c r="E573" s="66" t="s">
        <v>1166</v>
      </c>
      <c r="F573" s="54" t="s">
        <v>49</v>
      </c>
      <c r="G573" s="54" t="s">
        <v>36</v>
      </c>
      <c r="H573" s="54">
        <f>STOCK[[#This Row],[Precio Final]]</f>
        <v>20</v>
      </c>
      <c r="I573" s="54">
        <f>STOCK[[#This Row],[Precio Venta Ideal (x1.5)]]</f>
        <v>24.434999999999999</v>
      </c>
      <c r="J573" s="70">
        <v>3</v>
      </c>
      <c r="K573" s="70">
        <f>SUMIFS(VENTAS[Cantidad],VENTAS[Código del producto Vendido],STOCK[[#This Row],[Code]])</f>
        <v>2</v>
      </c>
      <c r="L573" s="70">
        <f>STOCK[[#This Row],[Entradas]]-STOCK[[#This Row],[Salidas]]</f>
        <v>1</v>
      </c>
      <c r="M573" s="54">
        <f>STOCK[[#This Row],[Precio Final]]*10%</f>
        <v>2</v>
      </c>
      <c r="N573" s="54">
        <v>0</v>
      </c>
      <c r="O573" s="54">
        <v>17.489999999999998</v>
      </c>
      <c r="P573" s="54">
        <v>12.29</v>
      </c>
      <c r="Q573" s="70">
        <v>0</v>
      </c>
      <c r="R573" s="54">
        <v>0</v>
      </c>
      <c r="S573" s="54">
        <v>2</v>
      </c>
      <c r="T573" s="53">
        <f>STOCK[[#This Row],[Costo Unitario (USD)]]+STOCK[[#This Row],[Costo Envío (USD)]]+STOCK[[#This Row],[Comisión 10%]]</f>
        <v>16.29</v>
      </c>
      <c r="U573" s="54">
        <f>STOCK[[#This Row],[Costo total]]*1.5</f>
        <v>24.434999999999999</v>
      </c>
      <c r="V573" s="54">
        <v>20</v>
      </c>
      <c r="W573" s="54">
        <f>STOCK[[#This Row],[Precio Final]]-STOCK[[#This Row],[Costo total]]</f>
        <v>3.7100000000000009</v>
      </c>
      <c r="X573" s="54">
        <f>STOCK[[#This Row],[Ganancia Unitaria]]*STOCK[[#This Row],[Salidas]]</f>
        <v>7.4200000000000017</v>
      </c>
      <c r="Y573" s="54" t="s">
        <v>1159</v>
      </c>
      <c r="AA573" s="54">
        <f>STOCK[[#This Row],[Costo total]]*STOCK[[#This Row],[Entradas]]</f>
        <v>48.87</v>
      </c>
      <c r="AB573" s="54">
        <f>STOCK[[#This Row],[Stock Actual]]*STOCK[[#This Row],[Costo total]]</f>
        <v>16.29</v>
      </c>
    </row>
    <row r="574" spans="1:28" s="53" customFormat="1" ht="50" customHeight="1">
      <c r="A574" s="53" t="s">
        <v>1167</v>
      </c>
      <c r="B574" s="64"/>
      <c r="C574" s="53" t="s">
        <v>32</v>
      </c>
      <c r="D574" s="53" t="s">
        <v>152</v>
      </c>
      <c r="E574" s="65" t="s">
        <v>1168</v>
      </c>
      <c r="F574" s="53" t="s">
        <v>1169</v>
      </c>
      <c r="G574" s="53" t="s">
        <v>36</v>
      </c>
      <c r="H574" s="53">
        <f>STOCK[[#This Row],[Precio Final]]</f>
        <v>20</v>
      </c>
      <c r="I574" s="53">
        <f>STOCK[[#This Row],[Precio Venta Ideal (x1.5)]]</f>
        <v>24.434999999999999</v>
      </c>
      <c r="J574" s="69">
        <v>2</v>
      </c>
      <c r="K574" s="69">
        <f>SUMIFS(VENTAS[Cantidad],VENTAS[Código del producto Vendido],STOCK[[#This Row],[Code]])</f>
        <v>2</v>
      </c>
      <c r="L574" s="69">
        <f>STOCK[[#This Row],[Entradas]]-STOCK[[#This Row],[Salidas]]</f>
        <v>0</v>
      </c>
      <c r="M574" s="53">
        <f>STOCK[[#This Row],[Precio Final]]*10%</f>
        <v>2</v>
      </c>
      <c r="N574" s="53">
        <v>0</v>
      </c>
      <c r="O574" s="53">
        <v>17.489999999999998</v>
      </c>
      <c r="P574" s="53">
        <v>12.29</v>
      </c>
      <c r="Q574" s="69">
        <v>0</v>
      </c>
      <c r="R574" s="53">
        <v>0</v>
      </c>
      <c r="S574" s="53">
        <v>2</v>
      </c>
      <c r="T574" s="53">
        <f>STOCK[[#This Row],[Costo Unitario (USD)]]+STOCK[[#This Row],[Costo Envío (USD)]]+STOCK[[#This Row],[Comisión 10%]]</f>
        <v>16.29</v>
      </c>
      <c r="U574" s="53">
        <f>STOCK[[#This Row],[Costo total]]*1.5</f>
        <v>24.434999999999999</v>
      </c>
      <c r="V574" s="53">
        <v>20</v>
      </c>
      <c r="W574" s="53">
        <f>STOCK[[#This Row],[Precio Final]]-STOCK[[#This Row],[Costo total]]</f>
        <v>3.7100000000000009</v>
      </c>
      <c r="X574" s="53">
        <f>STOCK[[#This Row],[Ganancia Unitaria]]*STOCK[[#This Row],[Salidas]]</f>
        <v>7.4200000000000017</v>
      </c>
      <c r="Y574" s="53" t="s">
        <v>1159</v>
      </c>
      <c r="AA574" s="53">
        <f>STOCK[[#This Row],[Costo total]]*STOCK[[#This Row],[Entradas]]</f>
        <v>32.58</v>
      </c>
      <c r="AB574" s="53">
        <f>STOCK[[#This Row],[Stock Actual]]*STOCK[[#This Row],[Costo total]]</f>
        <v>0</v>
      </c>
    </row>
    <row r="575" spans="1:28" s="54" customFormat="1" ht="50" customHeight="1">
      <c r="A575" s="54" t="s">
        <v>1170</v>
      </c>
      <c r="B575" s="64"/>
      <c r="C575" s="54" t="s">
        <v>32</v>
      </c>
      <c r="D575" s="54" t="s">
        <v>174</v>
      </c>
      <c r="E575" s="66" t="s">
        <v>1171</v>
      </c>
      <c r="F575" s="54" t="s">
        <v>88</v>
      </c>
      <c r="G575" s="54" t="s">
        <v>36</v>
      </c>
      <c r="H575" s="54">
        <f>STOCK[[#This Row],[Precio Final]]</f>
        <v>13</v>
      </c>
      <c r="I575" s="54">
        <f>STOCK[[#This Row],[Precio Venta Ideal (x1.5)]]</f>
        <v>14.865</v>
      </c>
      <c r="J575" s="70">
        <v>3</v>
      </c>
      <c r="K575" s="70">
        <f>SUMIFS(VENTAS[Cantidad],VENTAS[Código del producto Vendido],STOCK[[#This Row],[Code]])</f>
        <v>3</v>
      </c>
      <c r="L575" s="70">
        <f>STOCK[[#This Row],[Entradas]]-STOCK[[#This Row],[Salidas]]</f>
        <v>0</v>
      </c>
      <c r="M575" s="54">
        <f>STOCK[[#This Row],[Precio Final]]*10%</f>
        <v>1.3</v>
      </c>
      <c r="N575" s="54">
        <v>0</v>
      </c>
      <c r="O575" s="54">
        <v>0</v>
      </c>
      <c r="P575" s="54">
        <v>7.61</v>
      </c>
      <c r="Q575" s="70">
        <v>0</v>
      </c>
      <c r="R575" s="54">
        <v>0</v>
      </c>
      <c r="S575" s="54">
        <v>1</v>
      </c>
      <c r="T575" s="53">
        <f>STOCK[[#This Row],[Costo Unitario (USD)]]+STOCK[[#This Row],[Costo Envío (USD)]]+STOCK[[#This Row],[Comisión 10%]]</f>
        <v>9.91</v>
      </c>
      <c r="U575" s="54">
        <f>STOCK[[#This Row],[Costo total]]*1.5</f>
        <v>14.865</v>
      </c>
      <c r="V575" s="54">
        <v>13</v>
      </c>
      <c r="W575" s="54">
        <f>STOCK[[#This Row],[Precio Final]]-STOCK[[#This Row],[Costo total]]</f>
        <v>3.09</v>
      </c>
      <c r="X575" s="54">
        <f>STOCK[[#This Row],[Ganancia Unitaria]]*STOCK[[#This Row],[Salidas]]</f>
        <v>9.27</v>
      </c>
      <c r="Y575" s="54" t="s">
        <v>1159</v>
      </c>
      <c r="AA575" s="54">
        <f>STOCK[[#This Row],[Costo total]]*STOCK[[#This Row],[Entradas]]</f>
        <v>29.73</v>
      </c>
      <c r="AB575" s="54">
        <f>STOCK[[#This Row],[Stock Actual]]*STOCK[[#This Row],[Costo total]]</f>
        <v>0</v>
      </c>
    </row>
    <row r="576" spans="1:28" s="53" customFormat="1" ht="50" customHeight="1">
      <c r="A576" s="53" t="s">
        <v>1172</v>
      </c>
      <c r="B576" s="64"/>
      <c r="C576" s="53" t="s">
        <v>32</v>
      </c>
      <c r="D576" s="53" t="s">
        <v>174</v>
      </c>
      <c r="E576" s="65" t="s">
        <v>1171</v>
      </c>
      <c r="F576" s="53" t="s">
        <v>83</v>
      </c>
      <c r="G576" s="53" t="s">
        <v>36</v>
      </c>
      <c r="H576" s="53">
        <f>STOCK[[#This Row],[Precio Final]]</f>
        <v>13</v>
      </c>
      <c r="I576" s="53">
        <f>STOCK[[#This Row],[Precio Venta Ideal (x1.5)]]</f>
        <v>14.865</v>
      </c>
      <c r="J576" s="69">
        <v>2</v>
      </c>
      <c r="K576" s="69">
        <f>SUMIFS(VENTAS[Cantidad],VENTAS[Código del producto Vendido],STOCK[[#This Row],[Code]])</f>
        <v>2</v>
      </c>
      <c r="L576" s="69">
        <f>STOCK[[#This Row],[Entradas]]-STOCK[[#This Row],[Salidas]]</f>
        <v>0</v>
      </c>
      <c r="M576" s="53">
        <f>STOCK[[#This Row],[Precio Final]]*10%</f>
        <v>1.3</v>
      </c>
      <c r="N576" s="53">
        <v>4.72</v>
      </c>
      <c r="O576" s="53">
        <v>0</v>
      </c>
      <c r="P576" s="53">
        <v>7.61</v>
      </c>
      <c r="Q576" s="69">
        <v>0</v>
      </c>
      <c r="R576" s="53">
        <v>0</v>
      </c>
      <c r="S576" s="53">
        <v>1</v>
      </c>
      <c r="T576" s="53">
        <f>STOCK[[#This Row],[Costo Unitario (USD)]]+STOCK[[#This Row],[Costo Envío (USD)]]+STOCK[[#This Row],[Comisión 10%]]</f>
        <v>9.91</v>
      </c>
      <c r="U576" s="53">
        <f>STOCK[[#This Row],[Costo total]]*1.5</f>
        <v>14.865</v>
      </c>
      <c r="V576" s="53">
        <v>13</v>
      </c>
      <c r="W576" s="53">
        <f>STOCK[[#This Row],[Precio Final]]-STOCK[[#This Row],[Costo total]]</f>
        <v>3.09</v>
      </c>
      <c r="X576" s="53">
        <f>STOCK[[#This Row],[Ganancia Unitaria]]*STOCK[[#This Row],[Salidas]]</f>
        <v>6.18</v>
      </c>
      <c r="Y576" s="53" t="s">
        <v>1159</v>
      </c>
      <c r="AA576" s="53">
        <f>STOCK[[#This Row],[Costo total]]*STOCK[[#This Row],[Entradas]]</f>
        <v>19.82</v>
      </c>
      <c r="AB576" s="53">
        <f>STOCK[[#This Row],[Stock Actual]]*STOCK[[#This Row],[Costo total]]</f>
        <v>0</v>
      </c>
    </row>
    <row r="577" spans="1:28" s="54" customFormat="1" ht="50" customHeight="1">
      <c r="A577" s="54" t="s">
        <v>1173</v>
      </c>
      <c r="B577" s="64"/>
      <c r="C577" s="54" t="s">
        <v>32</v>
      </c>
      <c r="D577" s="54" t="s">
        <v>44</v>
      </c>
      <c r="E577" s="66" t="s">
        <v>1174</v>
      </c>
      <c r="F577" s="54" t="s">
        <v>62</v>
      </c>
      <c r="G577" s="54" t="s">
        <v>36</v>
      </c>
      <c r="H577" s="54">
        <f>STOCK[[#This Row],[Precio Final]]</f>
        <v>28</v>
      </c>
      <c r="I577" s="54">
        <f>STOCK[[#This Row],[Precio Venta Ideal (x1.5)]]</f>
        <v>30.674999999999997</v>
      </c>
      <c r="J577" s="70">
        <v>1</v>
      </c>
      <c r="K577" s="70">
        <f>SUMIFS(VENTAS[Cantidad],VENTAS[Código del producto Vendido],STOCK[[#This Row],[Code]])</f>
        <v>1</v>
      </c>
      <c r="L577" s="70">
        <f>STOCK[[#This Row],[Entradas]]-STOCK[[#This Row],[Salidas]]</f>
        <v>0</v>
      </c>
      <c r="M577" s="54">
        <f>STOCK[[#This Row],[Precio Final]]*10%</f>
        <v>2.8000000000000003</v>
      </c>
      <c r="N577" s="54">
        <v>0</v>
      </c>
      <c r="O577" s="54">
        <v>0</v>
      </c>
      <c r="P577" s="54">
        <v>17.649999999999999</v>
      </c>
      <c r="Q577" s="70">
        <v>0</v>
      </c>
      <c r="R577" s="54">
        <v>0</v>
      </c>
      <c r="S577" s="54">
        <v>0</v>
      </c>
      <c r="T577" s="53">
        <f>STOCK[[#This Row],[Costo Unitario (USD)]]+STOCK[[#This Row],[Costo Envío (USD)]]+STOCK[[#This Row],[Comisión 10%]]</f>
        <v>20.45</v>
      </c>
      <c r="U577" s="54">
        <f>STOCK[[#This Row],[Costo total]]*1.5</f>
        <v>30.674999999999997</v>
      </c>
      <c r="V577" s="54">
        <v>28</v>
      </c>
      <c r="W577" s="54">
        <f>STOCK[[#This Row],[Precio Final]]-STOCK[[#This Row],[Costo total]]</f>
        <v>7.5500000000000007</v>
      </c>
      <c r="X577" s="54">
        <f>STOCK[[#This Row],[Ganancia Unitaria]]*STOCK[[#This Row],[Salidas]]</f>
        <v>7.5500000000000007</v>
      </c>
      <c r="Y577" s="54" t="s">
        <v>1159</v>
      </c>
      <c r="AA577" s="54">
        <f>STOCK[[#This Row],[Costo total]]*STOCK[[#This Row],[Entradas]]</f>
        <v>20.45</v>
      </c>
      <c r="AB577" s="54">
        <f>STOCK[[#This Row],[Stock Actual]]*STOCK[[#This Row],[Costo total]]</f>
        <v>0</v>
      </c>
    </row>
    <row r="578" spans="1:28" s="53" customFormat="1" ht="50" customHeight="1">
      <c r="A578" s="53" t="s">
        <v>1175</v>
      </c>
      <c r="B578" s="64"/>
      <c r="C578" s="53" t="s">
        <v>32</v>
      </c>
      <c r="D578" s="53" t="s">
        <v>44</v>
      </c>
      <c r="E578" s="65" t="s">
        <v>1174</v>
      </c>
      <c r="F578" s="53" t="s">
        <v>49</v>
      </c>
      <c r="G578" s="53" t="s">
        <v>36</v>
      </c>
      <c r="H578" s="53">
        <f>STOCK[[#This Row],[Precio Final]]</f>
        <v>28</v>
      </c>
      <c r="I578" s="53">
        <f>STOCK[[#This Row],[Precio Venta Ideal (x1.5)]]</f>
        <v>30.674999999999997</v>
      </c>
      <c r="J578" s="69">
        <v>1</v>
      </c>
      <c r="K578" s="69">
        <f>SUMIFS(VENTAS[Cantidad],VENTAS[Código del producto Vendido],STOCK[[#This Row],[Code]])</f>
        <v>1</v>
      </c>
      <c r="L578" s="69">
        <f>STOCK[[#This Row],[Entradas]]-STOCK[[#This Row],[Salidas]]</f>
        <v>0</v>
      </c>
      <c r="M578" s="53">
        <f>STOCK[[#This Row],[Precio Final]]*10%</f>
        <v>2.8000000000000003</v>
      </c>
      <c r="N578" s="53">
        <v>0</v>
      </c>
      <c r="O578" s="53">
        <v>0</v>
      </c>
      <c r="P578" s="53">
        <v>17.649999999999999</v>
      </c>
      <c r="Q578" s="69">
        <v>0</v>
      </c>
      <c r="R578" s="53">
        <v>0</v>
      </c>
      <c r="S578" s="53">
        <v>0</v>
      </c>
      <c r="T578" s="53">
        <f>STOCK[[#This Row],[Costo Unitario (USD)]]+STOCK[[#This Row],[Costo Envío (USD)]]+STOCK[[#This Row],[Comisión 10%]]</f>
        <v>20.45</v>
      </c>
      <c r="U578" s="53">
        <f>STOCK[[#This Row],[Costo total]]*1.5</f>
        <v>30.674999999999997</v>
      </c>
      <c r="V578" s="53">
        <v>28</v>
      </c>
      <c r="W578" s="53">
        <f>STOCK[[#This Row],[Precio Final]]-STOCK[[#This Row],[Costo total]]</f>
        <v>7.5500000000000007</v>
      </c>
      <c r="X578" s="53">
        <f>STOCK[[#This Row],[Ganancia Unitaria]]*STOCK[[#This Row],[Salidas]]</f>
        <v>7.5500000000000007</v>
      </c>
      <c r="Y578" s="53" t="s">
        <v>1159</v>
      </c>
      <c r="AA578" s="53">
        <f>STOCK[[#This Row],[Costo total]]*STOCK[[#This Row],[Entradas]]</f>
        <v>20.45</v>
      </c>
      <c r="AB578" s="53">
        <f>STOCK[[#This Row],[Stock Actual]]*STOCK[[#This Row],[Costo total]]</f>
        <v>0</v>
      </c>
    </row>
    <row r="579" spans="1:28" s="54" customFormat="1" ht="50" customHeight="1">
      <c r="A579" s="54" t="s">
        <v>1176</v>
      </c>
      <c r="B579" s="64"/>
      <c r="C579" s="54" t="s">
        <v>32</v>
      </c>
      <c r="D579" s="54" t="s">
        <v>44</v>
      </c>
      <c r="E579" s="66" t="s">
        <v>1174</v>
      </c>
      <c r="F579" s="54" t="s">
        <v>46</v>
      </c>
      <c r="G579" s="54" t="s">
        <v>36</v>
      </c>
      <c r="H579" s="54">
        <f>STOCK[[#This Row],[Precio Final]]</f>
        <v>28</v>
      </c>
      <c r="I579" s="54">
        <f>STOCK[[#This Row],[Precio Venta Ideal (x1.5)]]</f>
        <v>30.674999999999997</v>
      </c>
      <c r="J579" s="70">
        <v>1</v>
      </c>
      <c r="K579" s="70">
        <f>SUMIFS(VENTAS[Cantidad],VENTAS[Código del producto Vendido],STOCK[[#This Row],[Code]])</f>
        <v>1</v>
      </c>
      <c r="L579" s="70">
        <f>STOCK[[#This Row],[Entradas]]-STOCK[[#This Row],[Salidas]]</f>
        <v>0</v>
      </c>
      <c r="M579" s="54">
        <f>STOCK[[#This Row],[Precio Final]]*10%</f>
        <v>2.8000000000000003</v>
      </c>
      <c r="N579" s="54">
        <v>0</v>
      </c>
      <c r="O579" s="54">
        <v>0</v>
      </c>
      <c r="P579" s="54">
        <v>17.649999999999999</v>
      </c>
      <c r="Q579" s="70">
        <v>0</v>
      </c>
      <c r="R579" s="54">
        <v>0</v>
      </c>
      <c r="S579" s="54">
        <v>0</v>
      </c>
      <c r="T579" s="53">
        <f>STOCK[[#This Row],[Costo Unitario (USD)]]+STOCK[[#This Row],[Costo Envío (USD)]]+STOCK[[#This Row],[Comisión 10%]]</f>
        <v>20.45</v>
      </c>
      <c r="U579" s="54">
        <f>STOCK[[#This Row],[Costo total]]*1.5</f>
        <v>30.674999999999997</v>
      </c>
      <c r="V579" s="54">
        <v>28</v>
      </c>
      <c r="W579" s="54">
        <f>STOCK[[#This Row],[Precio Final]]-STOCK[[#This Row],[Costo total]]</f>
        <v>7.5500000000000007</v>
      </c>
      <c r="X579" s="54">
        <f>STOCK[[#This Row],[Ganancia Unitaria]]*STOCK[[#This Row],[Salidas]]</f>
        <v>7.5500000000000007</v>
      </c>
      <c r="Y579" s="54" t="s">
        <v>1159</v>
      </c>
      <c r="AA579" s="54">
        <f>STOCK[[#This Row],[Costo total]]*STOCK[[#This Row],[Entradas]]</f>
        <v>20.45</v>
      </c>
      <c r="AB579" s="54">
        <f>STOCK[[#This Row],[Stock Actual]]*STOCK[[#This Row],[Costo total]]</f>
        <v>0</v>
      </c>
    </row>
    <row r="580" spans="1:28" s="53" customFormat="1" ht="50" customHeight="1">
      <c r="A580" s="53" t="s">
        <v>1177</v>
      </c>
      <c r="B580" s="64"/>
      <c r="C580" s="53" t="s">
        <v>32</v>
      </c>
      <c r="D580" s="53" t="s">
        <v>44</v>
      </c>
      <c r="E580" s="65" t="s">
        <v>1178</v>
      </c>
      <c r="G580" s="53" t="s">
        <v>36</v>
      </c>
      <c r="H580" s="53">
        <f>STOCK[[#This Row],[Precio Final]]</f>
        <v>0</v>
      </c>
      <c r="I580" s="53">
        <f>STOCK[[#This Row],[Precio Venta Ideal (x1.5)]]</f>
        <v>13.785</v>
      </c>
      <c r="J580" s="69">
        <v>0</v>
      </c>
      <c r="K580" s="69">
        <f>SUMIFS(VENTAS[Cantidad],VENTAS[Código del producto Vendido],STOCK[[#This Row],[Code]])</f>
        <v>0</v>
      </c>
      <c r="L580" s="69">
        <f>STOCK[[#This Row],[Entradas]]-STOCK[[#This Row],[Salidas]]</f>
        <v>0</v>
      </c>
      <c r="M580" s="53">
        <f>STOCK[[#This Row],[Precio Final]]*10%</f>
        <v>0</v>
      </c>
      <c r="N580" s="53">
        <v>0</v>
      </c>
      <c r="O580" s="53">
        <v>0</v>
      </c>
      <c r="P580" s="53">
        <v>9.19</v>
      </c>
      <c r="Q580" s="69">
        <v>0</v>
      </c>
      <c r="R580" s="53">
        <v>0</v>
      </c>
      <c r="S580" s="53">
        <v>0</v>
      </c>
      <c r="T580" s="53">
        <f>STOCK[[#This Row],[Costo Unitario (USD)]]+STOCK[[#This Row],[Costo Envío (USD)]]+STOCK[[#This Row],[Comisión 10%]]</f>
        <v>9.19</v>
      </c>
      <c r="U580" s="53">
        <f>STOCK[[#This Row],[Costo total]]*1.5</f>
        <v>13.785</v>
      </c>
      <c r="V580" s="53">
        <v>0</v>
      </c>
      <c r="W580" s="53">
        <f>STOCK[[#This Row],[Precio Final]]-STOCK[[#This Row],[Costo total]]</f>
        <v>-9.19</v>
      </c>
      <c r="X580" s="53">
        <f>STOCK[[#This Row],[Ganancia Unitaria]]*STOCK[[#This Row],[Salidas]]</f>
        <v>0</v>
      </c>
      <c r="Y580" s="53" t="s">
        <v>1159</v>
      </c>
      <c r="AA580" s="53">
        <f>STOCK[[#This Row],[Costo total]]*STOCK[[#This Row],[Entradas]]</f>
        <v>0</v>
      </c>
      <c r="AB580" s="53">
        <f>STOCK[[#This Row],[Stock Actual]]*STOCK[[#This Row],[Costo total]]</f>
        <v>0</v>
      </c>
    </row>
    <row r="581" spans="1:28" s="54" customFormat="1" ht="50" customHeight="1">
      <c r="A581" s="54" t="s">
        <v>1179</v>
      </c>
      <c r="B581" s="64"/>
      <c r="C581" s="54" t="s">
        <v>32</v>
      </c>
      <c r="D581" s="54" t="s">
        <v>44</v>
      </c>
      <c r="E581" s="66" t="s">
        <v>1178</v>
      </c>
      <c r="G581" s="54" t="s">
        <v>36</v>
      </c>
      <c r="H581" s="54">
        <f>STOCK[[#This Row],[Precio Final]]</f>
        <v>0</v>
      </c>
      <c r="I581" s="54">
        <f>STOCK[[#This Row],[Precio Venta Ideal (x1.5)]]</f>
        <v>11.295</v>
      </c>
      <c r="J581" s="70">
        <v>0</v>
      </c>
      <c r="K581" s="70">
        <f>SUMIFS(VENTAS[Cantidad],VENTAS[Código del producto Vendido],STOCK[[#This Row],[Code]])</f>
        <v>0</v>
      </c>
      <c r="L581" s="70">
        <f>STOCK[[#This Row],[Entradas]]-STOCK[[#This Row],[Salidas]]</f>
        <v>0</v>
      </c>
      <c r="M581" s="54">
        <f>STOCK[[#This Row],[Precio Final]]*10%</f>
        <v>0</v>
      </c>
      <c r="N581" s="54">
        <v>0</v>
      </c>
      <c r="O581" s="54">
        <v>0</v>
      </c>
      <c r="P581" s="54">
        <v>7.53</v>
      </c>
      <c r="Q581" s="70">
        <v>0</v>
      </c>
      <c r="R581" s="54">
        <v>0</v>
      </c>
      <c r="S581" s="54">
        <v>0</v>
      </c>
      <c r="T581" s="53">
        <f>STOCK[[#This Row],[Costo Unitario (USD)]]+STOCK[[#This Row],[Costo Envío (USD)]]+STOCK[[#This Row],[Comisión 10%]]</f>
        <v>7.53</v>
      </c>
      <c r="U581" s="54">
        <f>STOCK[[#This Row],[Costo total]]*1.5</f>
        <v>11.295</v>
      </c>
      <c r="W581" s="54">
        <f>STOCK[[#This Row],[Precio Final]]-STOCK[[#This Row],[Costo total]]</f>
        <v>-7.53</v>
      </c>
      <c r="X581" s="54">
        <f>STOCK[[#This Row],[Ganancia Unitaria]]*STOCK[[#This Row],[Salidas]]</f>
        <v>0</v>
      </c>
      <c r="Y581" s="54" t="s">
        <v>1159</v>
      </c>
      <c r="AA581" s="54">
        <f>STOCK[[#This Row],[Costo total]]*STOCK[[#This Row],[Entradas]]</f>
        <v>0</v>
      </c>
      <c r="AB581" s="54">
        <f>STOCK[[#This Row],[Stock Actual]]*STOCK[[#This Row],[Costo total]]</f>
        <v>0</v>
      </c>
    </row>
    <row r="582" spans="1:28" s="53" customFormat="1" ht="50" customHeight="1">
      <c r="A582" s="53" t="s">
        <v>1180</v>
      </c>
      <c r="B582" s="64"/>
      <c r="C582" s="53" t="s">
        <v>32</v>
      </c>
      <c r="D582" s="53" t="s">
        <v>44</v>
      </c>
      <c r="E582" s="65" t="s">
        <v>1181</v>
      </c>
      <c r="G582" s="53" t="s">
        <v>36</v>
      </c>
      <c r="H582" s="53">
        <f>STOCK[[#This Row],[Precio Final]]</f>
        <v>12</v>
      </c>
      <c r="I582" s="53">
        <f>STOCK[[#This Row],[Precio Venta Ideal (x1.5)]]</f>
        <v>15.885</v>
      </c>
      <c r="J582" s="69">
        <v>0</v>
      </c>
      <c r="K582" s="69">
        <f>SUMIFS(VENTAS[Cantidad],VENTAS[Código del producto Vendido],STOCK[[#This Row],[Code]])</f>
        <v>0</v>
      </c>
      <c r="L582" s="69">
        <f>STOCK[[#This Row],[Entradas]]-STOCK[[#This Row],[Salidas]]</f>
        <v>0</v>
      </c>
      <c r="M582" s="53">
        <f>STOCK[[#This Row],[Precio Final]]*10%</f>
        <v>1.2000000000000002</v>
      </c>
      <c r="N582" s="53">
        <v>0</v>
      </c>
      <c r="O582" s="53">
        <v>0</v>
      </c>
      <c r="P582" s="53">
        <v>9.39</v>
      </c>
      <c r="Q582" s="69">
        <v>0</v>
      </c>
      <c r="R582" s="53">
        <v>0</v>
      </c>
      <c r="S582" s="53">
        <v>0</v>
      </c>
      <c r="T582" s="53">
        <f>STOCK[[#This Row],[Costo Unitario (USD)]]+STOCK[[#This Row],[Costo Envío (USD)]]+STOCK[[#This Row],[Comisión 10%]]</f>
        <v>10.59</v>
      </c>
      <c r="U582" s="53">
        <f>STOCK[[#This Row],[Costo total]]*1.5</f>
        <v>15.885</v>
      </c>
      <c r="V582" s="53">
        <v>12</v>
      </c>
      <c r="W582" s="53">
        <f>STOCK[[#This Row],[Precio Final]]-STOCK[[#This Row],[Costo total]]</f>
        <v>1.4100000000000001</v>
      </c>
      <c r="X582" s="53">
        <f>STOCK[[#This Row],[Ganancia Unitaria]]*STOCK[[#This Row],[Salidas]]</f>
        <v>0</v>
      </c>
      <c r="Y582" s="53" t="s">
        <v>1159</v>
      </c>
      <c r="AA582" s="53">
        <f>STOCK[[#This Row],[Costo total]]*STOCK[[#This Row],[Entradas]]</f>
        <v>0</v>
      </c>
      <c r="AB582" s="53">
        <f>STOCK[[#This Row],[Stock Actual]]*STOCK[[#This Row],[Costo total]]</f>
        <v>0</v>
      </c>
    </row>
    <row r="583" spans="1:28" s="54" customFormat="1" ht="50" customHeight="1">
      <c r="A583" s="54" t="s">
        <v>1182</v>
      </c>
      <c r="B583" s="64"/>
      <c r="C583" s="54" t="s">
        <v>32</v>
      </c>
      <c r="D583" s="54" t="s">
        <v>152</v>
      </c>
      <c r="E583" s="66" t="s">
        <v>1183</v>
      </c>
      <c r="F583" s="54" t="s">
        <v>211</v>
      </c>
      <c r="G583" s="54" t="s">
        <v>36</v>
      </c>
      <c r="H583" s="54">
        <f>STOCK[[#This Row],[Precio Final]]</f>
        <v>20</v>
      </c>
      <c r="I583" s="54">
        <f>STOCK[[#This Row],[Precio Venta Ideal (x1.5)]]</f>
        <v>24.434999999999999</v>
      </c>
      <c r="J583" s="70">
        <v>1</v>
      </c>
      <c r="K583" s="70">
        <f>SUMIFS(VENTAS[Cantidad],VENTAS[Código del producto Vendido],STOCK[[#This Row],[Code]])</f>
        <v>1</v>
      </c>
      <c r="L583" s="70">
        <f>STOCK[[#This Row],[Entradas]]-STOCK[[#This Row],[Salidas]]</f>
        <v>0</v>
      </c>
      <c r="M583" s="54">
        <f>STOCK[[#This Row],[Precio Final]]*10%</f>
        <v>2</v>
      </c>
      <c r="N583" s="54">
        <v>-17.37</v>
      </c>
      <c r="O583" s="54">
        <v>0</v>
      </c>
      <c r="P583" s="54">
        <v>12.29</v>
      </c>
      <c r="Q583" s="70">
        <v>0</v>
      </c>
      <c r="R583" s="54">
        <v>0</v>
      </c>
      <c r="S583" s="54">
        <v>2</v>
      </c>
      <c r="T583" s="53">
        <f>STOCK[[#This Row],[Costo Unitario (USD)]]+STOCK[[#This Row],[Costo Envío (USD)]]+STOCK[[#This Row],[Comisión 10%]]</f>
        <v>16.29</v>
      </c>
      <c r="U583" s="54">
        <f>STOCK[[#This Row],[Costo total]]*1.5</f>
        <v>24.434999999999999</v>
      </c>
      <c r="V583" s="54">
        <v>20</v>
      </c>
      <c r="W583" s="54">
        <f>STOCK[[#This Row],[Precio Final]]-STOCK[[#This Row],[Costo total]]</f>
        <v>3.7100000000000009</v>
      </c>
      <c r="X583" s="54">
        <f>STOCK[[#This Row],[Ganancia Unitaria]]*STOCK[[#This Row],[Salidas]]</f>
        <v>3.7100000000000009</v>
      </c>
      <c r="Y583" s="54" t="s">
        <v>1159</v>
      </c>
      <c r="AA583" s="54">
        <f>STOCK[[#This Row],[Costo total]]*STOCK[[#This Row],[Entradas]]</f>
        <v>16.29</v>
      </c>
      <c r="AB583" s="54">
        <f>STOCK[[#This Row],[Stock Actual]]*STOCK[[#This Row],[Costo total]]</f>
        <v>0</v>
      </c>
    </row>
    <row r="584" spans="1:28" s="53" customFormat="1" ht="50" customHeight="1">
      <c r="A584" s="53" t="s">
        <v>1184</v>
      </c>
      <c r="B584" s="64"/>
      <c r="C584" s="53" t="s">
        <v>32</v>
      </c>
      <c r="D584" s="53" t="s">
        <v>152</v>
      </c>
      <c r="E584" s="65" t="s">
        <v>1183</v>
      </c>
      <c r="F584" s="53" t="s">
        <v>62</v>
      </c>
      <c r="G584" s="53" t="s">
        <v>36</v>
      </c>
      <c r="H584" s="53">
        <f>STOCK[[#This Row],[Precio Final]]</f>
        <v>0</v>
      </c>
      <c r="I584" s="53">
        <f>STOCK[[#This Row],[Precio Venta Ideal (x1.5)]]</f>
        <v>21.434999999999999</v>
      </c>
      <c r="J584" s="69">
        <v>1</v>
      </c>
      <c r="K584" s="69">
        <f>SUMIFS(VENTAS[Cantidad],VENTAS[Código del producto Vendido],STOCK[[#This Row],[Code]])</f>
        <v>1</v>
      </c>
      <c r="L584" s="69">
        <f>STOCK[[#This Row],[Entradas]]-STOCK[[#This Row],[Salidas]]</f>
        <v>0</v>
      </c>
      <c r="M584" s="53">
        <f>STOCK[[#This Row],[Precio Final]]*10%</f>
        <v>0</v>
      </c>
      <c r="N584" s="53">
        <v>-17.37</v>
      </c>
      <c r="O584" s="53">
        <v>0</v>
      </c>
      <c r="P584" s="53">
        <v>12.29</v>
      </c>
      <c r="Q584" s="69">
        <v>0</v>
      </c>
      <c r="R584" s="53">
        <v>0</v>
      </c>
      <c r="S584" s="53">
        <v>2</v>
      </c>
      <c r="T584" s="53">
        <f>STOCK[[#This Row],[Costo Unitario (USD)]]+STOCK[[#This Row],[Costo Envío (USD)]]+STOCK[[#This Row],[Comisión 10%]]</f>
        <v>14.29</v>
      </c>
      <c r="U584" s="53">
        <f>STOCK[[#This Row],[Costo total]]*1.5</f>
        <v>21.434999999999999</v>
      </c>
      <c r="V584" s="53">
        <v>0</v>
      </c>
      <c r="W584" s="53">
        <f>STOCK[[#This Row],[Precio Final]]-STOCK[[#This Row],[Costo total]]</f>
        <v>-14.29</v>
      </c>
      <c r="X584" s="53">
        <f>STOCK[[#This Row],[Ganancia Unitaria]]*STOCK[[#This Row],[Salidas]]</f>
        <v>-14.29</v>
      </c>
      <c r="Y584" s="53" t="s">
        <v>1159</v>
      </c>
      <c r="AA584" s="53">
        <f>STOCK[[#This Row],[Costo total]]*STOCK[[#This Row],[Entradas]]</f>
        <v>14.29</v>
      </c>
      <c r="AB584" s="53">
        <f>STOCK[[#This Row],[Stock Actual]]*STOCK[[#This Row],[Costo total]]</f>
        <v>0</v>
      </c>
    </row>
    <row r="585" spans="1:28" s="54" customFormat="1" ht="50" customHeight="1">
      <c r="A585" s="54" t="s">
        <v>1185</v>
      </c>
      <c r="B585" s="64"/>
      <c r="C585" s="54" t="s">
        <v>32</v>
      </c>
      <c r="D585" s="54" t="s">
        <v>1074</v>
      </c>
      <c r="E585" s="66" t="s">
        <v>1186</v>
      </c>
      <c r="G585" s="54" t="s">
        <v>36</v>
      </c>
      <c r="H585" s="54">
        <f>STOCK[[#This Row],[Precio Final]]</f>
        <v>12</v>
      </c>
      <c r="I585" s="54">
        <f>STOCK[[#This Row],[Precio Venta Ideal (x1.5)]]</f>
        <v>11.445</v>
      </c>
      <c r="J585" s="70">
        <v>0</v>
      </c>
      <c r="K585" s="70">
        <f>SUMIFS(VENTAS[Cantidad],VENTAS[Código del producto Vendido],STOCK[[#This Row],[Code]])</f>
        <v>0</v>
      </c>
      <c r="L585" s="70">
        <f>STOCK[[#This Row],[Entradas]]-STOCK[[#This Row],[Salidas]]</f>
        <v>0</v>
      </c>
      <c r="M585" s="54">
        <f>STOCK[[#This Row],[Precio Final]]*10%</f>
        <v>1.2000000000000002</v>
      </c>
      <c r="N585" s="54">
        <v>0</v>
      </c>
      <c r="O585" s="54">
        <v>0</v>
      </c>
      <c r="P585" s="54">
        <v>6.43</v>
      </c>
      <c r="Q585" s="70">
        <v>0</v>
      </c>
      <c r="R585" s="54">
        <v>0</v>
      </c>
      <c r="S585" s="54">
        <v>0</v>
      </c>
      <c r="T585" s="53">
        <f>STOCK[[#This Row],[Costo Unitario (USD)]]+STOCK[[#This Row],[Costo Envío (USD)]]+STOCK[[#This Row],[Comisión 10%]]</f>
        <v>7.63</v>
      </c>
      <c r="U585" s="54">
        <f>STOCK[[#This Row],[Costo total]]*1.5</f>
        <v>11.445</v>
      </c>
      <c r="V585" s="54">
        <v>12</v>
      </c>
      <c r="W585" s="54">
        <f>STOCK[[#This Row],[Precio Final]]-STOCK[[#This Row],[Costo total]]</f>
        <v>4.37</v>
      </c>
      <c r="X585" s="54">
        <f>STOCK[[#This Row],[Ganancia Unitaria]]*STOCK[[#This Row],[Salidas]]</f>
        <v>0</v>
      </c>
      <c r="Y585" s="54" t="s">
        <v>1159</v>
      </c>
      <c r="AA585" s="54">
        <f>STOCK[[#This Row],[Costo total]]*STOCK[[#This Row],[Entradas]]</f>
        <v>0</v>
      </c>
      <c r="AB585" s="54">
        <f>STOCK[[#This Row],[Stock Actual]]*STOCK[[#This Row],[Costo total]]</f>
        <v>0</v>
      </c>
    </row>
    <row r="586" spans="1:28" s="53" customFormat="1" ht="50" customHeight="1">
      <c r="A586" s="53" t="s">
        <v>1187</v>
      </c>
      <c r="B586" s="64"/>
      <c r="C586" s="53" t="s">
        <v>32</v>
      </c>
      <c r="D586" s="53" t="s">
        <v>174</v>
      </c>
      <c r="E586" s="65" t="s">
        <v>1188</v>
      </c>
      <c r="F586" s="53" t="s">
        <v>49</v>
      </c>
      <c r="G586" s="53" t="s">
        <v>36</v>
      </c>
      <c r="H586" s="53">
        <f>STOCK[[#This Row],[Precio Final]]</f>
        <v>18</v>
      </c>
      <c r="I586" s="53">
        <f>STOCK[[#This Row],[Precio Venta Ideal (x1.5)]]</f>
        <v>21.825000000000003</v>
      </c>
      <c r="J586" s="69">
        <v>1</v>
      </c>
      <c r="K586" s="69">
        <f>SUMIFS(VENTAS[Cantidad],VENTAS[Código del producto Vendido],STOCK[[#This Row],[Code]])</f>
        <v>1</v>
      </c>
      <c r="L586" s="69">
        <f>STOCK[[#This Row],[Entradas]]-STOCK[[#This Row],[Salidas]]</f>
        <v>0</v>
      </c>
      <c r="M586" s="53">
        <f>STOCK[[#This Row],[Precio Final]]*10%</f>
        <v>1.8</v>
      </c>
      <c r="N586" s="53">
        <v>3.61</v>
      </c>
      <c r="O586" s="53">
        <v>0</v>
      </c>
      <c r="P586" s="53">
        <v>11.75</v>
      </c>
      <c r="Q586" s="69">
        <v>0</v>
      </c>
      <c r="R586" s="53">
        <v>0</v>
      </c>
      <c r="S586" s="53">
        <v>1</v>
      </c>
      <c r="T586" s="53">
        <f>STOCK[[#This Row],[Costo Unitario (USD)]]+STOCK[[#This Row],[Costo Envío (USD)]]+STOCK[[#This Row],[Comisión 10%]]</f>
        <v>14.55</v>
      </c>
      <c r="U586" s="53">
        <f>STOCK[[#This Row],[Costo total]]*1.5</f>
        <v>21.825000000000003</v>
      </c>
      <c r="V586" s="53">
        <v>18</v>
      </c>
      <c r="W586" s="53">
        <f>STOCK[[#This Row],[Precio Final]]-STOCK[[#This Row],[Costo total]]</f>
        <v>3.4499999999999993</v>
      </c>
      <c r="X586" s="53">
        <f>STOCK[[#This Row],[Ganancia Unitaria]]*STOCK[[#This Row],[Salidas]]</f>
        <v>3.4499999999999993</v>
      </c>
      <c r="Y586" s="53" t="s">
        <v>1159</v>
      </c>
      <c r="AA586" s="53">
        <f>STOCK[[#This Row],[Costo total]]*STOCK[[#This Row],[Entradas]]</f>
        <v>14.55</v>
      </c>
      <c r="AB586" s="53">
        <f>STOCK[[#This Row],[Stock Actual]]*STOCK[[#This Row],[Costo total]]</f>
        <v>0</v>
      </c>
    </row>
    <row r="587" spans="1:28" s="54" customFormat="1" ht="50" customHeight="1">
      <c r="A587" s="54" t="s">
        <v>1189</v>
      </c>
      <c r="B587" s="64"/>
      <c r="C587" s="54" t="s">
        <v>32</v>
      </c>
      <c r="D587" s="54" t="s">
        <v>1190</v>
      </c>
      <c r="E587" s="66" t="s">
        <v>1191</v>
      </c>
      <c r="F587" s="54" t="s">
        <v>62</v>
      </c>
      <c r="G587" s="54" t="s">
        <v>36</v>
      </c>
      <c r="H587" s="54">
        <f>STOCK[[#This Row],[Precio Final]]</f>
        <v>20</v>
      </c>
      <c r="I587" s="54">
        <f>STOCK[[#This Row],[Precio Venta Ideal (x1.5)]]</f>
        <v>22.575000000000003</v>
      </c>
      <c r="J587" s="70">
        <v>1</v>
      </c>
      <c r="K587" s="70">
        <f>SUMIFS(VENTAS[Cantidad],VENTAS[Código del producto Vendido],STOCK[[#This Row],[Code]])</f>
        <v>0</v>
      </c>
      <c r="L587" s="70">
        <f>STOCK[[#This Row],[Entradas]]-STOCK[[#This Row],[Salidas]]</f>
        <v>1</v>
      </c>
      <c r="M587" s="54">
        <f>STOCK[[#This Row],[Precio Final]]*10%</f>
        <v>2</v>
      </c>
      <c r="N587" s="54">
        <v>0</v>
      </c>
      <c r="O587" s="54">
        <v>0</v>
      </c>
      <c r="P587" s="54">
        <v>12.05</v>
      </c>
      <c r="Q587" s="70">
        <v>0</v>
      </c>
      <c r="R587" s="54">
        <v>0</v>
      </c>
      <c r="S587" s="54">
        <v>1</v>
      </c>
      <c r="T587" s="53">
        <f>STOCK[[#This Row],[Costo Unitario (USD)]]+STOCK[[#This Row],[Costo Envío (USD)]]+STOCK[[#This Row],[Comisión 10%]]</f>
        <v>15.05</v>
      </c>
      <c r="U587" s="54">
        <f>STOCK[[#This Row],[Costo total]]*1.5</f>
        <v>22.575000000000003</v>
      </c>
      <c r="V587" s="54">
        <v>20</v>
      </c>
      <c r="W587" s="54">
        <f>STOCK[[#This Row],[Precio Final]]-STOCK[[#This Row],[Costo total]]</f>
        <v>4.9499999999999993</v>
      </c>
      <c r="X587" s="54">
        <f>STOCK[[#This Row],[Ganancia Unitaria]]*STOCK[[#This Row],[Salidas]]</f>
        <v>0</v>
      </c>
      <c r="Y587" s="54" t="s">
        <v>1159</v>
      </c>
      <c r="AA587" s="54">
        <f>STOCK[[#This Row],[Costo total]]*STOCK[[#This Row],[Entradas]]</f>
        <v>15.05</v>
      </c>
      <c r="AB587" s="54">
        <f>STOCK[[#This Row],[Stock Actual]]*STOCK[[#This Row],[Costo total]]</f>
        <v>15.05</v>
      </c>
    </row>
    <row r="588" spans="1:28" s="53" customFormat="1" ht="50" customHeight="1">
      <c r="A588" s="53" t="s">
        <v>1192</v>
      </c>
      <c r="B588" s="64"/>
      <c r="C588" s="53" t="s">
        <v>32</v>
      </c>
      <c r="D588" s="53" t="s">
        <v>44</v>
      </c>
      <c r="E588" s="65" t="s">
        <v>1193</v>
      </c>
      <c r="F588" s="53" t="s">
        <v>88</v>
      </c>
      <c r="G588" s="53" t="s">
        <v>36</v>
      </c>
      <c r="H588" s="53">
        <f>STOCK[[#This Row],[Precio Final]]</f>
        <v>35</v>
      </c>
      <c r="I588" s="53">
        <f>STOCK[[#This Row],[Precio Venta Ideal (x1.5)]]</f>
        <v>27.615000000000002</v>
      </c>
      <c r="J588" s="69">
        <v>1</v>
      </c>
      <c r="K588" s="69">
        <f>SUMIFS(VENTAS[Cantidad],VENTAS[Código del producto Vendido],STOCK[[#This Row],[Code]])</f>
        <v>1</v>
      </c>
      <c r="L588" s="69">
        <f>STOCK[[#This Row],[Entradas]]-STOCK[[#This Row],[Salidas]]</f>
        <v>0</v>
      </c>
      <c r="M588" s="53">
        <f>STOCK[[#This Row],[Precio Final]]*10%</f>
        <v>3.5</v>
      </c>
      <c r="N588" s="53">
        <v>0</v>
      </c>
      <c r="O588" s="53">
        <v>0</v>
      </c>
      <c r="P588" s="53">
        <v>13.91</v>
      </c>
      <c r="Q588" s="69">
        <v>0</v>
      </c>
      <c r="R588" s="53">
        <v>0</v>
      </c>
      <c r="S588" s="53">
        <v>1</v>
      </c>
      <c r="T588" s="53">
        <f>STOCK[[#This Row],[Costo Unitario (USD)]]+STOCK[[#This Row],[Costo Envío (USD)]]+STOCK[[#This Row],[Comisión 10%]]</f>
        <v>18.41</v>
      </c>
      <c r="U588" s="53">
        <f>STOCK[[#This Row],[Costo total]]*1.5</f>
        <v>27.615000000000002</v>
      </c>
      <c r="V588" s="53">
        <v>35</v>
      </c>
      <c r="W588" s="53">
        <f>STOCK[[#This Row],[Precio Final]]-STOCK[[#This Row],[Costo total]]</f>
        <v>16.59</v>
      </c>
      <c r="X588" s="53">
        <f>STOCK[[#This Row],[Ganancia Unitaria]]*STOCK[[#This Row],[Salidas]]</f>
        <v>16.59</v>
      </c>
      <c r="Y588" s="53" t="s">
        <v>1159</v>
      </c>
      <c r="AA588" s="53">
        <f>STOCK[[#This Row],[Costo total]]*STOCK[[#This Row],[Entradas]]</f>
        <v>18.41</v>
      </c>
      <c r="AB588" s="53">
        <f>STOCK[[#This Row],[Stock Actual]]*STOCK[[#This Row],[Costo total]]</f>
        <v>0</v>
      </c>
    </row>
    <row r="589" spans="1:28" s="54" customFormat="1" ht="50" customHeight="1">
      <c r="A589" s="54" t="s">
        <v>1194</v>
      </c>
      <c r="B589" s="64"/>
      <c r="C589" s="54" t="s">
        <v>32</v>
      </c>
      <c r="D589" s="54" t="s">
        <v>1074</v>
      </c>
      <c r="E589" s="66" t="s">
        <v>1178</v>
      </c>
      <c r="G589" s="54" t="s">
        <v>36</v>
      </c>
      <c r="H589" s="54">
        <f>STOCK[[#This Row],[Precio Final]]</f>
        <v>12</v>
      </c>
      <c r="I589" s="54">
        <f>STOCK[[#This Row],[Precio Venta Ideal (x1.5)]]</f>
        <v>17.384999999999998</v>
      </c>
      <c r="J589" s="70">
        <v>0</v>
      </c>
      <c r="K589" s="70">
        <f>SUMIFS(VENTAS[Cantidad],VENTAS[Código del producto Vendido],STOCK[[#This Row],[Code]])</f>
        <v>0</v>
      </c>
      <c r="L589" s="70">
        <f>STOCK[[#This Row],[Entradas]]-STOCK[[#This Row],[Salidas]]</f>
        <v>0</v>
      </c>
      <c r="M589" s="54">
        <f>STOCK[[#This Row],[Precio Final]]*10%</f>
        <v>1.2000000000000002</v>
      </c>
      <c r="N589" s="54">
        <v>0</v>
      </c>
      <c r="O589" s="54">
        <v>0</v>
      </c>
      <c r="P589" s="54">
        <v>9.39</v>
      </c>
      <c r="Q589" s="70">
        <v>0</v>
      </c>
      <c r="R589" s="54">
        <v>0</v>
      </c>
      <c r="S589" s="54">
        <v>1</v>
      </c>
      <c r="T589" s="53">
        <f>STOCK[[#This Row],[Costo Unitario (USD)]]+STOCK[[#This Row],[Costo Envío (USD)]]+STOCK[[#This Row],[Comisión 10%]]</f>
        <v>11.59</v>
      </c>
      <c r="U589" s="54">
        <f>STOCK[[#This Row],[Costo total]]*1.5</f>
        <v>17.384999999999998</v>
      </c>
      <c r="V589" s="54">
        <v>12</v>
      </c>
      <c r="W589" s="54">
        <f>STOCK[[#This Row],[Precio Final]]-STOCK[[#This Row],[Costo total]]</f>
        <v>0.41000000000000014</v>
      </c>
      <c r="X589" s="54">
        <f>STOCK[[#This Row],[Ganancia Unitaria]]*STOCK[[#This Row],[Salidas]]</f>
        <v>0</v>
      </c>
      <c r="Y589" s="54" t="s">
        <v>1159</v>
      </c>
      <c r="AA589" s="54">
        <f>STOCK[[#This Row],[Costo total]]*STOCK[[#This Row],[Entradas]]</f>
        <v>0</v>
      </c>
      <c r="AB589" s="54">
        <f>STOCK[[#This Row],[Stock Actual]]*STOCK[[#This Row],[Costo total]]</f>
        <v>0</v>
      </c>
    </row>
    <row r="590" spans="1:28" s="53" customFormat="1" ht="50" customHeight="1">
      <c r="A590" s="53" t="s">
        <v>1195</v>
      </c>
      <c r="B590" s="64"/>
      <c r="C590" s="53" t="s">
        <v>32</v>
      </c>
      <c r="D590" s="53" t="s">
        <v>1074</v>
      </c>
      <c r="E590" s="65" t="s">
        <v>1178</v>
      </c>
      <c r="G590" s="53" t="s">
        <v>36</v>
      </c>
      <c r="H590" s="53">
        <f>STOCK[[#This Row],[Precio Final]]</f>
        <v>12</v>
      </c>
      <c r="I590" s="53">
        <f>STOCK[[#This Row],[Precio Venta Ideal (x1.5)]]</f>
        <v>13.095000000000001</v>
      </c>
      <c r="J590" s="69">
        <v>0</v>
      </c>
      <c r="K590" s="69">
        <f>SUMIFS(VENTAS[Cantidad],VENTAS[Código del producto Vendido],STOCK[[#This Row],[Code]])</f>
        <v>0</v>
      </c>
      <c r="L590" s="69">
        <f>STOCK[[#This Row],[Entradas]]-STOCK[[#This Row],[Salidas]]</f>
        <v>0</v>
      </c>
      <c r="M590" s="53">
        <f>STOCK[[#This Row],[Precio Final]]*10%</f>
        <v>1.2000000000000002</v>
      </c>
      <c r="N590" s="53">
        <v>0</v>
      </c>
      <c r="O590" s="53">
        <v>0</v>
      </c>
      <c r="P590" s="53">
        <v>6.53</v>
      </c>
      <c r="Q590" s="69">
        <v>0</v>
      </c>
      <c r="R590" s="53">
        <v>0</v>
      </c>
      <c r="S590" s="53">
        <v>1</v>
      </c>
      <c r="T590" s="53">
        <f>STOCK[[#This Row],[Costo Unitario (USD)]]+STOCK[[#This Row],[Costo Envío (USD)]]+STOCK[[#This Row],[Comisión 10%]]</f>
        <v>8.73</v>
      </c>
      <c r="U590" s="53">
        <f>STOCK[[#This Row],[Costo total]]*1.5</f>
        <v>13.095000000000001</v>
      </c>
      <c r="V590" s="53">
        <v>12</v>
      </c>
      <c r="W590" s="53">
        <f>STOCK[[#This Row],[Precio Final]]-STOCK[[#This Row],[Costo total]]</f>
        <v>3.2699999999999996</v>
      </c>
      <c r="X590" s="53">
        <f>STOCK[[#This Row],[Ganancia Unitaria]]*STOCK[[#This Row],[Salidas]]</f>
        <v>0</v>
      </c>
      <c r="Y590" s="53" t="s">
        <v>1159</v>
      </c>
      <c r="AA590" s="53">
        <f>STOCK[[#This Row],[Costo total]]*STOCK[[#This Row],[Entradas]]</f>
        <v>0</v>
      </c>
      <c r="AB590" s="53">
        <f>STOCK[[#This Row],[Stock Actual]]*STOCK[[#This Row],[Costo total]]</f>
        <v>0</v>
      </c>
    </row>
    <row r="591" spans="1:28" s="54" customFormat="1" ht="50" customHeight="1">
      <c r="A591" s="54" t="s">
        <v>1196</v>
      </c>
      <c r="B591" s="64"/>
      <c r="C591" s="54" t="s">
        <v>32</v>
      </c>
      <c r="D591" s="54" t="s">
        <v>288</v>
      </c>
      <c r="E591" s="66" t="s">
        <v>1197</v>
      </c>
      <c r="F591" s="54" t="s">
        <v>62</v>
      </c>
      <c r="G591" s="54" t="s">
        <v>36</v>
      </c>
      <c r="H591" s="54">
        <f>STOCK[[#This Row],[Precio Final]]</f>
        <v>40</v>
      </c>
      <c r="I591" s="54">
        <f>STOCK[[#This Row],[Precio Venta Ideal (x1.5)]]</f>
        <v>47.730000000000004</v>
      </c>
      <c r="J591" s="70">
        <v>2</v>
      </c>
      <c r="K591" s="70">
        <f>SUMIFS(VENTAS[Cantidad],VENTAS[Código del producto Vendido],STOCK[[#This Row],[Code]])</f>
        <v>2</v>
      </c>
      <c r="L591" s="70">
        <f>STOCK[[#This Row],[Entradas]]-STOCK[[#This Row],[Salidas]]</f>
        <v>0</v>
      </c>
      <c r="M591" s="54">
        <f>STOCK[[#This Row],[Precio Final]]*10%</f>
        <v>4</v>
      </c>
      <c r="N591" s="54">
        <v>-30.07</v>
      </c>
      <c r="O591" s="54">
        <v>30.07</v>
      </c>
      <c r="P591" s="54">
        <v>22.82</v>
      </c>
      <c r="Q591" s="70">
        <v>0</v>
      </c>
      <c r="R591" s="54">
        <v>0</v>
      </c>
      <c r="S591" s="54">
        <v>5</v>
      </c>
      <c r="T591" s="53">
        <f>STOCK[[#This Row],[Costo Unitario (USD)]]+STOCK[[#This Row],[Costo Envío (USD)]]+STOCK[[#This Row],[Comisión 10%]]</f>
        <v>31.82</v>
      </c>
      <c r="U591" s="54">
        <f>STOCK[[#This Row],[Costo total]]*1.5</f>
        <v>47.730000000000004</v>
      </c>
      <c r="V591" s="54">
        <v>40</v>
      </c>
      <c r="W591" s="54">
        <f>STOCK[[#This Row],[Precio Final]]-STOCK[[#This Row],[Costo total]]</f>
        <v>8.18</v>
      </c>
      <c r="X591" s="54">
        <f>STOCK[[#This Row],[Ganancia Unitaria]]*STOCK[[#This Row],[Salidas]]</f>
        <v>16.36</v>
      </c>
      <c r="Y591" s="54" t="s">
        <v>1159</v>
      </c>
      <c r="AA591" s="54">
        <f>STOCK[[#This Row],[Costo total]]*STOCK[[#This Row],[Entradas]]</f>
        <v>63.64</v>
      </c>
      <c r="AB591" s="54">
        <f>STOCK[[#This Row],[Stock Actual]]*STOCK[[#This Row],[Costo total]]</f>
        <v>0</v>
      </c>
    </row>
    <row r="592" spans="1:28" s="53" customFormat="1" ht="50" customHeight="1">
      <c r="A592" s="53" t="s">
        <v>1198</v>
      </c>
      <c r="B592" s="64"/>
      <c r="C592" s="53" t="s">
        <v>32</v>
      </c>
      <c r="D592" s="53" t="s">
        <v>288</v>
      </c>
      <c r="E592" s="65" t="s">
        <v>1199</v>
      </c>
      <c r="F592" s="53" t="s">
        <v>49</v>
      </c>
      <c r="G592" s="53" t="s">
        <v>36</v>
      </c>
      <c r="H592" s="53">
        <f>STOCK[[#This Row],[Precio Final]]</f>
        <v>0</v>
      </c>
      <c r="I592" s="53">
        <f>STOCK[[#This Row],[Precio Venta Ideal (x1.5)]]</f>
        <v>41.730000000000004</v>
      </c>
      <c r="J592" s="69">
        <v>1</v>
      </c>
      <c r="K592" s="69">
        <f>SUMIFS(VENTAS[Cantidad],VENTAS[Código del producto Vendido],STOCK[[#This Row],[Code]])</f>
        <v>1</v>
      </c>
      <c r="L592" s="69">
        <f>STOCK[[#This Row],[Entradas]]-STOCK[[#This Row],[Salidas]]</f>
        <v>0</v>
      </c>
      <c r="M592" s="53">
        <f>STOCK[[#This Row],[Precio Final]]*10%</f>
        <v>0</v>
      </c>
      <c r="N592" s="53">
        <v>-30.07</v>
      </c>
      <c r="O592" s="53">
        <v>0</v>
      </c>
      <c r="P592" s="53">
        <v>22.82</v>
      </c>
      <c r="Q592" s="69">
        <v>0</v>
      </c>
      <c r="R592" s="53">
        <v>0</v>
      </c>
      <c r="S592" s="53">
        <v>5</v>
      </c>
      <c r="T592" s="53">
        <f>STOCK[[#This Row],[Costo Unitario (USD)]]+STOCK[[#This Row],[Costo Envío (USD)]]+STOCK[[#This Row],[Comisión 10%]]</f>
        <v>27.82</v>
      </c>
      <c r="U592" s="53">
        <f>STOCK[[#This Row],[Costo total]]*1.5</f>
        <v>41.730000000000004</v>
      </c>
      <c r="V592" s="53">
        <v>0</v>
      </c>
      <c r="W592" s="53">
        <f>STOCK[[#This Row],[Precio Final]]-STOCK[[#This Row],[Costo total]]</f>
        <v>-27.82</v>
      </c>
      <c r="X592" s="53">
        <f>STOCK[[#This Row],[Ganancia Unitaria]]*STOCK[[#This Row],[Salidas]]</f>
        <v>-27.82</v>
      </c>
      <c r="Y592" s="53" t="s">
        <v>1159</v>
      </c>
      <c r="AA592" s="53">
        <f>STOCK[[#This Row],[Costo total]]*STOCK[[#This Row],[Entradas]]</f>
        <v>27.82</v>
      </c>
      <c r="AB592" s="53">
        <f>STOCK[[#This Row],[Stock Actual]]*STOCK[[#This Row],[Costo total]]</f>
        <v>0</v>
      </c>
    </row>
    <row r="593" spans="1:28" s="54" customFormat="1" ht="50" customHeight="1">
      <c r="A593" s="54" t="s">
        <v>1200</v>
      </c>
      <c r="B593" s="64"/>
      <c r="C593" s="54" t="s">
        <v>32</v>
      </c>
      <c r="D593" s="54" t="s">
        <v>546</v>
      </c>
      <c r="E593" s="66" t="s">
        <v>1201</v>
      </c>
      <c r="F593" s="54" t="s">
        <v>62</v>
      </c>
      <c r="G593" s="54" t="s">
        <v>36</v>
      </c>
      <c r="H593" s="54">
        <f>STOCK[[#This Row],[Precio Final]]</f>
        <v>12</v>
      </c>
      <c r="I593" s="54">
        <f>STOCK[[#This Row],[Precio Venta Ideal (x1.5)]]</f>
        <v>10.605</v>
      </c>
      <c r="J593" s="70">
        <v>2</v>
      </c>
      <c r="K593" s="70">
        <f>SUMIFS(VENTAS[Cantidad],VENTAS[Código del producto Vendido],STOCK[[#This Row],[Code]])</f>
        <v>2</v>
      </c>
      <c r="L593" s="70">
        <f>STOCK[[#This Row],[Entradas]]-STOCK[[#This Row],[Salidas]]</f>
        <v>0</v>
      </c>
      <c r="M593" s="54">
        <f>STOCK[[#This Row],[Precio Final]]*10%</f>
        <v>1.2000000000000002</v>
      </c>
      <c r="N593" s="54">
        <v>-6.24</v>
      </c>
      <c r="O593" s="54">
        <v>6.24</v>
      </c>
      <c r="P593" s="54">
        <v>5.37</v>
      </c>
      <c r="Q593" s="70">
        <v>0</v>
      </c>
      <c r="R593" s="54">
        <v>0</v>
      </c>
      <c r="S593" s="54">
        <v>0.5</v>
      </c>
      <c r="T593" s="53">
        <f>STOCK[[#This Row],[Costo Unitario (USD)]]+STOCK[[#This Row],[Costo Envío (USD)]]+STOCK[[#This Row],[Comisión 10%]]</f>
        <v>7.07</v>
      </c>
      <c r="U593" s="54">
        <f>STOCK[[#This Row],[Costo total]]*1.5</f>
        <v>10.605</v>
      </c>
      <c r="V593" s="54">
        <v>12</v>
      </c>
      <c r="W593" s="54">
        <f>STOCK[[#This Row],[Precio Final]]-STOCK[[#This Row],[Costo total]]</f>
        <v>4.93</v>
      </c>
      <c r="X593" s="54">
        <f>STOCK[[#This Row],[Ganancia Unitaria]]*STOCK[[#This Row],[Salidas]]</f>
        <v>9.86</v>
      </c>
      <c r="Y593" s="54" t="s">
        <v>1159</v>
      </c>
      <c r="AA593" s="54">
        <f>STOCK[[#This Row],[Costo total]]*STOCK[[#This Row],[Entradas]]</f>
        <v>14.14</v>
      </c>
      <c r="AB593" s="54">
        <f>STOCK[[#This Row],[Stock Actual]]*STOCK[[#This Row],[Costo total]]</f>
        <v>0</v>
      </c>
    </row>
    <row r="594" spans="1:28" s="53" customFormat="1" ht="50" customHeight="1">
      <c r="A594" s="53" t="s">
        <v>1202</v>
      </c>
      <c r="B594" s="64"/>
      <c r="C594" s="53" t="s">
        <v>32</v>
      </c>
      <c r="D594" s="53" t="s">
        <v>174</v>
      </c>
      <c r="E594" s="65" t="s">
        <v>1203</v>
      </c>
      <c r="F594" s="53" t="s">
        <v>49</v>
      </c>
      <c r="G594" s="53" t="s">
        <v>36</v>
      </c>
      <c r="H594" s="53">
        <f>STOCK[[#This Row],[Precio Final]]</f>
        <v>25</v>
      </c>
      <c r="I594" s="53">
        <f>STOCK[[#This Row],[Precio Venta Ideal (x1.5)]]</f>
        <v>23.1</v>
      </c>
      <c r="J594" s="69">
        <v>1</v>
      </c>
      <c r="K594" s="69">
        <f>SUMIFS(VENTAS[Cantidad],VENTAS[Código del producto Vendido],STOCK[[#This Row],[Code]])</f>
        <v>1</v>
      </c>
      <c r="L594" s="69">
        <f>STOCK[[#This Row],[Entradas]]-STOCK[[#This Row],[Salidas]]</f>
        <v>0</v>
      </c>
      <c r="M594" s="53">
        <f>STOCK[[#This Row],[Precio Final]]*10%</f>
        <v>2.5</v>
      </c>
      <c r="N594" s="53">
        <v>-14.22</v>
      </c>
      <c r="O594" s="53">
        <v>0</v>
      </c>
      <c r="P594" s="53">
        <v>10.9</v>
      </c>
      <c r="Q594" s="69">
        <v>0</v>
      </c>
      <c r="R594" s="53">
        <v>0</v>
      </c>
      <c r="S594" s="53">
        <v>2</v>
      </c>
      <c r="T594" s="53">
        <f>STOCK[[#This Row],[Costo Unitario (USD)]]+STOCK[[#This Row],[Costo Envío (USD)]]+STOCK[[#This Row],[Comisión 10%]]</f>
        <v>15.4</v>
      </c>
      <c r="U594" s="53">
        <f>STOCK[[#This Row],[Costo total]]*1.5</f>
        <v>23.1</v>
      </c>
      <c r="V594" s="53">
        <v>25</v>
      </c>
      <c r="W594" s="53">
        <f>STOCK[[#This Row],[Precio Final]]-STOCK[[#This Row],[Costo total]]</f>
        <v>9.6</v>
      </c>
      <c r="X594" s="53">
        <f>STOCK[[#This Row],[Ganancia Unitaria]]*STOCK[[#This Row],[Salidas]]</f>
        <v>9.6</v>
      </c>
      <c r="Y594" s="53" t="s">
        <v>1159</v>
      </c>
      <c r="AA594" s="53">
        <f>STOCK[[#This Row],[Costo total]]*STOCK[[#This Row],[Entradas]]</f>
        <v>15.4</v>
      </c>
      <c r="AB594" s="53">
        <f>STOCK[[#This Row],[Stock Actual]]*STOCK[[#This Row],[Costo total]]</f>
        <v>0</v>
      </c>
    </row>
    <row r="595" spans="1:28" s="54" customFormat="1" ht="50" customHeight="1">
      <c r="A595" s="54" t="s">
        <v>1204</v>
      </c>
      <c r="B595" s="64"/>
      <c r="C595" s="54" t="s">
        <v>32</v>
      </c>
      <c r="D595" s="54" t="s">
        <v>174</v>
      </c>
      <c r="E595" s="66" t="s">
        <v>1203</v>
      </c>
      <c r="F595" s="54" t="s">
        <v>205</v>
      </c>
      <c r="G595" s="54" t="s">
        <v>36</v>
      </c>
      <c r="H595" s="54">
        <f>STOCK[[#This Row],[Precio Final]]</f>
        <v>22</v>
      </c>
      <c r="I595" s="54">
        <f>STOCK[[#This Row],[Precio Venta Ideal (x1.5)]]</f>
        <v>22.650000000000002</v>
      </c>
      <c r="J595" s="70">
        <v>3</v>
      </c>
      <c r="K595" s="70">
        <f>SUMIFS(VENTAS[Cantidad],VENTAS[Código del producto Vendido],STOCK[[#This Row],[Code]])</f>
        <v>3</v>
      </c>
      <c r="L595" s="70">
        <f>STOCK[[#This Row],[Entradas]]-STOCK[[#This Row],[Salidas]]</f>
        <v>0</v>
      </c>
      <c r="M595" s="54">
        <f>STOCK[[#This Row],[Precio Final]]*10%</f>
        <v>2.2000000000000002</v>
      </c>
      <c r="N595" s="54">
        <v>-28.45</v>
      </c>
      <c r="O595" s="54">
        <v>0</v>
      </c>
      <c r="P595" s="54">
        <v>10.9</v>
      </c>
      <c r="Q595" s="70">
        <v>0</v>
      </c>
      <c r="R595" s="54">
        <v>0</v>
      </c>
      <c r="S595" s="54">
        <v>2</v>
      </c>
      <c r="T595" s="53">
        <f>STOCK[[#This Row],[Costo Unitario (USD)]]+STOCK[[#This Row],[Costo Envío (USD)]]+STOCK[[#This Row],[Comisión 10%]]</f>
        <v>15.100000000000001</v>
      </c>
      <c r="U595" s="54">
        <f>STOCK[[#This Row],[Costo total]]*1.5</f>
        <v>22.650000000000002</v>
      </c>
      <c r="V595" s="54">
        <v>22</v>
      </c>
      <c r="W595" s="54">
        <f>STOCK[[#This Row],[Precio Final]]-STOCK[[#This Row],[Costo total]]</f>
        <v>6.8999999999999986</v>
      </c>
      <c r="X595" s="54">
        <f>STOCK[[#This Row],[Ganancia Unitaria]]*STOCK[[#This Row],[Salidas]]</f>
        <v>20.699999999999996</v>
      </c>
      <c r="Y595" s="54" t="s">
        <v>1159</v>
      </c>
      <c r="AA595" s="54">
        <f>STOCK[[#This Row],[Costo total]]*STOCK[[#This Row],[Entradas]]</f>
        <v>45.300000000000004</v>
      </c>
      <c r="AB595" s="54">
        <f>STOCK[[#This Row],[Stock Actual]]*STOCK[[#This Row],[Costo total]]</f>
        <v>0</v>
      </c>
    </row>
    <row r="596" spans="1:28" s="53" customFormat="1" ht="50" customHeight="1">
      <c r="A596" s="53" t="s">
        <v>1205</v>
      </c>
      <c r="B596" s="64"/>
      <c r="C596" s="53" t="s">
        <v>32</v>
      </c>
      <c r="D596" s="53" t="s">
        <v>174</v>
      </c>
      <c r="E596" s="65" t="s">
        <v>1203</v>
      </c>
      <c r="F596" s="53" t="s">
        <v>88</v>
      </c>
      <c r="G596" s="53" t="s">
        <v>36</v>
      </c>
      <c r="H596" s="53">
        <f>STOCK[[#This Row],[Precio Final]]</f>
        <v>22</v>
      </c>
      <c r="I596" s="53">
        <f>STOCK[[#This Row],[Precio Venta Ideal (x1.5)]]</f>
        <v>22.650000000000002</v>
      </c>
      <c r="J596" s="69">
        <v>2</v>
      </c>
      <c r="K596" s="69">
        <f>SUMIFS(VENTAS[Cantidad],VENTAS[Código del producto Vendido],STOCK[[#This Row],[Code]])</f>
        <v>2</v>
      </c>
      <c r="L596" s="69">
        <f>STOCK[[#This Row],[Entradas]]-STOCK[[#This Row],[Salidas]]</f>
        <v>0</v>
      </c>
      <c r="M596" s="53">
        <f>STOCK[[#This Row],[Precio Final]]*10%</f>
        <v>2.2000000000000002</v>
      </c>
      <c r="N596" s="53">
        <v>-14.22</v>
      </c>
      <c r="O596" s="53">
        <v>0</v>
      </c>
      <c r="P596" s="53">
        <v>10.9</v>
      </c>
      <c r="Q596" s="69">
        <v>0</v>
      </c>
      <c r="R596" s="53">
        <v>0</v>
      </c>
      <c r="S596" s="53">
        <v>2</v>
      </c>
      <c r="T596" s="53">
        <f>STOCK[[#This Row],[Costo Unitario (USD)]]+STOCK[[#This Row],[Costo Envío (USD)]]+STOCK[[#This Row],[Comisión 10%]]</f>
        <v>15.100000000000001</v>
      </c>
      <c r="U596" s="53">
        <f>STOCK[[#This Row],[Costo total]]*1.5</f>
        <v>22.650000000000002</v>
      </c>
      <c r="V596" s="53">
        <v>22</v>
      </c>
      <c r="W596" s="53">
        <f>STOCK[[#This Row],[Precio Final]]-STOCK[[#This Row],[Costo total]]</f>
        <v>6.8999999999999986</v>
      </c>
      <c r="X596" s="53">
        <f>STOCK[[#This Row],[Ganancia Unitaria]]*STOCK[[#This Row],[Salidas]]</f>
        <v>13.799999999999997</v>
      </c>
      <c r="Y596" s="53" t="s">
        <v>1159</v>
      </c>
      <c r="AA596" s="53">
        <f>STOCK[[#This Row],[Costo total]]*STOCK[[#This Row],[Entradas]]</f>
        <v>30.200000000000003</v>
      </c>
      <c r="AB596" s="53">
        <f>STOCK[[#This Row],[Stock Actual]]*STOCK[[#This Row],[Costo total]]</f>
        <v>0</v>
      </c>
    </row>
    <row r="597" spans="1:28" s="54" customFormat="1" ht="50" customHeight="1">
      <c r="A597" s="54" t="s">
        <v>1206</v>
      </c>
      <c r="B597" s="64"/>
      <c r="C597" s="54" t="s">
        <v>32</v>
      </c>
      <c r="D597" s="54" t="s">
        <v>152</v>
      </c>
      <c r="E597" s="66" t="s">
        <v>1207</v>
      </c>
      <c r="F597" s="54" t="s">
        <v>187</v>
      </c>
      <c r="G597" s="54" t="s">
        <v>36</v>
      </c>
      <c r="H597" s="54">
        <f>STOCK[[#This Row],[Precio Final]]</f>
        <v>20</v>
      </c>
      <c r="I597" s="54">
        <f>STOCK[[#This Row],[Precio Venta Ideal (x1.5)]]</f>
        <v>23.04</v>
      </c>
      <c r="J597" s="70">
        <v>1</v>
      </c>
      <c r="K597" s="70">
        <f>SUMIFS(VENTAS[Cantidad],VENTAS[Código del producto Vendido],STOCK[[#This Row],[Code]])</f>
        <v>1</v>
      </c>
      <c r="L597" s="70">
        <f>STOCK[[#This Row],[Entradas]]-STOCK[[#This Row],[Salidas]]</f>
        <v>0</v>
      </c>
      <c r="M597" s="54">
        <f>STOCK[[#This Row],[Precio Final]]*10%</f>
        <v>2</v>
      </c>
      <c r="N597" s="54">
        <v>0</v>
      </c>
      <c r="O597" s="54">
        <v>12.06</v>
      </c>
      <c r="P597" s="54">
        <v>10.36</v>
      </c>
      <c r="Q597" s="70">
        <v>0</v>
      </c>
      <c r="R597" s="54">
        <v>0</v>
      </c>
      <c r="S597" s="54">
        <v>3</v>
      </c>
      <c r="T597" s="53">
        <f>STOCK[[#This Row],[Costo Unitario (USD)]]+STOCK[[#This Row],[Costo Envío (USD)]]+STOCK[[#This Row],[Comisión 10%]]</f>
        <v>15.36</v>
      </c>
      <c r="U597" s="54">
        <f>STOCK[[#This Row],[Costo total]]*1.5</f>
        <v>23.04</v>
      </c>
      <c r="V597" s="54">
        <v>20</v>
      </c>
      <c r="W597" s="54">
        <f>STOCK[[#This Row],[Precio Final]]-STOCK[[#This Row],[Costo total]]</f>
        <v>4.6400000000000006</v>
      </c>
      <c r="X597" s="54">
        <f>STOCK[[#This Row],[Ganancia Unitaria]]*STOCK[[#This Row],[Salidas]]</f>
        <v>4.6400000000000006</v>
      </c>
      <c r="Y597" s="54" t="s">
        <v>1159</v>
      </c>
      <c r="AA597" s="54">
        <f>STOCK[[#This Row],[Costo total]]*STOCK[[#This Row],[Entradas]]</f>
        <v>15.36</v>
      </c>
      <c r="AB597" s="54">
        <f>STOCK[[#This Row],[Stock Actual]]*STOCK[[#This Row],[Costo total]]</f>
        <v>0</v>
      </c>
    </row>
    <row r="598" spans="1:28" s="53" customFormat="1" ht="50" customHeight="1">
      <c r="A598" s="53" t="s">
        <v>1208</v>
      </c>
      <c r="B598" s="64"/>
      <c r="C598" s="53" t="s">
        <v>32</v>
      </c>
      <c r="D598" s="53" t="s">
        <v>152</v>
      </c>
      <c r="E598" s="65" t="s">
        <v>1209</v>
      </c>
      <c r="F598" s="53" t="s">
        <v>62</v>
      </c>
      <c r="G598" s="53" t="s">
        <v>36</v>
      </c>
      <c r="H598" s="53">
        <f>STOCK[[#This Row],[Precio Final]]</f>
        <v>20</v>
      </c>
      <c r="I598" s="53">
        <f>STOCK[[#This Row],[Precio Venta Ideal (x1.5)]]</f>
        <v>23.04</v>
      </c>
      <c r="J598" s="69">
        <v>1</v>
      </c>
      <c r="K598" s="69">
        <f>SUMIFS(VENTAS[Cantidad],VENTAS[Código del producto Vendido],STOCK[[#This Row],[Code]])</f>
        <v>1</v>
      </c>
      <c r="L598" s="69">
        <f>STOCK[[#This Row],[Entradas]]-STOCK[[#This Row],[Salidas]]</f>
        <v>0</v>
      </c>
      <c r="M598" s="53">
        <f>STOCK[[#This Row],[Precio Final]]*10%</f>
        <v>2</v>
      </c>
      <c r="N598" s="53">
        <v>-12.06</v>
      </c>
      <c r="O598" s="53">
        <v>0</v>
      </c>
      <c r="P598" s="53">
        <v>10.36</v>
      </c>
      <c r="Q598" s="69">
        <v>0</v>
      </c>
      <c r="R598" s="53">
        <v>0</v>
      </c>
      <c r="S598" s="53">
        <v>3</v>
      </c>
      <c r="T598" s="53">
        <f>STOCK[[#This Row],[Costo Unitario (USD)]]+STOCK[[#This Row],[Costo Envío (USD)]]+STOCK[[#This Row],[Comisión 10%]]</f>
        <v>15.36</v>
      </c>
      <c r="U598" s="53">
        <f>STOCK[[#This Row],[Costo total]]*1.5</f>
        <v>23.04</v>
      </c>
      <c r="V598" s="53">
        <v>20</v>
      </c>
      <c r="W598" s="53">
        <f>STOCK[[#This Row],[Precio Final]]-STOCK[[#This Row],[Costo total]]</f>
        <v>4.6400000000000006</v>
      </c>
      <c r="X598" s="53">
        <f>STOCK[[#This Row],[Ganancia Unitaria]]*STOCK[[#This Row],[Salidas]]</f>
        <v>4.6400000000000006</v>
      </c>
      <c r="Y598" s="53" t="s">
        <v>1159</v>
      </c>
      <c r="AA598" s="53">
        <f>STOCK[[#This Row],[Costo total]]*STOCK[[#This Row],[Entradas]]</f>
        <v>15.36</v>
      </c>
      <c r="AB598" s="53">
        <f>STOCK[[#This Row],[Stock Actual]]*STOCK[[#This Row],[Costo total]]</f>
        <v>0</v>
      </c>
    </row>
    <row r="599" spans="1:28" s="54" customFormat="1" ht="50" customHeight="1">
      <c r="A599" s="54" t="s">
        <v>1210</v>
      </c>
      <c r="B599" s="64"/>
      <c r="C599" s="54" t="s">
        <v>32</v>
      </c>
      <c r="D599" s="54" t="s">
        <v>152</v>
      </c>
      <c r="E599" s="66" t="s">
        <v>1209</v>
      </c>
      <c r="F599" s="54" t="s">
        <v>62</v>
      </c>
      <c r="G599" s="54" t="s">
        <v>36</v>
      </c>
      <c r="H599" s="54">
        <f>STOCK[[#This Row],[Precio Final]]</f>
        <v>20</v>
      </c>
      <c r="I599" s="54">
        <f>STOCK[[#This Row],[Precio Venta Ideal (x1.5)]]</f>
        <v>23.04</v>
      </c>
      <c r="J599" s="70">
        <v>1</v>
      </c>
      <c r="K599" s="70">
        <f>SUMIFS(VENTAS[Cantidad],VENTAS[Código del producto Vendido],STOCK[[#This Row],[Code]])</f>
        <v>1</v>
      </c>
      <c r="L599" s="70">
        <f>STOCK[[#This Row],[Entradas]]-STOCK[[#This Row],[Salidas]]</f>
        <v>0</v>
      </c>
      <c r="M599" s="54">
        <f>STOCK[[#This Row],[Precio Final]]*10%</f>
        <v>2</v>
      </c>
      <c r="N599" s="54">
        <v>-12.06</v>
      </c>
      <c r="O599" s="54">
        <v>0</v>
      </c>
      <c r="P599" s="54">
        <v>10.36</v>
      </c>
      <c r="Q599" s="70">
        <v>0</v>
      </c>
      <c r="R599" s="54">
        <v>0</v>
      </c>
      <c r="S599" s="54">
        <v>3</v>
      </c>
      <c r="T599" s="53">
        <f>STOCK[[#This Row],[Costo Unitario (USD)]]+STOCK[[#This Row],[Costo Envío (USD)]]+STOCK[[#This Row],[Comisión 10%]]</f>
        <v>15.36</v>
      </c>
      <c r="U599" s="54">
        <f>STOCK[[#This Row],[Costo total]]*1.5</f>
        <v>23.04</v>
      </c>
      <c r="V599" s="54">
        <v>20</v>
      </c>
      <c r="W599" s="54">
        <f>STOCK[[#This Row],[Precio Final]]-STOCK[[#This Row],[Costo total]]</f>
        <v>4.6400000000000006</v>
      </c>
      <c r="X599" s="54">
        <f>STOCK[[#This Row],[Ganancia Unitaria]]*STOCK[[#This Row],[Salidas]]</f>
        <v>4.6400000000000006</v>
      </c>
      <c r="Y599" s="54" t="s">
        <v>1159</v>
      </c>
      <c r="AA599" s="54">
        <f>STOCK[[#This Row],[Costo total]]*STOCK[[#This Row],[Entradas]]</f>
        <v>15.36</v>
      </c>
      <c r="AB599" s="54">
        <f>STOCK[[#This Row],[Stock Actual]]*STOCK[[#This Row],[Costo total]]</f>
        <v>0</v>
      </c>
    </row>
    <row r="600" spans="1:28" s="53" customFormat="1" ht="50" customHeight="1">
      <c r="A600" s="53" t="s">
        <v>1211</v>
      </c>
      <c r="B600" s="64"/>
      <c r="C600" s="53" t="s">
        <v>32</v>
      </c>
      <c r="D600" s="53" t="s">
        <v>1212</v>
      </c>
      <c r="E600" s="65" t="s">
        <v>1213</v>
      </c>
      <c r="F600" s="53" t="s">
        <v>49</v>
      </c>
      <c r="G600" s="53" t="s">
        <v>36</v>
      </c>
      <c r="H600" s="53">
        <f>STOCK[[#This Row],[Precio Final]]</f>
        <v>18</v>
      </c>
      <c r="I600" s="53">
        <f>STOCK[[#This Row],[Precio Venta Ideal (x1.5)]]</f>
        <v>18.855</v>
      </c>
      <c r="J600" s="69">
        <v>3</v>
      </c>
      <c r="K600" s="69">
        <f>SUMIFS(VENTAS[Cantidad],VENTAS[Código del producto Vendido],STOCK[[#This Row],[Code]])</f>
        <v>3</v>
      </c>
      <c r="L600" s="69">
        <f>STOCK[[#This Row],[Entradas]]-STOCK[[#This Row],[Salidas]]</f>
        <v>0</v>
      </c>
      <c r="M600" s="53">
        <f>STOCK[[#This Row],[Precio Final]]*10%</f>
        <v>1.8</v>
      </c>
      <c r="N600" s="53">
        <v>0</v>
      </c>
      <c r="O600" s="53">
        <v>0</v>
      </c>
      <c r="P600" s="53">
        <v>7.77</v>
      </c>
      <c r="Q600" s="69">
        <v>0</v>
      </c>
      <c r="R600" s="53">
        <v>0</v>
      </c>
      <c r="S600" s="53">
        <v>3</v>
      </c>
      <c r="T600" s="53">
        <f>STOCK[[#This Row],[Costo Unitario (USD)]]+STOCK[[#This Row],[Costo Envío (USD)]]+STOCK[[#This Row],[Comisión 10%]]</f>
        <v>12.57</v>
      </c>
      <c r="U600" s="53">
        <f>STOCK[[#This Row],[Costo total]]*1.5</f>
        <v>18.855</v>
      </c>
      <c r="V600" s="53">
        <v>18</v>
      </c>
      <c r="W600" s="53">
        <f>STOCK[[#This Row],[Precio Final]]-STOCK[[#This Row],[Costo total]]</f>
        <v>5.43</v>
      </c>
      <c r="X600" s="53">
        <f>STOCK[[#This Row],[Ganancia Unitaria]]*STOCK[[#This Row],[Salidas]]</f>
        <v>16.29</v>
      </c>
      <c r="Y600" s="53" t="s">
        <v>1159</v>
      </c>
      <c r="AA600" s="53">
        <f>STOCK[[#This Row],[Costo total]]*STOCK[[#This Row],[Entradas]]</f>
        <v>37.71</v>
      </c>
      <c r="AB600" s="53">
        <f>STOCK[[#This Row],[Stock Actual]]*STOCK[[#This Row],[Costo total]]</f>
        <v>0</v>
      </c>
    </row>
    <row r="601" spans="1:28" s="54" customFormat="1" ht="50" customHeight="1">
      <c r="A601" s="54" t="s">
        <v>1214</v>
      </c>
      <c r="B601" s="64"/>
      <c r="C601" s="54" t="s">
        <v>32</v>
      </c>
      <c r="D601" s="54" t="s">
        <v>1212</v>
      </c>
      <c r="E601" s="66" t="s">
        <v>1213</v>
      </c>
      <c r="F601" s="54" t="s">
        <v>62</v>
      </c>
      <c r="G601" s="54" t="s">
        <v>36</v>
      </c>
      <c r="H601" s="54">
        <f>STOCK[[#This Row],[Precio Final]]</f>
        <v>18</v>
      </c>
      <c r="I601" s="54">
        <f>STOCK[[#This Row],[Precio Venta Ideal (x1.5)]]</f>
        <v>18.855</v>
      </c>
      <c r="J601" s="70">
        <v>1</v>
      </c>
      <c r="K601" s="70">
        <f>SUMIFS(VENTAS[Cantidad],VENTAS[Código del producto Vendido],STOCK[[#This Row],[Code]])</f>
        <v>1</v>
      </c>
      <c r="L601" s="70">
        <f>STOCK[[#This Row],[Entradas]]-STOCK[[#This Row],[Salidas]]</f>
        <v>0</v>
      </c>
      <c r="M601" s="54">
        <f>STOCK[[#This Row],[Precio Final]]*10%</f>
        <v>1.8</v>
      </c>
      <c r="N601" s="54">
        <v>0</v>
      </c>
      <c r="O601" s="54">
        <v>0</v>
      </c>
      <c r="P601" s="54">
        <v>7.77</v>
      </c>
      <c r="Q601" s="70">
        <v>0</v>
      </c>
      <c r="R601" s="54">
        <v>0</v>
      </c>
      <c r="S601" s="54">
        <v>3</v>
      </c>
      <c r="T601" s="53">
        <f>STOCK[[#This Row],[Costo Unitario (USD)]]+STOCK[[#This Row],[Costo Envío (USD)]]+STOCK[[#This Row],[Comisión 10%]]</f>
        <v>12.57</v>
      </c>
      <c r="U601" s="54">
        <f>STOCK[[#This Row],[Costo total]]*1.5</f>
        <v>18.855</v>
      </c>
      <c r="V601" s="54">
        <v>18</v>
      </c>
      <c r="W601" s="54">
        <f>STOCK[[#This Row],[Precio Final]]-STOCK[[#This Row],[Costo total]]</f>
        <v>5.43</v>
      </c>
      <c r="X601" s="54">
        <f>STOCK[[#This Row],[Ganancia Unitaria]]*STOCK[[#This Row],[Salidas]]</f>
        <v>5.43</v>
      </c>
      <c r="Y601" s="54" t="s">
        <v>1159</v>
      </c>
      <c r="AA601" s="54">
        <f>STOCK[[#This Row],[Costo total]]*STOCK[[#This Row],[Entradas]]</f>
        <v>12.57</v>
      </c>
      <c r="AB601" s="54">
        <f>STOCK[[#This Row],[Stock Actual]]*STOCK[[#This Row],[Costo total]]</f>
        <v>0</v>
      </c>
    </row>
    <row r="602" spans="1:28" s="53" customFormat="1" ht="50" customHeight="1">
      <c r="A602" s="53" t="s">
        <v>1215</v>
      </c>
      <c r="B602" s="64"/>
      <c r="C602" s="53" t="s">
        <v>32</v>
      </c>
      <c r="D602" s="53" t="s">
        <v>1074</v>
      </c>
      <c r="E602" s="65" t="s">
        <v>1178</v>
      </c>
      <c r="F602" s="53" t="s">
        <v>1216</v>
      </c>
      <c r="G602" s="53" t="s">
        <v>36</v>
      </c>
      <c r="H602" s="53">
        <f>STOCK[[#This Row],[Precio Final]]</f>
        <v>12</v>
      </c>
      <c r="I602" s="53">
        <f>STOCK[[#This Row],[Precio Venta Ideal (x1.5)]]</f>
        <v>16.964999999999996</v>
      </c>
      <c r="J602" s="69">
        <v>0</v>
      </c>
      <c r="K602" s="69">
        <f>SUMIFS(VENTAS[Cantidad],VENTAS[Código del producto Vendido],STOCK[[#This Row],[Code]])</f>
        <v>0</v>
      </c>
      <c r="L602" s="69">
        <f>STOCK[[#This Row],[Entradas]]-STOCK[[#This Row],[Salidas]]</f>
        <v>0</v>
      </c>
      <c r="M602" s="53">
        <f>STOCK[[#This Row],[Precio Final]]*10%</f>
        <v>1.2000000000000002</v>
      </c>
      <c r="N602" s="53">
        <v>0</v>
      </c>
      <c r="O602" s="53">
        <v>0</v>
      </c>
      <c r="P602" s="53">
        <v>7.11</v>
      </c>
      <c r="Q602" s="69">
        <v>0</v>
      </c>
      <c r="R602" s="53">
        <v>0</v>
      </c>
      <c r="S602" s="53">
        <v>3</v>
      </c>
      <c r="T602" s="53">
        <f>STOCK[[#This Row],[Costo Unitario (USD)]]+STOCK[[#This Row],[Costo Envío (USD)]]+STOCK[[#This Row],[Comisión 10%]]</f>
        <v>11.309999999999999</v>
      </c>
      <c r="U602" s="53">
        <f>STOCK[[#This Row],[Costo total]]*1.5</f>
        <v>16.964999999999996</v>
      </c>
      <c r="V602" s="53">
        <v>12</v>
      </c>
      <c r="W602" s="53">
        <f>STOCK[[#This Row],[Precio Final]]-STOCK[[#This Row],[Costo total]]</f>
        <v>0.69000000000000128</v>
      </c>
      <c r="X602" s="53">
        <f>STOCK[[#This Row],[Ganancia Unitaria]]*STOCK[[#This Row],[Salidas]]</f>
        <v>0</v>
      </c>
      <c r="Y602" s="53" t="s">
        <v>1159</v>
      </c>
      <c r="AA602" s="53">
        <f>STOCK[[#This Row],[Costo total]]*STOCK[[#This Row],[Entradas]]</f>
        <v>0</v>
      </c>
      <c r="AB602" s="53">
        <f>STOCK[[#This Row],[Stock Actual]]*STOCK[[#This Row],[Costo total]]</f>
        <v>0</v>
      </c>
    </row>
    <row r="603" spans="1:28" s="54" customFormat="1" ht="50" customHeight="1">
      <c r="A603" s="54" t="s">
        <v>1217</v>
      </c>
      <c r="B603" s="64"/>
      <c r="C603" s="54" t="s">
        <v>32</v>
      </c>
      <c r="D603" s="54" t="s">
        <v>1074</v>
      </c>
      <c r="E603" s="66" t="s">
        <v>1178</v>
      </c>
      <c r="F603" s="54" t="s">
        <v>46</v>
      </c>
      <c r="G603" s="54" t="s">
        <v>36</v>
      </c>
      <c r="H603" s="54">
        <f>STOCK[[#This Row],[Precio Final]]</f>
        <v>12</v>
      </c>
      <c r="I603" s="54">
        <f>STOCK[[#This Row],[Precio Venta Ideal (x1.5)]]</f>
        <v>17.325000000000003</v>
      </c>
      <c r="J603" s="70">
        <v>0</v>
      </c>
      <c r="K603" s="70">
        <f>SUMIFS(VENTAS[Cantidad],VENTAS[Código del producto Vendido],STOCK[[#This Row],[Code]])</f>
        <v>0</v>
      </c>
      <c r="L603" s="70">
        <f>STOCK[[#This Row],[Entradas]]-STOCK[[#This Row],[Salidas]]</f>
        <v>0</v>
      </c>
      <c r="M603" s="54">
        <f>STOCK[[#This Row],[Precio Final]]*10%</f>
        <v>1.2000000000000002</v>
      </c>
      <c r="N603" s="54">
        <v>0</v>
      </c>
      <c r="O603" s="54">
        <v>0</v>
      </c>
      <c r="P603" s="54">
        <v>7.35</v>
      </c>
      <c r="Q603" s="70">
        <v>0</v>
      </c>
      <c r="R603" s="54">
        <v>0</v>
      </c>
      <c r="S603" s="54">
        <v>3</v>
      </c>
      <c r="T603" s="53">
        <f>STOCK[[#This Row],[Costo Unitario (USD)]]+STOCK[[#This Row],[Costo Envío (USD)]]+STOCK[[#This Row],[Comisión 10%]]</f>
        <v>11.55</v>
      </c>
      <c r="U603" s="54">
        <f>STOCK[[#This Row],[Costo total]]*1.5</f>
        <v>17.325000000000003</v>
      </c>
      <c r="V603" s="54">
        <v>12</v>
      </c>
      <c r="W603" s="54">
        <f>STOCK[[#This Row],[Precio Final]]-STOCK[[#This Row],[Costo total]]</f>
        <v>0.44999999999999929</v>
      </c>
      <c r="X603" s="54">
        <f>STOCK[[#This Row],[Ganancia Unitaria]]*STOCK[[#This Row],[Salidas]]</f>
        <v>0</v>
      </c>
      <c r="Y603" s="54" t="s">
        <v>1159</v>
      </c>
      <c r="AA603" s="54">
        <f>STOCK[[#This Row],[Costo total]]*STOCK[[#This Row],[Entradas]]</f>
        <v>0</v>
      </c>
      <c r="AB603" s="54">
        <f>STOCK[[#This Row],[Stock Actual]]*STOCK[[#This Row],[Costo total]]</f>
        <v>0</v>
      </c>
    </row>
    <row r="604" spans="1:28" s="53" customFormat="1" ht="50" customHeight="1">
      <c r="A604" s="53" t="s">
        <v>1218</v>
      </c>
      <c r="B604" s="64"/>
      <c r="C604" s="53" t="s">
        <v>32</v>
      </c>
      <c r="D604" s="53" t="s">
        <v>1190</v>
      </c>
      <c r="E604" s="65" t="s">
        <v>1158</v>
      </c>
      <c r="F604" s="53" t="s">
        <v>211</v>
      </c>
      <c r="G604" s="53" t="s">
        <v>36</v>
      </c>
      <c r="H604" s="53">
        <f>STOCK[[#This Row],[Precio Final]]</f>
        <v>13</v>
      </c>
      <c r="I604" s="53">
        <f>STOCK[[#This Row],[Precio Venta Ideal (x1.5)]]</f>
        <v>14.745000000000003</v>
      </c>
      <c r="J604" s="69">
        <v>2</v>
      </c>
      <c r="K604" s="69">
        <f>SUMIFS(VENTAS[Cantidad],VENTAS[Código del producto Vendido],STOCK[[#This Row],[Code]])</f>
        <v>2</v>
      </c>
      <c r="L604" s="69">
        <f>STOCK[[#This Row],[Entradas]]-STOCK[[#This Row],[Salidas]]</f>
        <v>0</v>
      </c>
      <c r="M604" s="53">
        <f>STOCK[[#This Row],[Precio Final]]*10%</f>
        <v>1.3</v>
      </c>
      <c r="N604" s="53">
        <v>5.75</v>
      </c>
      <c r="O604" s="53">
        <v>0</v>
      </c>
      <c r="P604" s="53">
        <v>6.53</v>
      </c>
      <c r="Q604" s="69">
        <v>0</v>
      </c>
      <c r="R604" s="53">
        <v>0</v>
      </c>
      <c r="S604" s="53">
        <v>2</v>
      </c>
      <c r="T604" s="53">
        <f>STOCK[[#This Row],[Costo Unitario (USD)]]+STOCK[[#This Row],[Costo Envío (USD)]]+STOCK[[#This Row],[Comisión 10%]]</f>
        <v>9.8300000000000018</v>
      </c>
      <c r="U604" s="53">
        <f>STOCK[[#This Row],[Costo total]]*1.5</f>
        <v>14.745000000000003</v>
      </c>
      <c r="V604" s="53">
        <v>13</v>
      </c>
      <c r="W604" s="53">
        <f>STOCK[[#This Row],[Precio Final]]-STOCK[[#This Row],[Costo total]]</f>
        <v>3.1699999999999982</v>
      </c>
      <c r="X604" s="53">
        <f>STOCK[[#This Row],[Ganancia Unitaria]]*STOCK[[#This Row],[Salidas]]</f>
        <v>6.3399999999999963</v>
      </c>
      <c r="Y604" s="53" t="s">
        <v>1159</v>
      </c>
      <c r="AA604" s="53">
        <f>STOCK[[#This Row],[Costo total]]*STOCK[[#This Row],[Entradas]]</f>
        <v>19.660000000000004</v>
      </c>
      <c r="AB604" s="53">
        <f>STOCK[[#This Row],[Stock Actual]]*STOCK[[#This Row],[Costo total]]</f>
        <v>0</v>
      </c>
    </row>
    <row r="605" spans="1:28" s="54" customFormat="1" ht="50" customHeight="1">
      <c r="A605" s="54" t="s">
        <v>1219</v>
      </c>
      <c r="B605" s="64"/>
      <c r="C605" s="54" t="s">
        <v>32</v>
      </c>
      <c r="D605" s="54" t="s">
        <v>1074</v>
      </c>
      <c r="E605" s="66" t="s">
        <v>1220</v>
      </c>
      <c r="G605" s="54" t="s">
        <v>36</v>
      </c>
      <c r="H605" s="54">
        <f>STOCK[[#This Row],[Precio Final]]</f>
        <v>13</v>
      </c>
      <c r="I605" s="54">
        <f>STOCK[[#This Row],[Precio Venta Ideal (x1.5)]]</f>
        <v>14.745000000000003</v>
      </c>
      <c r="J605" s="70">
        <v>0</v>
      </c>
      <c r="K605" s="70">
        <f>SUMIFS(VENTAS[Cantidad],VENTAS[Código del producto Vendido],STOCK[[#This Row],[Code]])</f>
        <v>0</v>
      </c>
      <c r="L605" s="70">
        <f>STOCK[[#This Row],[Entradas]]-STOCK[[#This Row],[Salidas]]</f>
        <v>0</v>
      </c>
      <c r="M605" s="54">
        <f>STOCK[[#This Row],[Precio Final]]*10%</f>
        <v>1.3</v>
      </c>
      <c r="N605" s="54">
        <v>0</v>
      </c>
      <c r="O605" s="54">
        <v>0</v>
      </c>
      <c r="P605" s="54">
        <v>6.53</v>
      </c>
      <c r="Q605" s="70">
        <v>0</v>
      </c>
      <c r="R605" s="54">
        <v>0</v>
      </c>
      <c r="S605" s="54">
        <v>2</v>
      </c>
      <c r="T605" s="53">
        <f>STOCK[[#This Row],[Costo Unitario (USD)]]+STOCK[[#This Row],[Costo Envío (USD)]]+STOCK[[#This Row],[Comisión 10%]]</f>
        <v>9.8300000000000018</v>
      </c>
      <c r="U605" s="54">
        <f>STOCK[[#This Row],[Costo total]]*1.5</f>
        <v>14.745000000000003</v>
      </c>
      <c r="V605" s="54">
        <v>13</v>
      </c>
      <c r="W605" s="54">
        <f>STOCK[[#This Row],[Precio Final]]-STOCK[[#This Row],[Costo total]]</f>
        <v>3.1699999999999982</v>
      </c>
      <c r="X605" s="54">
        <f>STOCK[[#This Row],[Ganancia Unitaria]]*STOCK[[#This Row],[Salidas]]</f>
        <v>0</v>
      </c>
      <c r="Y605" s="54" t="s">
        <v>1159</v>
      </c>
      <c r="AA605" s="54">
        <f>STOCK[[#This Row],[Costo total]]*STOCK[[#This Row],[Entradas]]</f>
        <v>0</v>
      </c>
      <c r="AB605" s="54">
        <f>STOCK[[#This Row],[Stock Actual]]*STOCK[[#This Row],[Costo total]]</f>
        <v>0</v>
      </c>
    </row>
    <row r="606" spans="1:28" s="53" customFormat="1" ht="50" customHeight="1">
      <c r="A606" s="53" t="s">
        <v>1221</v>
      </c>
      <c r="B606" s="64"/>
      <c r="C606" s="53" t="s">
        <v>32</v>
      </c>
      <c r="D606" s="53" t="s">
        <v>1074</v>
      </c>
      <c r="E606" s="65" t="s">
        <v>1222</v>
      </c>
      <c r="G606" s="53" t="s">
        <v>36</v>
      </c>
      <c r="H606" s="53">
        <f>STOCK[[#This Row],[Precio Final]]</f>
        <v>0</v>
      </c>
      <c r="I606" s="53">
        <f>STOCK[[#This Row],[Precio Venta Ideal (x1.5)]]</f>
        <v>0</v>
      </c>
      <c r="J606" s="69">
        <v>0</v>
      </c>
      <c r="K606" s="69">
        <f>SUMIFS(VENTAS[Cantidad],VENTAS[Código del producto Vendido],STOCK[[#This Row],[Code]])</f>
        <v>0</v>
      </c>
      <c r="L606" s="69">
        <f>STOCK[[#This Row],[Entradas]]-STOCK[[#This Row],[Salidas]]</f>
        <v>0</v>
      </c>
      <c r="M606" s="53">
        <f>STOCK[[#This Row],[Precio Final]]*10%</f>
        <v>0</v>
      </c>
      <c r="N606" s="53">
        <v>0</v>
      </c>
      <c r="O606" s="53">
        <v>0</v>
      </c>
      <c r="P606" s="53">
        <v>0</v>
      </c>
      <c r="Q606" s="69">
        <v>0</v>
      </c>
      <c r="R606" s="53">
        <v>0</v>
      </c>
      <c r="S606" s="53">
        <v>0</v>
      </c>
      <c r="T606" s="53">
        <f>STOCK[[#This Row],[Costo Unitario (USD)]]+STOCK[[#This Row],[Costo Envío (USD)]]+STOCK[[#This Row],[Comisión 10%]]</f>
        <v>0</v>
      </c>
      <c r="U606" s="53">
        <f>STOCK[[#This Row],[Costo total]]*1.5</f>
        <v>0</v>
      </c>
      <c r="V606" s="53">
        <v>0</v>
      </c>
      <c r="W606" s="53">
        <f>STOCK[[#This Row],[Precio Final]]-STOCK[[#This Row],[Costo total]]</f>
        <v>0</v>
      </c>
      <c r="X606" s="53">
        <f>STOCK[[#This Row],[Ganancia Unitaria]]*STOCK[[#This Row],[Salidas]]</f>
        <v>0</v>
      </c>
      <c r="Y606" s="53" t="s">
        <v>1159</v>
      </c>
      <c r="AA606" s="53">
        <f>STOCK[[#This Row],[Costo total]]*STOCK[[#This Row],[Entradas]]</f>
        <v>0</v>
      </c>
      <c r="AB606" s="53">
        <f>STOCK[[#This Row],[Stock Actual]]*STOCK[[#This Row],[Costo total]]</f>
        <v>0</v>
      </c>
    </row>
    <row r="607" spans="1:28" s="54" customFormat="1" ht="50" customHeight="1">
      <c r="A607" s="54" t="s">
        <v>1223</v>
      </c>
      <c r="B607" s="64"/>
      <c r="C607" s="54" t="s">
        <v>32</v>
      </c>
      <c r="D607" s="54" t="s">
        <v>1074</v>
      </c>
      <c r="E607" s="66" t="s">
        <v>1224</v>
      </c>
      <c r="G607" s="54" t="s">
        <v>36</v>
      </c>
      <c r="H607" s="54">
        <f>STOCK[[#This Row],[Precio Final]]</f>
        <v>0</v>
      </c>
      <c r="I607" s="54">
        <f>STOCK[[#This Row],[Precio Venta Ideal (x1.5)]]</f>
        <v>0</v>
      </c>
      <c r="J607" s="70">
        <v>0</v>
      </c>
      <c r="K607" s="70">
        <f>SUMIFS(VENTAS[Cantidad],VENTAS[Código del producto Vendido],STOCK[[#This Row],[Code]])</f>
        <v>0</v>
      </c>
      <c r="L607" s="70">
        <f>STOCK[[#This Row],[Entradas]]-STOCK[[#This Row],[Salidas]]</f>
        <v>0</v>
      </c>
      <c r="M607" s="54">
        <f>STOCK[[#This Row],[Precio Final]]*10%</f>
        <v>0</v>
      </c>
      <c r="N607" s="54">
        <v>0</v>
      </c>
      <c r="O607" s="54">
        <v>0</v>
      </c>
      <c r="P607" s="54">
        <v>0</v>
      </c>
      <c r="Q607" s="70">
        <v>0</v>
      </c>
      <c r="R607" s="54">
        <v>0</v>
      </c>
      <c r="S607" s="54">
        <v>0</v>
      </c>
      <c r="T607" s="53">
        <f>STOCK[[#This Row],[Costo Unitario (USD)]]+STOCK[[#This Row],[Costo Envío (USD)]]+STOCK[[#This Row],[Comisión 10%]]</f>
        <v>0</v>
      </c>
      <c r="U607" s="54">
        <f>STOCK[[#This Row],[Costo total]]*1.5</f>
        <v>0</v>
      </c>
      <c r="V607" s="54">
        <v>0</v>
      </c>
      <c r="W607" s="54">
        <f>STOCK[[#This Row],[Precio Final]]-STOCK[[#This Row],[Costo total]]</f>
        <v>0</v>
      </c>
      <c r="X607" s="54">
        <f>STOCK[[#This Row],[Ganancia Unitaria]]*STOCK[[#This Row],[Salidas]]</f>
        <v>0</v>
      </c>
      <c r="Y607" s="54" t="s">
        <v>1159</v>
      </c>
      <c r="AA607" s="54">
        <f>STOCK[[#This Row],[Costo total]]*STOCK[[#This Row],[Entradas]]</f>
        <v>0</v>
      </c>
      <c r="AB607" s="54">
        <f>STOCK[[#This Row],[Stock Actual]]*STOCK[[#This Row],[Costo total]]</f>
        <v>0</v>
      </c>
    </row>
    <row r="608" spans="1:28" s="53" customFormat="1" ht="50" customHeight="1">
      <c r="A608" s="53" t="s">
        <v>1225</v>
      </c>
      <c r="B608" s="64"/>
      <c r="C608" s="53" t="s">
        <v>32</v>
      </c>
      <c r="D608" s="53" t="s">
        <v>1226</v>
      </c>
      <c r="E608" s="65" t="s">
        <v>1227</v>
      </c>
      <c r="F608" s="53" t="s">
        <v>1228</v>
      </c>
      <c r="G608" s="53" t="s">
        <v>36</v>
      </c>
      <c r="H608" s="53">
        <f>STOCK[[#This Row],[Precio Final]]</f>
        <v>55</v>
      </c>
      <c r="I608" s="53">
        <f>STOCK[[#This Row],[Precio Venta Ideal (x1.5)]]</f>
        <v>70.995000000000005</v>
      </c>
      <c r="J608" s="69">
        <v>1</v>
      </c>
      <c r="K608" s="69">
        <f>SUMIFS(VENTAS[Cantidad],VENTAS[Código del producto Vendido],STOCK[[#This Row],[Code]])</f>
        <v>1</v>
      </c>
      <c r="L608" s="69">
        <f>STOCK[[#This Row],[Entradas]]-STOCK[[#This Row],[Salidas]]</f>
        <v>0</v>
      </c>
      <c r="M608" s="53">
        <f>STOCK[[#This Row],[Precio Final]]*10%</f>
        <v>5.5</v>
      </c>
      <c r="N608" s="53">
        <v>0</v>
      </c>
      <c r="O608" s="53">
        <v>0</v>
      </c>
      <c r="P608" s="53">
        <v>31.83</v>
      </c>
      <c r="Q608" s="69">
        <v>0</v>
      </c>
      <c r="R608" s="53">
        <v>0</v>
      </c>
      <c r="S608" s="53">
        <v>10</v>
      </c>
      <c r="T608" s="53">
        <f>STOCK[[#This Row],[Costo Unitario (USD)]]+STOCK[[#This Row],[Costo Envío (USD)]]+STOCK[[#This Row],[Comisión 10%]]</f>
        <v>47.33</v>
      </c>
      <c r="U608" s="53">
        <f>STOCK[[#This Row],[Costo total]]*1.5</f>
        <v>70.995000000000005</v>
      </c>
      <c r="V608" s="53">
        <v>55</v>
      </c>
      <c r="W608" s="53">
        <f>STOCK[[#This Row],[Precio Final]]-STOCK[[#This Row],[Costo total]]</f>
        <v>7.6700000000000017</v>
      </c>
      <c r="X608" s="53">
        <f>STOCK[[#This Row],[Ganancia Unitaria]]*STOCK[[#This Row],[Salidas]]</f>
        <v>7.6700000000000017</v>
      </c>
      <c r="Y608" s="53" t="s">
        <v>1159</v>
      </c>
      <c r="AA608" s="53">
        <f>STOCK[[#This Row],[Costo total]]*STOCK[[#This Row],[Entradas]]</f>
        <v>47.33</v>
      </c>
      <c r="AB608" s="53">
        <f>STOCK[[#This Row],[Stock Actual]]*STOCK[[#This Row],[Costo total]]</f>
        <v>0</v>
      </c>
    </row>
    <row r="609" spans="1:28" s="54" customFormat="1" ht="50" customHeight="1">
      <c r="A609" s="54" t="s">
        <v>1229</v>
      </c>
      <c r="B609" s="64"/>
      <c r="C609" s="54" t="s">
        <v>32</v>
      </c>
      <c r="D609" s="54" t="s">
        <v>1074</v>
      </c>
      <c r="E609" s="66" t="s">
        <v>1230</v>
      </c>
      <c r="G609" s="54" t="s">
        <v>36</v>
      </c>
      <c r="H609" s="54">
        <f>STOCK[[#This Row],[Precio Final]]</f>
        <v>0</v>
      </c>
      <c r="I609" s="54">
        <f>STOCK[[#This Row],[Precio Venta Ideal (x1.5)]]</f>
        <v>0</v>
      </c>
      <c r="J609" s="70">
        <v>0</v>
      </c>
      <c r="K609" s="70">
        <f>SUMIFS(VENTAS[Cantidad],VENTAS[Código del producto Vendido],STOCK[[#This Row],[Code]])</f>
        <v>0</v>
      </c>
      <c r="L609" s="70">
        <f>STOCK[[#This Row],[Entradas]]-STOCK[[#This Row],[Salidas]]</f>
        <v>0</v>
      </c>
      <c r="M609" s="54">
        <f>STOCK[[#This Row],[Precio Final]]*10%</f>
        <v>0</v>
      </c>
      <c r="N609" s="54">
        <v>0</v>
      </c>
      <c r="O609" s="54">
        <v>0</v>
      </c>
      <c r="P609" s="54">
        <v>0</v>
      </c>
      <c r="Q609" s="70">
        <v>0</v>
      </c>
      <c r="R609" s="54">
        <v>0</v>
      </c>
      <c r="S609" s="54">
        <v>0</v>
      </c>
      <c r="T609" s="53">
        <f>STOCK[[#This Row],[Costo Unitario (USD)]]+STOCK[[#This Row],[Costo Envío (USD)]]+STOCK[[#This Row],[Comisión 10%]]</f>
        <v>0</v>
      </c>
      <c r="U609" s="54">
        <f>STOCK[[#This Row],[Costo total]]*1.5</f>
        <v>0</v>
      </c>
      <c r="V609" s="54">
        <v>0</v>
      </c>
      <c r="W609" s="54">
        <f>STOCK[[#This Row],[Precio Final]]-STOCK[[#This Row],[Costo total]]</f>
        <v>0</v>
      </c>
      <c r="X609" s="54">
        <f>STOCK[[#This Row],[Ganancia Unitaria]]*STOCK[[#This Row],[Salidas]]</f>
        <v>0</v>
      </c>
      <c r="Y609" s="54" t="s">
        <v>1159</v>
      </c>
      <c r="AA609" s="54">
        <f>STOCK[[#This Row],[Costo total]]*STOCK[[#This Row],[Entradas]]</f>
        <v>0</v>
      </c>
      <c r="AB609" s="54">
        <f>STOCK[[#This Row],[Stock Actual]]*STOCK[[#This Row],[Costo total]]</f>
        <v>0</v>
      </c>
    </row>
    <row r="610" spans="1:28" s="53" customFormat="1" ht="50" customHeight="1">
      <c r="A610" s="53" t="s">
        <v>1231</v>
      </c>
      <c r="B610" s="64"/>
      <c r="C610" s="53" t="s">
        <v>32</v>
      </c>
      <c r="E610" s="65" t="s">
        <v>1232</v>
      </c>
      <c r="F610" s="53" t="s">
        <v>1046</v>
      </c>
      <c r="G610" s="53" t="s">
        <v>36</v>
      </c>
      <c r="H610" s="53">
        <f>STOCK[[#This Row],[Precio Final]]</f>
        <v>0</v>
      </c>
      <c r="I610" s="53">
        <f>STOCK[[#This Row],[Precio Venta Ideal (x1.5)]]</f>
        <v>0</v>
      </c>
      <c r="J610" s="69">
        <v>0</v>
      </c>
      <c r="K610" s="69">
        <f>SUMIFS(VENTAS[Cantidad],VENTAS[Código del producto Vendido],STOCK[[#This Row],[Code]])</f>
        <v>0</v>
      </c>
      <c r="L610" s="69">
        <f>STOCK[[#This Row],[Entradas]]-STOCK[[#This Row],[Salidas]]</f>
        <v>0</v>
      </c>
      <c r="M610" s="53">
        <f>STOCK[[#This Row],[Precio Final]]*10%</f>
        <v>0</v>
      </c>
      <c r="N610" s="53">
        <v>0</v>
      </c>
      <c r="O610" s="53">
        <v>0</v>
      </c>
      <c r="P610" s="53">
        <v>0</v>
      </c>
      <c r="Q610" s="69">
        <v>0</v>
      </c>
      <c r="R610" s="53">
        <v>0</v>
      </c>
      <c r="S610" s="53">
        <v>0</v>
      </c>
      <c r="T610" s="53">
        <f>STOCK[[#This Row],[Costo Unitario (USD)]]+STOCK[[#This Row],[Costo Envío (USD)]]+STOCK[[#This Row],[Comisión 10%]]</f>
        <v>0</v>
      </c>
      <c r="U610" s="53">
        <f>STOCK[[#This Row],[Costo total]]*1.5</f>
        <v>0</v>
      </c>
      <c r="V610" s="53">
        <v>0</v>
      </c>
      <c r="W610" s="53">
        <f>STOCK[[#This Row],[Precio Final]]-STOCK[[#This Row],[Costo total]]</f>
        <v>0</v>
      </c>
      <c r="X610" s="53">
        <f>STOCK[[#This Row],[Ganancia Unitaria]]*STOCK[[#This Row],[Salidas]]</f>
        <v>0</v>
      </c>
      <c r="Y610" s="53" t="s">
        <v>1159</v>
      </c>
      <c r="AA610" s="53">
        <f>STOCK[[#This Row],[Costo total]]*STOCK[[#This Row],[Entradas]]</f>
        <v>0</v>
      </c>
      <c r="AB610" s="53">
        <f>STOCK[[#This Row],[Stock Actual]]*STOCK[[#This Row],[Costo total]]</f>
        <v>0</v>
      </c>
    </row>
    <row r="611" spans="1:28" s="54" customFormat="1" ht="50" customHeight="1">
      <c r="A611" s="54" t="s">
        <v>1233</v>
      </c>
      <c r="B611" s="64"/>
      <c r="C611" s="54" t="s">
        <v>32</v>
      </c>
      <c r="D611" s="54" t="s">
        <v>152</v>
      </c>
      <c r="E611" s="66" t="s">
        <v>1234</v>
      </c>
      <c r="F611" s="54" t="s">
        <v>211</v>
      </c>
      <c r="G611" s="54" t="s">
        <v>36</v>
      </c>
      <c r="H611" s="54">
        <f>STOCK[[#This Row],[Precio Final]]</f>
        <v>22</v>
      </c>
      <c r="I611" s="54">
        <f>STOCK[[#This Row],[Precio Venta Ideal (x1.5)]]</f>
        <v>24.855</v>
      </c>
      <c r="J611" s="70">
        <v>4</v>
      </c>
      <c r="K611" s="70">
        <f>SUMIFS(VENTAS[Cantidad],VENTAS[Código del producto Vendido],STOCK[[#This Row],[Code]])</f>
        <v>4</v>
      </c>
      <c r="L611" s="70">
        <f>STOCK[[#This Row],[Entradas]]-STOCK[[#This Row],[Salidas]]</f>
        <v>0</v>
      </c>
      <c r="M611" s="54">
        <f>STOCK[[#This Row],[Precio Final]]*10%</f>
        <v>2.2000000000000002</v>
      </c>
      <c r="N611" s="54">
        <v>-27.89</v>
      </c>
      <c r="O611" s="54">
        <v>13.94</v>
      </c>
      <c r="P611" s="54">
        <v>11.37</v>
      </c>
      <c r="Q611" s="70">
        <v>0</v>
      </c>
      <c r="R611" s="54">
        <v>0</v>
      </c>
      <c r="S611" s="54">
        <v>3</v>
      </c>
      <c r="T611" s="53">
        <f>STOCK[[#This Row],[Costo Unitario (USD)]]+STOCK[[#This Row],[Costo Envío (USD)]]+STOCK[[#This Row],[Comisión 10%]]</f>
        <v>16.57</v>
      </c>
      <c r="U611" s="54">
        <f>STOCK[[#This Row],[Costo total]]*1.5</f>
        <v>24.855</v>
      </c>
      <c r="V611" s="54">
        <v>22</v>
      </c>
      <c r="W611" s="54">
        <f>STOCK[[#This Row],[Precio Final]]-STOCK[[#This Row],[Costo total]]</f>
        <v>5.43</v>
      </c>
      <c r="X611" s="54">
        <f>STOCK[[#This Row],[Ganancia Unitaria]]*STOCK[[#This Row],[Salidas]]</f>
        <v>21.72</v>
      </c>
      <c r="Y611" s="54" t="s">
        <v>1159</v>
      </c>
      <c r="AA611" s="54">
        <f>STOCK[[#This Row],[Costo total]]*STOCK[[#This Row],[Entradas]]</f>
        <v>66.28</v>
      </c>
      <c r="AB611" s="54">
        <f>STOCK[[#This Row],[Stock Actual]]*STOCK[[#This Row],[Costo total]]</f>
        <v>0</v>
      </c>
    </row>
    <row r="612" spans="1:28" s="53" customFormat="1" ht="50" customHeight="1">
      <c r="A612" s="53" t="s">
        <v>1235</v>
      </c>
      <c r="B612" s="64"/>
      <c r="C612" s="53" t="s">
        <v>32</v>
      </c>
      <c r="D612" s="53" t="s">
        <v>152</v>
      </c>
      <c r="E612" s="65" t="s">
        <v>1236</v>
      </c>
      <c r="F612" s="53" t="s">
        <v>46</v>
      </c>
      <c r="G612" s="53" t="s">
        <v>36</v>
      </c>
      <c r="H612" s="53">
        <f>STOCK[[#This Row],[Precio Final]]</f>
        <v>22</v>
      </c>
      <c r="I612" s="53">
        <f>STOCK[[#This Row],[Precio Venta Ideal (x1.5)]]</f>
        <v>24.855</v>
      </c>
      <c r="J612" s="69">
        <v>3</v>
      </c>
      <c r="K612" s="69">
        <f>SUMIFS(VENTAS[Cantidad],VENTAS[Código del producto Vendido],STOCK[[#This Row],[Code]])</f>
        <v>3</v>
      </c>
      <c r="L612" s="69">
        <f>STOCK[[#This Row],[Entradas]]-STOCK[[#This Row],[Salidas]]</f>
        <v>0</v>
      </c>
      <c r="M612" s="53">
        <f>STOCK[[#This Row],[Precio Final]]*10%</f>
        <v>2.2000000000000002</v>
      </c>
      <c r="N612" s="53">
        <v>0</v>
      </c>
      <c r="O612" s="53">
        <v>41.83</v>
      </c>
      <c r="P612" s="53">
        <v>11.37</v>
      </c>
      <c r="Q612" s="69">
        <v>0</v>
      </c>
      <c r="R612" s="53">
        <v>0</v>
      </c>
      <c r="S612" s="53">
        <v>3</v>
      </c>
      <c r="T612" s="53">
        <f>STOCK[[#This Row],[Costo Unitario (USD)]]+STOCK[[#This Row],[Costo Envío (USD)]]+STOCK[[#This Row],[Comisión 10%]]</f>
        <v>16.57</v>
      </c>
      <c r="U612" s="53">
        <f>STOCK[[#This Row],[Costo total]]*1.5</f>
        <v>24.855</v>
      </c>
      <c r="V612" s="53">
        <v>22</v>
      </c>
      <c r="W612" s="53">
        <f>STOCK[[#This Row],[Precio Final]]-STOCK[[#This Row],[Costo total]]</f>
        <v>5.43</v>
      </c>
      <c r="X612" s="53">
        <f>STOCK[[#This Row],[Ganancia Unitaria]]*STOCK[[#This Row],[Salidas]]</f>
        <v>16.29</v>
      </c>
      <c r="Y612" s="53" t="s">
        <v>1159</v>
      </c>
      <c r="AA612" s="53">
        <f>STOCK[[#This Row],[Costo total]]*STOCK[[#This Row],[Entradas]]</f>
        <v>49.71</v>
      </c>
      <c r="AB612" s="53">
        <f>STOCK[[#This Row],[Stock Actual]]*STOCK[[#This Row],[Costo total]]</f>
        <v>0</v>
      </c>
    </row>
    <row r="613" spans="1:28" s="54" customFormat="1" ht="50" customHeight="1">
      <c r="A613" s="54" t="s">
        <v>1237</v>
      </c>
      <c r="B613" s="64"/>
      <c r="C613" s="54" t="s">
        <v>32</v>
      </c>
      <c r="D613" s="54" t="s">
        <v>1238</v>
      </c>
      <c r="E613" s="66" t="s">
        <v>1239</v>
      </c>
      <c r="F613" s="54" t="s">
        <v>1240</v>
      </c>
      <c r="G613" s="54" t="s">
        <v>36</v>
      </c>
      <c r="H613" s="54">
        <f>STOCK[[#This Row],[Precio Final]]</f>
        <v>10</v>
      </c>
      <c r="I613" s="54">
        <f>STOCK[[#This Row],[Precio Venta Ideal (x1.5)]]</f>
        <v>9.254999999999999</v>
      </c>
      <c r="J613" s="70">
        <v>3</v>
      </c>
      <c r="K613" s="70">
        <f>SUMIFS(VENTAS[Cantidad],VENTAS[Código del producto Vendido],STOCK[[#This Row],[Code]])</f>
        <v>3</v>
      </c>
      <c r="L613" s="70">
        <f>STOCK[[#This Row],[Entradas]]-STOCK[[#This Row],[Salidas]]</f>
        <v>0</v>
      </c>
      <c r="M613" s="54">
        <f>STOCK[[#This Row],[Precio Final]]*10%</f>
        <v>1</v>
      </c>
      <c r="N613" s="54">
        <v>-5.88</v>
      </c>
      <c r="O613" s="54">
        <v>11.76</v>
      </c>
      <c r="P613" s="54">
        <v>4.17</v>
      </c>
      <c r="Q613" s="70">
        <v>0</v>
      </c>
      <c r="R613" s="54">
        <v>0</v>
      </c>
      <c r="S613" s="54">
        <v>1</v>
      </c>
      <c r="T613" s="53">
        <f>STOCK[[#This Row],[Costo Unitario (USD)]]+STOCK[[#This Row],[Costo Envío (USD)]]+STOCK[[#This Row],[Comisión 10%]]</f>
        <v>6.17</v>
      </c>
      <c r="U613" s="54">
        <f>STOCK[[#This Row],[Costo total]]*1.5</f>
        <v>9.254999999999999</v>
      </c>
      <c r="V613" s="54">
        <v>10</v>
      </c>
      <c r="W613" s="54">
        <f>STOCK[[#This Row],[Precio Final]]-STOCK[[#This Row],[Costo total]]</f>
        <v>3.83</v>
      </c>
      <c r="X613" s="54">
        <f>STOCK[[#This Row],[Ganancia Unitaria]]*STOCK[[#This Row],[Salidas]]</f>
        <v>11.49</v>
      </c>
      <c r="Y613" s="54" t="s">
        <v>1159</v>
      </c>
      <c r="AA613" s="54">
        <f>STOCK[[#This Row],[Costo total]]*STOCK[[#This Row],[Entradas]]</f>
        <v>18.509999999999998</v>
      </c>
      <c r="AB613" s="54">
        <f>STOCK[[#This Row],[Stock Actual]]*STOCK[[#This Row],[Costo total]]</f>
        <v>0</v>
      </c>
    </row>
    <row r="614" spans="1:28" s="53" customFormat="1" ht="50" customHeight="1">
      <c r="A614" s="53" t="s">
        <v>1241</v>
      </c>
      <c r="B614" s="64"/>
      <c r="C614" s="53" t="s">
        <v>32</v>
      </c>
      <c r="D614" s="53" t="s">
        <v>351</v>
      </c>
      <c r="E614" s="65" t="s">
        <v>1242</v>
      </c>
      <c r="F614" s="53" t="s">
        <v>525</v>
      </c>
      <c r="G614" s="53" t="s">
        <v>36</v>
      </c>
      <c r="H614" s="53">
        <f>STOCK[[#This Row],[Precio Final]]</f>
        <v>12</v>
      </c>
      <c r="I614" s="53">
        <f>STOCK[[#This Row],[Precio Venta Ideal (x1.5)]]</f>
        <v>8.7149999999999999</v>
      </c>
      <c r="J614" s="69">
        <v>3</v>
      </c>
      <c r="K614" s="69">
        <f>SUMIFS(VENTAS[Cantidad],VENTAS[Código del producto Vendido],STOCK[[#This Row],[Code]])</f>
        <v>3</v>
      </c>
      <c r="L614" s="69">
        <f>STOCK[[#This Row],[Entradas]]-STOCK[[#This Row],[Salidas]]</f>
        <v>0</v>
      </c>
      <c r="M614" s="53">
        <f>STOCK[[#This Row],[Precio Final]]*10%</f>
        <v>1.2000000000000002</v>
      </c>
      <c r="N614" s="53">
        <v>-16.010000000000002</v>
      </c>
      <c r="O614" s="53">
        <v>0</v>
      </c>
      <c r="P614" s="53">
        <v>3.61</v>
      </c>
      <c r="Q614" s="69">
        <v>0</v>
      </c>
      <c r="R614" s="53">
        <v>0</v>
      </c>
      <c r="S614" s="53">
        <v>1</v>
      </c>
      <c r="T614" s="53">
        <f>STOCK[[#This Row],[Costo Unitario (USD)]]+STOCK[[#This Row],[Costo Envío (USD)]]+STOCK[[#This Row],[Comisión 10%]]</f>
        <v>5.81</v>
      </c>
      <c r="U614" s="53">
        <f>STOCK[[#This Row],[Costo total]]*1.5</f>
        <v>8.7149999999999999</v>
      </c>
      <c r="V614" s="53">
        <v>12</v>
      </c>
      <c r="W614" s="53">
        <f>STOCK[[#This Row],[Precio Final]]-STOCK[[#This Row],[Costo total]]</f>
        <v>6.19</v>
      </c>
      <c r="X614" s="53">
        <f>STOCK[[#This Row],[Ganancia Unitaria]]*STOCK[[#This Row],[Salidas]]</f>
        <v>18.57</v>
      </c>
      <c r="Y614" s="53" t="s">
        <v>1159</v>
      </c>
      <c r="AA614" s="53">
        <f>STOCK[[#This Row],[Costo total]]*STOCK[[#This Row],[Entradas]]</f>
        <v>17.43</v>
      </c>
      <c r="AB614" s="53">
        <f>STOCK[[#This Row],[Stock Actual]]*STOCK[[#This Row],[Costo total]]</f>
        <v>0</v>
      </c>
    </row>
    <row r="615" spans="1:28" s="54" customFormat="1" ht="50" customHeight="1">
      <c r="A615" s="54" t="s">
        <v>1243</v>
      </c>
      <c r="B615" s="64"/>
      <c r="C615" s="54" t="s">
        <v>32</v>
      </c>
      <c r="D615" s="54" t="s">
        <v>351</v>
      </c>
      <c r="E615" s="66" t="s">
        <v>1239</v>
      </c>
      <c r="F615" s="54" t="s">
        <v>525</v>
      </c>
      <c r="G615" s="54" t="s">
        <v>36</v>
      </c>
      <c r="H615" s="54">
        <f>STOCK[[#This Row],[Precio Final]]</f>
        <v>10</v>
      </c>
      <c r="I615" s="54">
        <f>STOCK[[#This Row],[Precio Venta Ideal (x1.5)]]</f>
        <v>7.6349999999999998</v>
      </c>
      <c r="J615" s="70">
        <v>4</v>
      </c>
      <c r="K615" s="70">
        <f>SUMIFS(VENTAS[Cantidad],VENTAS[Código del producto Vendido],STOCK[[#This Row],[Code]])</f>
        <v>2</v>
      </c>
      <c r="L615" s="70">
        <f>STOCK[[#This Row],[Entradas]]-STOCK[[#This Row],[Salidas]]</f>
        <v>2</v>
      </c>
      <c r="M615" s="54">
        <f>STOCK[[#This Row],[Precio Final]]*10%</f>
        <v>1</v>
      </c>
      <c r="N615" s="54">
        <v>-4.79</v>
      </c>
      <c r="O615" s="54">
        <v>14.37</v>
      </c>
      <c r="P615" s="54">
        <v>3.09</v>
      </c>
      <c r="Q615" s="70">
        <v>0</v>
      </c>
      <c r="R615" s="54">
        <v>0</v>
      </c>
      <c r="S615" s="54">
        <v>1</v>
      </c>
      <c r="T615" s="53">
        <f>STOCK[[#This Row],[Costo Unitario (USD)]]+STOCK[[#This Row],[Costo Envío (USD)]]+STOCK[[#This Row],[Comisión 10%]]</f>
        <v>5.09</v>
      </c>
      <c r="U615" s="54">
        <f>STOCK[[#This Row],[Costo total]]*1.5</f>
        <v>7.6349999999999998</v>
      </c>
      <c r="V615" s="54">
        <v>10</v>
      </c>
      <c r="W615" s="54">
        <f>STOCK[[#This Row],[Precio Final]]-STOCK[[#This Row],[Costo total]]</f>
        <v>4.91</v>
      </c>
      <c r="X615" s="54">
        <f>STOCK[[#This Row],[Ganancia Unitaria]]*STOCK[[#This Row],[Salidas]]</f>
        <v>9.82</v>
      </c>
      <c r="Y615" s="54" t="s">
        <v>1159</v>
      </c>
      <c r="AA615" s="54">
        <f>STOCK[[#This Row],[Costo total]]*STOCK[[#This Row],[Entradas]]</f>
        <v>20.36</v>
      </c>
      <c r="AB615" s="54">
        <f>STOCK[[#This Row],[Stock Actual]]*STOCK[[#This Row],[Costo total]]</f>
        <v>10.18</v>
      </c>
    </row>
    <row r="616" spans="1:28" s="53" customFormat="1" ht="50" customHeight="1">
      <c r="A616" s="53" t="s">
        <v>1244</v>
      </c>
      <c r="B616" s="64"/>
      <c r="C616" s="53" t="s">
        <v>32</v>
      </c>
      <c r="D616" s="53" t="s">
        <v>152</v>
      </c>
      <c r="E616" s="65" t="s">
        <v>1245</v>
      </c>
      <c r="F616" s="53" t="s">
        <v>1246</v>
      </c>
      <c r="G616" s="53" t="s">
        <v>36</v>
      </c>
      <c r="H616" s="53">
        <f>STOCK[[#This Row],[Precio Final]]</f>
        <v>25</v>
      </c>
      <c r="I616" s="53">
        <f>STOCK[[#This Row],[Precio Venta Ideal (x1.5)]]</f>
        <v>34.92</v>
      </c>
      <c r="J616" s="69">
        <v>2</v>
      </c>
      <c r="K616" s="69">
        <f>SUMIFS(VENTAS[Cantidad],VENTAS[Código del producto Vendido],STOCK[[#This Row],[Code]])</f>
        <v>2</v>
      </c>
      <c r="L616" s="69">
        <f>STOCK[[#This Row],[Entradas]]-STOCK[[#This Row],[Salidas]]</f>
        <v>0</v>
      </c>
      <c r="M616" s="53">
        <f>STOCK[[#This Row],[Precio Final]]*10%</f>
        <v>2.5</v>
      </c>
      <c r="N616" s="53">
        <v>-20.149999999999999</v>
      </c>
      <c r="O616" s="53">
        <v>20.149999999999999</v>
      </c>
      <c r="P616" s="53">
        <v>15.78</v>
      </c>
      <c r="Q616" s="69">
        <v>0</v>
      </c>
      <c r="R616" s="53">
        <v>0</v>
      </c>
      <c r="S616" s="53">
        <v>5</v>
      </c>
      <c r="T616" s="53">
        <f>STOCK[[#This Row],[Costo Unitario (USD)]]+STOCK[[#This Row],[Costo Envío (USD)]]+STOCK[[#This Row],[Comisión 10%]]</f>
        <v>23.28</v>
      </c>
      <c r="U616" s="53">
        <f>STOCK[[#This Row],[Costo total]]*1.5</f>
        <v>34.92</v>
      </c>
      <c r="V616" s="53">
        <v>25</v>
      </c>
      <c r="W616" s="53">
        <f>STOCK[[#This Row],[Precio Final]]-STOCK[[#This Row],[Costo total]]</f>
        <v>1.7199999999999989</v>
      </c>
      <c r="X616" s="53">
        <f>STOCK[[#This Row],[Ganancia Unitaria]]*STOCK[[#This Row],[Salidas]]</f>
        <v>3.4399999999999977</v>
      </c>
      <c r="Y616" s="53" t="s">
        <v>1159</v>
      </c>
      <c r="AA616" s="53">
        <f>STOCK[[#This Row],[Costo total]]*STOCK[[#This Row],[Entradas]]</f>
        <v>46.56</v>
      </c>
      <c r="AB616" s="53">
        <f>STOCK[[#This Row],[Stock Actual]]*STOCK[[#This Row],[Costo total]]</f>
        <v>0</v>
      </c>
    </row>
    <row r="617" spans="1:28" s="54" customFormat="1" ht="50" customHeight="1">
      <c r="A617" s="54" t="s">
        <v>1247</v>
      </c>
      <c r="B617" s="64"/>
      <c r="C617" s="54" t="s">
        <v>32</v>
      </c>
      <c r="D617" s="54" t="s">
        <v>1074</v>
      </c>
      <c r="E617" s="66" t="s">
        <v>1248</v>
      </c>
      <c r="G617" s="54" t="s">
        <v>36</v>
      </c>
      <c r="H617" s="54">
        <f>STOCK[[#This Row],[Precio Final]]</f>
        <v>18</v>
      </c>
      <c r="I617" s="54">
        <f>STOCK[[#This Row],[Precio Venta Ideal (x1.5)]]</f>
        <v>27.089999999999996</v>
      </c>
      <c r="J617" s="70">
        <v>0</v>
      </c>
      <c r="K617" s="70">
        <f>SUMIFS(VENTAS[Cantidad],VENTAS[Código del producto Vendido],STOCK[[#This Row],[Code]])</f>
        <v>0</v>
      </c>
      <c r="L617" s="70">
        <f>STOCK[[#This Row],[Entradas]]-STOCK[[#This Row],[Salidas]]</f>
        <v>0</v>
      </c>
      <c r="M617" s="54">
        <f>STOCK[[#This Row],[Precio Final]]*10%</f>
        <v>1.8</v>
      </c>
      <c r="N617" s="54">
        <v>0</v>
      </c>
      <c r="O617" s="54">
        <v>0</v>
      </c>
      <c r="P617" s="54">
        <v>13.26</v>
      </c>
      <c r="Q617" s="70">
        <v>0</v>
      </c>
      <c r="R617" s="54">
        <v>0</v>
      </c>
      <c r="S617" s="54">
        <v>3</v>
      </c>
      <c r="T617" s="53">
        <f>STOCK[[#This Row],[Costo Unitario (USD)]]+STOCK[[#This Row],[Costo Envío (USD)]]+STOCK[[#This Row],[Comisión 10%]]</f>
        <v>18.059999999999999</v>
      </c>
      <c r="U617" s="54">
        <f>STOCK[[#This Row],[Costo total]]*1.5</f>
        <v>27.089999999999996</v>
      </c>
      <c r="V617" s="54">
        <v>18</v>
      </c>
      <c r="W617" s="54">
        <f>STOCK[[#This Row],[Precio Final]]-STOCK[[#This Row],[Costo total]]</f>
        <v>-5.9999999999998721E-2</v>
      </c>
      <c r="X617" s="54">
        <f>STOCK[[#This Row],[Ganancia Unitaria]]*STOCK[[#This Row],[Salidas]]</f>
        <v>0</v>
      </c>
      <c r="Y617" s="54" t="s">
        <v>1159</v>
      </c>
      <c r="AA617" s="54">
        <f>STOCK[[#This Row],[Costo total]]*STOCK[[#This Row],[Entradas]]</f>
        <v>0</v>
      </c>
      <c r="AB617" s="54">
        <f>STOCK[[#This Row],[Stock Actual]]*STOCK[[#This Row],[Costo total]]</f>
        <v>0</v>
      </c>
    </row>
    <row r="618" spans="1:28" s="53" customFormat="1" ht="50" customHeight="1">
      <c r="A618" s="53" t="s">
        <v>1249</v>
      </c>
      <c r="B618" s="64"/>
      <c r="C618" s="53" t="s">
        <v>32</v>
      </c>
      <c r="D618" s="53" t="s">
        <v>1074</v>
      </c>
      <c r="E618" s="65" t="s">
        <v>1250</v>
      </c>
      <c r="G618" s="53" t="s">
        <v>36</v>
      </c>
      <c r="H618" s="53">
        <f>STOCK[[#This Row],[Precio Final]]</f>
        <v>18</v>
      </c>
      <c r="I618" s="53">
        <f>STOCK[[#This Row],[Precio Venta Ideal (x1.5)]]</f>
        <v>27.629999999999995</v>
      </c>
      <c r="J618" s="69">
        <v>0</v>
      </c>
      <c r="K618" s="69">
        <f>SUMIFS(VENTAS[Cantidad],VENTAS[Código del producto Vendido],STOCK[[#This Row],[Code]])</f>
        <v>0</v>
      </c>
      <c r="L618" s="69">
        <f>STOCK[[#This Row],[Entradas]]-STOCK[[#This Row],[Salidas]]</f>
        <v>0</v>
      </c>
      <c r="M618" s="53">
        <f>STOCK[[#This Row],[Precio Final]]*10%</f>
        <v>1.8</v>
      </c>
      <c r="N618" s="53">
        <v>0</v>
      </c>
      <c r="O618" s="53">
        <v>0</v>
      </c>
      <c r="P618" s="53">
        <v>13.62</v>
      </c>
      <c r="Q618" s="69">
        <v>0</v>
      </c>
      <c r="R618" s="53">
        <v>0</v>
      </c>
      <c r="S618" s="53">
        <v>3</v>
      </c>
      <c r="T618" s="53">
        <f>STOCK[[#This Row],[Costo Unitario (USD)]]+STOCK[[#This Row],[Costo Envío (USD)]]+STOCK[[#This Row],[Comisión 10%]]</f>
        <v>18.419999999999998</v>
      </c>
      <c r="U618" s="53">
        <f>STOCK[[#This Row],[Costo total]]*1.5</f>
        <v>27.629999999999995</v>
      </c>
      <c r="V618" s="53">
        <v>18</v>
      </c>
      <c r="W618" s="53">
        <f>STOCK[[#This Row],[Precio Final]]-STOCK[[#This Row],[Costo total]]</f>
        <v>-0.41999999999999815</v>
      </c>
      <c r="X618" s="53">
        <f>STOCK[[#This Row],[Ganancia Unitaria]]*STOCK[[#This Row],[Salidas]]</f>
        <v>0</v>
      </c>
      <c r="Y618" s="53" t="s">
        <v>1159</v>
      </c>
      <c r="AA618" s="53">
        <f>STOCK[[#This Row],[Costo total]]*STOCK[[#This Row],[Entradas]]</f>
        <v>0</v>
      </c>
      <c r="AB618" s="53">
        <f>STOCK[[#This Row],[Stock Actual]]*STOCK[[#This Row],[Costo total]]</f>
        <v>0</v>
      </c>
    </row>
    <row r="619" spans="1:28" s="54" customFormat="1" ht="50" customHeight="1">
      <c r="A619" s="54" t="s">
        <v>1251</v>
      </c>
      <c r="B619" s="64"/>
      <c r="C619" s="54" t="s">
        <v>32</v>
      </c>
      <c r="D619" s="54" t="s">
        <v>1074</v>
      </c>
      <c r="E619" s="66" t="s">
        <v>1252</v>
      </c>
      <c r="F619" s="54" t="s">
        <v>49</v>
      </c>
      <c r="G619" s="54" t="s">
        <v>36</v>
      </c>
      <c r="H619" s="54">
        <f>STOCK[[#This Row],[Precio Final]]</f>
        <v>18</v>
      </c>
      <c r="I619" s="54">
        <f>STOCK[[#This Row],[Precio Venta Ideal (x1.5)]]</f>
        <v>24.57</v>
      </c>
      <c r="J619" s="70">
        <v>0</v>
      </c>
      <c r="K619" s="70">
        <f>SUMIFS(VENTAS[Cantidad],VENTAS[Código del producto Vendido],STOCK[[#This Row],[Code]])</f>
        <v>0</v>
      </c>
      <c r="L619" s="70">
        <f>STOCK[[#This Row],[Entradas]]-STOCK[[#This Row],[Salidas]]</f>
        <v>0</v>
      </c>
      <c r="M619" s="54">
        <f>STOCK[[#This Row],[Precio Final]]*10%</f>
        <v>1.8</v>
      </c>
      <c r="N619" s="54">
        <v>0</v>
      </c>
      <c r="O619" s="54">
        <v>0</v>
      </c>
      <c r="P619" s="54">
        <v>11.58</v>
      </c>
      <c r="Q619" s="70">
        <v>0</v>
      </c>
      <c r="R619" s="54">
        <v>0</v>
      </c>
      <c r="S619" s="54">
        <v>3</v>
      </c>
      <c r="T619" s="53">
        <f>STOCK[[#This Row],[Costo Unitario (USD)]]+STOCK[[#This Row],[Costo Envío (USD)]]+STOCK[[#This Row],[Comisión 10%]]</f>
        <v>16.38</v>
      </c>
      <c r="U619" s="54">
        <f>STOCK[[#This Row],[Costo total]]*1.5</f>
        <v>24.57</v>
      </c>
      <c r="V619" s="54">
        <v>18</v>
      </c>
      <c r="W619" s="54">
        <f>STOCK[[#This Row],[Precio Final]]-STOCK[[#This Row],[Costo total]]</f>
        <v>1.620000000000001</v>
      </c>
      <c r="X619" s="54">
        <f>STOCK[[#This Row],[Ganancia Unitaria]]*STOCK[[#This Row],[Salidas]]</f>
        <v>0</v>
      </c>
      <c r="Y619" s="54" t="s">
        <v>1159</v>
      </c>
      <c r="AA619" s="54">
        <f>STOCK[[#This Row],[Costo total]]*STOCK[[#This Row],[Entradas]]</f>
        <v>0</v>
      </c>
      <c r="AB619" s="54">
        <f>STOCK[[#This Row],[Stock Actual]]*STOCK[[#This Row],[Costo total]]</f>
        <v>0</v>
      </c>
    </row>
    <row r="620" spans="1:28" s="53" customFormat="1" ht="50" customHeight="1">
      <c r="A620" s="53" t="s">
        <v>1253</v>
      </c>
      <c r="B620" s="64"/>
      <c r="C620" s="53" t="s">
        <v>32</v>
      </c>
      <c r="D620" s="53" t="s">
        <v>152</v>
      </c>
      <c r="E620" s="65" t="s">
        <v>1254</v>
      </c>
      <c r="F620" s="53" t="s">
        <v>49</v>
      </c>
      <c r="G620" s="53" t="s">
        <v>36</v>
      </c>
      <c r="H620" s="53">
        <f>STOCK[[#This Row],[Precio Final]]</f>
        <v>25</v>
      </c>
      <c r="I620" s="53">
        <f>STOCK[[#This Row],[Precio Venta Ideal (x1.5)]]</f>
        <v>31.200000000000003</v>
      </c>
      <c r="J620" s="69">
        <v>1</v>
      </c>
      <c r="K620" s="69">
        <f>SUMIFS(VENTAS[Cantidad],VENTAS[Código del producto Vendido],STOCK[[#This Row],[Code]])</f>
        <v>1</v>
      </c>
      <c r="L620" s="69">
        <f>STOCK[[#This Row],[Entradas]]-STOCK[[#This Row],[Salidas]]</f>
        <v>0</v>
      </c>
      <c r="M620" s="53">
        <f>STOCK[[#This Row],[Precio Final]]*10%</f>
        <v>2.5</v>
      </c>
      <c r="N620" s="53">
        <v>-18.52</v>
      </c>
      <c r="O620" s="53">
        <v>0</v>
      </c>
      <c r="P620" s="53">
        <v>13.3</v>
      </c>
      <c r="Q620" s="69">
        <v>0</v>
      </c>
      <c r="R620" s="53">
        <v>0</v>
      </c>
      <c r="S620" s="53">
        <v>5</v>
      </c>
      <c r="T620" s="53">
        <f>STOCK[[#This Row],[Costo Unitario (USD)]]+STOCK[[#This Row],[Costo Envío (USD)]]+STOCK[[#This Row],[Comisión 10%]]</f>
        <v>20.8</v>
      </c>
      <c r="U620" s="53">
        <f>STOCK[[#This Row],[Costo total]]*1.5</f>
        <v>31.200000000000003</v>
      </c>
      <c r="V620" s="53">
        <v>25</v>
      </c>
      <c r="W620" s="53">
        <f>STOCK[[#This Row],[Precio Final]]-STOCK[[#This Row],[Costo total]]</f>
        <v>4.1999999999999993</v>
      </c>
      <c r="X620" s="53">
        <f>STOCK[[#This Row],[Ganancia Unitaria]]*STOCK[[#This Row],[Salidas]]</f>
        <v>4.1999999999999993</v>
      </c>
      <c r="Y620" s="53" t="s">
        <v>1159</v>
      </c>
      <c r="AA620" s="53">
        <f>STOCK[[#This Row],[Costo total]]*STOCK[[#This Row],[Entradas]]</f>
        <v>20.8</v>
      </c>
      <c r="AB620" s="53">
        <f>STOCK[[#This Row],[Stock Actual]]*STOCK[[#This Row],[Costo total]]</f>
        <v>0</v>
      </c>
    </row>
    <row r="621" spans="1:28" s="54" customFormat="1" ht="50" customHeight="1">
      <c r="A621" s="54" t="s">
        <v>1255</v>
      </c>
      <c r="B621" s="64"/>
      <c r="C621" s="54" t="s">
        <v>32</v>
      </c>
      <c r="D621" s="54" t="s">
        <v>152</v>
      </c>
      <c r="E621" s="66" t="s">
        <v>1254</v>
      </c>
      <c r="F621" s="54" t="s">
        <v>46</v>
      </c>
      <c r="G621" s="54" t="s">
        <v>36</v>
      </c>
      <c r="H621" s="54">
        <f>STOCK[[#This Row],[Precio Final]]</f>
        <v>25</v>
      </c>
      <c r="I621" s="54">
        <f>STOCK[[#This Row],[Precio Venta Ideal (x1.5)]]</f>
        <v>31.200000000000003</v>
      </c>
      <c r="J621" s="70">
        <v>1</v>
      </c>
      <c r="K621" s="70">
        <f>SUMIFS(VENTAS[Cantidad],VENTAS[Código del producto Vendido],STOCK[[#This Row],[Code]])</f>
        <v>1</v>
      </c>
      <c r="L621" s="70">
        <f>STOCK[[#This Row],[Entradas]]-STOCK[[#This Row],[Salidas]]</f>
        <v>0</v>
      </c>
      <c r="M621" s="54">
        <f>STOCK[[#This Row],[Precio Final]]*10%</f>
        <v>2.5</v>
      </c>
      <c r="N621" s="54">
        <v>-18.52</v>
      </c>
      <c r="O621" s="54">
        <v>0</v>
      </c>
      <c r="P621" s="54">
        <v>13.3</v>
      </c>
      <c r="Q621" s="70">
        <v>0</v>
      </c>
      <c r="R621" s="54">
        <v>0</v>
      </c>
      <c r="S621" s="54">
        <v>5</v>
      </c>
      <c r="T621" s="53">
        <f>STOCK[[#This Row],[Costo Unitario (USD)]]+STOCK[[#This Row],[Costo Envío (USD)]]+STOCK[[#This Row],[Comisión 10%]]</f>
        <v>20.8</v>
      </c>
      <c r="U621" s="54">
        <f>STOCK[[#This Row],[Costo total]]*1.5</f>
        <v>31.200000000000003</v>
      </c>
      <c r="V621" s="54">
        <v>25</v>
      </c>
      <c r="W621" s="54">
        <f>STOCK[[#This Row],[Precio Final]]-STOCK[[#This Row],[Costo total]]</f>
        <v>4.1999999999999993</v>
      </c>
      <c r="X621" s="54">
        <f>STOCK[[#This Row],[Ganancia Unitaria]]*STOCK[[#This Row],[Salidas]]</f>
        <v>4.1999999999999993</v>
      </c>
      <c r="Y621" s="54" t="s">
        <v>1159</v>
      </c>
      <c r="AA621" s="54">
        <f>STOCK[[#This Row],[Costo total]]*STOCK[[#This Row],[Entradas]]</f>
        <v>20.8</v>
      </c>
      <c r="AB621" s="54">
        <f>STOCK[[#This Row],[Stock Actual]]*STOCK[[#This Row],[Costo total]]</f>
        <v>0</v>
      </c>
    </row>
    <row r="622" spans="1:28" s="53" customFormat="1" ht="50" customHeight="1">
      <c r="A622" s="53" t="s">
        <v>1256</v>
      </c>
      <c r="B622" s="64"/>
      <c r="C622" s="53" t="s">
        <v>32</v>
      </c>
      <c r="D622" s="53" t="s">
        <v>152</v>
      </c>
      <c r="E622" s="65" t="s">
        <v>1254</v>
      </c>
      <c r="F622" s="53" t="s">
        <v>49</v>
      </c>
      <c r="G622" s="53" t="s">
        <v>36</v>
      </c>
      <c r="H622" s="53">
        <f>STOCK[[#This Row],[Precio Final]]</f>
        <v>25</v>
      </c>
      <c r="I622" s="53">
        <f>STOCK[[#This Row],[Precio Venta Ideal (x1.5)]]</f>
        <v>31.200000000000003</v>
      </c>
      <c r="J622" s="69">
        <v>1</v>
      </c>
      <c r="K622" s="69">
        <f>SUMIFS(VENTAS[Cantidad],VENTAS[Código del producto Vendido],STOCK[[#This Row],[Code]])</f>
        <v>1</v>
      </c>
      <c r="L622" s="69">
        <f>STOCK[[#This Row],[Entradas]]-STOCK[[#This Row],[Salidas]]</f>
        <v>0</v>
      </c>
      <c r="M622" s="53">
        <f>STOCK[[#This Row],[Precio Final]]*10%</f>
        <v>2.5</v>
      </c>
      <c r="N622" s="53">
        <v>-18.52</v>
      </c>
      <c r="O622" s="53">
        <v>0</v>
      </c>
      <c r="P622" s="53">
        <v>13.3</v>
      </c>
      <c r="Q622" s="69">
        <v>0</v>
      </c>
      <c r="R622" s="53">
        <v>0</v>
      </c>
      <c r="S622" s="53">
        <v>5</v>
      </c>
      <c r="T622" s="53">
        <f>STOCK[[#This Row],[Costo Unitario (USD)]]+STOCK[[#This Row],[Costo Envío (USD)]]+STOCK[[#This Row],[Comisión 10%]]</f>
        <v>20.8</v>
      </c>
      <c r="U622" s="53">
        <f>STOCK[[#This Row],[Costo total]]*1.5</f>
        <v>31.200000000000003</v>
      </c>
      <c r="V622" s="53">
        <v>25</v>
      </c>
      <c r="W622" s="53">
        <f>STOCK[[#This Row],[Precio Final]]-STOCK[[#This Row],[Costo total]]</f>
        <v>4.1999999999999993</v>
      </c>
      <c r="X622" s="53">
        <f>STOCK[[#This Row],[Ganancia Unitaria]]*STOCK[[#This Row],[Salidas]]</f>
        <v>4.1999999999999993</v>
      </c>
      <c r="Y622" s="53" t="s">
        <v>1159</v>
      </c>
      <c r="AA622" s="53">
        <f>STOCK[[#This Row],[Costo total]]*STOCK[[#This Row],[Entradas]]</f>
        <v>20.8</v>
      </c>
      <c r="AB622" s="53">
        <f>STOCK[[#This Row],[Stock Actual]]*STOCK[[#This Row],[Costo total]]</f>
        <v>0</v>
      </c>
    </row>
    <row r="623" spans="1:28" s="54" customFormat="1" ht="50" customHeight="1">
      <c r="A623" s="54" t="s">
        <v>1257</v>
      </c>
      <c r="B623" s="64"/>
      <c r="C623" s="54" t="s">
        <v>32</v>
      </c>
      <c r="D623" s="54" t="s">
        <v>44</v>
      </c>
      <c r="E623" s="66" t="s">
        <v>1258</v>
      </c>
      <c r="F623" s="54" t="s">
        <v>49</v>
      </c>
      <c r="G623" s="54" t="s">
        <v>36</v>
      </c>
      <c r="H623" s="54">
        <f>STOCK[[#This Row],[Precio Final]]</f>
        <v>35</v>
      </c>
      <c r="I623" s="54">
        <f>STOCK[[#This Row],[Precio Venta Ideal (x1.5)]]</f>
        <v>40.380000000000003</v>
      </c>
      <c r="J623" s="70">
        <v>1</v>
      </c>
      <c r="K623" s="70">
        <f>SUMIFS(VENTAS[Cantidad],VENTAS[Código del producto Vendido],STOCK[[#This Row],[Code]])</f>
        <v>1</v>
      </c>
      <c r="L623" s="70">
        <f>STOCK[[#This Row],[Entradas]]-STOCK[[#This Row],[Salidas]]</f>
        <v>0</v>
      </c>
      <c r="M623" s="54">
        <f>STOCK[[#This Row],[Precio Final]]*10%</f>
        <v>3.5</v>
      </c>
      <c r="N623" s="54">
        <v>-25.28</v>
      </c>
      <c r="O623" s="54">
        <v>0</v>
      </c>
      <c r="P623" s="54">
        <v>18.420000000000002</v>
      </c>
      <c r="Q623" s="70">
        <v>0</v>
      </c>
      <c r="R623" s="54">
        <v>0</v>
      </c>
      <c r="S623" s="54">
        <v>5</v>
      </c>
      <c r="T623" s="53">
        <f>STOCK[[#This Row],[Costo Unitario (USD)]]+STOCK[[#This Row],[Costo Envío (USD)]]+STOCK[[#This Row],[Comisión 10%]]</f>
        <v>26.92</v>
      </c>
      <c r="U623" s="54">
        <f>STOCK[[#This Row],[Costo total]]*1.5</f>
        <v>40.380000000000003</v>
      </c>
      <c r="V623" s="54">
        <v>35</v>
      </c>
      <c r="W623" s="54">
        <f>STOCK[[#This Row],[Precio Final]]-STOCK[[#This Row],[Costo total]]</f>
        <v>8.0799999999999983</v>
      </c>
      <c r="X623" s="54">
        <f>STOCK[[#This Row],[Ganancia Unitaria]]*STOCK[[#This Row],[Salidas]]</f>
        <v>8.0799999999999983</v>
      </c>
      <c r="Y623" s="54" t="s">
        <v>1159</v>
      </c>
      <c r="AA623" s="54">
        <f>STOCK[[#This Row],[Costo total]]*STOCK[[#This Row],[Entradas]]</f>
        <v>26.92</v>
      </c>
      <c r="AB623" s="54">
        <f>STOCK[[#This Row],[Stock Actual]]*STOCK[[#This Row],[Costo total]]</f>
        <v>0</v>
      </c>
    </row>
    <row r="624" spans="1:28" s="53" customFormat="1" ht="50" customHeight="1">
      <c r="A624" s="53" t="s">
        <v>1259</v>
      </c>
      <c r="B624" s="64"/>
      <c r="C624" s="53" t="s">
        <v>32</v>
      </c>
      <c r="D624" s="53" t="s">
        <v>1013</v>
      </c>
      <c r="E624" s="65" t="s">
        <v>1260</v>
      </c>
      <c r="F624" s="53" t="s">
        <v>1261</v>
      </c>
      <c r="G624" s="53" t="s">
        <v>36</v>
      </c>
      <c r="H624" s="53">
        <f>STOCK[[#This Row],[Precio Final]]</f>
        <v>35</v>
      </c>
      <c r="I624" s="53">
        <f>STOCK[[#This Row],[Precio Venta Ideal (x1.5)]]</f>
        <v>41.174999999999997</v>
      </c>
      <c r="J624" s="69">
        <v>3</v>
      </c>
      <c r="K624" s="69">
        <f>SUMIFS(VENTAS[Cantidad],VENTAS[Código del producto Vendido],STOCK[[#This Row],[Code]])</f>
        <v>3</v>
      </c>
      <c r="L624" s="69">
        <f>STOCK[[#This Row],[Entradas]]-STOCK[[#This Row],[Salidas]]</f>
        <v>0</v>
      </c>
      <c r="M624" s="53">
        <f>STOCK[[#This Row],[Precio Final]]*10%</f>
        <v>3.5</v>
      </c>
      <c r="N624" s="53">
        <v>0</v>
      </c>
      <c r="O624" s="53">
        <v>49.6</v>
      </c>
      <c r="P624" s="53">
        <v>17.95</v>
      </c>
      <c r="Q624" s="69">
        <v>0</v>
      </c>
      <c r="R624" s="53">
        <v>0</v>
      </c>
      <c r="S624" s="53">
        <v>6</v>
      </c>
      <c r="T624" s="53">
        <f>STOCK[[#This Row],[Costo Unitario (USD)]]+STOCK[[#This Row],[Costo Envío (USD)]]+STOCK[[#This Row],[Comisión 10%]]</f>
        <v>27.45</v>
      </c>
      <c r="U624" s="53">
        <f>STOCK[[#This Row],[Costo total]]*1.5</f>
        <v>41.174999999999997</v>
      </c>
      <c r="V624" s="53">
        <v>35</v>
      </c>
      <c r="W624" s="53">
        <f>STOCK[[#This Row],[Precio Final]]-STOCK[[#This Row],[Costo total]]</f>
        <v>7.5500000000000007</v>
      </c>
      <c r="X624" s="53">
        <f>STOCK[[#This Row],[Ganancia Unitaria]]*STOCK[[#This Row],[Salidas]]</f>
        <v>22.650000000000002</v>
      </c>
      <c r="Y624" s="53" t="s">
        <v>1159</v>
      </c>
      <c r="AA624" s="53">
        <f>STOCK[[#This Row],[Costo total]]*STOCK[[#This Row],[Entradas]]</f>
        <v>82.35</v>
      </c>
      <c r="AB624" s="53">
        <f>STOCK[[#This Row],[Stock Actual]]*STOCK[[#This Row],[Costo total]]</f>
        <v>0</v>
      </c>
    </row>
    <row r="625" spans="1:28" s="54" customFormat="1" ht="50" customHeight="1">
      <c r="A625" s="54" t="s">
        <v>1262</v>
      </c>
      <c r="B625" s="64"/>
      <c r="C625" s="54" t="s">
        <v>32</v>
      </c>
      <c r="D625" s="54" t="s">
        <v>44</v>
      </c>
      <c r="E625" s="66" t="s">
        <v>1263</v>
      </c>
      <c r="F625" s="54" t="s">
        <v>46</v>
      </c>
      <c r="G625" s="54" t="s">
        <v>36</v>
      </c>
      <c r="H625" s="54">
        <f>STOCK[[#This Row],[Precio Final]]</f>
        <v>35</v>
      </c>
      <c r="I625" s="54">
        <f>STOCK[[#This Row],[Precio Venta Ideal (x1.5)]]</f>
        <v>41.174999999999997</v>
      </c>
      <c r="J625" s="70">
        <v>2</v>
      </c>
      <c r="K625" s="70">
        <f>SUMIFS(VENTAS[Cantidad],VENTAS[Código del producto Vendido],STOCK[[#This Row],[Code]])</f>
        <v>2</v>
      </c>
      <c r="L625" s="70">
        <f>STOCK[[#This Row],[Entradas]]-STOCK[[#This Row],[Salidas]]</f>
        <v>0</v>
      </c>
      <c r="M625" s="54">
        <f>STOCK[[#This Row],[Precio Final]]*10%</f>
        <v>3.5</v>
      </c>
      <c r="N625" s="54">
        <v>-49.6</v>
      </c>
      <c r="O625" s="54">
        <v>0</v>
      </c>
      <c r="P625" s="54">
        <v>17.95</v>
      </c>
      <c r="Q625" s="70">
        <v>0</v>
      </c>
      <c r="R625" s="54">
        <v>0</v>
      </c>
      <c r="S625" s="54">
        <v>6</v>
      </c>
      <c r="T625" s="53">
        <f>STOCK[[#This Row],[Costo Unitario (USD)]]+STOCK[[#This Row],[Costo Envío (USD)]]+STOCK[[#This Row],[Comisión 10%]]</f>
        <v>27.45</v>
      </c>
      <c r="U625" s="54">
        <f>STOCK[[#This Row],[Costo total]]*1.5</f>
        <v>41.174999999999997</v>
      </c>
      <c r="V625" s="54">
        <v>35</v>
      </c>
      <c r="W625" s="54">
        <f>STOCK[[#This Row],[Precio Final]]-STOCK[[#This Row],[Costo total]]</f>
        <v>7.5500000000000007</v>
      </c>
      <c r="X625" s="54">
        <f>STOCK[[#This Row],[Ganancia Unitaria]]*STOCK[[#This Row],[Salidas]]</f>
        <v>15.100000000000001</v>
      </c>
      <c r="Y625" s="54" t="s">
        <v>1159</v>
      </c>
      <c r="AA625" s="54">
        <f>STOCK[[#This Row],[Costo total]]*STOCK[[#This Row],[Entradas]]</f>
        <v>54.9</v>
      </c>
      <c r="AB625" s="54">
        <f>STOCK[[#This Row],[Stock Actual]]*STOCK[[#This Row],[Costo total]]</f>
        <v>0</v>
      </c>
    </row>
    <row r="626" spans="1:28" s="53" customFormat="1" ht="50" customHeight="1">
      <c r="A626" s="53" t="s">
        <v>1264</v>
      </c>
      <c r="B626" s="64"/>
      <c r="C626" s="53" t="s">
        <v>32</v>
      </c>
      <c r="D626" s="53" t="s">
        <v>44</v>
      </c>
      <c r="E626" s="65" t="s">
        <v>1263</v>
      </c>
      <c r="F626" s="53" t="s">
        <v>62</v>
      </c>
      <c r="G626" s="53" t="s">
        <v>36</v>
      </c>
      <c r="H626" s="53">
        <f>STOCK[[#This Row],[Precio Final]]</f>
        <v>35</v>
      </c>
      <c r="I626" s="53">
        <f>STOCK[[#This Row],[Precio Venta Ideal (x1.5)]]</f>
        <v>41.174999999999997</v>
      </c>
      <c r="J626" s="69">
        <v>2</v>
      </c>
      <c r="K626" s="69">
        <f>SUMIFS(VENTAS[Cantidad],VENTAS[Código del producto Vendido],STOCK[[#This Row],[Code]])</f>
        <v>2</v>
      </c>
      <c r="L626" s="69">
        <f>STOCK[[#This Row],[Entradas]]-STOCK[[#This Row],[Salidas]]</f>
        <v>0</v>
      </c>
      <c r="M626" s="53">
        <f>STOCK[[#This Row],[Precio Final]]*10%</f>
        <v>3.5</v>
      </c>
      <c r="N626" s="53">
        <v>0</v>
      </c>
      <c r="O626" s="53">
        <v>24.8</v>
      </c>
      <c r="P626" s="53">
        <v>17.95</v>
      </c>
      <c r="Q626" s="69">
        <v>0</v>
      </c>
      <c r="R626" s="53">
        <v>0</v>
      </c>
      <c r="S626" s="53">
        <v>6</v>
      </c>
      <c r="T626" s="53">
        <f>STOCK[[#This Row],[Costo Unitario (USD)]]+STOCK[[#This Row],[Costo Envío (USD)]]+STOCK[[#This Row],[Comisión 10%]]</f>
        <v>27.45</v>
      </c>
      <c r="U626" s="53">
        <f>STOCK[[#This Row],[Costo total]]*1.5</f>
        <v>41.174999999999997</v>
      </c>
      <c r="V626" s="53">
        <v>35</v>
      </c>
      <c r="W626" s="53">
        <f>STOCK[[#This Row],[Precio Final]]-STOCK[[#This Row],[Costo total]]</f>
        <v>7.5500000000000007</v>
      </c>
      <c r="X626" s="53">
        <f>STOCK[[#This Row],[Ganancia Unitaria]]*STOCK[[#This Row],[Salidas]]</f>
        <v>15.100000000000001</v>
      </c>
      <c r="Y626" s="53" t="s">
        <v>1159</v>
      </c>
      <c r="AA626" s="53">
        <f>STOCK[[#This Row],[Costo total]]*STOCK[[#This Row],[Entradas]]</f>
        <v>54.9</v>
      </c>
      <c r="AB626" s="53">
        <f>STOCK[[#This Row],[Stock Actual]]*STOCK[[#This Row],[Costo total]]</f>
        <v>0</v>
      </c>
    </row>
    <row r="627" spans="1:28" s="54" customFormat="1" ht="50" customHeight="1">
      <c r="A627" s="54" t="s">
        <v>1265</v>
      </c>
      <c r="B627" s="64"/>
      <c r="C627" s="54" t="s">
        <v>32</v>
      </c>
      <c r="D627" s="54" t="s">
        <v>152</v>
      </c>
      <c r="E627" s="66" t="s">
        <v>1266</v>
      </c>
      <c r="F627" s="54" t="s">
        <v>49</v>
      </c>
      <c r="G627" s="54" t="s">
        <v>36</v>
      </c>
      <c r="H627" s="54">
        <f>STOCK[[#This Row],[Precio Final]]</f>
        <v>23</v>
      </c>
      <c r="I627" s="54">
        <f>STOCK[[#This Row],[Precio Venta Ideal (x1.5)]]</f>
        <v>26.28</v>
      </c>
      <c r="J627" s="70">
        <v>3</v>
      </c>
      <c r="K627" s="70">
        <f>SUMIFS(VENTAS[Cantidad],VENTAS[Código del producto Vendido],STOCK[[#This Row],[Code]])</f>
        <v>2</v>
      </c>
      <c r="L627" s="70">
        <f>STOCK[[#This Row],[Entradas]]-STOCK[[#This Row],[Salidas]]</f>
        <v>1</v>
      </c>
      <c r="M627" s="54">
        <f>STOCK[[#This Row],[Precio Final]]*10%</f>
        <v>2.3000000000000003</v>
      </c>
      <c r="N627" s="54">
        <v>0</v>
      </c>
      <c r="O627" s="54">
        <v>0</v>
      </c>
      <c r="P627" s="54">
        <v>10.220000000000001</v>
      </c>
      <c r="Q627" s="70">
        <v>0</v>
      </c>
      <c r="R627" s="54">
        <v>0</v>
      </c>
      <c r="S627" s="54">
        <v>5</v>
      </c>
      <c r="T627" s="53">
        <f>STOCK[[#This Row],[Costo Unitario (USD)]]+STOCK[[#This Row],[Costo Envío (USD)]]+STOCK[[#This Row],[Comisión 10%]]</f>
        <v>17.52</v>
      </c>
      <c r="U627" s="54">
        <f>STOCK[[#This Row],[Costo total]]*1.5</f>
        <v>26.28</v>
      </c>
      <c r="V627" s="54">
        <v>23</v>
      </c>
      <c r="W627" s="54">
        <f>STOCK[[#This Row],[Precio Final]]-STOCK[[#This Row],[Costo total]]</f>
        <v>5.48</v>
      </c>
      <c r="X627" s="54">
        <f>STOCK[[#This Row],[Ganancia Unitaria]]*STOCK[[#This Row],[Salidas]]</f>
        <v>10.96</v>
      </c>
      <c r="Y627" s="54" t="s">
        <v>1159</v>
      </c>
      <c r="AA627" s="54">
        <f>STOCK[[#This Row],[Costo total]]*STOCK[[#This Row],[Entradas]]</f>
        <v>52.56</v>
      </c>
      <c r="AB627" s="54">
        <f>STOCK[[#This Row],[Stock Actual]]*STOCK[[#This Row],[Costo total]]</f>
        <v>17.52</v>
      </c>
    </row>
    <row r="628" spans="1:28" s="53" customFormat="1" ht="50" customHeight="1">
      <c r="A628" s="53" t="s">
        <v>1267</v>
      </c>
      <c r="B628" s="64"/>
      <c r="C628" s="53" t="s">
        <v>32</v>
      </c>
      <c r="D628" s="53" t="s">
        <v>174</v>
      </c>
      <c r="E628" s="65" t="s">
        <v>1268</v>
      </c>
      <c r="F628" s="53" t="s">
        <v>40</v>
      </c>
      <c r="G628" s="53" t="s">
        <v>36</v>
      </c>
      <c r="H628" s="53">
        <f>STOCK[[#This Row],[Precio Final]]</f>
        <v>10</v>
      </c>
      <c r="I628" s="53">
        <f>STOCK[[#This Row],[Precio Venta Ideal (x1.5)]]</f>
        <v>10.154999999999999</v>
      </c>
      <c r="J628" s="69">
        <v>2</v>
      </c>
      <c r="K628" s="69">
        <f>SUMIFS(VENTAS[Cantidad],VENTAS[Código del producto Vendido],STOCK[[#This Row],[Code]])</f>
        <v>2</v>
      </c>
      <c r="L628" s="69">
        <f>STOCK[[#This Row],[Entradas]]-STOCK[[#This Row],[Salidas]]</f>
        <v>0</v>
      </c>
      <c r="M628" s="53">
        <f>STOCK[[#This Row],[Precio Final]]*10%</f>
        <v>1</v>
      </c>
      <c r="N628" s="53">
        <v>-9.17</v>
      </c>
      <c r="O628" s="53">
        <v>0</v>
      </c>
      <c r="P628" s="53">
        <v>3.77</v>
      </c>
      <c r="Q628" s="69">
        <v>0</v>
      </c>
      <c r="R628" s="53">
        <v>0</v>
      </c>
      <c r="S628" s="53">
        <v>2</v>
      </c>
      <c r="T628" s="53">
        <f>STOCK[[#This Row],[Costo Unitario (USD)]]+STOCK[[#This Row],[Costo Envío (USD)]]+STOCK[[#This Row],[Comisión 10%]]</f>
        <v>6.77</v>
      </c>
      <c r="U628" s="53">
        <f>STOCK[[#This Row],[Costo total]]*1.5</f>
        <v>10.154999999999999</v>
      </c>
      <c r="V628" s="53">
        <v>10</v>
      </c>
      <c r="W628" s="53">
        <f>STOCK[[#This Row],[Precio Final]]-STOCK[[#This Row],[Costo total]]</f>
        <v>3.2300000000000004</v>
      </c>
      <c r="X628" s="53">
        <f>STOCK[[#This Row],[Ganancia Unitaria]]*STOCK[[#This Row],[Salidas]]</f>
        <v>6.4600000000000009</v>
      </c>
      <c r="Y628" s="53" t="s">
        <v>1159</v>
      </c>
      <c r="AA628" s="53">
        <f>STOCK[[#This Row],[Costo total]]*STOCK[[#This Row],[Entradas]]</f>
        <v>13.54</v>
      </c>
      <c r="AB628" s="53">
        <f>STOCK[[#This Row],[Stock Actual]]*STOCK[[#This Row],[Costo total]]</f>
        <v>0</v>
      </c>
    </row>
    <row r="629" spans="1:28" s="54" customFormat="1" ht="50" customHeight="1">
      <c r="A629" s="54" t="s">
        <v>1269</v>
      </c>
      <c r="B629" s="64"/>
      <c r="C629" s="54" t="s">
        <v>32</v>
      </c>
      <c r="D629" s="54" t="s">
        <v>174</v>
      </c>
      <c r="E629" s="66" t="s">
        <v>1270</v>
      </c>
      <c r="F629" s="54" t="s">
        <v>586</v>
      </c>
      <c r="G629" s="54" t="s">
        <v>36</v>
      </c>
      <c r="H629" s="54">
        <f>STOCK[[#This Row],[Precio Final]]</f>
        <v>10</v>
      </c>
      <c r="I629" s="54">
        <f>STOCK[[#This Row],[Precio Venta Ideal (x1.5)]]</f>
        <v>10.154999999999999</v>
      </c>
      <c r="J629" s="70">
        <v>2</v>
      </c>
      <c r="K629" s="70">
        <f>SUMIFS(VENTAS[Cantidad],VENTAS[Código del producto Vendido],STOCK[[#This Row],[Code]])</f>
        <v>2</v>
      </c>
      <c r="L629" s="70">
        <f>STOCK[[#This Row],[Entradas]]-STOCK[[#This Row],[Salidas]]</f>
        <v>0</v>
      </c>
      <c r="M629" s="54">
        <f>STOCK[[#This Row],[Precio Final]]*10%</f>
        <v>1</v>
      </c>
      <c r="N629" s="54">
        <v>0</v>
      </c>
      <c r="O629" s="54">
        <v>9.17</v>
      </c>
      <c r="P629" s="54">
        <v>3.77</v>
      </c>
      <c r="Q629" s="70">
        <v>0</v>
      </c>
      <c r="R629" s="54">
        <v>0</v>
      </c>
      <c r="S629" s="54">
        <v>2</v>
      </c>
      <c r="T629" s="53">
        <f>STOCK[[#This Row],[Costo Unitario (USD)]]+STOCK[[#This Row],[Costo Envío (USD)]]+STOCK[[#This Row],[Comisión 10%]]</f>
        <v>6.77</v>
      </c>
      <c r="U629" s="54">
        <f>STOCK[[#This Row],[Costo total]]*1.5</f>
        <v>10.154999999999999</v>
      </c>
      <c r="V629" s="54">
        <v>10</v>
      </c>
      <c r="W629" s="54">
        <f>STOCK[[#This Row],[Precio Final]]-STOCK[[#This Row],[Costo total]]</f>
        <v>3.2300000000000004</v>
      </c>
      <c r="X629" s="54">
        <f>STOCK[[#This Row],[Ganancia Unitaria]]*STOCK[[#This Row],[Salidas]]</f>
        <v>6.4600000000000009</v>
      </c>
      <c r="Y629" s="54" t="s">
        <v>1159</v>
      </c>
      <c r="AA629" s="54">
        <f>STOCK[[#This Row],[Costo total]]*STOCK[[#This Row],[Entradas]]</f>
        <v>13.54</v>
      </c>
      <c r="AB629" s="54">
        <f>STOCK[[#This Row],[Stock Actual]]*STOCK[[#This Row],[Costo total]]</f>
        <v>0</v>
      </c>
    </row>
    <row r="630" spans="1:28" s="53" customFormat="1" ht="50" customHeight="1">
      <c r="A630" s="53" t="s">
        <v>1271</v>
      </c>
      <c r="B630" s="64"/>
      <c r="C630" s="53" t="s">
        <v>32</v>
      </c>
      <c r="D630" s="53" t="s">
        <v>174</v>
      </c>
      <c r="E630" s="65" t="s">
        <v>1272</v>
      </c>
      <c r="F630" s="53" t="s">
        <v>40</v>
      </c>
      <c r="G630" s="53" t="s">
        <v>36</v>
      </c>
      <c r="H630" s="53">
        <f>STOCK[[#This Row],[Precio Final]]</f>
        <v>12</v>
      </c>
      <c r="I630" s="53">
        <f>STOCK[[#This Row],[Precio Venta Ideal (x1.5)]]</f>
        <v>13.754999999999999</v>
      </c>
      <c r="J630" s="69">
        <v>2</v>
      </c>
      <c r="K630" s="69">
        <f>SUMIFS(VENTAS[Cantidad],VENTAS[Código del producto Vendido],STOCK[[#This Row],[Code]])</f>
        <v>2</v>
      </c>
      <c r="L630" s="69">
        <f>STOCK[[#This Row],[Entradas]]-STOCK[[#This Row],[Salidas]]</f>
        <v>0</v>
      </c>
      <c r="M630" s="53">
        <f>STOCK[[#This Row],[Precio Final]]*10%</f>
        <v>1.2000000000000002</v>
      </c>
      <c r="N630" s="53">
        <v>-11.76</v>
      </c>
      <c r="O630" s="53">
        <v>5.88</v>
      </c>
      <c r="P630" s="53">
        <v>4.97</v>
      </c>
      <c r="Q630" s="69">
        <v>0</v>
      </c>
      <c r="R630" s="53">
        <v>0</v>
      </c>
      <c r="S630" s="53">
        <v>3</v>
      </c>
      <c r="T630" s="53">
        <f>STOCK[[#This Row],[Costo Unitario (USD)]]+STOCK[[#This Row],[Costo Envío (USD)]]+STOCK[[#This Row],[Comisión 10%]]</f>
        <v>9.17</v>
      </c>
      <c r="U630" s="53">
        <f>STOCK[[#This Row],[Costo total]]*1.5</f>
        <v>13.754999999999999</v>
      </c>
      <c r="V630" s="53">
        <v>12</v>
      </c>
      <c r="W630" s="53">
        <f>STOCK[[#This Row],[Precio Final]]-STOCK[[#This Row],[Costo total]]</f>
        <v>2.83</v>
      </c>
      <c r="X630" s="53">
        <f>STOCK[[#This Row],[Ganancia Unitaria]]*STOCK[[#This Row],[Salidas]]</f>
        <v>5.66</v>
      </c>
      <c r="Y630" s="53" t="s">
        <v>1159</v>
      </c>
      <c r="AA630" s="53">
        <f>STOCK[[#This Row],[Costo total]]*STOCK[[#This Row],[Entradas]]</f>
        <v>18.34</v>
      </c>
      <c r="AB630" s="53">
        <f>STOCK[[#This Row],[Stock Actual]]*STOCK[[#This Row],[Costo total]]</f>
        <v>0</v>
      </c>
    </row>
    <row r="631" spans="1:28" s="54" customFormat="1" ht="50" customHeight="1">
      <c r="A631" s="54" t="s">
        <v>1273</v>
      </c>
      <c r="B631" s="64"/>
      <c r="C631" s="54" t="s">
        <v>32</v>
      </c>
      <c r="D631" s="54" t="s">
        <v>174</v>
      </c>
      <c r="E631" s="66" t="s">
        <v>1272</v>
      </c>
      <c r="F631" s="54" t="s">
        <v>46</v>
      </c>
      <c r="G631" s="54" t="s">
        <v>36</v>
      </c>
      <c r="H631" s="54">
        <f>STOCK[[#This Row],[Precio Final]]</f>
        <v>12</v>
      </c>
      <c r="I631" s="54">
        <f>STOCK[[#This Row],[Precio Venta Ideal (x1.5)]]</f>
        <v>13.754999999999999</v>
      </c>
      <c r="J631" s="70">
        <v>3</v>
      </c>
      <c r="K631" s="70">
        <f>SUMIFS(VENTAS[Cantidad],VENTAS[Código del producto Vendido],STOCK[[#This Row],[Code]])</f>
        <v>3</v>
      </c>
      <c r="L631" s="70">
        <f>STOCK[[#This Row],[Entradas]]-STOCK[[#This Row],[Salidas]]</f>
        <v>0</v>
      </c>
      <c r="M631" s="54">
        <f>STOCK[[#This Row],[Precio Final]]*10%</f>
        <v>1.2000000000000002</v>
      </c>
      <c r="N631" s="54">
        <v>-21.21</v>
      </c>
      <c r="O631" s="54">
        <v>0</v>
      </c>
      <c r="P631" s="54">
        <v>4.97</v>
      </c>
      <c r="Q631" s="70">
        <v>0</v>
      </c>
      <c r="R631" s="54">
        <v>0</v>
      </c>
      <c r="S631" s="54">
        <v>3</v>
      </c>
      <c r="T631" s="53">
        <f>STOCK[[#This Row],[Costo Unitario (USD)]]+STOCK[[#This Row],[Costo Envío (USD)]]+STOCK[[#This Row],[Comisión 10%]]</f>
        <v>9.17</v>
      </c>
      <c r="U631" s="54">
        <f>STOCK[[#This Row],[Costo total]]*1.5</f>
        <v>13.754999999999999</v>
      </c>
      <c r="V631" s="54">
        <v>12</v>
      </c>
      <c r="W631" s="54">
        <f>STOCK[[#This Row],[Precio Final]]-STOCK[[#This Row],[Costo total]]</f>
        <v>2.83</v>
      </c>
      <c r="X631" s="54">
        <f>STOCK[[#This Row],[Ganancia Unitaria]]*STOCK[[#This Row],[Salidas]]</f>
        <v>8.49</v>
      </c>
      <c r="Y631" s="54" t="s">
        <v>1159</v>
      </c>
      <c r="AA631" s="54">
        <f>STOCK[[#This Row],[Costo total]]*STOCK[[#This Row],[Entradas]]</f>
        <v>27.509999999999998</v>
      </c>
      <c r="AB631" s="54">
        <f>STOCK[[#This Row],[Stock Actual]]*STOCK[[#This Row],[Costo total]]</f>
        <v>0</v>
      </c>
    </row>
    <row r="632" spans="1:28" s="53" customFormat="1" ht="50" customHeight="1">
      <c r="A632" s="53" t="s">
        <v>1274</v>
      </c>
      <c r="B632" s="64"/>
      <c r="C632" s="53" t="s">
        <v>32</v>
      </c>
      <c r="D632" s="53" t="s">
        <v>174</v>
      </c>
      <c r="E632" s="65" t="s">
        <v>1275</v>
      </c>
      <c r="F632" s="53" t="s">
        <v>1276</v>
      </c>
      <c r="G632" s="53" t="s">
        <v>36</v>
      </c>
      <c r="H632" s="53">
        <f>STOCK[[#This Row],[Precio Final]]</f>
        <v>12</v>
      </c>
      <c r="I632" s="53">
        <f>STOCK[[#This Row],[Precio Venta Ideal (x1.5)]]</f>
        <v>13.754999999999999</v>
      </c>
      <c r="J632" s="69">
        <v>3</v>
      </c>
      <c r="K632" s="69">
        <f>SUMIFS(VENTAS[Cantidad],VENTAS[Código del producto Vendido],STOCK[[#This Row],[Code]])</f>
        <v>3</v>
      </c>
      <c r="L632" s="69">
        <f>STOCK[[#This Row],[Entradas]]-STOCK[[#This Row],[Salidas]]</f>
        <v>0</v>
      </c>
      <c r="M632" s="53">
        <f>STOCK[[#This Row],[Precio Final]]*10%</f>
        <v>1.2000000000000002</v>
      </c>
      <c r="N632" s="53">
        <v>-14.14</v>
      </c>
      <c r="O632" s="53">
        <v>0</v>
      </c>
      <c r="P632" s="53">
        <v>4.97</v>
      </c>
      <c r="Q632" s="69">
        <v>0</v>
      </c>
      <c r="R632" s="53">
        <v>0</v>
      </c>
      <c r="S632" s="53">
        <v>3</v>
      </c>
      <c r="T632" s="53">
        <f>STOCK[[#This Row],[Costo Unitario (USD)]]+STOCK[[#This Row],[Costo Envío (USD)]]+STOCK[[#This Row],[Comisión 10%]]</f>
        <v>9.17</v>
      </c>
      <c r="U632" s="53">
        <f>STOCK[[#This Row],[Costo total]]*1.5</f>
        <v>13.754999999999999</v>
      </c>
      <c r="V632" s="53">
        <v>12</v>
      </c>
      <c r="W632" s="53">
        <f>STOCK[[#This Row],[Precio Final]]-STOCK[[#This Row],[Costo total]]</f>
        <v>2.83</v>
      </c>
      <c r="X632" s="53">
        <f>STOCK[[#This Row],[Ganancia Unitaria]]*STOCK[[#This Row],[Salidas]]</f>
        <v>8.49</v>
      </c>
      <c r="Y632" s="53" t="s">
        <v>1159</v>
      </c>
      <c r="AA632" s="53">
        <f>STOCK[[#This Row],[Costo total]]*STOCK[[#This Row],[Entradas]]</f>
        <v>27.509999999999998</v>
      </c>
      <c r="AB632" s="53">
        <f>STOCK[[#This Row],[Stock Actual]]*STOCK[[#This Row],[Costo total]]</f>
        <v>0</v>
      </c>
    </row>
    <row r="633" spans="1:28" s="54" customFormat="1" ht="50" customHeight="1">
      <c r="A633" s="54" t="s">
        <v>1277</v>
      </c>
      <c r="B633" s="64"/>
      <c r="C633" s="54" t="s">
        <v>32</v>
      </c>
      <c r="D633" s="54" t="s">
        <v>174</v>
      </c>
      <c r="E633" s="66" t="s">
        <v>1278</v>
      </c>
      <c r="F633" s="54" t="s">
        <v>339</v>
      </c>
      <c r="G633" s="54" t="s">
        <v>36</v>
      </c>
      <c r="H633" s="54">
        <f>STOCK[[#This Row],[Precio Final]]</f>
        <v>12</v>
      </c>
      <c r="I633" s="54">
        <f>STOCK[[#This Row],[Precio Venta Ideal (x1.5)]]</f>
        <v>13.934999999999999</v>
      </c>
      <c r="J633" s="70">
        <v>2</v>
      </c>
      <c r="K633" s="70">
        <f>SUMIFS(VENTAS[Cantidad],VENTAS[Código del producto Vendido],STOCK[[#This Row],[Code]])</f>
        <v>2</v>
      </c>
      <c r="L633" s="70">
        <f>STOCK[[#This Row],[Entradas]]-STOCK[[#This Row],[Salidas]]</f>
        <v>0</v>
      </c>
      <c r="M633" s="54">
        <f>STOCK[[#This Row],[Precio Final]]*10%</f>
        <v>1.2000000000000002</v>
      </c>
      <c r="N633" s="54">
        <v>0</v>
      </c>
      <c r="O633" s="54">
        <v>14.26</v>
      </c>
      <c r="P633" s="54">
        <v>5.09</v>
      </c>
      <c r="Q633" s="70">
        <v>0</v>
      </c>
      <c r="R633" s="54">
        <v>0</v>
      </c>
      <c r="S633" s="54">
        <v>3</v>
      </c>
      <c r="T633" s="53">
        <f>STOCK[[#This Row],[Costo Unitario (USD)]]+STOCK[[#This Row],[Costo Envío (USD)]]+STOCK[[#This Row],[Comisión 10%]]</f>
        <v>9.2899999999999991</v>
      </c>
      <c r="U633" s="54">
        <f>STOCK[[#This Row],[Costo total]]*1.5</f>
        <v>13.934999999999999</v>
      </c>
      <c r="V633" s="54">
        <v>12</v>
      </c>
      <c r="W633" s="54">
        <f>STOCK[[#This Row],[Precio Final]]-STOCK[[#This Row],[Costo total]]</f>
        <v>2.7100000000000009</v>
      </c>
      <c r="X633" s="54">
        <f>STOCK[[#This Row],[Ganancia Unitaria]]*STOCK[[#This Row],[Salidas]]</f>
        <v>5.4200000000000017</v>
      </c>
      <c r="Y633" s="54" t="s">
        <v>1159</v>
      </c>
      <c r="AA633" s="54">
        <f>STOCK[[#This Row],[Costo total]]*STOCK[[#This Row],[Entradas]]</f>
        <v>18.579999999999998</v>
      </c>
      <c r="AB633" s="54">
        <f>STOCK[[#This Row],[Stock Actual]]*STOCK[[#This Row],[Costo total]]</f>
        <v>0</v>
      </c>
    </row>
    <row r="634" spans="1:28" s="53" customFormat="1" ht="50" customHeight="1">
      <c r="A634" s="53" t="s">
        <v>1279</v>
      </c>
      <c r="B634" s="64"/>
      <c r="C634" s="53" t="s">
        <v>32</v>
      </c>
      <c r="D634" s="53" t="s">
        <v>174</v>
      </c>
      <c r="E634" s="65" t="s">
        <v>1280</v>
      </c>
      <c r="F634" s="53" t="s">
        <v>46</v>
      </c>
      <c r="G634" s="53" t="s">
        <v>36</v>
      </c>
      <c r="H634" s="53">
        <f>STOCK[[#This Row],[Precio Final]]</f>
        <v>12</v>
      </c>
      <c r="I634" s="53">
        <f>STOCK[[#This Row],[Precio Venta Ideal (x1.5)]]</f>
        <v>13.934999999999999</v>
      </c>
      <c r="J634" s="69">
        <v>3</v>
      </c>
      <c r="K634" s="69">
        <f>SUMIFS(VENTAS[Cantidad],VENTAS[Código del producto Vendido],STOCK[[#This Row],[Code]])</f>
        <v>3</v>
      </c>
      <c r="L634" s="69">
        <f>STOCK[[#This Row],[Entradas]]-STOCK[[#This Row],[Salidas]]</f>
        <v>0</v>
      </c>
      <c r="M634" s="53">
        <f>STOCK[[#This Row],[Precio Final]]*10%</f>
        <v>1.2000000000000002</v>
      </c>
      <c r="N634" s="53">
        <v>-21.39</v>
      </c>
      <c r="O634" s="53">
        <v>0</v>
      </c>
      <c r="P634" s="53">
        <v>5.09</v>
      </c>
      <c r="Q634" s="69">
        <v>0</v>
      </c>
      <c r="R634" s="53">
        <v>0</v>
      </c>
      <c r="S634" s="53">
        <v>3</v>
      </c>
      <c r="T634" s="53">
        <f>STOCK[[#This Row],[Costo Unitario (USD)]]+STOCK[[#This Row],[Costo Envío (USD)]]+STOCK[[#This Row],[Comisión 10%]]</f>
        <v>9.2899999999999991</v>
      </c>
      <c r="U634" s="53">
        <f>STOCK[[#This Row],[Costo total]]*1.5</f>
        <v>13.934999999999999</v>
      </c>
      <c r="V634" s="53">
        <v>12</v>
      </c>
      <c r="W634" s="53">
        <f>STOCK[[#This Row],[Precio Final]]-STOCK[[#This Row],[Costo total]]</f>
        <v>2.7100000000000009</v>
      </c>
      <c r="X634" s="53">
        <f>STOCK[[#This Row],[Ganancia Unitaria]]*STOCK[[#This Row],[Salidas]]</f>
        <v>8.1300000000000026</v>
      </c>
      <c r="Y634" s="53" t="s">
        <v>1159</v>
      </c>
      <c r="AA634" s="53">
        <f>STOCK[[#This Row],[Costo total]]*STOCK[[#This Row],[Entradas]]</f>
        <v>27.869999999999997</v>
      </c>
      <c r="AB634" s="53">
        <f>STOCK[[#This Row],[Stock Actual]]*STOCK[[#This Row],[Costo total]]</f>
        <v>0</v>
      </c>
    </row>
    <row r="635" spans="1:28" s="54" customFormat="1" ht="50" customHeight="1">
      <c r="A635" s="54" t="s">
        <v>1281</v>
      </c>
      <c r="B635" s="64"/>
      <c r="C635" s="54" t="s">
        <v>32</v>
      </c>
      <c r="D635" s="54" t="s">
        <v>152</v>
      </c>
      <c r="E635" s="66" t="s">
        <v>1282</v>
      </c>
      <c r="F635" s="54" t="s">
        <v>62</v>
      </c>
      <c r="G635" s="54" t="s">
        <v>36</v>
      </c>
      <c r="H635" s="54">
        <f>STOCK[[#This Row],[Precio Final]]</f>
        <v>22</v>
      </c>
      <c r="I635" s="54">
        <f>STOCK[[#This Row],[Precio Venta Ideal (x1.5)]]</f>
        <v>24.855</v>
      </c>
      <c r="J635" s="70">
        <v>3</v>
      </c>
      <c r="K635" s="70">
        <f>SUMIFS(VENTAS[Cantidad],VENTAS[Código del producto Vendido],STOCK[[#This Row],[Code]])</f>
        <v>3</v>
      </c>
      <c r="L635" s="70">
        <f>STOCK[[#This Row],[Entradas]]-STOCK[[#This Row],[Salidas]]</f>
        <v>0</v>
      </c>
      <c r="M635" s="54">
        <f>STOCK[[#This Row],[Precio Final]]*10%</f>
        <v>2.2000000000000002</v>
      </c>
      <c r="N635" s="54">
        <v>0</v>
      </c>
      <c r="O635" s="54">
        <v>13.94</v>
      </c>
      <c r="P635" s="54">
        <v>11.37</v>
      </c>
      <c r="Q635" s="70">
        <v>0</v>
      </c>
      <c r="R635" s="54">
        <v>0</v>
      </c>
      <c r="S635" s="54">
        <v>3</v>
      </c>
      <c r="T635" s="53">
        <f>STOCK[[#This Row],[Costo Unitario (USD)]]+STOCK[[#This Row],[Costo Envío (USD)]]+STOCK[[#This Row],[Comisión 10%]]</f>
        <v>16.57</v>
      </c>
      <c r="U635" s="54">
        <f>STOCK[[#This Row],[Costo total]]*1.5</f>
        <v>24.855</v>
      </c>
      <c r="V635" s="54">
        <v>22</v>
      </c>
      <c r="W635" s="54">
        <f>STOCK[[#This Row],[Precio Final]]-STOCK[[#This Row],[Costo total]]</f>
        <v>5.43</v>
      </c>
      <c r="X635" s="54">
        <f>STOCK[[#This Row],[Ganancia Unitaria]]*STOCK[[#This Row],[Salidas]]</f>
        <v>16.29</v>
      </c>
      <c r="Y635" s="54" t="s">
        <v>1159</v>
      </c>
      <c r="AA635" s="54">
        <f>STOCK[[#This Row],[Costo total]]*STOCK[[#This Row],[Entradas]]</f>
        <v>49.71</v>
      </c>
      <c r="AB635" s="54">
        <f>STOCK[[#This Row],[Stock Actual]]*STOCK[[#This Row],[Costo total]]</f>
        <v>0</v>
      </c>
    </row>
    <row r="636" spans="1:28" s="53" customFormat="1" ht="50" customHeight="1">
      <c r="A636" s="53" t="s">
        <v>1283</v>
      </c>
      <c r="B636" s="64"/>
      <c r="C636" s="53" t="s">
        <v>32</v>
      </c>
      <c r="D636" s="53" t="s">
        <v>152</v>
      </c>
      <c r="E636" s="65" t="s">
        <v>1284</v>
      </c>
      <c r="F636" s="53" t="s">
        <v>40</v>
      </c>
      <c r="G636" s="53" t="s">
        <v>36</v>
      </c>
      <c r="H636" s="53">
        <f>STOCK[[#This Row],[Precio Final]]</f>
        <v>28</v>
      </c>
      <c r="I636" s="53">
        <f>STOCK[[#This Row],[Precio Venta Ideal (x1.5)]]</f>
        <v>35.370000000000005</v>
      </c>
      <c r="J636" s="69">
        <v>2</v>
      </c>
      <c r="K636" s="69">
        <f>SUMIFS(VENTAS[Cantidad],VENTAS[Código del producto Vendido],STOCK[[#This Row],[Code]])</f>
        <v>2</v>
      </c>
      <c r="L636" s="69">
        <f>STOCK[[#This Row],[Entradas]]-STOCK[[#This Row],[Salidas]]</f>
        <v>0</v>
      </c>
      <c r="M636" s="53">
        <f>STOCK[[#This Row],[Precio Final]]*10%</f>
        <v>2.8000000000000003</v>
      </c>
      <c r="N636" s="53">
        <v>-40.31</v>
      </c>
      <c r="O636" s="53">
        <v>0</v>
      </c>
      <c r="P636" s="53">
        <v>15.78</v>
      </c>
      <c r="Q636" s="69">
        <v>0</v>
      </c>
      <c r="R636" s="53">
        <v>0</v>
      </c>
      <c r="S636" s="53">
        <v>5</v>
      </c>
      <c r="T636" s="53">
        <f>STOCK[[#This Row],[Costo Unitario (USD)]]+STOCK[[#This Row],[Costo Envío (USD)]]+STOCK[[#This Row],[Comisión 10%]]</f>
        <v>23.580000000000002</v>
      </c>
      <c r="U636" s="53">
        <f>STOCK[[#This Row],[Costo total]]*1.5</f>
        <v>35.370000000000005</v>
      </c>
      <c r="V636" s="53">
        <v>28</v>
      </c>
      <c r="W636" s="53">
        <f>STOCK[[#This Row],[Precio Final]]-STOCK[[#This Row],[Costo total]]</f>
        <v>4.4199999999999982</v>
      </c>
      <c r="X636" s="53">
        <f>STOCK[[#This Row],[Ganancia Unitaria]]*STOCK[[#This Row],[Salidas]]</f>
        <v>8.8399999999999963</v>
      </c>
      <c r="Y636" s="53" t="s">
        <v>1159</v>
      </c>
      <c r="AA636" s="53">
        <f>STOCK[[#This Row],[Costo total]]*STOCK[[#This Row],[Entradas]]</f>
        <v>47.160000000000004</v>
      </c>
      <c r="AB636" s="53">
        <f>STOCK[[#This Row],[Stock Actual]]*STOCK[[#This Row],[Costo total]]</f>
        <v>0</v>
      </c>
    </row>
    <row r="637" spans="1:28" s="54" customFormat="1" ht="50" customHeight="1">
      <c r="A637" s="54" t="s">
        <v>1285</v>
      </c>
      <c r="B637" s="64"/>
      <c r="C637" s="54" t="s">
        <v>32</v>
      </c>
      <c r="D637" s="54" t="s">
        <v>152</v>
      </c>
      <c r="E637" s="66" t="s">
        <v>1286</v>
      </c>
      <c r="F637" s="54" t="s">
        <v>62</v>
      </c>
      <c r="G637" s="54" t="s">
        <v>36</v>
      </c>
      <c r="H637" s="54">
        <f>STOCK[[#This Row],[Precio Final]]</f>
        <v>28</v>
      </c>
      <c r="I637" s="54">
        <f>STOCK[[#This Row],[Precio Venta Ideal (x1.5)]]</f>
        <v>35.370000000000005</v>
      </c>
      <c r="J637" s="70">
        <v>3</v>
      </c>
      <c r="K637" s="70">
        <f>SUMIFS(VENTAS[Cantidad],VENTAS[Código del producto Vendido],STOCK[[#This Row],[Code]])</f>
        <v>3</v>
      </c>
      <c r="L637" s="70">
        <f>STOCK[[#This Row],[Entradas]]-STOCK[[#This Row],[Salidas]]</f>
        <v>0</v>
      </c>
      <c r="M637" s="54">
        <f>STOCK[[#This Row],[Precio Final]]*10%</f>
        <v>2.8000000000000003</v>
      </c>
      <c r="N637" s="54">
        <v>10.7</v>
      </c>
      <c r="O637" s="54">
        <v>19.3</v>
      </c>
      <c r="P637" s="54">
        <v>15.78</v>
      </c>
      <c r="Q637" s="70">
        <v>0</v>
      </c>
      <c r="R637" s="54">
        <v>0</v>
      </c>
      <c r="S637" s="54">
        <v>5</v>
      </c>
      <c r="T637" s="53">
        <f>STOCK[[#This Row],[Costo Unitario (USD)]]+STOCK[[#This Row],[Costo Envío (USD)]]+STOCK[[#This Row],[Comisión 10%]]</f>
        <v>23.580000000000002</v>
      </c>
      <c r="U637" s="54">
        <f>STOCK[[#This Row],[Costo total]]*1.5</f>
        <v>35.370000000000005</v>
      </c>
      <c r="V637" s="54">
        <v>28</v>
      </c>
      <c r="W637" s="54">
        <f>STOCK[[#This Row],[Precio Final]]-STOCK[[#This Row],[Costo total]]</f>
        <v>4.4199999999999982</v>
      </c>
      <c r="X637" s="54">
        <f>STOCK[[#This Row],[Ganancia Unitaria]]*STOCK[[#This Row],[Salidas]]</f>
        <v>13.259999999999994</v>
      </c>
      <c r="Y637" s="54" t="s">
        <v>1159</v>
      </c>
      <c r="AA637" s="54">
        <f>STOCK[[#This Row],[Costo total]]*STOCK[[#This Row],[Entradas]]</f>
        <v>70.740000000000009</v>
      </c>
      <c r="AB637" s="54">
        <f>STOCK[[#This Row],[Stock Actual]]*STOCK[[#This Row],[Costo total]]</f>
        <v>0</v>
      </c>
    </row>
    <row r="638" spans="1:28" s="53" customFormat="1" ht="50" customHeight="1">
      <c r="A638" s="53" t="s">
        <v>1287</v>
      </c>
      <c r="B638" s="64"/>
      <c r="C638" s="53" t="s">
        <v>32</v>
      </c>
      <c r="D638" s="53" t="s">
        <v>152</v>
      </c>
      <c r="E638" s="65" t="s">
        <v>1286</v>
      </c>
      <c r="F638" s="53" t="s">
        <v>49</v>
      </c>
      <c r="G638" s="53" t="s">
        <v>36</v>
      </c>
      <c r="H638" s="53">
        <f>STOCK[[#This Row],[Precio Final]]</f>
        <v>28</v>
      </c>
      <c r="I638" s="53">
        <f>STOCK[[#This Row],[Precio Venta Ideal (x1.5)]]</f>
        <v>35.370000000000005</v>
      </c>
      <c r="J638" s="69">
        <v>1</v>
      </c>
      <c r="K638" s="69">
        <f>SUMIFS(VENTAS[Cantidad],VENTAS[Código del producto Vendido],STOCK[[#This Row],[Code]])</f>
        <v>1</v>
      </c>
      <c r="L638" s="69">
        <f>STOCK[[#This Row],[Entradas]]-STOCK[[#This Row],[Salidas]]</f>
        <v>0</v>
      </c>
      <c r="M638" s="53">
        <f>STOCK[[#This Row],[Precio Final]]*10%</f>
        <v>2.8000000000000003</v>
      </c>
      <c r="N638" s="53">
        <v>0</v>
      </c>
      <c r="O638" s="53">
        <v>19.3</v>
      </c>
      <c r="P638" s="53">
        <v>15.78</v>
      </c>
      <c r="Q638" s="69">
        <v>0</v>
      </c>
      <c r="R638" s="53">
        <v>0</v>
      </c>
      <c r="S638" s="53">
        <v>5</v>
      </c>
      <c r="T638" s="53">
        <f>STOCK[[#This Row],[Costo Unitario (USD)]]+STOCK[[#This Row],[Costo Envío (USD)]]+STOCK[[#This Row],[Comisión 10%]]</f>
        <v>23.580000000000002</v>
      </c>
      <c r="U638" s="53">
        <f>STOCK[[#This Row],[Costo total]]*1.5</f>
        <v>35.370000000000005</v>
      </c>
      <c r="V638" s="53">
        <v>28</v>
      </c>
      <c r="W638" s="53">
        <f>STOCK[[#This Row],[Precio Final]]-STOCK[[#This Row],[Costo total]]</f>
        <v>4.4199999999999982</v>
      </c>
      <c r="X638" s="53">
        <f>STOCK[[#This Row],[Ganancia Unitaria]]*STOCK[[#This Row],[Salidas]]</f>
        <v>4.4199999999999982</v>
      </c>
      <c r="Y638" s="53" t="s">
        <v>1159</v>
      </c>
      <c r="AA638" s="53">
        <f>STOCK[[#This Row],[Costo total]]*STOCK[[#This Row],[Entradas]]</f>
        <v>23.580000000000002</v>
      </c>
      <c r="AB638" s="53">
        <f>STOCK[[#This Row],[Stock Actual]]*STOCK[[#This Row],[Costo total]]</f>
        <v>0</v>
      </c>
    </row>
    <row r="639" spans="1:28" s="54" customFormat="1" ht="50" customHeight="1">
      <c r="A639" s="54" t="s">
        <v>1288</v>
      </c>
      <c r="B639" s="64"/>
      <c r="C639" s="54" t="s">
        <v>32</v>
      </c>
      <c r="D639" s="54" t="s">
        <v>152</v>
      </c>
      <c r="E639" s="66" t="s">
        <v>1289</v>
      </c>
      <c r="F639" s="54" t="s">
        <v>40</v>
      </c>
      <c r="G639" s="54" t="s">
        <v>36</v>
      </c>
      <c r="H639" s="54">
        <f>STOCK[[#This Row],[Precio Final]]</f>
        <v>0</v>
      </c>
      <c r="I639" s="54">
        <f>STOCK[[#This Row],[Precio Venta Ideal (x1.5)]]</f>
        <v>31.17</v>
      </c>
      <c r="J639" s="70">
        <v>1</v>
      </c>
      <c r="K639" s="70">
        <f>SUMIFS(VENTAS[Cantidad],VENTAS[Código del producto Vendido],STOCK[[#This Row],[Code]])</f>
        <v>1</v>
      </c>
      <c r="L639" s="70">
        <f>STOCK[[#This Row],[Entradas]]-STOCK[[#This Row],[Salidas]]</f>
        <v>0</v>
      </c>
      <c r="M639" s="54">
        <f>STOCK[[#This Row],[Precio Final]]*10%</f>
        <v>0</v>
      </c>
      <c r="N639" s="54">
        <v>10.7</v>
      </c>
      <c r="O639" s="54">
        <v>0</v>
      </c>
      <c r="P639" s="54">
        <v>15.78</v>
      </c>
      <c r="Q639" s="70">
        <v>0</v>
      </c>
      <c r="R639" s="54">
        <v>0</v>
      </c>
      <c r="S639" s="54">
        <v>5</v>
      </c>
      <c r="T639" s="53">
        <f>STOCK[[#This Row],[Costo Unitario (USD)]]+STOCK[[#This Row],[Costo Envío (USD)]]+STOCK[[#This Row],[Comisión 10%]]</f>
        <v>20.78</v>
      </c>
      <c r="U639" s="54">
        <f>STOCK[[#This Row],[Costo total]]*1.5</f>
        <v>31.17</v>
      </c>
      <c r="W639" s="54">
        <f>STOCK[[#This Row],[Precio Final]]-STOCK[[#This Row],[Costo total]]</f>
        <v>-20.78</v>
      </c>
      <c r="X639" s="54">
        <f>STOCK[[#This Row],[Ganancia Unitaria]]*STOCK[[#This Row],[Salidas]]</f>
        <v>-20.78</v>
      </c>
      <c r="Y639" s="54" t="s">
        <v>1159</v>
      </c>
      <c r="AA639" s="54">
        <f>STOCK[[#This Row],[Costo total]]*STOCK[[#This Row],[Entradas]]</f>
        <v>20.78</v>
      </c>
      <c r="AB639" s="54">
        <f>STOCK[[#This Row],[Stock Actual]]*STOCK[[#This Row],[Costo total]]</f>
        <v>0</v>
      </c>
    </row>
    <row r="640" spans="1:28" s="53" customFormat="1" ht="50" customHeight="1">
      <c r="A640" s="53" t="s">
        <v>1290</v>
      </c>
      <c r="B640" s="64"/>
      <c r="C640" s="53" t="s">
        <v>32</v>
      </c>
      <c r="D640" s="53" t="s">
        <v>174</v>
      </c>
      <c r="E640" s="65" t="s">
        <v>1270</v>
      </c>
      <c r="F640" s="53" t="s">
        <v>993</v>
      </c>
      <c r="G640" s="53" t="s">
        <v>36</v>
      </c>
      <c r="H640" s="53">
        <f>STOCK[[#This Row],[Precio Final]]</f>
        <v>10</v>
      </c>
      <c r="I640" s="53">
        <f>STOCK[[#This Row],[Precio Venta Ideal (x1.5)]]</f>
        <v>11.595000000000001</v>
      </c>
      <c r="J640" s="69">
        <v>1</v>
      </c>
      <c r="K640" s="69">
        <f>SUMIFS(VENTAS[Cantidad],VENTAS[Código del producto Vendido],STOCK[[#This Row],[Code]])</f>
        <v>1</v>
      </c>
      <c r="L640" s="69">
        <f>STOCK[[#This Row],[Entradas]]-STOCK[[#This Row],[Salidas]]</f>
        <v>0</v>
      </c>
      <c r="M640" s="53">
        <f>STOCK[[#This Row],[Precio Final]]*10%</f>
        <v>1</v>
      </c>
      <c r="N640" s="53">
        <v>0</v>
      </c>
      <c r="O640" s="53">
        <v>4.5199999999999996</v>
      </c>
      <c r="P640" s="53">
        <v>3.73</v>
      </c>
      <c r="Q640" s="69">
        <v>0</v>
      </c>
      <c r="R640" s="53">
        <v>0</v>
      </c>
      <c r="S640" s="53">
        <v>3</v>
      </c>
      <c r="T640" s="53">
        <f>STOCK[[#This Row],[Costo Unitario (USD)]]+STOCK[[#This Row],[Costo Envío (USD)]]+STOCK[[#This Row],[Comisión 10%]]</f>
        <v>7.73</v>
      </c>
      <c r="U640" s="53">
        <f>STOCK[[#This Row],[Costo total]]*1.5</f>
        <v>11.595000000000001</v>
      </c>
      <c r="V640" s="53">
        <v>10</v>
      </c>
      <c r="W640" s="53">
        <f>STOCK[[#This Row],[Precio Final]]-STOCK[[#This Row],[Costo total]]</f>
        <v>2.2699999999999996</v>
      </c>
      <c r="X640" s="53">
        <f>STOCK[[#This Row],[Ganancia Unitaria]]*STOCK[[#This Row],[Salidas]]</f>
        <v>2.2699999999999996</v>
      </c>
      <c r="Y640" s="53" t="s">
        <v>1159</v>
      </c>
      <c r="AA640" s="53">
        <f>STOCK[[#This Row],[Costo total]]*STOCK[[#This Row],[Entradas]]</f>
        <v>7.73</v>
      </c>
      <c r="AB640" s="53">
        <f>STOCK[[#This Row],[Stock Actual]]*STOCK[[#This Row],[Costo total]]</f>
        <v>0</v>
      </c>
    </row>
    <row r="641" spans="1:29" s="54" customFormat="1" ht="50" customHeight="1">
      <c r="A641" s="54" t="s">
        <v>1291</v>
      </c>
      <c r="B641" s="64"/>
      <c r="C641" s="54" t="s">
        <v>32</v>
      </c>
      <c r="D641" s="54" t="s">
        <v>174</v>
      </c>
      <c r="E641" s="66" t="s">
        <v>1292</v>
      </c>
      <c r="F641" s="54" t="s">
        <v>40</v>
      </c>
      <c r="G641" s="54" t="s">
        <v>36</v>
      </c>
      <c r="H641" s="54">
        <f>STOCK[[#This Row],[Precio Final]]</f>
        <v>10</v>
      </c>
      <c r="I641" s="54">
        <f>STOCK[[#This Row],[Precio Venta Ideal (x1.5)]]</f>
        <v>11.595000000000001</v>
      </c>
      <c r="J641" s="70">
        <v>2</v>
      </c>
      <c r="K641" s="70">
        <f>SUMIFS(VENTAS[Cantidad],VENTAS[Código del producto Vendido],STOCK[[#This Row],[Code]])</f>
        <v>0</v>
      </c>
      <c r="L641" s="70">
        <f>STOCK[[#This Row],[Entradas]]-STOCK[[#This Row],[Salidas]]</f>
        <v>2</v>
      </c>
      <c r="M641" s="54">
        <f>STOCK[[#This Row],[Precio Final]]*10%</f>
        <v>1</v>
      </c>
      <c r="N641" s="54">
        <v>0</v>
      </c>
      <c r="O641" s="54">
        <v>4.5199999999999996</v>
      </c>
      <c r="P641" s="54">
        <v>3.73</v>
      </c>
      <c r="Q641" s="70">
        <v>0</v>
      </c>
      <c r="R641" s="54">
        <v>0</v>
      </c>
      <c r="S641" s="54">
        <v>3</v>
      </c>
      <c r="T641" s="53">
        <f>STOCK[[#This Row],[Costo Unitario (USD)]]+STOCK[[#This Row],[Costo Envío (USD)]]+STOCK[[#This Row],[Comisión 10%]]</f>
        <v>7.73</v>
      </c>
      <c r="U641" s="54">
        <f>STOCK[[#This Row],[Costo total]]*1.5</f>
        <v>11.595000000000001</v>
      </c>
      <c r="V641" s="54">
        <v>10</v>
      </c>
      <c r="W641" s="54">
        <f>STOCK[[#This Row],[Precio Final]]-STOCK[[#This Row],[Costo total]]</f>
        <v>2.2699999999999996</v>
      </c>
      <c r="X641" s="54">
        <f>STOCK[[#This Row],[Ganancia Unitaria]]*STOCK[[#This Row],[Salidas]]</f>
        <v>0</v>
      </c>
      <c r="Y641" s="54" t="s">
        <v>1159</v>
      </c>
      <c r="AA641" s="54">
        <f>STOCK[[#This Row],[Costo total]]*STOCK[[#This Row],[Entradas]]</f>
        <v>15.46</v>
      </c>
      <c r="AB641" s="54">
        <f>STOCK[[#This Row],[Stock Actual]]*STOCK[[#This Row],[Costo total]]</f>
        <v>15.46</v>
      </c>
    </row>
    <row r="642" spans="1:29" s="53" customFormat="1" ht="50" customHeight="1">
      <c r="A642" s="53" t="s">
        <v>1293</v>
      </c>
      <c r="B642" s="64"/>
      <c r="C642" s="53" t="s">
        <v>32</v>
      </c>
      <c r="D642" s="53" t="s">
        <v>196</v>
      </c>
      <c r="E642" s="65" t="s">
        <v>1294</v>
      </c>
      <c r="F642" s="53" t="s">
        <v>1295</v>
      </c>
      <c r="G642" s="53" t="s">
        <v>1296</v>
      </c>
      <c r="H642" s="53">
        <f>STOCK[[#This Row],[Precio Final]]</f>
        <v>35</v>
      </c>
      <c r="I642" s="53">
        <f>STOCK[[#This Row],[Precio Venta Ideal (x1.5)]]</f>
        <v>36.435000000000002</v>
      </c>
      <c r="J642" s="69">
        <v>8</v>
      </c>
      <c r="K642" s="69">
        <f>SUMIFS(VENTAS[Cantidad],VENTAS[Código del producto Vendido],STOCK[[#This Row],[Code]])</f>
        <v>8</v>
      </c>
      <c r="L642" s="69">
        <f>STOCK[[#This Row],[Entradas]]-STOCK[[#This Row],[Salidas]]</f>
        <v>0</v>
      </c>
      <c r="M642" s="53">
        <f>STOCK[[#This Row],[Precio Final]]*10%</f>
        <v>3.5</v>
      </c>
      <c r="N642" s="53">
        <v>7.21</v>
      </c>
      <c r="O642" s="53">
        <v>113.95</v>
      </c>
      <c r="P642" s="53">
        <v>15.79</v>
      </c>
      <c r="Q642" s="69">
        <v>0</v>
      </c>
      <c r="R642" s="53">
        <v>0</v>
      </c>
      <c r="S642" s="53">
        <v>5</v>
      </c>
      <c r="T642" s="53">
        <f>STOCK[[#This Row],[Costo Unitario (USD)]]+STOCK[[#This Row],[Costo Envío (USD)]]+STOCK[[#This Row],[Comisión 10%]]</f>
        <v>24.29</v>
      </c>
      <c r="U642" s="53">
        <f>STOCK[[#This Row],[Costo total]]*1.5</f>
        <v>36.435000000000002</v>
      </c>
      <c r="V642" s="53">
        <v>35</v>
      </c>
      <c r="W642" s="53">
        <f>STOCK[[#This Row],[Precio Final]]-STOCK[[#This Row],[Costo total]]</f>
        <v>10.71</v>
      </c>
      <c r="X642" s="53">
        <f>STOCK[[#This Row],[Ganancia Unitaria]]*STOCK[[#This Row],[Salidas]]</f>
        <v>85.68</v>
      </c>
      <c r="AA642" s="53">
        <f>STOCK[[#This Row],[Costo total]]*STOCK[[#This Row],[Entradas]]</f>
        <v>194.32</v>
      </c>
      <c r="AB642" s="53">
        <f>STOCK[[#This Row],[Stock Actual]]*STOCK[[#This Row],[Costo total]]</f>
        <v>0</v>
      </c>
      <c r="AC642" s="53">
        <v>30</v>
      </c>
    </row>
    <row r="643" spans="1:29" s="54" customFormat="1" ht="50" customHeight="1">
      <c r="B643" s="64"/>
      <c r="E643" s="66"/>
      <c r="H643" s="54">
        <f>STOCK[[#This Row],[Precio Final]]</f>
        <v>0</v>
      </c>
      <c r="I643" s="54">
        <f>STOCK[[#This Row],[Precio Venta Ideal (x1.5)]]</f>
        <v>0</v>
      </c>
      <c r="J643" s="70"/>
      <c r="K643" s="70">
        <f>SUMIFS(VENTAS[Cantidad],VENTAS[Código del producto Vendido],STOCK[[#This Row],[Code]])</f>
        <v>0</v>
      </c>
      <c r="L643" s="70">
        <f>STOCK[[#This Row],[Entradas]]-STOCK[[#This Row],[Salidas]]</f>
        <v>0</v>
      </c>
      <c r="M643" s="54">
        <f>STOCK[[#This Row],[Precio Final]]*10%</f>
        <v>0</v>
      </c>
      <c r="Q643" s="70">
        <v>0</v>
      </c>
      <c r="R643" s="54">
        <v>0</v>
      </c>
      <c r="T643" s="53">
        <f>STOCK[[#This Row],[Costo Unitario (USD)]]+STOCK[[#This Row],[Costo Envío (USD)]]+STOCK[[#This Row],[Comisión 10%]]</f>
        <v>0</v>
      </c>
      <c r="U643" s="54">
        <f>STOCK[[#This Row],[Costo total]]*1.5</f>
        <v>0</v>
      </c>
      <c r="W643" s="54">
        <f>STOCK[[#This Row],[Precio Final]]-STOCK[[#This Row],[Costo total]]</f>
        <v>0</v>
      </c>
      <c r="X643" s="54">
        <f>STOCK[[#This Row],[Ganancia Unitaria]]*STOCK[[#This Row],[Salidas]]</f>
        <v>0</v>
      </c>
      <c r="AA643" s="54">
        <f>STOCK[[#This Row],[Costo total]]*STOCK[[#This Row],[Entradas]]</f>
        <v>0</v>
      </c>
      <c r="AB643" s="54">
        <f>STOCK[[#This Row],[Stock Actual]]*STOCK[[#This Row],[Costo total]]</f>
        <v>0</v>
      </c>
    </row>
    <row r="644" spans="1:29" s="53" customFormat="1" ht="50" customHeight="1">
      <c r="A644" s="53" t="s">
        <v>1297</v>
      </c>
      <c r="B644" s="64"/>
      <c r="C644" s="53" t="s">
        <v>32</v>
      </c>
      <c r="D644" s="53" t="s">
        <v>196</v>
      </c>
      <c r="E644" s="65" t="s">
        <v>1298</v>
      </c>
      <c r="F644" s="53" t="s">
        <v>49</v>
      </c>
      <c r="G644" s="53" t="s">
        <v>1296</v>
      </c>
      <c r="H644" s="53">
        <f>STOCK[[#This Row],[Precio Final]]</f>
        <v>30</v>
      </c>
      <c r="I644" s="53">
        <f>STOCK[[#This Row],[Precio Venta Ideal (x1.5)]]</f>
        <v>31.5</v>
      </c>
      <c r="J644" s="69">
        <v>4</v>
      </c>
      <c r="K644" s="69">
        <f>SUMIFS(VENTAS[Cantidad],VENTAS[Código del producto Vendido],STOCK[[#This Row],[Code]])</f>
        <v>1</v>
      </c>
      <c r="L644" s="69">
        <f>STOCK[[#This Row],[Entradas]]-STOCK[[#This Row],[Salidas]]</f>
        <v>3</v>
      </c>
      <c r="M644" s="53">
        <f>STOCK[[#This Row],[Precio Final]]*10%</f>
        <v>3</v>
      </c>
      <c r="N644" s="53">
        <v>10.47</v>
      </c>
      <c r="O644" s="53">
        <v>17.53</v>
      </c>
      <c r="P644" s="53">
        <v>13</v>
      </c>
      <c r="Q644" s="69">
        <v>0</v>
      </c>
      <c r="R644" s="53">
        <v>0</v>
      </c>
      <c r="S644" s="53">
        <v>5</v>
      </c>
      <c r="T644" s="53">
        <f>STOCK[[#This Row],[Costo Unitario (USD)]]+STOCK[[#This Row],[Costo Envío (USD)]]+STOCK[[#This Row],[Comisión 10%]]</f>
        <v>21</v>
      </c>
      <c r="U644" s="53">
        <f>STOCK[[#This Row],[Costo total]]*1.5</f>
        <v>31.5</v>
      </c>
      <c r="V644" s="53">
        <v>30</v>
      </c>
      <c r="W644" s="53">
        <f>STOCK[[#This Row],[Precio Final]]-STOCK[[#This Row],[Costo total]]</f>
        <v>9</v>
      </c>
      <c r="X644" s="53">
        <f>STOCK[[#This Row],[Ganancia Unitaria]]*STOCK[[#This Row],[Salidas]]</f>
        <v>9</v>
      </c>
      <c r="AA644" s="53">
        <f>STOCK[[#This Row],[Costo total]]*STOCK[[#This Row],[Entradas]]</f>
        <v>84</v>
      </c>
      <c r="AB644" s="53">
        <f>STOCK[[#This Row],[Stock Actual]]*STOCK[[#This Row],[Costo total]]</f>
        <v>63</v>
      </c>
      <c r="AC644" s="53">
        <v>28</v>
      </c>
    </row>
    <row r="645" spans="1:29" s="54" customFormat="1" ht="50" customHeight="1">
      <c r="A645" s="54" t="s">
        <v>1299</v>
      </c>
      <c r="B645" s="64"/>
      <c r="C645" s="54" t="s">
        <v>32</v>
      </c>
      <c r="D645" s="54" t="s">
        <v>515</v>
      </c>
      <c r="E645" s="66" t="s">
        <v>1300</v>
      </c>
      <c r="F645" s="54" t="s">
        <v>1102</v>
      </c>
      <c r="G645" s="54" t="s">
        <v>1296</v>
      </c>
      <c r="H645" s="54">
        <f>STOCK[[#This Row],[Precio Final]]</f>
        <v>30</v>
      </c>
      <c r="I645" s="54">
        <f>STOCK[[#This Row],[Precio Venta Ideal (x1.5)]]</f>
        <v>33.734999999999999</v>
      </c>
      <c r="J645" s="70">
        <v>2</v>
      </c>
      <c r="K645" s="70">
        <f>SUMIFS(VENTAS[Cantidad],VENTAS[Código del producto Vendido],STOCK[[#This Row],[Code]])</f>
        <v>2</v>
      </c>
      <c r="L645" s="70">
        <f>STOCK[[#This Row],[Entradas]]-STOCK[[#This Row],[Salidas]]</f>
        <v>0</v>
      </c>
      <c r="M645" s="54">
        <f>STOCK[[#This Row],[Precio Final]]*10%</f>
        <v>3</v>
      </c>
      <c r="N645" s="54">
        <v>7.88</v>
      </c>
      <c r="O645" s="54">
        <v>0</v>
      </c>
      <c r="P645" s="54">
        <v>11.49</v>
      </c>
      <c r="Q645" s="70">
        <v>0</v>
      </c>
      <c r="R645" s="54">
        <v>0</v>
      </c>
      <c r="S645" s="54">
        <v>8</v>
      </c>
      <c r="T645" s="53">
        <f>STOCK[[#This Row],[Costo Unitario (USD)]]+STOCK[[#This Row],[Costo Envío (USD)]]+STOCK[[#This Row],[Comisión 10%]]</f>
        <v>22.490000000000002</v>
      </c>
      <c r="U645" s="54">
        <f>STOCK[[#This Row],[Costo total]]*1.5</f>
        <v>33.734999999999999</v>
      </c>
      <c r="V645" s="54">
        <v>30</v>
      </c>
      <c r="W645" s="54">
        <f>STOCK[[#This Row],[Precio Final]]-STOCK[[#This Row],[Costo total]]</f>
        <v>7.509999999999998</v>
      </c>
      <c r="X645" s="54">
        <f>STOCK[[#This Row],[Ganancia Unitaria]]*STOCK[[#This Row],[Salidas]]</f>
        <v>15.019999999999996</v>
      </c>
      <c r="AA645" s="54">
        <f>STOCK[[#This Row],[Costo total]]*STOCK[[#This Row],[Entradas]]</f>
        <v>44.980000000000004</v>
      </c>
      <c r="AB645" s="54">
        <f>STOCK[[#This Row],[Stock Actual]]*STOCK[[#This Row],[Costo total]]</f>
        <v>0</v>
      </c>
    </row>
    <row r="646" spans="1:29" s="53" customFormat="1" ht="50" customHeight="1">
      <c r="A646" s="53" t="s">
        <v>1301</v>
      </c>
      <c r="B646" s="64"/>
      <c r="C646" s="53" t="s">
        <v>32</v>
      </c>
      <c r="D646" s="53" t="s">
        <v>515</v>
      </c>
      <c r="E646" s="65" t="s">
        <v>1302</v>
      </c>
      <c r="F646" s="53" t="s">
        <v>49</v>
      </c>
      <c r="G646" s="53" t="s">
        <v>1296</v>
      </c>
      <c r="H646" s="53">
        <f>STOCK[[#This Row],[Precio Final]]</f>
        <v>18</v>
      </c>
      <c r="I646" s="53">
        <f>STOCK[[#This Row],[Precio Venta Ideal (x1.5)]]</f>
        <v>20.700000000000003</v>
      </c>
      <c r="J646" s="69">
        <v>1</v>
      </c>
      <c r="K646" s="69">
        <f>SUMIFS(VENTAS[Cantidad],VENTAS[Código del producto Vendido],STOCK[[#This Row],[Code]])</f>
        <v>1</v>
      </c>
      <c r="L646" s="69">
        <f>STOCK[[#This Row],[Entradas]]-STOCK[[#This Row],[Salidas]]</f>
        <v>0</v>
      </c>
      <c r="M646" s="53">
        <f>STOCK[[#This Row],[Precio Final]]*10%</f>
        <v>1.8</v>
      </c>
      <c r="N646" s="53">
        <v>7.88</v>
      </c>
      <c r="O646" s="53">
        <v>0</v>
      </c>
      <c r="P646" s="53">
        <v>7</v>
      </c>
      <c r="Q646" s="69">
        <v>0</v>
      </c>
      <c r="R646" s="53">
        <v>0</v>
      </c>
      <c r="S646" s="53">
        <v>5</v>
      </c>
      <c r="T646" s="53">
        <f>STOCK[[#This Row],[Costo Unitario (USD)]]+STOCK[[#This Row],[Costo Envío (USD)]]+STOCK[[#This Row],[Comisión 10%]]</f>
        <v>13.8</v>
      </c>
      <c r="U646" s="53">
        <f>STOCK[[#This Row],[Costo total]]*1.5</f>
        <v>20.700000000000003</v>
      </c>
      <c r="V646" s="53">
        <v>18</v>
      </c>
      <c r="W646" s="53">
        <f>STOCK[[#This Row],[Precio Final]]-STOCK[[#This Row],[Costo total]]</f>
        <v>4.1999999999999993</v>
      </c>
      <c r="X646" s="53">
        <f>STOCK[[#This Row],[Ganancia Unitaria]]*STOCK[[#This Row],[Salidas]]</f>
        <v>4.1999999999999993</v>
      </c>
      <c r="AA646" s="53">
        <f>STOCK[[#This Row],[Costo total]]*STOCK[[#This Row],[Entradas]]</f>
        <v>13.8</v>
      </c>
      <c r="AB646" s="53">
        <f>STOCK[[#This Row],[Stock Actual]]*STOCK[[#This Row],[Costo total]]</f>
        <v>0</v>
      </c>
    </row>
    <row r="647" spans="1:29" s="54" customFormat="1" ht="50" customHeight="1">
      <c r="A647" s="54" t="s">
        <v>1303</v>
      </c>
      <c r="B647" s="64"/>
      <c r="C647" s="54" t="s">
        <v>32</v>
      </c>
      <c r="D647" s="54" t="s">
        <v>152</v>
      </c>
      <c r="E647" s="66" t="s">
        <v>1304</v>
      </c>
      <c r="F647" s="54" t="s">
        <v>1305</v>
      </c>
      <c r="G647" s="54" t="s">
        <v>1296</v>
      </c>
      <c r="H647" s="54">
        <f>STOCK[[#This Row],[Precio Final]]</f>
        <v>32</v>
      </c>
      <c r="I647" s="54">
        <f>STOCK[[#This Row],[Precio Venta Ideal (x1.5)]]</f>
        <v>40.484999999999999</v>
      </c>
      <c r="J647" s="70">
        <v>8</v>
      </c>
      <c r="K647" s="70">
        <f>SUMIFS(VENTAS[Cantidad],VENTAS[Código del producto Vendido],STOCK[[#This Row],[Code]])</f>
        <v>8</v>
      </c>
      <c r="L647" s="70">
        <f>STOCK[[#This Row],[Entradas]]-STOCK[[#This Row],[Salidas]]</f>
        <v>0</v>
      </c>
      <c r="M647" s="54">
        <f>STOCK[[#This Row],[Precio Final]]*10%</f>
        <v>3.2</v>
      </c>
      <c r="N647" s="54">
        <v>0</v>
      </c>
      <c r="O647" s="54">
        <v>25.79</v>
      </c>
      <c r="P647" s="54">
        <v>15.79</v>
      </c>
      <c r="Q647" s="70">
        <v>0</v>
      </c>
      <c r="R647" s="54">
        <v>0</v>
      </c>
      <c r="S647" s="54">
        <v>8</v>
      </c>
      <c r="T647" s="53">
        <f>STOCK[[#This Row],[Costo Unitario (USD)]]+STOCK[[#This Row],[Costo Envío (USD)]]+STOCK[[#This Row],[Comisión 10%]]</f>
        <v>26.99</v>
      </c>
      <c r="U647" s="54">
        <f>STOCK[[#This Row],[Costo total]]*1.5</f>
        <v>40.484999999999999</v>
      </c>
      <c r="V647" s="54">
        <v>32</v>
      </c>
      <c r="W647" s="54">
        <f>STOCK[[#This Row],[Precio Final]]-STOCK[[#This Row],[Costo total]]</f>
        <v>5.0100000000000016</v>
      </c>
      <c r="X647" s="54">
        <f>STOCK[[#This Row],[Ganancia Unitaria]]*STOCK[[#This Row],[Salidas]]</f>
        <v>40.080000000000013</v>
      </c>
      <c r="AA647" s="54">
        <f>STOCK[[#This Row],[Costo total]]*STOCK[[#This Row],[Entradas]]</f>
        <v>215.92</v>
      </c>
      <c r="AB647" s="54">
        <f>STOCK[[#This Row],[Stock Actual]]*STOCK[[#This Row],[Costo total]]</f>
        <v>0</v>
      </c>
    </row>
    <row r="648" spans="1:29" s="53" customFormat="1" ht="50" customHeight="1">
      <c r="A648" s="53" t="s">
        <v>1306</v>
      </c>
      <c r="B648" s="64"/>
      <c r="C648" s="53" t="s">
        <v>32</v>
      </c>
      <c r="D648" s="53" t="s">
        <v>152</v>
      </c>
      <c r="E648" s="65" t="s">
        <v>1307</v>
      </c>
      <c r="F648" s="53" t="s">
        <v>49</v>
      </c>
      <c r="G648" s="53" t="s">
        <v>1296</v>
      </c>
      <c r="H648" s="53">
        <f>STOCK[[#This Row],[Precio Final]]</f>
        <v>32</v>
      </c>
      <c r="I648" s="53">
        <f>STOCK[[#This Row],[Precio Venta Ideal (x1.5)]]</f>
        <v>40.484999999999999</v>
      </c>
      <c r="J648" s="69">
        <v>2</v>
      </c>
      <c r="K648" s="69">
        <f>SUMIFS(VENTAS[Cantidad],VENTAS[Código del producto Vendido],STOCK[[#This Row],[Code]])</f>
        <v>2</v>
      </c>
      <c r="L648" s="69">
        <f>STOCK[[#This Row],[Entradas]]-STOCK[[#This Row],[Salidas]]</f>
        <v>0</v>
      </c>
      <c r="M648" s="53">
        <f>STOCK[[#This Row],[Precio Final]]*10%</f>
        <v>3.2</v>
      </c>
      <c r="N648" s="53">
        <v>-21.21</v>
      </c>
      <c r="O648" s="53">
        <v>0</v>
      </c>
      <c r="P648" s="53">
        <v>15.79</v>
      </c>
      <c r="Q648" s="69">
        <v>0</v>
      </c>
      <c r="R648" s="53">
        <v>0</v>
      </c>
      <c r="S648" s="53">
        <v>8</v>
      </c>
      <c r="T648" s="53">
        <f>STOCK[[#This Row],[Costo Unitario (USD)]]+STOCK[[#This Row],[Costo Envío (USD)]]+STOCK[[#This Row],[Comisión 10%]]</f>
        <v>26.99</v>
      </c>
      <c r="U648" s="53">
        <f>STOCK[[#This Row],[Costo total]]*1.5</f>
        <v>40.484999999999999</v>
      </c>
      <c r="V648" s="53">
        <v>32</v>
      </c>
      <c r="W648" s="53">
        <f>STOCK[[#This Row],[Precio Final]]-STOCK[[#This Row],[Costo total]]</f>
        <v>5.0100000000000016</v>
      </c>
      <c r="X648" s="53">
        <f>STOCK[[#This Row],[Ganancia Unitaria]]*STOCK[[#This Row],[Salidas]]</f>
        <v>10.020000000000003</v>
      </c>
      <c r="AA648" s="53">
        <f>STOCK[[#This Row],[Costo total]]*STOCK[[#This Row],[Entradas]]</f>
        <v>53.98</v>
      </c>
      <c r="AB648" s="53">
        <f>STOCK[[#This Row],[Stock Actual]]*STOCK[[#This Row],[Costo total]]</f>
        <v>0</v>
      </c>
    </row>
    <row r="649" spans="1:29" s="54" customFormat="1" ht="50" customHeight="1">
      <c r="A649" s="54" t="s">
        <v>1308</v>
      </c>
      <c r="B649" s="64"/>
      <c r="C649" s="54" t="s">
        <v>32</v>
      </c>
      <c r="D649" s="54" t="s">
        <v>515</v>
      </c>
      <c r="E649" s="66" t="s">
        <v>1300</v>
      </c>
      <c r="F649" s="54" t="s">
        <v>765</v>
      </c>
      <c r="G649" s="54" t="s">
        <v>1296</v>
      </c>
      <c r="H649" s="54">
        <f>STOCK[[#This Row],[Precio Final]]</f>
        <v>35</v>
      </c>
      <c r="I649" s="54">
        <f>STOCK[[#This Row],[Precio Venta Ideal (x1.5)]]</f>
        <v>34.484999999999999</v>
      </c>
      <c r="J649" s="70">
        <v>1</v>
      </c>
      <c r="K649" s="70">
        <f>SUMIFS(VENTAS[Cantidad],VENTAS[Código del producto Vendido],STOCK[[#This Row],[Code]])</f>
        <v>1</v>
      </c>
      <c r="L649" s="70">
        <f>STOCK[[#This Row],[Entradas]]-STOCK[[#This Row],[Salidas]]</f>
        <v>0</v>
      </c>
      <c r="M649" s="54">
        <f>STOCK[[#This Row],[Precio Final]]*10%</f>
        <v>3.5</v>
      </c>
      <c r="N649" s="54">
        <v>-6.67</v>
      </c>
      <c r="O649" s="54">
        <v>0</v>
      </c>
      <c r="P649" s="54">
        <v>11.49</v>
      </c>
      <c r="Q649" s="70">
        <v>0</v>
      </c>
      <c r="R649" s="54">
        <v>0</v>
      </c>
      <c r="S649" s="54">
        <v>8</v>
      </c>
      <c r="T649" s="53">
        <f>STOCK[[#This Row],[Costo Unitario (USD)]]+STOCK[[#This Row],[Costo Envío (USD)]]+STOCK[[#This Row],[Comisión 10%]]</f>
        <v>22.990000000000002</v>
      </c>
      <c r="U649" s="54">
        <f>STOCK[[#This Row],[Costo total]]*1.5</f>
        <v>34.484999999999999</v>
      </c>
      <c r="V649" s="54">
        <v>35</v>
      </c>
      <c r="W649" s="54">
        <f>STOCK[[#This Row],[Precio Final]]-STOCK[[#This Row],[Costo total]]</f>
        <v>12.009999999999998</v>
      </c>
      <c r="X649" s="54">
        <f>STOCK[[#This Row],[Ganancia Unitaria]]*STOCK[[#This Row],[Salidas]]</f>
        <v>12.009999999999998</v>
      </c>
      <c r="AA649" s="54">
        <f>STOCK[[#This Row],[Costo total]]*STOCK[[#This Row],[Entradas]]</f>
        <v>22.990000000000002</v>
      </c>
      <c r="AB649" s="54">
        <f>STOCK[[#This Row],[Stock Actual]]*STOCK[[#This Row],[Costo total]]</f>
        <v>0</v>
      </c>
    </row>
    <row r="650" spans="1:29" s="53" customFormat="1" ht="50" customHeight="1">
      <c r="A650" s="53" t="s">
        <v>1309</v>
      </c>
      <c r="B650" s="64"/>
      <c r="C650" s="53" t="s">
        <v>32</v>
      </c>
      <c r="D650" s="53" t="s">
        <v>515</v>
      </c>
      <c r="E650" s="65" t="s">
        <v>1310</v>
      </c>
      <c r="F650" s="53" t="s">
        <v>49</v>
      </c>
      <c r="G650" s="53" t="s">
        <v>1296</v>
      </c>
      <c r="H650" s="53">
        <f>STOCK[[#This Row],[Precio Final]]</f>
        <v>18</v>
      </c>
      <c r="I650" s="53">
        <f>STOCK[[#This Row],[Precio Venta Ideal (x1.5)]]</f>
        <v>21.435000000000002</v>
      </c>
      <c r="J650" s="69">
        <v>1</v>
      </c>
      <c r="K650" s="69">
        <f>SUMIFS(VENTAS[Cantidad],VENTAS[Código del producto Vendido],STOCK[[#This Row],[Code]])</f>
        <v>1</v>
      </c>
      <c r="L650" s="69">
        <f>STOCK[[#This Row],[Entradas]]-STOCK[[#This Row],[Salidas]]</f>
        <v>0</v>
      </c>
      <c r="M650" s="53">
        <f>STOCK[[#This Row],[Precio Final]]*10%</f>
        <v>1.8</v>
      </c>
      <c r="N650" s="53">
        <v>7.12</v>
      </c>
      <c r="O650" s="53">
        <v>0</v>
      </c>
      <c r="P650" s="53">
        <v>7.49</v>
      </c>
      <c r="Q650" s="69">
        <v>0</v>
      </c>
      <c r="R650" s="53">
        <v>0</v>
      </c>
      <c r="S650" s="53">
        <v>5</v>
      </c>
      <c r="T650" s="53">
        <f>STOCK[[#This Row],[Costo Unitario (USD)]]+STOCK[[#This Row],[Costo Envío (USD)]]+STOCK[[#This Row],[Comisión 10%]]</f>
        <v>14.290000000000001</v>
      </c>
      <c r="U650" s="53">
        <f>STOCK[[#This Row],[Costo total]]*1.5</f>
        <v>21.435000000000002</v>
      </c>
      <c r="V650" s="53">
        <v>18</v>
      </c>
      <c r="W650" s="53">
        <f>STOCK[[#This Row],[Precio Final]]-STOCK[[#This Row],[Costo total]]</f>
        <v>3.7099999999999991</v>
      </c>
      <c r="X650" s="53">
        <f>STOCK[[#This Row],[Ganancia Unitaria]]*STOCK[[#This Row],[Salidas]]</f>
        <v>3.7099999999999991</v>
      </c>
      <c r="AA650" s="53">
        <f>STOCK[[#This Row],[Costo total]]*STOCK[[#This Row],[Entradas]]</f>
        <v>14.290000000000001</v>
      </c>
      <c r="AB650" s="53">
        <f>STOCK[[#This Row],[Stock Actual]]*STOCK[[#This Row],[Costo total]]</f>
        <v>0</v>
      </c>
    </row>
    <row r="651" spans="1:29" s="54" customFormat="1" ht="50" customHeight="1">
      <c r="A651" s="54" t="s">
        <v>1311</v>
      </c>
      <c r="B651" s="64"/>
      <c r="C651" s="54" t="s">
        <v>32</v>
      </c>
      <c r="D651" s="54" t="s">
        <v>152</v>
      </c>
      <c r="E651" s="66" t="s">
        <v>1312</v>
      </c>
      <c r="F651" s="54" t="s">
        <v>62</v>
      </c>
      <c r="G651" s="54" t="s">
        <v>1296</v>
      </c>
      <c r="H651" s="54">
        <f>STOCK[[#This Row],[Precio Final]]</f>
        <v>20</v>
      </c>
      <c r="I651" s="54">
        <f>STOCK[[#This Row],[Precio Venta Ideal (x1.5)]]</f>
        <v>19.5</v>
      </c>
      <c r="J651" s="70">
        <v>2</v>
      </c>
      <c r="K651" s="70">
        <f>SUMIFS(VENTAS[Cantidad],VENTAS[Código del producto Vendido],STOCK[[#This Row],[Code]])</f>
        <v>2</v>
      </c>
      <c r="L651" s="70">
        <f>STOCK[[#This Row],[Entradas]]-STOCK[[#This Row],[Salidas]]</f>
        <v>0</v>
      </c>
      <c r="M651" s="54">
        <f>STOCK[[#This Row],[Precio Final]]*10%</f>
        <v>2</v>
      </c>
      <c r="N651" s="54">
        <v>10</v>
      </c>
      <c r="O651" s="54">
        <v>0</v>
      </c>
      <c r="P651" s="54">
        <v>7</v>
      </c>
      <c r="Q651" s="70">
        <v>0</v>
      </c>
      <c r="R651" s="54">
        <v>0</v>
      </c>
      <c r="S651" s="54">
        <v>4</v>
      </c>
      <c r="T651" s="53">
        <f>STOCK[[#This Row],[Costo Unitario (USD)]]+STOCK[[#This Row],[Costo Envío (USD)]]+STOCK[[#This Row],[Comisión 10%]]</f>
        <v>13</v>
      </c>
      <c r="U651" s="54">
        <f>STOCK[[#This Row],[Costo total]]*1.5</f>
        <v>19.5</v>
      </c>
      <c r="V651" s="54">
        <v>20</v>
      </c>
      <c r="W651" s="54">
        <f>STOCK[[#This Row],[Precio Final]]-STOCK[[#This Row],[Costo total]]</f>
        <v>7</v>
      </c>
      <c r="X651" s="54">
        <f>STOCK[[#This Row],[Ganancia Unitaria]]*STOCK[[#This Row],[Salidas]]</f>
        <v>14</v>
      </c>
      <c r="AA651" s="54">
        <f>STOCK[[#This Row],[Costo total]]*STOCK[[#This Row],[Entradas]]</f>
        <v>26</v>
      </c>
      <c r="AB651" s="54">
        <f>STOCK[[#This Row],[Stock Actual]]*STOCK[[#This Row],[Costo total]]</f>
        <v>0</v>
      </c>
    </row>
    <row r="652" spans="1:29" s="53" customFormat="1" ht="50" customHeight="1">
      <c r="B652" s="64"/>
      <c r="E652" s="65"/>
      <c r="H652" s="53">
        <f>STOCK[[#This Row],[Precio Final]]</f>
        <v>0</v>
      </c>
      <c r="I652" s="53">
        <f>STOCK[[#This Row],[Precio Venta Ideal (x1.5)]]</f>
        <v>0</v>
      </c>
      <c r="J652" s="69"/>
      <c r="K652" s="69">
        <f>SUMIFS(VENTAS[Cantidad],VENTAS[Código del producto Vendido],STOCK[[#This Row],[Code]])</f>
        <v>0</v>
      </c>
      <c r="L652" s="69">
        <f>STOCK[[#This Row],[Entradas]]-STOCK[[#This Row],[Salidas]]</f>
        <v>0</v>
      </c>
      <c r="M652" s="53">
        <f>STOCK[[#This Row],[Precio Final]]*10%</f>
        <v>0</v>
      </c>
      <c r="Q652" s="69">
        <v>0</v>
      </c>
      <c r="R652" s="53">
        <v>0</v>
      </c>
      <c r="T652" s="53">
        <f>STOCK[[#This Row],[Costo Unitario (USD)]]+STOCK[[#This Row],[Costo Envío (USD)]]+STOCK[[#This Row],[Comisión 10%]]</f>
        <v>0</v>
      </c>
      <c r="U652" s="53">
        <f>STOCK[[#This Row],[Costo total]]*1.5</f>
        <v>0</v>
      </c>
      <c r="W652" s="53">
        <f>STOCK[[#This Row],[Precio Final]]-STOCK[[#This Row],[Costo total]]</f>
        <v>0</v>
      </c>
      <c r="X652" s="53">
        <f>STOCK[[#This Row],[Ganancia Unitaria]]*STOCK[[#This Row],[Salidas]]</f>
        <v>0</v>
      </c>
      <c r="AA652" s="53">
        <f>STOCK[[#This Row],[Costo total]]*STOCK[[#This Row],[Entradas]]</f>
        <v>0</v>
      </c>
      <c r="AB652" s="53">
        <f>STOCK[[#This Row],[Stock Actual]]*STOCK[[#This Row],[Costo total]]</f>
        <v>0</v>
      </c>
    </row>
    <row r="653" spans="1:29" s="54" customFormat="1" ht="50" customHeight="1">
      <c r="A653" s="54" t="s">
        <v>1313</v>
      </c>
      <c r="B653" s="64"/>
      <c r="C653" s="54" t="s">
        <v>32</v>
      </c>
      <c r="D653" s="54" t="s">
        <v>779</v>
      </c>
      <c r="E653" s="66" t="s">
        <v>1314</v>
      </c>
      <c r="F653" s="54" t="s">
        <v>62</v>
      </c>
      <c r="G653" s="54" t="s">
        <v>704</v>
      </c>
      <c r="H653" s="54">
        <f>STOCK[[#This Row],[Precio Final]]</f>
        <v>20</v>
      </c>
      <c r="I653" s="54">
        <f>STOCK[[#This Row],[Precio Venta Ideal (x1.5)]]</f>
        <v>15</v>
      </c>
      <c r="J653" s="70">
        <v>1</v>
      </c>
      <c r="K653" s="70">
        <f>SUMIFS(VENTAS[Cantidad],VENTAS[Código del producto Vendido],STOCK[[#This Row],[Code]])</f>
        <v>0</v>
      </c>
      <c r="L653" s="70">
        <f>STOCK[[#This Row],[Entradas]]-STOCK[[#This Row],[Salidas]]</f>
        <v>1</v>
      </c>
      <c r="M653" s="54">
        <f>STOCK[[#This Row],[Precio Final]]*10%</f>
        <v>2</v>
      </c>
      <c r="N653" s="54">
        <v>0</v>
      </c>
      <c r="O653" s="54">
        <v>13.94</v>
      </c>
      <c r="P653" s="54">
        <v>6</v>
      </c>
      <c r="Q653" s="70">
        <v>0</v>
      </c>
      <c r="R653" s="54">
        <v>0</v>
      </c>
      <c r="S653" s="54">
        <v>2</v>
      </c>
      <c r="T653" s="53">
        <f>STOCK[[#This Row],[Costo Unitario (USD)]]+STOCK[[#This Row],[Costo Envío (USD)]]+STOCK[[#This Row],[Comisión 10%]]</f>
        <v>10</v>
      </c>
      <c r="U653" s="54">
        <f>STOCK[[#This Row],[Costo total]]*1.5</f>
        <v>15</v>
      </c>
      <c r="V653" s="54">
        <v>20</v>
      </c>
      <c r="W653" s="54">
        <f>STOCK[[#This Row],[Precio Final]]-STOCK[[#This Row],[Costo total]]</f>
        <v>10</v>
      </c>
      <c r="X653" s="54">
        <f>STOCK[[#This Row],[Ganancia Unitaria]]*STOCK[[#This Row],[Salidas]]</f>
        <v>0</v>
      </c>
      <c r="AA653" s="54">
        <f>STOCK[[#This Row],[Costo total]]*STOCK[[#This Row],[Entradas]]</f>
        <v>10</v>
      </c>
      <c r="AB653" s="54">
        <f>STOCK[[#This Row],[Stock Actual]]*STOCK[[#This Row],[Costo total]]</f>
        <v>10</v>
      </c>
    </row>
    <row r="654" spans="1:29" s="53" customFormat="1" ht="50" customHeight="1">
      <c r="A654" s="53" t="s">
        <v>1315</v>
      </c>
      <c r="B654" s="64"/>
      <c r="C654" s="53" t="s">
        <v>32</v>
      </c>
      <c r="D654" s="53" t="s">
        <v>174</v>
      </c>
      <c r="E654" s="65" t="s">
        <v>1316</v>
      </c>
      <c r="F654" s="53" t="s">
        <v>62</v>
      </c>
      <c r="G654" s="53" t="s">
        <v>704</v>
      </c>
      <c r="H654" s="53">
        <f>STOCK[[#This Row],[Precio Final]]</f>
        <v>40</v>
      </c>
      <c r="I654" s="53">
        <f>STOCK[[#This Row],[Precio Venta Ideal (x1.5)]]</f>
        <v>51</v>
      </c>
      <c r="J654" s="69">
        <v>2</v>
      </c>
      <c r="K654" s="69">
        <f>SUMIFS(VENTAS[Cantidad],VENTAS[Código del producto Vendido],STOCK[[#This Row],[Code]])</f>
        <v>2</v>
      </c>
      <c r="L654" s="69">
        <f>STOCK[[#This Row],[Entradas]]-STOCK[[#This Row],[Salidas]]</f>
        <v>0</v>
      </c>
      <c r="M654" s="53">
        <f>STOCK[[#This Row],[Precio Final]]*10%</f>
        <v>4</v>
      </c>
      <c r="N654" s="53">
        <v>0</v>
      </c>
      <c r="O654" s="53">
        <v>58.06</v>
      </c>
      <c r="P654" s="53">
        <v>24</v>
      </c>
      <c r="Q654" s="69">
        <v>0</v>
      </c>
      <c r="R654" s="53">
        <v>0</v>
      </c>
      <c r="S654" s="53">
        <v>6</v>
      </c>
      <c r="T654" s="53">
        <f>STOCK[[#This Row],[Costo Unitario (USD)]]+STOCK[[#This Row],[Costo Envío (USD)]]+STOCK[[#This Row],[Comisión 10%]]</f>
        <v>34</v>
      </c>
      <c r="U654" s="53">
        <f>STOCK[[#This Row],[Costo total]]*1.5</f>
        <v>51</v>
      </c>
      <c r="V654" s="53">
        <v>40</v>
      </c>
      <c r="W654" s="53">
        <f>STOCK[[#This Row],[Precio Final]]-STOCK[[#This Row],[Costo total]]</f>
        <v>6</v>
      </c>
      <c r="X654" s="53">
        <f>STOCK[[#This Row],[Ganancia Unitaria]]*STOCK[[#This Row],[Salidas]]</f>
        <v>12</v>
      </c>
      <c r="AA654" s="53">
        <f>STOCK[[#This Row],[Costo total]]*STOCK[[#This Row],[Entradas]]</f>
        <v>68</v>
      </c>
      <c r="AB654" s="53">
        <f>STOCK[[#This Row],[Stock Actual]]*STOCK[[#This Row],[Costo total]]</f>
        <v>0</v>
      </c>
    </row>
    <row r="655" spans="1:29" s="54" customFormat="1" ht="50" customHeight="1">
      <c r="A655" s="54" t="s">
        <v>1317</v>
      </c>
      <c r="B655" s="64"/>
      <c r="C655" s="54" t="s">
        <v>32</v>
      </c>
      <c r="D655" s="54" t="s">
        <v>174</v>
      </c>
      <c r="E655" s="66" t="s">
        <v>1318</v>
      </c>
      <c r="F655" s="54" t="s">
        <v>1319</v>
      </c>
      <c r="G655" s="54" t="s">
        <v>704</v>
      </c>
      <c r="H655" s="54">
        <f>STOCK[[#This Row],[Precio Final]]</f>
        <v>40</v>
      </c>
      <c r="I655" s="54">
        <f>STOCK[[#This Row],[Precio Venta Ideal (x1.5)]]</f>
        <v>51</v>
      </c>
      <c r="J655" s="70">
        <v>0</v>
      </c>
      <c r="K655" s="70">
        <f>SUMIFS(VENTAS[Cantidad],VENTAS[Código del producto Vendido],STOCK[[#This Row],[Code]])</f>
        <v>0</v>
      </c>
      <c r="L655" s="70">
        <f>STOCK[[#This Row],[Entradas]]-STOCK[[#This Row],[Salidas]]</f>
        <v>0</v>
      </c>
      <c r="M655" s="54">
        <f>STOCK[[#This Row],[Precio Final]]*10%</f>
        <v>4</v>
      </c>
      <c r="N655" s="54">
        <v>0</v>
      </c>
      <c r="O655" s="54">
        <v>23.03</v>
      </c>
      <c r="P655" s="54">
        <v>24</v>
      </c>
      <c r="Q655" s="70">
        <v>0</v>
      </c>
      <c r="R655" s="54">
        <v>0</v>
      </c>
      <c r="S655" s="54">
        <v>6</v>
      </c>
      <c r="T655" s="53">
        <f>STOCK[[#This Row],[Costo Unitario (USD)]]+STOCK[[#This Row],[Costo Envío (USD)]]+STOCK[[#This Row],[Comisión 10%]]</f>
        <v>34</v>
      </c>
      <c r="U655" s="54">
        <f>STOCK[[#This Row],[Costo total]]*1.5</f>
        <v>51</v>
      </c>
      <c r="V655" s="54">
        <v>40</v>
      </c>
      <c r="W655" s="54">
        <f>STOCK[[#This Row],[Precio Final]]-STOCK[[#This Row],[Costo total]]</f>
        <v>6</v>
      </c>
      <c r="X655" s="54">
        <f>STOCK[[#This Row],[Ganancia Unitaria]]*STOCK[[#This Row],[Salidas]]</f>
        <v>0</v>
      </c>
      <c r="AA655" s="54">
        <f>STOCK[[#This Row],[Costo total]]*STOCK[[#This Row],[Entradas]]</f>
        <v>0</v>
      </c>
      <c r="AB655" s="54">
        <f>STOCK[[#This Row],[Stock Actual]]*STOCK[[#This Row],[Costo total]]</f>
        <v>0</v>
      </c>
    </row>
    <row r="656" spans="1:29" s="53" customFormat="1" ht="50" customHeight="1">
      <c r="A656" s="53" t="s">
        <v>1320</v>
      </c>
      <c r="B656" s="64"/>
      <c r="C656" s="53" t="s">
        <v>32</v>
      </c>
      <c r="D656" s="53" t="s">
        <v>174</v>
      </c>
      <c r="E656" s="65" t="s">
        <v>1321</v>
      </c>
      <c r="F656" s="53" t="s">
        <v>777</v>
      </c>
      <c r="G656" s="53" t="s">
        <v>704</v>
      </c>
      <c r="H656" s="53">
        <f>STOCK[[#This Row],[Precio Final]]</f>
        <v>40</v>
      </c>
      <c r="I656" s="53">
        <f>STOCK[[#This Row],[Precio Venta Ideal (x1.5)]]</f>
        <v>43.125</v>
      </c>
      <c r="J656" s="69">
        <v>1</v>
      </c>
      <c r="K656" s="69">
        <f>SUMIFS(VENTAS[Cantidad],VENTAS[Código del producto Vendido],STOCK[[#This Row],[Code]])</f>
        <v>1</v>
      </c>
      <c r="L656" s="69">
        <f>STOCK[[#This Row],[Entradas]]-STOCK[[#This Row],[Salidas]]</f>
        <v>0</v>
      </c>
      <c r="M656" s="53">
        <f>STOCK[[#This Row],[Precio Final]]*10%</f>
        <v>4</v>
      </c>
      <c r="N656" s="53">
        <v>0</v>
      </c>
      <c r="O656" s="53">
        <v>23.03</v>
      </c>
      <c r="P656" s="53">
        <v>18.75</v>
      </c>
      <c r="Q656" s="69">
        <v>0</v>
      </c>
      <c r="R656" s="53">
        <v>0</v>
      </c>
      <c r="S656" s="53">
        <v>6</v>
      </c>
      <c r="T656" s="53">
        <f>STOCK[[#This Row],[Costo Unitario (USD)]]+STOCK[[#This Row],[Costo Envío (USD)]]+STOCK[[#This Row],[Comisión 10%]]</f>
        <v>28.75</v>
      </c>
      <c r="U656" s="53">
        <f>STOCK[[#This Row],[Costo total]]*1.5</f>
        <v>43.125</v>
      </c>
      <c r="V656" s="53">
        <v>40</v>
      </c>
      <c r="W656" s="53">
        <f>STOCK[[#This Row],[Precio Final]]-STOCK[[#This Row],[Costo total]]</f>
        <v>11.25</v>
      </c>
      <c r="X656" s="53">
        <f>STOCK[[#This Row],[Ganancia Unitaria]]*STOCK[[#This Row],[Salidas]]</f>
        <v>11.25</v>
      </c>
      <c r="AA656" s="53">
        <f>STOCK[[#This Row],[Costo total]]*STOCK[[#This Row],[Entradas]]</f>
        <v>28.75</v>
      </c>
      <c r="AB656" s="53">
        <f>STOCK[[#This Row],[Stock Actual]]*STOCK[[#This Row],[Costo total]]</f>
        <v>0</v>
      </c>
    </row>
    <row r="657" spans="1:28" s="54" customFormat="1" ht="50" customHeight="1">
      <c r="A657" s="54" t="s">
        <v>1322</v>
      </c>
      <c r="B657" s="64"/>
      <c r="C657" s="54" t="s">
        <v>32</v>
      </c>
      <c r="D657" s="54" t="s">
        <v>779</v>
      </c>
      <c r="E657" s="66" t="s">
        <v>1323</v>
      </c>
      <c r="F657" s="54" t="s">
        <v>42</v>
      </c>
      <c r="G657" s="54" t="s">
        <v>704</v>
      </c>
      <c r="H657" s="54">
        <f>STOCK[[#This Row],[Precio Final]]</f>
        <v>25</v>
      </c>
      <c r="I657" s="54">
        <f>STOCK[[#This Row],[Precio Venta Ideal (x1.5)]]</f>
        <v>32.25</v>
      </c>
      <c r="J657" s="70">
        <v>1</v>
      </c>
      <c r="K657" s="70">
        <f>SUMIFS(VENTAS[Cantidad],VENTAS[Código del producto Vendido],STOCK[[#This Row],[Code]])</f>
        <v>0</v>
      </c>
      <c r="L657" s="70">
        <f>STOCK[[#This Row],[Entradas]]-STOCK[[#This Row],[Salidas]]</f>
        <v>1</v>
      </c>
      <c r="M657" s="54">
        <f>STOCK[[#This Row],[Precio Final]]*10%</f>
        <v>2.5</v>
      </c>
      <c r="N657" s="54">
        <v>0</v>
      </c>
      <c r="O657" s="54">
        <v>15.15</v>
      </c>
      <c r="P657" s="54">
        <v>16</v>
      </c>
      <c r="Q657" s="70">
        <v>0</v>
      </c>
      <c r="R657" s="54">
        <v>0</v>
      </c>
      <c r="S657" s="54">
        <v>3</v>
      </c>
      <c r="T657" s="53">
        <f>STOCK[[#This Row],[Costo Unitario (USD)]]+STOCK[[#This Row],[Costo Envío (USD)]]+STOCK[[#This Row],[Comisión 10%]]</f>
        <v>21.5</v>
      </c>
      <c r="U657" s="54">
        <f>STOCK[[#This Row],[Costo total]]*1.5</f>
        <v>32.25</v>
      </c>
      <c r="V657" s="54">
        <v>25</v>
      </c>
      <c r="W657" s="54">
        <f>STOCK[[#This Row],[Precio Final]]-STOCK[[#This Row],[Costo total]]</f>
        <v>3.5</v>
      </c>
      <c r="X657" s="54">
        <f>STOCK[[#This Row],[Ganancia Unitaria]]*STOCK[[#This Row],[Salidas]]</f>
        <v>0</v>
      </c>
      <c r="AA657" s="54">
        <f>STOCK[[#This Row],[Costo total]]*STOCK[[#This Row],[Entradas]]</f>
        <v>21.5</v>
      </c>
      <c r="AB657" s="54">
        <f>STOCK[[#This Row],[Stock Actual]]*STOCK[[#This Row],[Costo total]]</f>
        <v>21.5</v>
      </c>
    </row>
    <row r="658" spans="1:28" s="53" customFormat="1" ht="50" customHeight="1">
      <c r="A658" s="53" t="s">
        <v>1324</v>
      </c>
      <c r="B658" s="64"/>
      <c r="C658" s="53" t="s">
        <v>32</v>
      </c>
      <c r="D658" s="54" t="s">
        <v>779</v>
      </c>
      <c r="E658" s="65" t="s">
        <v>1325</v>
      </c>
      <c r="F658" s="53" t="s">
        <v>42</v>
      </c>
      <c r="G658" s="53" t="s">
        <v>704</v>
      </c>
      <c r="H658" s="53">
        <f>STOCK[[#This Row],[Precio Final]]</f>
        <v>25</v>
      </c>
      <c r="I658" s="53">
        <f>STOCK[[#This Row],[Precio Venta Ideal (x1.5)]]</f>
        <v>21</v>
      </c>
      <c r="J658" s="69">
        <v>1</v>
      </c>
      <c r="K658" s="69">
        <f>SUMIFS(VENTAS[Cantidad],VENTAS[Código del producto Vendido],STOCK[[#This Row],[Code]])</f>
        <v>0</v>
      </c>
      <c r="L658" s="69">
        <f>STOCK[[#This Row],[Entradas]]-STOCK[[#This Row],[Salidas]]</f>
        <v>1</v>
      </c>
      <c r="M658" s="53">
        <f>STOCK[[#This Row],[Precio Final]]*10%</f>
        <v>2.5</v>
      </c>
      <c r="N658" s="53">
        <v>0</v>
      </c>
      <c r="O658" s="53">
        <v>15.15</v>
      </c>
      <c r="P658" s="53">
        <v>8.5</v>
      </c>
      <c r="Q658" s="69">
        <v>0</v>
      </c>
      <c r="R658" s="53">
        <v>0</v>
      </c>
      <c r="S658" s="53">
        <v>3</v>
      </c>
      <c r="T658" s="53">
        <f>STOCK[[#This Row],[Costo Unitario (USD)]]+STOCK[[#This Row],[Costo Envío (USD)]]+STOCK[[#This Row],[Comisión 10%]]</f>
        <v>14</v>
      </c>
      <c r="U658" s="53">
        <f>STOCK[[#This Row],[Costo total]]*1.5</f>
        <v>21</v>
      </c>
      <c r="V658" s="53">
        <v>25</v>
      </c>
      <c r="W658" s="53">
        <f>STOCK[[#This Row],[Precio Final]]-STOCK[[#This Row],[Costo total]]</f>
        <v>11</v>
      </c>
      <c r="X658" s="53">
        <f>STOCK[[#This Row],[Ganancia Unitaria]]*STOCK[[#This Row],[Salidas]]</f>
        <v>0</v>
      </c>
      <c r="AA658" s="53">
        <f>STOCK[[#This Row],[Costo total]]*STOCK[[#This Row],[Entradas]]</f>
        <v>14</v>
      </c>
      <c r="AB658" s="53">
        <f>STOCK[[#This Row],[Stock Actual]]*STOCK[[#This Row],[Costo total]]</f>
        <v>14</v>
      </c>
    </row>
    <row r="659" spans="1:28" s="54" customFormat="1" ht="50" customHeight="1">
      <c r="A659" s="54" t="s">
        <v>1326</v>
      </c>
      <c r="B659" s="64"/>
      <c r="C659" s="54" t="s">
        <v>32</v>
      </c>
      <c r="D659" s="54" t="s">
        <v>779</v>
      </c>
      <c r="E659" s="66" t="s">
        <v>1327</v>
      </c>
      <c r="F659" s="54" t="s">
        <v>62</v>
      </c>
      <c r="G659" s="54" t="s">
        <v>704</v>
      </c>
      <c r="H659" s="54">
        <f>STOCK[[#This Row],[Precio Final]]</f>
        <v>25</v>
      </c>
      <c r="I659" s="54">
        <f>STOCK[[#This Row],[Precio Venta Ideal (x1.5)]]</f>
        <v>32.25</v>
      </c>
      <c r="J659" s="70">
        <v>3</v>
      </c>
      <c r="K659" s="70">
        <f>SUMIFS(VENTAS[Cantidad],VENTAS[Código del producto Vendido],STOCK[[#This Row],[Code]])</f>
        <v>3</v>
      </c>
      <c r="L659" s="70">
        <f>STOCK[[#This Row],[Entradas]]-STOCK[[#This Row],[Salidas]]</f>
        <v>0</v>
      </c>
      <c r="M659" s="54">
        <f>STOCK[[#This Row],[Precio Final]]*10%</f>
        <v>2.5</v>
      </c>
      <c r="N659" s="54">
        <v>0</v>
      </c>
      <c r="O659" s="54">
        <v>30.3</v>
      </c>
      <c r="P659" s="54">
        <v>16</v>
      </c>
      <c r="Q659" s="70">
        <v>0</v>
      </c>
      <c r="R659" s="54">
        <v>0</v>
      </c>
      <c r="S659" s="54">
        <v>3</v>
      </c>
      <c r="T659" s="53">
        <f>STOCK[[#This Row],[Costo Unitario (USD)]]+STOCK[[#This Row],[Costo Envío (USD)]]+STOCK[[#This Row],[Comisión 10%]]</f>
        <v>21.5</v>
      </c>
      <c r="U659" s="54">
        <f>STOCK[[#This Row],[Costo total]]*1.5</f>
        <v>32.25</v>
      </c>
      <c r="V659" s="54">
        <v>25</v>
      </c>
      <c r="W659" s="54">
        <f>STOCK[[#This Row],[Precio Final]]-STOCK[[#This Row],[Costo total]]</f>
        <v>3.5</v>
      </c>
      <c r="X659" s="54">
        <f>STOCK[[#This Row],[Ganancia Unitaria]]*STOCK[[#This Row],[Salidas]]</f>
        <v>10.5</v>
      </c>
      <c r="AA659" s="54">
        <f>STOCK[[#This Row],[Costo total]]*STOCK[[#This Row],[Entradas]]</f>
        <v>64.5</v>
      </c>
      <c r="AB659" s="54">
        <f>STOCK[[#This Row],[Stock Actual]]*STOCK[[#This Row],[Costo total]]</f>
        <v>0</v>
      </c>
    </row>
    <row r="660" spans="1:28" s="53" customFormat="1" ht="50" customHeight="1">
      <c r="A660" s="53" t="s">
        <v>1328</v>
      </c>
      <c r="B660" s="64"/>
      <c r="C660" s="53" t="s">
        <v>32</v>
      </c>
      <c r="D660" s="53" t="s">
        <v>174</v>
      </c>
      <c r="E660" s="65" t="s">
        <v>1329</v>
      </c>
      <c r="F660" s="53" t="s">
        <v>1330</v>
      </c>
      <c r="G660" s="53" t="s">
        <v>36</v>
      </c>
      <c r="H660" s="53">
        <f>STOCK[[#This Row],[Precio Final]]</f>
        <v>20</v>
      </c>
      <c r="I660" s="53">
        <f>STOCK[[#This Row],[Precio Venta Ideal (x1.5)]]</f>
        <v>22.86</v>
      </c>
      <c r="J660" s="69">
        <v>1</v>
      </c>
      <c r="K660" s="69">
        <f>SUMIFS(VENTAS[Cantidad],VENTAS[Código del producto Vendido],STOCK[[#This Row],[Code]])</f>
        <v>1</v>
      </c>
      <c r="L660" s="69">
        <f>STOCK[[#This Row],[Entradas]]-STOCK[[#This Row],[Salidas]]</f>
        <v>0</v>
      </c>
      <c r="M660" s="53">
        <f>STOCK[[#This Row],[Precio Final]]*10%</f>
        <v>2</v>
      </c>
      <c r="N660" s="53">
        <v>0</v>
      </c>
      <c r="O660" s="53">
        <v>14.25</v>
      </c>
      <c r="P660" s="53">
        <v>11.53</v>
      </c>
      <c r="Q660" s="69">
        <v>0</v>
      </c>
      <c r="R660" s="53">
        <v>0</v>
      </c>
      <c r="S660" s="53">
        <v>1.71</v>
      </c>
      <c r="T660" s="53">
        <f>STOCK[[#This Row],[Costo Unitario (USD)]]+STOCK[[#This Row],[Costo Envío (USD)]]+STOCK[[#This Row],[Comisión 10%]]</f>
        <v>15.239999999999998</v>
      </c>
      <c r="U660" s="53">
        <f>STOCK[[#This Row],[Costo total]]*1.5</f>
        <v>22.86</v>
      </c>
      <c r="V660" s="53">
        <v>20</v>
      </c>
      <c r="W660" s="53">
        <f>STOCK[[#This Row],[Precio Final]]-STOCK[[#This Row],[Costo total]]</f>
        <v>4.7600000000000016</v>
      </c>
      <c r="X660" s="53">
        <f>STOCK[[#This Row],[Ganancia Unitaria]]*STOCK[[#This Row],[Salidas]]</f>
        <v>4.7600000000000016</v>
      </c>
      <c r="AA660" s="53">
        <f>STOCK[[#This Row],[Costo total]]*STOCK[[#This Row],[Entradas]]</f>
        <v>15.239999999999998</v>
      </c>
      <c r="AB660" s="53">
        <f>STOCK[[#This Row],[Stock Actual]]*STOCK[[#This Row],[Costo total]]</f>
        <v>0</v>
      </c>
    </row>
    <row r="661" spans="1:28" s="54" customFormat="1" ht="50" customHeight="1">
      <c r="A661" s="54" t="s">
        <v>1331</v>
      </c>
      <c r="B661" s="64"/>
      <c r="C661" s="54" t="s">
        <v>32</v>
      </c>
      <c r="D661" s="54" t="s">
        <v>174</v>
      </c>
      <c r="E661" s="66" t="s">
        <v>1332</v>
      </c>
      <c r="F661" s="54" t="s">
        <v>40</v>
      </c>
      <c r="G661" s="54" t="s">
        <v>36</v>
      </c>
      <c r="H661" s="54">
        <f>STOCK[[#This Row],[Precio Final]]</f>
        <v>20</v>
      </c>
      <c r="I661" s="54">
        <f>STOCK[[#This Row],[Precio Venta Ideal (x1.5)]]</f>
        <v>22.86</v>
      </c>
      <c r="J661" s="70">
        <v>1</v>
      </c>
      <c r="K661" s="70">
        <f>SUMIFS(VENTAS[Cantidad],VENTAS[Código del producto Vendido],STOCK[[#This Row],[Code]])</f>
        <v>1</v>
      </c>
      <c r="L661" s="70">
        <f>STOCK[[#This Row],[Entradas]]-STOCK[[#This Row],[Salidas]]</f>
        <v>0</v>
      </c>
      <c r="M661" s="54">
        <f>STOCK[[#This Row],[Precio Final]]*10%</f>
        <v>2</v>
      </c>
      <c r="N661" s="54">
        <v>0</v>
      </c>
      <c r="O661" s="54">
        <v>14.25</v>
      </c>
      <c r="P661" s="54">
        <v>11.53</v>
      </c>
      <c r="Q661" s="70">
        <v>0</v>
      </c>
      <c r="R661" s="54">
        <v>0</v>
      </c>
      <c r="S661" s="54">
        <v>1.71</v>
      </c>
      <c r="T661" s="53">
        <f>STOCK[[#This Row],[Costo Unitario (USD)]]+STOCK[[#This Row],[Costo Envío (USD)]]+STOCK[[#This Row],[Comisión 10%]]</f>
        <v>15.239999999999998</v>
      </c>
      <c r="U661" s="54">
        <f>STOCK[[#This Row],[Costo total]]*1.5</f>
        <v>22.86</v>
      </c>
      <c r="V661" s="54">
        <v>20</v>
      </c>
      <c r="W661" s="54">
        <f>STOCK[[#This Row],[Precio Final]]-STOCK[[#This Row],[Costo total]]</f>
        <v>4.7600000000000016</v>
      </c>
      <c r="X661" s="54">
        <f>STOCK[[#This Row],[Ganancia Unitaria]]*STOCK[[#This Row],[Salidas]]</f>
        <v>4.7600000000000016</v>
      </c>
      <c r="AA661" s="54">
        <f>STOCK[[#This Row],[Costo total]]*STOCK[[#This Row],[Entradas]]</f>
        <v>15.239999999999998</v>
      </c>
      <c r="AB661" s="54">
        <f>STOCK[[#This Row],[Stock Actual]]*STOCK[[#This Row],[Costo total]]</f>
        <v>0</v>
      </c>
    </row>
    <row r="662" spans="1:28" s="53" customFormat="1" ht="50" customHeight="1">
      <c r="A662" s="53" t="s">
        <v>1333</v>
      </c>
      <c r="B662" s="64"/>
      <c r="C662" s="53" t="s">
        <v>32</v>
      </c>
      <c r="D662" s="53" t="s">
        <v>174</v>
      </c>
      <c r="E662" s="65" t="s">
        <v>1334</v>
      </c>
      <c r="F662" s="53" t="s">
        <v>49</v>
      </c>
      <c r="G662" s="53" t="s">
        <v>36</v>
      </c>
      <c r="H662" s="53">
        <f>STOCK[[#This Row],[Precio Final]]</f>
        <v>20</v>
      </c>
      <c r="I662" s="53">
        <f>STOCK[[#This Row],[Precio Venta Ideal (x1.5)]]</f>
        <v>24.36</v>
      </c>
      <c r="J662" s="69">
        <v>1</v>
      </c>
      <c r="K662" s="69">
        <f>SUMIFS(VENTAS[Cantidad],VENTAS[Código del producto Vendido],STOCK[[#This Row],[Code]])</f>
        <v>1</v>
      </c>
      <c r="L662" s="69">
        <f>STOCK[[#This Row],[Entradas]]-STOCK[[#This Row],[Salidas]]</f>
        <v>0</v>
      </c>
      <c r="M662" s="53">
        <f>STOCK[[#This Row],[Precio Final]]*10%</f>
        <v>2</v>
      </c>
      <c r="N662" s="53">
        <v>0</v>
      </c>
      <c r="O662" s="53">
        <v>14.25</v>
      </c>
      <c r="P662" s="53">
        <v>12.53</v>
      </c>
      <c r="Q662" s="69">
        <v>0</v>
      </c>
      <c r="R662" s="53">
        <v>0</v>
      </c>
      <c r="S662" s="53">
        <v>1.71</v>
      </c>
      <c r="T662" s="53">
        <f>STOCK[[#This Row],[Costo Unitario (USD)]]+STOCK[[#This Row],[Costo Envío (USD)]]+STOCK[[#This Row],[Comisión 10%]]</f>
        <v>16.239999999999998</v>
      </c>
      <c r="U662" s="53">
        <f>STOCK[[#This Row],[Costo total]]*1.5</f>
        <v>24.36</v>
      </c>
      <c r="V662" s="53">
        <v>20</v>
      </c>
      <c r="W662" s="53">
        <f>STOCK[[#This Row],[Precio Final]]-STOCK[[#This Row],[Costo total]]</f>
        <v>3.7600000000000016</v>
      </c>
      <c r="X662" s="53">
        <f>STOCK[[#This Row],[Ganancia Unitaria]]*STOCK[[#This Row],[Salidas]]</f>
        <v>3.7600000000000016</v>
      </c>
      <c r="AA662" s="53">
        <f>STOCK[[#This Row],[Costo total]]*STOCK[[#This Row],[Entradas]]</f>
        <v>16.239999999999998</v>
      </c>
      <c r="AB662" s="53">
        <f>STOCK[[#This Row],[Stock Actual]]*STOCK[[#This Row],[Costo total]]</f>
        <v>0</v>
      </c>
    </row>
    <row r="663" spans="1:28" s="54" customFormat="1" ht="50" customHeight="1">
      <c r="A663" s="54" t="s">
        <v>1335</v>
      </c>
      <c r="B663" s="64"/>
      <c r="C663" s="54" t="s">
        <v>32</v>
      </c>
      <c r="D663" s="54" t="s">
        <v>174</v>
      </c>
      <c r="E663" s="66" t="s">
        <v>1336</v>
      </c>
      <c r="F663" s="54" t="s">
        <v>62</v>
      </c>
      <c r="G663" s="54" t="s">
        <v>36</v>
      </c>
      <c r="H663" s="54">
        <f>STOCK[[#This Row],[Precio Final]]</f>
        <v>20</v>
      </c>
      <c r="I663" s="54">
        <f>STOCK[[#This Row],[Precio Venta Ideal (x1.5)]]</f>
        <v>24.36</v>
      </c>
      <c r="J663" s="70">
        <v>1</v>
      </c>
      <c r="K663" s="70">
        <f>SUMIFS(VENTAS[Cantidad],VENTAS[Código del producto Vendido],STOCK[[#This Row],[Code]])</f>
        <v>1</v>
      </c>
      <c r="L663" s="70">
        <f>STOCK[[#This Row],[Entradas]]-STOCK[[#This Row],[Salidas]]</f>
        <v>0</v>
      </c>
      <c r="M663" s="54">
        <f>STOCK[[#This Row],[Precio Final]]*10%</f>
        <v>2</v>
      </c>
      <c r="N663" s="54">
        <v>0</v>
      </c>
      <c r="O663" s="54">
        <v>14.25</v>
      </c>
      <c r="P663" s="54">
        <v>12.53</v>
      </c>
      <c r="Q663" s="70">
        <v>0</v>
      </c>
      <c r="R663" s="54">
        <v>0</v>
      </c>
      <c r="S663" s="54">
        <v>1.71</v>
      </c>
      <c r="T663" s="53">
        <f>STOCK[[#This Row],[Costo Unitario (USD)]]+STOCK[[#This Row],[Costo Envío (USD)]]+STOCK[[#This Row],[Comisión 10%]]</f>
        <v>16.239999999999998</v>
      </c>
      <c r="U663" s="54">
        <f>STOCK[[#This Row],[Costo total]]*1.5</f>
        <v>24.36</v>
      </c>
      <c r="V663" s="54">
        <v>20</v>
      </c>
      <c r="W663" s="54">
        <f>STOCK[[#This Row],[Precio Final]]-STOCK[[#This Row],[Costo total]]</f>
        <v>3.7600000000000016</v>
      </c>
      <c r="X663" s="54">
        <f>STOCK[[#This Row],[Ganancia Unitaria]]*STOCK[[#This Row],[Salidas]]</f>
        <v>3.7600000000000016</v>
      </c>
      <c r="AA663" s="54">
        <f>STOCK[[#This Row],[Costo total]]*STOCK[[#This Row],[Entradas]]</f>
        <v>16.239999999999998</v>
      </c>
      <c r="AB663" s="54">
        <f>STOCK[[#This Row],[Stock Actual]]*STOCK[[#This Row],[Costo total]]</f>
        <v>0</v>
      </c>
    </row>
    <row r="664" spans="1:28" s="53" customFormat="1" ht="50" customHeight="1">
      <c r="A664" s="53" t="s">
        <v>1337</v>
      </c>
      <c r="B664" s="64"/>
      <c r="C664" s="53" t="s">
        <v>32</v>
      </c>
      <c r="D664" s="53" t="s">
        <v>174</v>
      </c>
      <c r="E664" s="65" t="s">
        <v>1338</v>
      </c>
      <c r="F664" s="53" t="s">
        <v>46</v>
      </c>
      <c r="G664" s="53" t="s">
        <v>36</v>
      </c>
      <c r="H664" s="53">
        <f>STOCK[[#This Row],[Precio Final]]</f>
        <v>25</v>
      </c>
      <c r="I664" s="53">
        <f>STOCK[[#This Row],[Precio Venta Ideal (x1.5)]]</f>
        <v>28.305</v>
      </c>
      <c r="J664" s="69">
        <v>2</v>
      </c>
      <c r="K664" s="69">
        <f>SUMIFS(VENTAS[Cantidad],VENTAS[Código del producto Vendido],STOCK[[#This Row],[Code]])</f>
        <v>2</v>
      </c>
      <c r="L664" s="69">
        <f>STOCK[[#This Row],[Entradas]]-STOCK[[#This Row],[Salidas]]</f>
        <v>0</v>
      </c>
      <c r="M664" s="53">
        <f>STOCK[[#This Row],[Precio Final]]*10%</f>
        <v>2.5</v>
      </c>
      <c r="N664" s="53">
        <v>0</v>
      </c>
      <c r="O664" s="53">
        <v>3.78</v>
      </c>
      <c r="P664" s="53">
        <v>14.66</v>
      </c>
      <c r="Q664" s="69">
        <v>0</v>
      </c>
      <c r="R664" s="53">
        <v>0</v>
      </c>
      <c r="S664" s="53">
        <v>1.71</v>
      </c>
      <c r="T664" s="53">
        <f>STOCK[[#This Row],[Costo Unitario (USD)]]+STOCK[[#This Row],[Costo Envío (USD)]]+STOCK[[#This Row],[Comisión 10%]]</f>
        <v>18.87</v>
      </c>
      <c r="U664" s="53">
        <f>STOCK[[#This Row],[Costo total]]*1.5</f>
        <v>28.305</v>
      </c>
      <c r="V664" s="53">
        <v>25</v>
      </c>
      <c r="W664" s="53">
        <f>STOCK[[#This Row],[Precio Final]]-STOCK[[#This Row],[Costo total]]</f>
        <v>6.129999999999999</v>
      </c>
      <c r="X664" s="53">
        <f>STOCK[[#This Row],[Ganancia Unitaria]]*STOCK[[#This Row],[Salidas]]</f>
        <v>12.259999999999998</v>
      </c>
      <c r="AA664" s="53">
        <f>STOCK[[#This Row],[Costo total]]*STOCK[[#This Row],[Entradas]]</f>
        <v>37.74</v>
      </c>
      <c r="AB664" s="53">
        <f>STOCK[[#This Row],[Stock Actual]]*STOCK[[#This Row],[Costo total]]</f>
        <v>0</v>
      </c>
    </row>
    <row r="665" spans="1:28" s="54" customFormat="1" ht="50" customHeight="1">
      <c r="A665" s="54" t="s">
        <v>1339</v>
      </c>
      <c r="B665" s="64"/>
      <c r="C665" s="54" t="s">
        <v>32</v>
      </c>
      <c r="D665" s="54" t="s">
        <v>174</v>
      </c>
      <c r="E665" s="66" t="s">
        <v>1340</v>
      </c>
      <c r="F665" s="54" t="s">
        <v>46</v>
      </c>
      <c r="G665" s="54" t="s">
        <v>36</v>
      </c>
      <c r="H665" s="54">
        <f>STOCK[[#This Row],[Precio Final]]</f>
        <v>25</v>
      </c>
      <c r="I665" s="54">
        <f>STOCK[[#This Row],[Precio Venta Ideal (x1.5)]]</f>
        <v>28.305</v>
      </c>
      <c r="J665" s="70">
        <v>2</v>
      </c>
      <c r="K665" s="70">
        <f>SUMIFS(VENTAS[Cantidad],VENTAS[Código del producto Vendido],STOCK[[#This Row],[Code]])</f>
        <v>1</v>
      </c>
      <c r="L665" s="70">
        <f>STOCK[[#This Row],[Entradas]]-STOCK[[#This Row],[Salidas]]</f>
        <v>1</v>
      </c>
      <c r="M665" s="54">
        <f>STOCK[[#This Row],[Precio Final]]*10%</f>
        <v>2.5</v>
      </c>
      <c r="N665" s="54">
        <v>0</v>
      </c>
      <c r="O665" s="54">
        <v>0</v>
      </c>
      <c r="P665" s="54">
        <v>14.66</v>
      </c>
      <c r="Q665" s="70">
        <v>0</v>
      </c>
      <c r="R665" s="54">
        <v>0</v>
      </c>
      <c r="S665" s="54">
        <v>1.71</v>
      </c>
      <c r="T665" s="53">
        <f>STOCK[[#This Row],[Costo Unitario (USD)]]+STOCK[[#This Row],[Costo Envío (USD)]]+STOCK[[#This Row],[Comisión 10%]]</f>
        <v>18.87</v>
      </c>
      <c r="U665" s="54">
        <f>STOCK[[#This Row],[Costo total]]*1.5</f>
        <v>28.305</v>
      </c>
      <c r="V665" s="54">
        <v>25</v>
      </c>
      <c r="W665" s="54">
        <f>STOCK[[#This Row],[Precio Final]]-STOCK[[#This Row],[Costo total]]</f>
        <v>6.129999999999999</v>
      </c>
      <c r="X665" s="54">
        <f>STOCK[[#This Row],[Ganancia Unitaria]]*STOCK[[#This Row],[Salidas]]</f>
        <v>6.129999999999999</v>
      </c>
      <c r="AA665" s="54">
        <f>STOCK[[#This Row],[Costo total]]*STOCK[[#This Row],[Entradas]]</f>
        <v>37.74</v>
      </c>
      <c r="AB665" s="54">
        <f>STOCK[[#This Row],[Stock Actual]]*STOCK[[#This Row],[Costo total]]</f>
        <v>18.87</v>
      </c>
    </row>
    <row r="666" spans="1:28" s="53" customFormat="1" ht="50" customHeight="1">
      <c r="A666" s="53" t="s">
        <v>1341</v>
      </c>
      <c r="B666" s="64"/>
      <c r="C666" s="53" t="s">
        <v>32</v>
      </c>
      <c r="D666" s="53" t="s">
        <v>174</v>
      </c>
      <c r="E666" s="65" t="s">
        <v>1342</v>
      </c>
      <c r="F666" s="53" t="s">
        <v>49</v>
      </c>
      <c r="G666" s="53" t="s">
        <v>36</v>
      </c>
      <c r="H666" s="53">
        <f>STOCK[[#This Row],[Precio Final]]</f>
        <v>25</v>
      </c>
      <c r="I666" s="53">
        <f>STOCK[[#This Row],[Precio Venta Ideal (x1.5)]]</f>
        <v>27.224999999999998</v>
      </c>
      <c r="J666" s="69">
        <v>2</v>
      </c>
      <c r="K666" s="69">
        <f>SUMIFS(VENTAS[Cantidad],VENTAS[Código del producto Vendido],STOCK[[#This Row],[Code]])</f>
        <v>2</v>
      </c>
      <c r="L666" s="69">
        <f>STOCK[[#This Row],[Entradas]]-STOCK[[#This Row],[Salidas]]</f>
        <v>0</v>
      </c>
      <c r="M666" s="53">
        <f>STOCK[[#This Row],[Precio Final]]*10%</f>
        <v>2.5</v>
      </c>
      <c r="N666" s="53">
        <v>0</v>
      </c>
      <c r="O666" s="53">
        <v>0</v>
      </c>
      <c r="P666" s="53">
        <v>13.94</v>
      </c>
      <c r="Q666" s="69">
        <v>0</v>
      </c>
      <c r="R666" s="53">
        <v>0</v>
      </c>
      <c r="S666" s="53">
        <v>1.71</v>
      </c>
      <c r="T666" s="53">
        <f>STOCK[[#This Row],[Costo Unitario (USD)]]+STOCK[[#This Row],[Costo Envío (USD)]]+STOCK[[#This Row],[Comisión 10%]]</f>
        <v>18.149999999999999</v>
      </c>
      <c r="U666" s="53">
        <f>STOCK[[#This Row],[Costo total]]*1.5</f>
        <v>27.224999999999998</v>
      </c>
      <c r="V666" s="53">
        <v>25</v>
      </c>
      <c r="W666" s="53">
        <f>STOCK[[#This Row],[Precio Final]]-STOCK[[#This Row],[Costo total]]</f>
        <v>6.8500000000000014</v>
      </c>
      <c r="X666" s="53">
        <f>STOCK[[#This Row],[Ganancia Unitaria]]*STOCK[[#This Row],[Salidas]]</f>
        <v>13.700000000000003</v>
      </c>
      <c r="AA666" s="53">
        <f>STOCK[[#This Row],[Costo total]]*STOCK[[#This Row],[Entradas]]</f>
        <v>36.299999999999997</v>
      </c>
      <c r="AB666" s="53">
        <f>STOCK[[#This Row],[Stock Actual]]*STOCK[[#This Row],[Costo total]]</f>
        <v>0</v>
      </c>
    </row>
    <row r="667" spans="1:28" s="54" customFormat="1" ht="50" customHeight="1">
      <c r="A667" s="54" t="s">
        <v>1343</v>
      </c>
      <c r="B667" s="64"/>
      <c r="C667" s="54" t="s">
        <v>32</v>
      </c>
      <c r="D667" s="54" t="s">
        <v>174</v>
      </c>
      <c r="E667" s="66" t="s">
        <v>1342</v>
      </c>
      <c r="F667" s="54" t="s">
        <v>40</v>
      </c>
      <c r="G667" s="54" t="s">
        <v>36</v>
      </c>
      <c r="H667" s="54">
        <f>STOCK[[#This Row],[Precio Final]]</f>
        <v>25</v>
      </c>
      <c r="I667" s="54">
        <f>STOCK[[#This Row],[Precio Venta Ideal (x1.5)]]</f>
        <v>27.224999999999998</v>
      </c>
      <c r="J667" s="70">
        <v>2</v>
      </c>
      <c r="K667" s="70">
        <f>SUMIFS(VENTAS[Cantidad],VENTAS[Código del producto Vendido],STOCK[[#This Row],[Code]])</f>
        <v>2</v>
      </c>
      <c r="L667" s="70">
        <f>STOCK[[#This Row],[Entradas]]-STOCK[[#This Row],[Salidas]]</f>
        <v>0</v>
      </c>
      <c r="M667" s="54">
        <f>STOCK[[#This Row],[Precio Final]]*10%</f>
        <v>2.5</v>
      </c>
      <c r="N667" s="54">
        <v>0</v>
      </c>
      <c r="O667" s="54">
        <v>0</v>
      </c>
      <c r="P667" s="54">
        <v>13.94</v>
      </c>
      <c r="Q667" s="70">
        <v>0</v>
      </c>
      <c r="R667" s="54">
        <v>0</v>
      </c>
      <c r="S667" s="54">
        <v>1.71</v>
      </c>
      <c r="T667" s="53">
        <f>STOCK[[#This Row],[Costo Unitario (USD)]]+STOCK[[#This Row],[Costo Envío (USD)]]+STOCK[[#This Row],[Comisión 10%]]</f>
        <v>18.149999999999999</v>
      </c>
      <c r="U667" s="54">
        <f>STOCK[[#This Row],[Costo total]]*1.5</f>
        <v>27.224999999999998</v>
      </c>
      <c r="V667" s="54">
        <v>25</v>
      </c>
      <c r="W667" s="54">
        <f>STOCK[[#This Row],[Precio Final]]-STOCK[[#This Row],[Costo total]]</f>
        <v>6.8500000000000014</v>
      </c>
      <c r="X667" s="54">
        <f>STOCK[[#This Row],[Ganancia Unitaria]]*STOCK[[#This Row],[Salidas]]</f>
        <v>13.700000000000003</v>
      </c>
      <c r="AA667" s="54">
        <f>STOCK[[#This Row],[Costo total]]*STOCK[[#This Row],[Entradas]]</f>
        <v>36.299999999999997</v>
      </c>
      <c r="AB667" s="54">
        <f>STOCK[[#This Row],[Stock Actual]]*STOCK[[#This Row],[Costo total]]</f>
        <v>0</v>
      </c>
    </row>
    <row r="668" spans="1:28" s="53" customFormat="1" ht="50" customHeight="1">
      <c r="A668" s="53" t="s">
        <v>1344</v>
      </c>
      <c r="B668" s="64" t="s">
        <v>1345</v>
      </c>
      <c r="C668" s="53" t="s">
        <v>32</v>
      </c>
      <c r="D668" s="53" t="s">
        <v>174</v>
      </c>
      <c r="E668" s="65" t="s">
        <v>1346</v>
      </c>
      <c r="F668" s="53" t="s">
        <v>1347</v>
      </c>
      <c r="G668" s="53" t="s">
        <v>36</v>
      </c>
      <c r="H668" s="53">
        <f>STOCK[[#This Row],[Precio Final]]</f>
        <v>18</v>
      </c>
      <c r="I668" s="53">
        <f>STOCK[[#This Row],[Precio Venta Ideal (x1.5)]]</f>
        <v>19.200000000000003</v>
      </c>
      <c r="J668" s="69">
        <v>0</v>
      </c>
      <c r="K668" s="69">
        <f>SUMIFS(VENTAS[Cantidad],VENTAS[Código del producto Vendido],STOCK[[#This Row],[Code]])</f>
        <v>0</v>
      </c>
      <c r="L668" s="69">
        <f>STOCK[[#This Row],[Entradas]]-STOCK[[#This Row],[Salidas]]</f>
        <v>0</v>
      </c>
      <c r="M668" s="53">
        <f>STOCK[[#This Row],[Precio Final]]*10%</f>
        <v>1.8</v>
      </c>
      <c r="N668" s="53">
        <v>0</v>
      </c>
      <c r="O668" s="53">
        <v>28.5</v>
      </c>
      <c r="P668" s="53">
        <v>8</v>
      </c>
      <c r="Q668" s="69">
        <v>0</v>
      </c>
      <c r="R668" s="53">
        <v>0</v>
      </c>
      <c r="S668" s="53">
        <v>3</v>
      </c>
      <c r="T668" s="53">
        <f>STOCK[[#This Row],[Costo Unitario (USD)]]+STOCK[[#This Row],[Costo Envío (USD)]]+STOCK[[#This Row],[Comisión 10%]]</f>
        <v>12.8</v>
      </c>
      <c r="U668" s="53">
        <f>STOCK[[#This Row],[Costo total]]*1.5</f>
        <v>19.200000000000003</v>
      </c>
      <c r="V668" s="53">
        <v>18</v>
      </c>
      <c r="W668" s="53">
        <f>STOCK[[#This Row],[Precio Final]]-STOCK[[#This Row],[Costo total]]</f>
        <v>5.1999999999999993</v>
      </c>
      <c r="X668" s="53">
        <f>STOCK[[#This Row],[Ganancia Unitaria]]*STOCK[[#This Row],[Salidas]]</f>
        <v>0</v>
      </c>
      <c r="AA668" s="53">
        <f>STOCK[[#This Row],[Costo total]]*STOCK[[#This Row],[Entradas]]</f>
        <v>0</v>
      </c>
      <c r="AB668" s="53">
        <f>STOCK[[#This Row],[Stock Actual]]*STOCK[[#This Row],[Costo total]]</f>
        <v>0</v>
      </c>
    </row>
    <row r="669" spans="1:28" s="54" customFormat="1" ht="50" customHeight="1">
      <c r="A669" s="54" t="s">
        <v>1348</v>
      </c>
      <c r="B669" s="64"/>
      <c r="C669" s="54" t="s">
        <v>32</v>
      </c>
      <c r="D669" s="54" t="s">
        <v>174</v>
      </c>
      <c r="E669" s="66" t="s">
        <v>1349</v>
      </c>
      <c r="F669" s="54" t="s">
        <v>62</v>
      </c>
      <c r="G669" s="54" t="s">
        <v>36</v>
      </c>
      <c r="H669" s="54">
        <f>STOCK[[#This Row],[Precio Final]]</f>
        <v>22</v>
      </c>
      <c r="I669" s="54">
        <f>STOCK[[#This Row],[Precio Venta Ideal (x1.5)]]</f>
        <v>25.799999999999997</v>
      </c>
      <c r="J669" s="70">
        <v>1</v>
      </c>
      <c r="K669" s="70">
        <f>SUMIFS(VENTAS[Cantidad],VENTAS[Código del producto Vendido],STOCK[[#This Row],[Code]])</f>
        <v>1</v>
      </c>
      <c r="L669" s="70">
        <f>STOCK[[#This Row],[Entradas]]-STOCK[[#This Row],[Salidas]]</f>
        <v>0</v>
      </c>
      <c r="M669" s="54">
        <f>STOCK[[#This Row],[Precio Final]]*10%</f>
        <v>2.2000000000000002</v>
      </c>
      <c r="N669" s="54">
        <v>0</v>
      </c>
      <c r="O669" s="54">
        <v>19.38</v>
      </c>
      <c r="P669" s="54">
        <v>12</v>
      </c>
      <c r="Q669" s="70">
        <v>0</v>
      </c>
      <c r="R669" s="54">
        <v>0</v>
      </c>
      <c r="S669" s="54">
        <v>3</v>
      </c>
      <c r="T669" s="53">
        <f>STOCK[[#This Row],[Costo Unitario (USD)]]+STOCK[[#This Row],[Costo Envío (USD)]]+STOCK[[#This Row],[Comisión 10%]]</f>
        <v>17.2</v>
      </c>
      <c r="U669" s="54">
        <f>STOCK[[#This Row],[Costo total]]*1.5</f>
        <v>25.799999999999997</v>
      </c>
      <c r="V669" s="54">
        <v>22</v>
      </c>
      <c r="W669" s="54">
        <f>STOCK[[#This Row],[Precio Final]]-STOCK[[#This Row],[Costo total]]</f>
        <v>4.8000000000000007</v>
      </c>
      <c r="X669" s="54">
        <f>STOCK[[#This Row],[Ganancia Unitaria]]*STOCK[[#This Row],[Salidas]]</f>
        <v>4.8000000000000007</v>
      </c>
      <c r="AA669" s="54">
        <f>STOCK[[#This Row],[Costo total]]*STOCK[[#This Row],[Entradas]]</f>
        <v>17.2</v>
      </c>
      <c r="AB669" s="54">
        <f>STOCK[[#This Row],[Stock Actual]]*STOCK[[#This Row],[Costo total]]</f>
        <v>0</v>
      </c>
    </row>
    <row r="670" spans="1:28" s="53" customFormat="1" ht="50" customHeight="1">
      <c r="A670" s="53" t="s">
        <v>1350</v>
      </c>
      <c r="B670" s="64"/>
      <c r="C670" s="53" t="s">
        <v>32</v>
      </c>
      <c r="D670" s="53" t="s">
        <v>174</v>
      </c>
      <c r="E670" s="65" t="s">
        <v>1349</v>
      </c>
      <c r="F670" s="53" t="s">
        <v>40</v>
      </c>
      <c r="G670" s="53" t="s">
        <v>704</v>
      </c>
      <c r="H670" s="53">
        <f>STOCK[[#This Row],[Precio Final]]</f>
        <v>22</v>
      </c>
      <c r="I670" s="53">
        <f>STOCK[[#This Row],[Precio Venta Ideal (x1.5)]]</f>
        <v>25.799999999999997</v>
      </c>
      <c r="J670" s="69">
        <v>1</v>
      </c>
      <c r="K670" s="69">
        <f>SUMIFS(VENTAS[Cantidad],VENTAS[Código del producto Vendido],STOCK[[#This Row],[Code]])</f>
        <v>1</v>
      </c>
      <c r="L670" s="69">
        <f>STOCK[[#This Row],[Entradas]]-STOCK[[#This Row],[Salidas]]</f>
        <v>0</v>
      </c>
      <c r="M670" s="53">
        <f>STOCK[[#This Row],[Precio Final]]*10%</f>
        <v>2.2000000000000002</v>
      </c>
      <c r="N670" s="53">
        <v>0</v>
      </c>
      <c r="O670" s="53">
        <v>19.38</v>
      </c>
      <c r="P670" s="53">
        <v>12</v>
      </c>
      <c r="Q670" s="69">
        <v>0</v>
      </c>
      <c r="R670" s="53">
        <v>0</v>
      </c>
      <c r="S670" s="53">
        <v>3</v>
      </c>
      <c r="T670" s="53">
        <f>STOCK[[#This Row],[Costo Unitario (USD)]]+STOCK[[#This Row],[Costo Envío (USD)]]+STOCK[[#This Row],[Comisión 10%]]</f>
        <v>17.2</v>
      </c>
      <c r="U670" s="53">
        <f>STOCK[[#This Row],[Costo total]]*1.5</f>
        <v>25.799999999999997</v>
      </c>
      <c r="V670" s="53">
        <v>22</v>
      </c>
      <c r="W670" s="53">
        <f>STOCK[[#This Row],[Precio Final]]-STOCK[[#This Row],[Costo total]]</f>
        <v>4.8000000000000007</v>
      </c>
      <c r="X670" s="53">
        <f>STOCK[[#This Row],[Ganancia Unitaria]]*STOCK[[#This Row],[Salidas]]</f>
        <v>4.8000000000000007</v>
      </c>
      <c r="AA670" s="53">
        <f>STOCK[[#This Row],[Costo total]]*STOCK[[#This Row],[Entradas]]</f>
        <v>17.2</v>
      </c>
      <c r="AB670" s="53">
        <f>STOCK[[#This Row],[Stock Actual]]*STOCK[[#This Row],[Costo total]]</f>
        <v>0</v>
      </c>
    </row>
    <row r="671" spans="1:28" s="54" customFormat="1" ht="50" customHeight="1">
      <c r="A671" s="54" t="s">
        <v>1351</v>
      </c>
      <c r="B671" s="64"/>
      <c r="C671" s="54" t="s">
        <v>32</v>
      </c>
      <c r="D671" s="54" t="s">
        <v>174</v>
      </c>
      <c r="E671" s="66" t="s">
        <v>1352</v>
      </c>
      <c r="F671" s="54" t="s">
        <v>40</v>
      </c>
      <c r="G671" s="54" t="s">
        <v>704</v>
      </c>
      <c r="H671" s="54">
        <f>STOCK[[#This Row],[Precio Final]]</f>
        <v>18</v>
      </c>
      <c r="I671" s="54">
        <f>STOCK[[#This Row],[Precio Venta Ideal (x1.5)]]</f>
        <v>17.700000000000003</v>
      </c>
      <c r="J671" s="70">
        <v>0</v>
      </c>
      <c r="K671" s="70">
        <f>SUMIFS(VENTAS[Cantidad],VENTAS[Código del producto Vendido],STOCK[[#This Row],[Code]])</f>
        <v>0</v>
      </c>
      <c r="L671" s="70">
        <f>STOCK[[#This Row],[Entradas]]-STOCK[[#This Row],[Salidas]]</f>
        <v>0</v>
      </c>
      <c r="M671" s="54">
        <f>STOCK[[#This Row],[Precio Final]]*10%</f>
        <v>1.8</v>
      </c>
      <c r="N671" s="54">
        <v>0</v>
      </c>
      <c r="O671" s="54">
        <v>9.3800000000000008</v>
      </c>
      <c r="P671" s="54">
        <v>8</v>
      </c>
      <c r="Q671" s="70">
        <v>0</v>
      </c>
      <c r="R671" s="54">
        <v>0</v>
      </c>
      <c r="S671" s="54">
        <v>2</v>
      </c>
      <c r="T671" s="53">
        <f>STOCK[[#This Row],[Costo Unitario (USD)]]+STOCK[[#This Row],[Costo Envío (USD)]]+STOCK[[#This Row],[Comisión 10%]]</f>
        <v>11.8</v>
      </c>
      <c r="U671" s="54">
        <f>STOCK[[#This Row],[Costo total]]*1.5</f>
        <v>17.700000000000003</v>
      </c>
      <c r="V671" s="54">
        <v>18</v>
      </c>
      <c r="W671" s="54">
        <f>STOCK[[#This Row],[Precio Final]]-STOCK[[#This Row],[Costo total]]</f>
        <v>6.1999999999999993</v>
      </c>
      <c r="X671" s="54">
        <f>STOCK[[#This Row],[Ganancia Unitaria]]*STOCK[[#This Row],[Salidas]]</f>
        <v>0</v>
      </c>
      <c r="AA671" s="54">
        <f>STOCK[[#This Row],[Costo total]]*STOCK[[#This Row],[Entradas]]</f>
        <v>0</v>
      </c>
      <c r="AB671" s="54">
        <f>STOCK[[#This Row],[Stock Actual]]*STOCK[[#This Row],[Costo total]]</f>
        <v>0</v>
      </c>
    </row>
    <row r="672" spans="1:28" s="53" customFormat="1" ht="50" customHeight="1">
      <c r="A672" s="53" t="s">
        <v>1353</v>
      </c>
      <c r="B672" s="64"/>
      <c r="C672" s="53" t="s">
        <v>32</v>
      </c>
      <c r="D672" s="53" t="s">
        <v>174</v>
      </c>
      <c r="E672" s="65" t="s">
        <v>1354</v>
      </c>
      <c r="F672" s="53" t="s">
        <v>62</v>
      </c>
      <c r="G672" s="53" t="s">
        <v>704</v>
      </c>
      <c r="H672" s="53">
        <f>STOCK[[#This Row],[Precio Final]]</f>
        <v>22</v>
      </c>
      <c r="I672" s="53">
        <f>STOCK[[#This Row],[Precio Venta Ideal (x1.5)]]</f>
        <v>33.299999999999997</v>
      </c>
      <c r="J672" s="69">
        <v>2</v>
      </c>
      <c r="K672" s="69">
        <f>SUMIFS(VENTAS[Cantidad],VENTAS[Código del producto Vendido],STOCK[[#This Row],[Code]])</f>
        <v>2</v>
      </c>
      <c r="L672" s="69">
        <f>STOCK[[#This Row],[Entradas]]-STOCK[[#This Row],[Salidas]]</f>
        <v>0</v>
      </c>
      <c r="M672" s="53">
        <f>STOCK[[#This Row],[Precio Final]]*10%</f>
        <v>2.2000000000000002</v>
      </c>
      <c r="N672" s="53">
        <v>0</v>
      </c>
      <c r="O672" s="53">
        <v>17.5</v>
      </c>
      <c r="P672" s="53">
        <v>16</v>
      </c>
      <c r="Q672" s="69">
        <v>0</v>
      </c>
      <c r="R672" s="53">
        <v>0</v>
      </c>
      <c r="S672" s="53">
        <v>4</v>
      </c>
      <c r="T672" s="53">
        <f>STOCK[[#This Row],[Costo Unitario (USD)]]+STOCK[[#This Row],[Costo Envío (USD)]]+STOCK[[#This Row],[Comisión 10%]]</f>
        <v>22.2</v>
      </c>
      <c r="U672" s="53">
        <f>STOCK[[#This Row],[Costo total]]*1.5</f>
        <v>33.299999999999997</v>
      </c>
      <c r="V672" s="53">
        <v>22</v>
      </c>
      <c r="W672" s="53">
        <f>STOCK[[#This Row],[Precio Final]]-STOCK[[#This Row],[Costo total]]</f>
        <v>-0.19999999999999929</v>
      </c>
      <c r="X672" s="53">
        <f>STOCK[[#This Row],[Ganancia Unitaria]]*STOCK[[#This Row],[Salidas]]</f>
        <v>-0.39999999999999858</v>
      </c>
      <c r="AA672" s="53">
        <f>STOCK[[#This Row],[Costo total]]*STOCK[[#This Row],[Entradas]]</f>
        <v>44.4</v>
      </c>
      <c r="AB672" s="53">
        <f>STOCK[[#This Row],[Stock Actual]]*STOCK[[#This Row],[Costo total]]</f>
        <v>0</v>
      </c>
    </row>
    <row r="673" spans="1:29" s="54" customFormat="1" ht="50" customHeight="1">
      <c r="A673" s="54" t="s">
        <v>1355</v>
      </c>
      <c r="B673" s="64"/>
      <c r="C673" s="54" t="s">
        <v>32</v>
      </c>
      <c r="D673" s="54" t="s">
        <v>174</v>
      </c>
      <c r="E673" s="66" t="s">
        <v>1356</v>
      </c>
      <c r="F673" s="54" t="s">
        <v>40</v>
      </c>
      <c r="G673" s="54" t="s">
        <v>704</v>
      </c>
      <c r="H673" s="54">
        <f>STOCK[[#This Row],[Precio Final]]</f>
        <v>45</v>
      </c>
      <c r="I673" s="54">
        <f>STOCK[[#This Row],[Precio Venta Ideal (x1.5)]]</f>
        <v>50.25</v>
      </c>
      <c r="J673" s="70">
        <v>0</v>
      </c>
      <c r="K673" s="70">
        <f>SUMIFS(VENTAS[Cantidad],VENTAS[Código del producto Vendido],STOCK[[#This Row],[Code]])</f>
        <v>0</v>
      </c>
      <c r="L673" s="70">
        <f>STOCK[[#This Row],[Entradas]]-STOCK[[#This Row],[Salidas]]</f>
        <v>0</v>
      </c>
      <c r="M673" s="54">
        <f>STOCK[[#This Row],[Precio Final]]*10%</f>
        <v>4.5</v>
      </c>
      <c r="N673" s="54">
        <v>0</v>
      </c>
      <c r="O673" s="54">
        <v>28.13</v>
      </c>
      <c r="P673" s="54">
        <v>25</v>
      </c>
      <c r="Q673" s="70">
        <v>0</v>
      </c>
      <c r="R673" s="54">
        <v>0</v>
      </c>
      <c r="S673" s="54">
        <v>4</v>
      </c>
      <c r="T673" s="53">
        <f>STOCK[[#This Row],[Costo Unitario (USD)]]+STOCK[[#This Row],[Costo Envío (USD)]]+STOCK[[#This Row],[Comisión 10%]]</f>
        <v>33.5</v>
      </c>
      <c r="U673" s="54">
        <f>STOCK[[#This Row],[Costo total]]*1.5</f>
        <v>50.25</v>
      </c>
      <c r="V673" s="54">
        <v>45</v>
      </c>
      <c r="W673" s="54">
        <f>STOCK[[#This Row],[Precio Final]]-STOCK[[#This Row],[Costo total]]</f>
        <v>11.5</v>
      </c>
      <c r="X673" s="54">
        <f>STOCK[[#This Row],[Ganancia Unitaria]]*STOCK[[#This Row],[Salidas]]</f>
        <v>0</v>
      </c>
      <c r="AA673" s="54">
        <f>STOCK[[#This Row],[Costo total]]*STOCK[[#This Row],[Entradas]]</f>
        <v>0</v>
      </c>
      <c r="AB673" s="54">
        <f>STOCK[[#This Row],[Stock Actual]]*STOCK[[#This Row],[Costo total]]</f>
        <v>0</v>
      </c>
    </row>
    <row r="674" spans="1:29" s="53" customFormat="1" ht="50" customHeight="1">
      <c r="A674" s="53" t="s">
        <v>1357</v>
      </c>
      <c r="B674" s="64"/>
      <c r="C674" s="53" t="s">
        <v>32</v>
      </c>
      <c r="D674" s="53" t="s">
        <v>779</v>
      </c>
      <c r="E674" s="65" t="s">
        <v>1358</v>
      </c>
      <c r="F674" s="53" t="s">
        <v>1046</v>
      </c>
      <c r="G674" s="53" t="s">
        <v>704</v>
      </c>
      <c r="H674" s="53">
        <f>STOCK[[#This Row],[Precio Final]]</f>
        <v>30</v>
      </c>
      <c r="I674" s="53">
        <f>STOCK[[#This Row],[Precio Venta Ideal (x1.5)]]</f>
        <v>39</v>
      </c>
      <c r="J674" s="69">
        <v>1</v>
      </c>
      <c r="K674" s="69">
        <f>SUMIFS(VENTAS[Cantidad],VENTAS[Código del producto Vendido],STOCK[[#This Row],[Code]])</f>
        <v>0</v>
      </c>
      <c r="L674" s="69">
        <f>STOCK[[#This Row],[Entradas]]-STOCK[[#This Row],[Salidas]]</f>
        <v>1</v>
      </c>
      <c r="M674" s="53">
        <f>STOCK[[#This Row],[Precio Final]]*10%</f>
        <v>3</v>
      </c>
      <c r="N674" s="53">
        <v>0</v>
      </c>
      <c r="O674" s="53">
        <v>0</v>
      </c>
      <c r="P674" s="53">
        <v>19</v>
      </c>
      <c r="Q674" s="69">
        <v>0</v>
      </c>
      <c r="R674" s="53">
        <v>0</v>
      </c>
      <c r="S674" s="53">
        <v>4</v>
      </c>
      <c r="T674" s="53">
        <f>STOCK[[#This Row],[Costo Unitario (USD)]]+STOCK[[#This Row],[Costo Envío (USD)]]+STOCK[[#This Row],[Comisión 10%]]</f>
        <v>26</v>
      </c>
      <c r="U674" s="53">
        <f>STOCK[[#This Row],[Costo total]]*1.5</f>
        <v>39</v>
      </c>
      <c r="V674" s="53">
        <v>30</v>
      </c>
      <c r="W674" s="53">
        <f>STOCK[[#This Row],[Precio Final]]-STOCK[[#This Row],[Costo total]]</f>
        <v>4</v>
      </c>
      <c r="X674" s="53">
        <f>STOCK[[#This Row],[Ganancia Unitaria]]*STOCK[[#This Row],[Salidas]]</f>
        <v>0</v>
      </c>
      <c r="AA674" s="53">
        <f>STOCK[[#This Row],[Costo total]]*STOCK[[#This Row],[Entradas]]</f>
        <v>26</v>
      </c>
      <c r="AB674" s="53">
        <f>STOCK[[#This Row],[Stock Actual]]*STOCK[[#This Row],[Costo total]]</f>
        <v>26</v>
      </c>
    </row>
    <row r="675" spans="1:29" s="54" customFormat="1" ht="50" customHeight="1">
      <c r="A675" s="54" t="s">
        <v>1359</v>
      </c>
      <c r="B675" s="64"/>
      <c r="C675" s="54" t="s">
        <v>32</v>
      </c>
      <c r="D675" s="54" t="s">
        <v>174</v>
      </c>
      <c r="E675" s="66" t="s">
        <v>1360</v>
      </c>
      <c r="F675" s="54" t="s">
        <v>1046</v>
      </c>
      <c r="G675" s="54" t="s">
        <v>704</v>
      </c>
      <c r="H675" s="54">
        <f>STOCK[[#This Row],[Precio Final]]</f>
        <v>25</v>
      </c>
      <c r="I675" s="54">
        <f>STOCK[[#This Row],[Precio Venta Ideal (x1.5)]]</f>
        <v>26.924999999999997</v>
      </c>
      <c r="J675" s="70">
        <v>1</v>
      </c>
      <c r="K675" s="70">
        <f>SUMIFS(VENTAS[Cantidad],VENTAS[Código del producto Vendido],STOCK[[#This Row],[Code]])</f>
        <v>1</v>
      </c>
      <c r="L675" s="70">
        <f>STOCK[[#This Row],[Entradas]]-STOCK[[#This Row],[Salidas]]</f>
        <v>0</v>
      </c>
      <c r="M675" s="54">
        <f>STOCK[[#This Row],[Precio Final]]*10%</f>
        <v>2.5</v>
      </c>
      <c r="N675" s="54">
        <v>0</v>
      </c>
      <c r="O675" s="54">
        <v>12.44</v>
      </c>
      <c r="P675" s="54">
        <v>12.45</v>
      </c>
      <c r="Q675" s="70">
        <v>0</v>
      </c>
      <c r="R675" s="54">
        <v>0</v>
      </c>
      <c r="S675" s="54">
        <v>3</v>
      </c>
      <c r="T675" s="53">
        <f>STOCK[[#This Row],[Costo Unitario (USD)]]+STOCK[[#This Row],[Costo Envío (USD)]]+STOCK[[#This Row],[Comisión 10%]]</f>
        <v>17.95</v>
      </c>
      <c r="U675" s="54">
        <f>STOCK[[#This Row],[Costo total]]*1.5</f>
        <v>26.924999999999997</v>
      </c>
      <c r="V675" s="54">
        <v>25</v>
      </c>
      <c r="W675" s="54">
        <f>STOCK[[#This Row],[Precio Final]]-STOCK[[#This Row],[Costo total]]</f>
        <v>7.0500000000000007</v>
      </c>
      <c r="X675" s="54">
        <f>STOCK[[#This Row],[Ganancia Unitaria]]*STOCK[[#This Row],[Salidas]]</f>
        <v>7.0500000000000007</v>
      </c>
      <c r="AA675" s="54">
        <f>STOCK[[#This Row],[Costo total]]*STOCK[[#This Row],[Entradas]]</f>
        <v>17.95</v>
      </c>
      <c r="AB675" s="54">
        <f>STOCK[[#This Row],[Stock Actual]]*STOCK[[#This Row],[Costo total]]</f>
        <v>0</v>
      </c>
    </row>
    <row r="676" spans="1:29" s="53" customFormat="1" ht="50" customHeight="1">
      <c r="A676" s="53" t="s">
        <v>1361</v>
      </c>
      <c r="B676" s="64"/>
      <c r="C676" s="53" t="s">
        <v>32</v>
      </c>
      <c r="D676" s="53" t="s">
        <v>1362</v>
      </c>
      <c r="E676" s="65" t="s">
        <v>1363</v>
      </c>
      <c r="F676" s="53" t="s">
        <v>46</v>
      </c>
      <c r="G676" s="53" t="s">
        <v>704</v>
      </c>
      <c r="H676" s="53">
        <f>STOCK[[#This Row],[Precio Final]]</f>
        <v>25</v>
      </c>
      <c r="I676" s="53">
        <f>STOCK[[#This Row],[Precio Venta Ideal (x1.5)]]</f>
        <v>26.924999999999997</v>
      </c>
      <c r="J676" s="69">
        <v>1</v>
      </c>
      <c r="K676" s="69">
        <f>SUMIFS(VENTAS[Cantidad],VENTAS[Código del producto Vendido],STOCK[[#This Row],[Code]])</f>
        <v>1</v>
      </c>
      <c r="L676" s="69">
        <f>STOCK[[#This Row],[Entradas]]-STOCK[[#This Row],[Salidas]]</f>
        <v>0</v>
      </c>
      <c r="M676" s="53">
        <f>STOCK[[#This Row],[Precio Final]]*10%</f>
        <v>2.5</v>
      </c>
      <c r="N676" s="53">
        <v>0</v>
      </c>
      <c r="O676" s="53">
        <v>12.44</v>
      </c>
      <c r="P676" s="53">
        <v>12.45</v>
      </c>
      <c r="Q676" s="69">
        <v>0</v>
      </c>
      <c r="R676" s="53">
        <v>0</v>
      </c>
      <c r="S676" s="53">
        <v>3</v>
      </c>
      <c r="T676" s="53">
        <f>STOCK[[#This Row],[Costo Unitario (USD)]]+STOCK[[#This Row],[Costo Envío (USD)]]+STOCK[[#This Row],[Comisión 10%]]</f>
        <v>17.95</v>
      </c>
      <c r="U676" s="53">
        <f>STOCK[[#This Row],[Costo total]]*1.5</f>
        <v>26.924999999999997</v>
      </c>
      <c r="V676" s="53">
        <v>25</v>
      </c>
      <c r="W676" s="53">
        <f>STOCK[[#This Row],[Precio Final]]-STOCK[[#This Row],[Costo total]]</f>
        <v>7.0500000000000007</v>
      </c>
      <c r="X676" s="53">
        <f>STOCK[[#This Row],[Ganancia Unitaria]]*STOCK[[#This Row],[Salidas]]</f>
        <v>7.0500000000000007</v>
      </c>
      <c r="AA676" s="53">
        <f>STOCK[[#This Row],[Costo total]]*STOCK[[#This Row],[Entradas]]</f>
        <v>17.95</v>
      </c>
      <c r="AB676" s="53">
        <f>STOCK[[#This Row],[Stock Actual]]*STOCK[[#This Row],[Costo total]]</f>
        <v>0</v>
      </c>
    </row>
    <row r="677" spans="1:29" s="54" customFormat="1" ht="50" customHeight="1">
      <c r="A677" s="54" t="s">
        <v>1364</v>
      </c>
      <c r="B677" s="64"/>
      <c r="C677" s="54" t="s">
        <v>32</v>
      </c>
      <c r="D677" s="54" t="s">
        <v>779</v>
      </c>
      <c r="E677" s="65" t="s">
        <v>1363</v>
      </c>
      <c r="F677" s="54" t="s">
        <v>49</v>
      </c>
      <c r="G677" s="54" t="s">
        <v>704</v>
      </c>
      <c r="H677" s="54">
        <f>STOCK[[#This Row],[Precio Final]]</f>
        <v>25</v>
      </c>
      <c r="I677" s="54">
        <f>STOCK[[#This Row],[Precio Venta Ideal (x1.5)]]</f>
        <v>26.924999999999997</v>
      </c>
      <c r="J677" s="70">
        <v>1</v>
      </c>
      <c r="K677" s="70">
        <f>SUMIFS(VENTAS[Cantidad],VENTAS[Código del producto Vendido],STOCK[[#This Row],[Code]])</f>
        <v>1</v>
      </c>
      <c r="L677" s="70">
        <f>STOCK[[#This Row],[Entradas]]-STOCK[[#This Row],[Salidas]]</f>
        <v>0</v>
      </c>
      <c r="M677" s="54">
        <f>STOCK[[#This Row],[Precio Final]]*10%</f>
        <v>2.5</v>
      </c>
      <c r="N677" s="54">
        <v>0</v>
      </c>
      <c r="O677" s="54">
        <v>12.44</v>
      </c>
      <c r="P677" s="54">
        <v>12.45</v>
      </c>
      <c r="Q677" s="70">
        <v>0</v>
      </c>
      <c r="R677" s="54">
        <v>0</v>
      </c>
      <c r="S677" s="54">
        <v>3</v>
      </c>
      <c r="T677" s="53">
        <f>STOCK[[#This Row],[Costo Unitario (USD)]]+STOCK[[#This Row],[Costo Envío (USD)]]+STOCK[[#This Row],[Comisión 10%]]</f>
        <v>17.95</v>
      </c>
      <c r="U677" s="54">
        <f>STOCK[[#This Row],[Costo total]]*1.5</f>
        <v>26.924999999999997</v>
      </c>
      <c r="V677" s="54">
        <v>25</v>
      </c>
      <c r="W677" s="54">
        <f>STOCK[[#This Row],[Precio Final]]-STOCK[[#This Row],[Costo total]]</f>
        <v>7.0500000000000007</v>
      </c>
      <c r="X677" s="54">
        <f>STOCK[[#This Row],[Ganancia Unitaria]]*STOCK[[#This Row],[Salidas]]</f>
        <v>7.0500000000000007</v>
      </c>
      <c r="AA677" s="54">
        <f>STOCK[[#This Row],[Costo total]]*STOCK[[#This Row],[Entradas]]</f>
        <v>17.95</v>
      </c>
      <c r="AB677" s="54">
        <f>STOCK[[#This Row],[Stock Actual]]*STOCK[[#This Row],[Costo total]]</f>
        <v>0</v>
      </c>
    </row>
    <row r="678" spans="1:29" s="53" customFormat="1" ht="50" customHeight="1">
      <c r="A678" s="53" t="s">
        <v>1365</v>
      </c>
      <c r="B678" s="64"/>
      <c r="C678" s="53" t="s">
        <v>32</v>
      </c>
      <c r="D678" s="53" t="s">
        <v>44</v>
      </c>
      <c r="E678" s="65" t="s">
        <v>1366</v>
      </c>
      <c r="F678" s="53" t="s">
        <v>49</v>
      </c>
      <c r="G678" s="53" t="s">
        <v>36</v>
      </c>
      <c r="H678" s="53">
        <f>STOCK[[#This Row],[Precio Final]]</f>
        <v>25</v>
      </c>
      <c r="I678" s="53">
        <f>STOCK[[#This Row],[Precio Venta Ideal (x1.5)]]</f>
        <v>31.994999999999997</v>
      </c>
      <c r="J678" s="69">
        <v>2</v>
      </c>
      <c r="K678" s="69">
        <f>SUMIFS(VENTAS[Cantidad],VENTAS[Código del producto Vendido],STOCK[[#This Row],[Code]])</f>
        <v>1</v>
      </c>
      <c r="L678" s="69">
        <f>STOCK[[#This Row],[Entradas]]-STOCK[[#This Row],[Salidas]]</f>
        <v>1</v>
      </c>
      <c r="M678" s="53">
        <f>STOCK[[#This Row],[Precio Final]]*10%</f>
        <v>2.5</v>
      </c>
      <c r="N678" s="53">
        <v>0</v>
      </c>
      <c r="O678" s="53">
        <v>31.43</v>
      </c>
      <c r="P678" s="53">
        <v>13.83</v>
      </c>
      <c r="Q678" s="69">
        <v>0</v>
      </c>
      <c r="R678" s="53">
        <v>0</v>
      </c>
      <c r="S678" s="53">
        <v>5</v>
      </c>
      <c r="T678" s="53">
        <f>STOCK[[#This Row],[Costo Unitario (USD)]]+STOCK[[#This Row],[Costo Envío (USD)]]+STOCK[[#This Row],[Comisión 10%]]</f>
        <v>21.33</v>
      </c>
      <c r="U678" s="53">
        <f>STOCK[[#This Row],[Costo total]]*1.5</f>
        <v>31.994999999999997</v>
      </c>
      <c r="V678" s="53">
        <v>25</v>
      </c>
      <c r="W678" s="53">
        <f>STOCK[[#This Row],[Precio Final]]-STOCK[[#This Row],[Costo total]]</f>
        <v>3.6700000000000017</v>
      </c>
      <c r="X678" s="53">
        <f>STOCK[[#This Row],[Ganancia Unitaria]]*STOCK[[#This Row],[Salidas]]</f>
        <v>3.6700000000000017</v>
      </c>
      <c r="AA678" s="53">
        <f>STOCK[[#This Row],[Costo total]]*STOCK[[#This Row],[Entradas]]</f>
        <v>42.66</v>
      </c>
      <c r="AB678" s="53">
        <f>STOCK[[#This Row],[Stock Actual]]*STOCK[[#This Row],[Costo total]]</f>
        <v>21.33</v>
      </c>
    </row>
    <row r="679" spans="1:29" s="54" customFormat="1" ht="50" customHeight="1">
      <c r="A679" s="54" t="s">
        <v>1367</v>
      </c>
      <c r="B679" s="64"/>
      <c r="C679" s="54" t="s">
        <v>32</v>
      </c>
      <c r="D679" s="54" t="s">
        <v>44</v>
      </c>
      <c r="E679" s="66" t="s">
        <v>1366</v>
      </c>
      <c r="F679" s="54" t="s">
        <v>1046</v>
      </c>
      <c r="G679" s="54" t="s">
        <v>36</v>
      </c>
      <c r="H679" s="54">
        <f>STOCK[[#This Row],[Precio Final]]</f>
        <v>25</v>
      </c>
      <c r="I679" s="54">
        <f>STOCK[[#This Row],[Precio Venta Ideal (x1.5)]]</f>
        <v>31.994999999999997</v>
      </c>
      <c r="J679" s="70">
        <v>2</v>
      </c>
      <c r="K679" s="70">
        <f>SUMIFS(VENTAS[Cantidad],VENTAS[Código del producto Vendido],STOCK[[#This Row],[Code]])</f>
        <v>0</v>
      </c>
      <c r="L679" s="70">
        <f>STOCK[[#This Row],[Entradas]]-STOCK[[#This Row],[Salidas]]</f>
        <v>2</v>
      </c>
      <c r="M679" s="54">
        <f>STOCK[[#This Row],[Precio Final]]*10%</f>
        <v>2.5</v>
      </c>
      <c r="N679" s="54">
        <v>0</v>
      </c>
      <c r="O679" s="54">
        <v>31.43</v>
      </c>
      <c r="P679" s="54">
        <v>13.83</v>
      </c>
      <c r="Q679" s="70">
        <v>0</v>
      </c>
      <c r="R679" s="54">
        <v>0</v>
      </c>
      <c r="S679" s="54">
        <v>5</v>
      </c>
      <c r="T679" s="53">
        <f>STOCK[[#This Row],[Costo Unitario (USD)]]+STOCK[[#This Row],[Costo Envío (USD)]]+STOCK[[#This Row],[Comisión 10%]]</f>
        <v>21.33</v>
      </c>
      <c r="U679" s="54">
        <f>STOCK[[#This Row],[Costo total]]*1.5</f>
        <v>31.994999999999997</v>
      </c>
      <c r="V679" s="54">
        <v>25</v>
      </c>
      <c r="W679" s="54">
        <f>STOCK[[#This Row],[Precio Final]]-STOCK[[#This Row],[Costo total]]</f>
        <v>3.6700000000000017</v>
      </c>
      <c r="X679" s="54">
        <f>STOCK[[#This Row],[Ganancia Unitaria]]*STOCK[[#This Row],[Salidas]]</f>
        <v>0</v>
      </c>
      <c r="AA679" s="54">
        <f>STOCK[[#This Row],[Costo total]]*STOCK[[#This Row],[Entradas]]</f>
        <v>42.66</v>
      </c>
      <c r="AB679" s="54">
        <f>STOCK[[#This Row],[Stock Actual]]*STOCK[[#This Row],[Costo total]]</f>
        <v>42.66</v>
      </c>
      <c r="AC679" s="54">
        <v>22</v>
      </c>
    </row>
    <row r="680" spans="1:29" s="53" customFormat="1" ht="50" customHeight="1">
      <c r="A680" s="53" t="s">
        <v>1368</v>
      </c>
      <c r="B680" s="64"/>
      <c r="C680" s="53" t="s">
        <v>32</v>
      </c>
      <c r="D680" s="53" t="s">
        <v>152</v>
      </c>
      <c r="E680" s="65" t="s">
        <v>1369</v>
      </c>
      <c r="F680" s="53" t="s">
        <v>88</v>
      </c>
      <c r="G680" s="53" t="s">
        <v>36</v>
      </c>
      <c r="H680" s="53">
        <f>STOCK[[#This Row],[Precio Final]]</f>
        <v>20</v>
      </c>
      <c r="I680" s="53">
        <f>STOCK[[#This Row],[Precio Venta Ideal (x1.5)]]</f>
        <v>22.11</v>
      </c>
      <c r="J680" s="69">
        <v>2</v>
      </c>
      <c r="K680" s="69">
        <f>SUMIFS(VENTAS[Cantidad],VENTAS[Código del producto Vendido],STOCK[[#This Row],[Code]])</f>
        <v>2</v>
      </c>
      <c r="L680" s="69">
        <f>STOCK[[#This Row],[Entradas]]-STOCK[[#This Row],[Salidas]]</f>
        <v>0</v>
      </c>
      <c r="M680" s="53">
        <f>STOCK[[#This Row],[Precio Final]]*10%</f>
        <v>2</v>
      </c>
      <c r="N680" s="53">
        <v>0</v>
      </c>
      <c r="O680" s="53">
        <v>12.64</v>
      </c>
      <c r="P680" s="53">
        <v>10.74</v>
      </c>
      <c r="Q680" s="69">
        <v>0</v>
      </c>
      <c r="R680" s="53">
        <v>0</v>
      </c>
      <c r="S680" s="53">
        <v>2</v>
      </c>
      <c r="T680" s="53">
        <f>STOCK[[#This Row],[Costo Unitario (USD)]]+STOCK[[#This Row],[Costo Envío (USD)]]+STOCK[[#This Row],[Comisión 10%]]</f>
        <v>14.74</v>
      </c>
      <c r="U680" s="53">
        <f>STOCK[[#This Row],[Costo total]]*1.5</f>
        <v>22.11</v>
      </c>
      <c r="V680" s="53">
        <v>20</v>
      </c>
      <c r="W680" s="53">
        <f>STOCK[[#This Row],[Precio Final]]-STOCK[[#This Row],[Costo total]]</f>
        <v>5.26</v>
      </c>
      <c r="X680" s="53">
        <f>STOCK[[#This Row],[Ganancia Unitaria]]*STOCK[[#This Row],[Salidas]]</f>
        <v>10.52</v>
      </c>
      <c r="AA680" s="53">
        <f>STOCK[[#This Row],[Costo total]]*STOCK[[#This Row],[Entradas]]</f>
        <v>29.48</v>
      </c>
      <c r="AB680" s="53">
        <f>STOCK[[#This Row],[Stock Actual]]*STOCK[[#This Row],[Costo total]]</f>
        <v>0</v>
      </c>
    </row>
    <row r="681" spans="1:29" s="54" customFormat="1" ht="50" customHeight="1">
      <c r="A681" s="54" t="s">
        <v>1370</v>
      </c>
      <c r="B681" s="64"/>
      <c r="C681" s="54" t="s">
        <v>32</v>
      </c>
      <c r="D681" s="54" t="s">
        <v>934</v>
      </c>
      <c r="E681" s="66" t="s">
        <v>1369</v>
      </c>
      <c r="F681" s="54" t="s">
        <v>211</v>
      </c>
      <c r="G681" s="54" t="s">
        <v>36</v>
      </c>
      <c r="H681" s="54">
        <f>STOCK[[#This Row],[Precio Final]]</f>
        <v>20</v>
      </c>
      <c r="I681" s="54">
        <f>STOCK[[#This Row],[Precio Venta Ideal (x1.5)]]</f>
        <v>22.11</v>
      </c>
      <c r="J681" s="70">
        <v>1</v>
      </c>
      <c r="K681" s="70">
        <f>SUMIFS(VENTAS[Cantidad],VENTAS[Código del producto Vendido],STOCK[[#This Row],[Code]])</f>
        <v>1</v>
      </c>
      <c r="L681" s="70">
        <f>STOCK[[#This Row],[Entradas]]-STOCK[[#This Row],[Salidas]]</f>
        <v>0</v>
      </c>
      <c r="M681" s="54">
        <f>STOCK[[#This Row],[Precio Final]]*10%</f>
        <v>2</v>
      </c>
      <c r="N681" s="54">
        <v>0</v>
      </c>
      <c r="O681" s="54">
        <v>25.28</v>
      </c>
      <c r="P681" s="54">
        <v>10.74</v>
      </c>
      <c r="Q681" s="70">
        <v>0</v>
      </c>
      <c r="R681" s="54">
        <v>0</v>
      </c>
      <c r="S681" s="54">
        <v>2</v>
      </c>
      <c r="T681" s="53">
        <f>STOCK[[#This Row],[Costo Unitario (USD)]]+STOCK[[#This Row],[Costo Envío (USD)]]+STOCK[[#This Row],[Comisión 10%]]</f>
        <v>14.74</v>
      </c>
      <c r="U681" s="54">
        <f>STOCK[[#This Row],[Costo total]]*1.5</f>
        <v>22.11</v>
      </c>
      <c r="V681" s="54">
        <v>20</v>
      </c>
      <c r="W681" s="54">
        <f>STOCK[[#This Row],[Precio Final]]-STOCK[[#This Row],[Costo total]]</f>
        <v>5.26</v>
      </c>
      <c r="X681" s="54">
        <f>STOCK[[#This Row],[Ganancia Unitaria]]*STOCK[[#This Row],[Salidas]]</f>
        <v>5.26</v>
      </c>
      <c r="AA681" s="54">
        <f>STOCK[[#This Row],[Costo total]]*STOCK[[#This Row],[Entradas]]</f>
        <v>14.74</v>
      </c>
      <c r="AB681" s="54">
        <f>STOCK[[#This Row],[Stock Actual]]*STOCK[[#This Row],[Costo total]]</f>
        <v>0</v>
      </c>
    </row>
    <row r="682" spans="1:29" s="53" customFormat="1" ht="50" customHeight="1">
      <c r="A682" s="53" t="s">
        <v>1371</v>
      </c>
      <c r="B682" s="64"/>
      <c r="C682" s="53" t="s">
        <v>32</v>
      </c>
      <c r="D682" s="53" t="s">
        <v>351</v>
      </c>
      <c r="E682" s="65" t="s">
        <v>1372</v>
      </c>
      <c r="F682" s="53" t="s">
        <v>525</v>
      </c>
      <c r="G682" s="53" t="s">
        <v>36</v>
      </c>
      <c r="H682" s="53">
        <f>STOCK[[#This Row],[Precio Final]]</f>
        <v>8</v>
      </c>
      <c r="I682" s="53">
        <f>STOCK[[#This Row],[Precio Venta Ideal (x1.5)]]</f>
        <v>8.43</v>
      </c>
      <c r="J682" s="69">
        <v>3</v>
      </c>
      <c r="K682" s="69">
        <f>SUMIFS(VENTAS[Cantidad],VENTAS[Código del producto Vendido],STOCK[[#This Row],[Code]])</f>
        <v>0</v>
      </c>
      <c r="L682" s="69">
        <f>STOCK[[#This Row],[Entradas]]-STOCK[[#This Row],[Salidas]]</f>
        <v>3</v>
      </c>
      <c r="M682" s="53">
        <f>STOCK[[#This Row],[Precio Final]]*10%</f>
        <v>0.8</v>
      </c>
      <c r="N682" s="53">
        <v>0</v>
      </c>
      <c r="O682" s="53">
        <v>4.7699999999999996</v>
      </c>
      <c r="P682" s="53">
        <v>2.82</v>
      </c>
      <c r="Q682" s="69">
        <v>0</v>
      </c>
      <c r="R682" s="53">
        <v>0</v>
      </c>
      <c r="S682" s="53">
        <v>2</v>
      </c>
      <c r="T682" s="53">
        <f>STOCK[[#This Row],[Costo Unitario (USD)]]+STOCK[[#This Row],[Costo Envío (USD)]]+STOCK[[#This Row],[Comisión 10%]]</f>
        <v>5.62</v>
      </c>
      <c r="U682" s="53">
        <f>STOCK[[#This Row],[Costo total]]*1.5</f>
        <v>8.43</v>
      </c>
      <c r="V682" s="53">
        <v>8</v>
      </c>
      <c r="W682" s="53">
        <f>STOCK[[#This Row],[Precio Final]]-STOCK[[#This Row],[Costo total]]</f>
        <v>2.38</v>
      </c>
      <c r="X682" s="53">
        <f>STOCK[[#This Row],[Ganancia Unitaria]]*STOCK[[#This Row],[Salidas]]</f>
        <v>0</v>
      </c>
      <c r="AA682" s="53">
        <f>STOCK[[#This Row],[Costo total]]*STOCK[[#This Row],[Entradas]]</f>
        <v>16.86</v>
      </c>
      <c r="AB682" s="53">
        <f>STOCK[[#This Row],[Stock Actual]]*STOCK[[#This Row],[Costo total]]</f>
        <v>16.86</v>
      </c>
    </row>
    <row r="683" spans="1:29" s="54" customFormat="1" ht="50" customHeight="1">
      <c r="A683" s="54" t="s">
        <v>1373</v>
      </c>
      <c r="B683" s="64"/>
      <c r="C683" s="54" t="s">
        <v>32</v>
      </c>
      <c r="D683" s="54" t="s">
        <v>351</v>
      </c>
      <c r="E683" s="66" t="s">
        <v>1374</v>
      </c>
      <c r="F683" s="54" t="s">
        <v>525</v>
      </c>
      <c r="G683" s="54" t="s">
        <v>36</v>
      </c>
      <c r="H683" s="54">
        <f>STOCK[[#This Row],[Precio Final]]</f>
        <v>7</v>
      </c>
      <c r="I683" s="54">
        <f>STOCK[[#This Row],[Precio Venta Ideal (x1.5)]]</f>
        <v>8.5050000000000008</v>
      </c>
      <c r="J683" s="70">
        <v>3</v>
      </c>
      <c r="K683" s="70">
        <f>SUMIFS(VENTAS[Cantidad],VENTAS[Código del producto Vendido],STOCK[[#This Row],[Code]])</f>
        <v>0</v>
      </c>
      <c r="L683" s="70">
        <f>STOCK[[#This Row],[Entradas]]-STOCK[[#This Row],[Salidas]]</f>
        <v>3</v>
      </c>
      <c r="M683" s="54">
        <f>STOCK[[#This Row],[Precio Final]]*10%</f>
        <v>0.70000000000000007</v>
      </c>
      <c r="N683" s="54">
        <v>0</v>
      </c>
      <c r="O683" s="54">
        <v>14.13</v>
      </c>
      <c r="P683" s="54">
        <v>2.97</v>
      </c>
      <c r="Q683" s="70">
        <v>0</v>
      </c>
      <c r="R683" s="54">
        <v>0</v>
      </c>
      <c r="S683" s="54">
        <v>2</v>
      </c>
      <c r="T683" s="53">
        <f>STOCK[[#This Row],[Costo Unitario (USD)]]+STOCK[[#This Row],[Costo Envío (USD)]]+STOCK[[#This Row],[Comisión 10%]]</f>
        <v>5.6700000000000008</v>
      </c>
      <c r="U683" s="54">
        <f>STOCK[[#This Row],[Costo total]]*1.5</f>
        <v>8.5050000000000008</v>
      </c>
      <c r="V683" s="54">
        <v>7</v>
      </c>
      <c r="W683" s="54">
        <f>STOCK[[#This Row],[Precio Final]]-STOCK[[#This Row],[Costo total]]</f>
        <v>1.3299999999999992</v>
      </c>
      <c r="X683" s="54">
        <f>STOCK[[#This Row],[Ganancia Unitaria]]*STOCK[[#This Row],[Salidas]]</f>
        <v>0</v>
      </c>
      <c r="AA683" s="54">
        <f>STOCK[[#This Row],[Costo total]]*STOCK[[#This Row],[Entradas]]</f>
        <v>17.010000000000002</v>
      </c>
      <c r="AB683" s="54">
        <f>STOCK[[#This Row],[Stock Actual]]*STOCK[[#This Row],[Costo total]]</f>
        <v>17.010000000000002</v>
      </c>
    </row>
    <row r="684" spans="1:29" s="53" customFormat="1" ht="50" customHeight="1">
      <c r="A684" s="53" t="s">
        <v>1375</v>
      </c>
      <c r="B684" s="64"/>
      <c r="C684" s="53" t="s">
        <v>32</v>
      </c>
      <c r="D684" s="53" t="s">
        <v>174</v>
      </c>
      <c r="E684" s="65" t="s">
        <v>1376</v>
      </c>
      <c r="F684" s="53" t="s">
        <v>62</v>
      </c>
      <c r="G684" s="53" t="s">
        <v>36</v>
      </c>
      <c r="H684" s="53">
        <f>STOCK[[#This Row],[Precio Final]]</f>
        <v>25</v>
      </c>
      <c r="I684" s="53">
        <f>STOCK[[#This Row],[Precio Venta Ideal (x1.5)]]</f>
        <v>20.25</v>
      </c>
      <c r="J684" s="69">
        <v>1</v>
      </c>
      <c r="K684" s="69">
        <f>SUMIFS(VENTAS[Cantidad],VENTAS[Código del producto Vendido],STOCK[[#This Row],[Code]])</f>
        <v>0</v>
      </c>
      <c r="L684" s="69">
        <f>STOCK[[#This Row],[Entradas]]-STOCK[[#This Row],[Salidas]]</f>
        <v>1</v>
      </c>
      <c r="M684" s="53">
        <f>STOCK[[#This Row],[Precio Final]]*10%</f>
        <v>2.5</v>
      </c>
      <c r="N684" s="53">
        <v>0</v>
      </c>
      <c r="O684" s="53">
        <v>15.5</v>
      </c>
      <c r="P684" s="53">
        <v>9</v>
      </c>
      <c r="Q684" s="69">
        <v>0</v>
      </c>
      <c r="R684" s="53">
        <v>0</v>
      </c>
      <c r="S684" s="53">
        <v>2</v>
      </c>
      <c r="T684" s="53">
        <f>STOCK[[#This Row],[Costo Unitario (USD)]]+STOCK[[#This Row],[Costo Envío (USD)]]+STOCK[[#This Row],[Comisión 10%]]</f>
        <v>13.5</v>
      </c>
      <c r="U684" s="53">
        <f>STOCK[[#This Row],[Costo total]]*1.5</f>
        <v>20.25</v>
      </c>
      <c r="V684" s="53">
        <v>25</v>
      </c>
      <c r="W684" s="53">
        <f>STOCK[[#This Row],[Precio Final]]-STOCK[[#This Row],[Costo total]]</f>
        <v>11.5</v>
      </c>
      <c r="X684" s="53">
        <f>STOCK[[#This Row],[Ganancia Unitaria]]*STOCK[[#This Row],[Salidas]]</f>
        <v>0</v>
      </c>
      <c r="AA684" s="53">
        <f>STOCK[[#This Row],[Costo total]]*STOCK[[#This Row],[Entradas]]</f>
        <v>13.5</v>
      </c>
      <c r="AB684" s="53">
        <f>STOCK[[#This Row],[Stock Actual]]*STOCK[[#This Row],[Costo total]]</f>
        <v>13.5</v>
      </c>
    </row>
    <row r="685" spans="1:29" s="54" customFormat="1" ht="50" customHeight="1">
      <c r="A685" s="54" t="s">
        <v>1377</v>
      </c>
      <c r="B685" s="64"/>
      <c r="C685" s="54" t="s">
        <v>32</v>
      </c>
      <c r="D685" s="54" t="s">
        <v>546</v>
      </c>
      <c r="E685" s="66" t="s">
        <v>1378</v>
      </c>
      <c r="F685" s="54" t="s">
        <v>1379</v>
      </c>
      <c r="G685" s="54" t="s">
        <v>704</v>
      </c>
      <c r="H685" s="54">
        <f>STOCK[[#This Row],[Precio Final]]</f>
        <v>12</v>
      </c>
      <c r="I685" s="54">
        <f>STOCK[[#This Row],[Precio Venta Ideal (x1.5)]]</f>
        <v>12.299999999999999</v>
      </c>
      <c r="J685" s="70">
        <v>0</v>
      </c>
      <c r="K685" s="70">
        <f>SUMIFS(VENTAS[Cantidad],VENTAS[Código del producto Vendido],STOCK[[#This Row],[Code]])</f>
        <v>0</v>
      </c>
      <c r="L685" s="70">
        <f>STOCK[[#This Row],[Entradas]]-STOCK[[#This Row],[Salidas]]</f>
        <v>0</v>
      </c>
      <c r="M685" s="54">
        <f>STOCK[[#This Row],[Precio Final]]*10%</f>
        <v>1.2000000000000002</v>
      </c>
      <c r="N685" s="54">
        <v>0</v>
      </c>
      <c r="O685" s="54">
        <v>0</v>
      </c>
      <c r="P685" s="54">
        <v>5</v>
      </c>
      <c r="Q685" s="70">
        <v>0</v>
      </c>
      <c r="R685" s="54">
        <v>0</v>
      </c>
      <c r="S685" s="54">
        <v>2</v>
      </c>
      <c r="T685" s="53">
        <f>STOCK[[#This Row],[Costo Unitario (USD)]]+STOCK[[#This Row],[Costo Envío (USD)]]+STOCK[[#This Row],[Comisión 10%]]</f>
        <v>8.1999999999999993</v>
      </c>
      <c r="U685" s="54">
        <f>STOCK[[#This Row],[Costo total]]*1.5</f>
        <v>12.299999999999999</v>
      </c>
      <c r="V685" s="54">
        <v>12</v>
      </c>
      <c r="W685" s="54">
        <f>STOCK[[#This Row],[Precio Final]]-STOCK[[#This Row],[Costo total]]</f>
        <v>3.8000000000000007</v>
      </c>
      <c r="X685" s="54">
        <f>STOCK[[#This Row],[Ganancia Unitaria]]*STOCK[[#This Row],[Salidas]]</f>
        <v>0</v>
      </c>
      <c r="AA685" s="54">
        <f>STOCK[[#This Row],[Costo total]]*STOCK[[#This Row],[Entradas]]</f>
        <v>0</v>
      </c>
      <c r="AB685" s="54">
        <f>STOCK[[#This Row],[Stock Actual]]*STOCK[[#This Row],[Costo total]]</f>
        <v>0</v>
      </c>
    </row>
    <row r="686" spans="1:29" s="53" customFormat="1" ht="50" customHeight="1">
      <c r="A686" s="53" t="s">
        <v>1380</v>
      </c>
      <c r="B686" s="64"/>
      <c r="C686" s="53" t="s">
        <v>32</v>
      </c>
      <c r="D686" s="53" t="s">
        <v>288</v>
      </c>
      <c r="E686" s="65" t="s">
        <v>1381</v>
      </c>
      <c r="F686" s="53" t="s">
        <v>62</v>
      </c>
      <c r="G686" s="53" t="s">
        <v>1296</v>
      </c>
      <c r="H686" s="53">
        <f>STOCK[[#This Row],[Precio Final]]</f>
        <v>25</v>
      </c>
      <c r="I686" s="53">
        <f>STOCK[[#This Row],[Precio Venta Ideal (x1.5)]]</f>
        <v>26.25</v>
      </c>
      <c r="J686" s="69">
        <v>3</v>
      </c>
      <c r="K686" s="69">
        <f>SUMIFS(VENTAS[Cantidad],VENTAS[Código del producto Vendido],STOCK[[#This Row],[Code]])</f>
        <v>1</v>
      </c>
      <c r="L686" s="69">
        <f>STOCK[[#This Row],[Entradas]]-STOCK[[#This Row],[Salidas]]</f>
        <v>2</v>
      </c>
      <c r="M686" s="53">
        <f>STOCK[[#This Row],[Precio Final]]*10%</f>
        <v>2.5</v>
      </c>
      <c r="N686" s="53">
        <v>0</v>
      </c>
      <c r="O686" s="53">
        <v>0</v>
      </c>
      <c r="P686" s="53">
        <v>10</v>
      </c>
      <c r="Q686" s="69">
        <v>0</v>
      </c>
      <c r="R686" s="53">
        <v>0</v>
      </c>
      <c r="S686" s="53">
        <v>5</v>
      </c>
      <c r="T686" s="53">
        <f>STOCK[[#This Row],[Costo Unitario (USD)]]+STOCK[[#This Row],[Costo Envío (USD)]]+STOCK[[#This Row],[Comisión 10%]]</f>
        <v>17.5</v>
      </c>
      <c r="U686" s="53">
        <f>STOCK[[#This Row],[Costo total]]*1.5</f>
        <v>26.25</v>
      </c>
      <c r="V686" s="53">
        <v>25</v>
      </c>
      <c r="W686" s="53">
        <f>STOCK[[#This Row],[Precio Final]]-STOCK[[#This Row],[Costo total]]</f>
        <v>7.5</v>
      </c>
      <c r="X686" s="53">
        <f>STOCK[[#This Row],[Ganancia Unitaria]]*STOCK[[#This Row],[Salidas]]</f>
        <v>7.5</v>
      </c>
      <c r="AA686" s="53">
        <f>STOCK[[#This Row],[Costo total]]*STOCK[[#This Row],[Entradas]]</f>
        <v>52.5</v>
      </c>
      <c r="AB686" s="53">
        <f>STOCK[[#This Row],[Stock Actual]]*STOCK[[#This Row],[Costo total]]</f>
        <v>35</v>
      </c>
    </row>
    <row r="687" spans="1:29" s="54" customFormat="1" ht="50" customHeight="1">
      <c r="A687" s="54" t="s">
        <v>1382</v>
      </c>
      <c r="B687" s="64"/>
      <c r="C687" s="54" t="s">
        <v>32</v>
      </c>
      <c r="D687" s="54" t="s">
        <v>546</v>
      </c>
      <c r="E687" s="66" t="s">
        <v>1383</v>
      </c>
      <c r="F687" s="54" t="s">
        <v>1384</v>
      </c>
      <c r="G687" s="54" t="s">
        <v>704</v>
      </c>
      <c r="H687" s="54">
        <f>STOCK[[#This Row],[Precio Final]]</f>
        <v>12</v>
      </c>
      <c r="I687" s="54">
        <f>STOCK[[#This Row],[Precio Venta Ideal (x1.5)]]</f>
        <v>12.299999999999999</v>
      </c>
      <c r="J687" s="70">
        <v>0</v>
      </c>
      <c r="K687" s="70">
        <f>SUMIFS(VENTAS[Cantidad],VENTAS[Código del producto Vendido],STOCK[[#This Row],[Code]])</f>
        <v>0</v>
      </c>
      <c r="L687" s="70">
        <f>STOCK[[#This Row],[Entradas]]-STOCK[[#This Row],[Salidas]]</f>
        <v>0</v>
      </c>
      <c r="M687" s="54">
        <f>STOCK[[#This Row],[Precio Final]]*10%</f>
        <v>1.2000000000000002</v>
      </c>
      <c r="N687" s="54">
        <v>0</v>
      </c>
      <c r="O687" s="54">
        <v>0</v>
      </c>
      <c r="P687" s="54">
        <v>5</v>
      </c>
      <c r="Q687" s="70">
        <v>0</v>
      </c>
      <c r="R687" s="54">
        <v>0</v>
      </c>
      <c r="S687" s="54">
        <v>2</v>
      </c>
      <c r="T687" s="53">
        <f>STOCK[[#This Row],[Costo Unitario (USD)]]+STOCK[[#This Row],[Costo Envío (USD)]]+STOCK[[#This Row],[Comisión 10%]]</f>
        <v>8.1999999999999993</v>
      </c>
      <c r="U687" s="54">
        <f>STOCK[[#This Row],[Costo total]]*1.5</f>
        <v>12.299999999999999</v>
      </c>
      <c r="V687" s="54">
        <v>12</v>
      </c>
      <c r="W687" s="54">
        <f>STOCK[[#This Row],[Precio Final]]-STOCK[[#This Row],[Costo total]]</f>
        <v>3.8000000000000007</v>
      </c>
      <c r="X687" s="54">
        <f>STOCK[[#This Row],[Ganancia Unitaria]]*STOCK[[#This Row],[Salidas]]</f>
        <v>0</v>
      </c>
      <c r="AA687" s="54">
        <f>STOCK[[#This Row],[Costo total]]*STOCK[[#This Row],[Entradas]]</f>
        <v>0</v>
      </c>
      <c r="AB687" s="54">
        <f>STOCK[[#This Row],[Stock Actual]]*STOCK[[#This Row],[Costo total]]</f>
        <v>0</v>
      </c>
    </row>
    <row r="688" spans="1:29" s="53" customFormat="1" ht="50" customHeight="1">
      <c r="A688" s="53" t="s">
        <v>1385</v>
      </c>
      <c r="B688" s="64"/>
      <c r="C688" s="53" t="s">
        <v>32</v>
      </c>
      <c r="D688" s="53" t="s">
        <v>546</v>
      </c>
      <c r="E688" s="65" t="s">
        <v>1386</v>
      </c>
      <c r="F688" s="53" t="s">
        <v>62</v>
      </c>
      <c r="G688" s="53" t="s">
        <v>36</v>
      </c>
      <c r="H688" s="53">
        <f>STOCK[[#This Row],[Precio Final]]</f>
        <v>3</v>
      </c>
      <c r="I688" s="53">
        <f>STOCK[[#This Row],[Precio Venta Ideal (x1.5)]]</f>
        <v>3.1500000000000004</v>
      </c>
      <c r="J688" s="69">
        <v>2</v>
      </c>
      <c r="K688" s="69">
        <f>SUMIFS(VENTAS[Cantidad],VENTAS[Código del producto Vendido],STOCK[[#This Row],[Code]])</f>
        <v>2</v>
      </c>
      <c r="L688" s="69">
        <f>STOCK[[#This Row],[Entradas]]-STOCK[[#This Row],[Salidas]]</f>
        <v>0</v>
      </c>
      <c r="M688" s="53">
        <f>STOCK[[#This Row],[Precio Final]]*10%</f>
        <v>0.30000000000000004</v>
      </c>
      <c r="N688" s="53">
        <v>0</v>
      </c>
      <c r="O688" s="53">
        <v>0</v>
      </c>
      <c r="P688" s="53">
        <v>1.3</v>
      </c>
      <c r="Q688" s="69">
        <v>0</v>
      </c>
      <c r="R688" s="53">
        <v>0</v>
      </c>
      <c r="S688" s="53">
        <v>0.5</v>
      </c>
      <c r="T688" s="53">
        <f>STOCK[[#This Row],[Costo Unitario (USD)]]+STOCK[[#This Row],[Costo Envío (USD)]]+STOCK[[#This Row],[Comisión 10%]]</f>
        <v>2.1</v>
      </c>
      <c r="U688" s="53">
        <f>STOCK[[#This Row],[Costo total]]*1.5</f>
        <v>3.1500000000000004</v>
      </c>
      <c r="V688" s="53">
        <v>3</v>
      </c>
      <c r="W688" s="53">
        <f>STOCK[[#This Row],[Precio Final]]-STOCK[[#This Row],[Costo total]]</f>
        <v>0.89999999999999991</v>
      </c>
      <c r="X688" s="53">
        <f>STOCK[[#This Row],[Ganancia Unitaria]]*STOCK[[#This Row],[Salidas]]</f>
        <v>1.7999999999999998</v>
      </c>
      <c r="AA688" s="53">
        <f>STOCK[[#This Row],[Costo total]]*STOCK[[#This Row],[Entradas]]</f>
        <v>4.2</v>
      </c>
      <c r="AB688" s="53">
        <f>STOCK[[#This Row],[Stock Actual]]*STOCK[[#This Row],[Costo total]]</f>
        <v>0</v>
      </c>
    </row>
    <row r="689" spans="1:29" s="54" customFormat="1" ht="50" customHeight="1">
      <c r="A689" s="54" t="s">
        <v>1387</v>
      </c>
      <c r="B689" s="64"/>
      <c r="C689" s="54" t="s">
        <v>32</v>
      </c>
      <c r="D689" s="54" t="s">
        <v>1388</v>
      </c>
      <c r="E689" s="66" t="s">
        <v>1389</v>
      </c>
      <c r="F689" s="54" t="s">
        <v>62</v>
      </c>
      <c r="G689" s="54" t="s">
        <v>704</v>
      </c>
      <c r="H689" s="54">
        <f>STOCK[[#This Row],[Precio Final]]</f>
        <v>19</v>
      </c>
      <c r="I689" s="54">
        <f>STOCK[[#This Row],[Precio Venta Ideal (x1.5)]]</f>
        <v>19.350000000000001</v>
      </c>
      <c r="J689" s="70">
        <v>1</v>
      </c>
      <c r="K689" s="70">
        <f>SUMIFS(VENTAS[Cantidad],VENTAS[Código del producto Vendido],STOCK[[#This Row],[Code]])</f>
        <v>0</v>
      </c>
      <c r="L689" s="70">
        <f>STOCK[[#This Row],[Entradas]]-STOCK[[#This Row],[Salidas]]</f>
        <v>1</v>
      </c>
      <c r="M689" s="54">
        <f>STOCK[[#This Row],[Precio Final]]*10%</f>
        <v>1.9000000000000001</v>
      </c>
      <c r="N689" s="54">
        <v>0</v>
      </c>
      <c r="O689" s="54">
        <v>0</v>
      </c>
      <c r="P689" s="54">
        <v>9</v>
      </c>
      <c r="Q689" s="70">
        <v>0</v>
      </c>
      <c r="R689" s="54">
        <v>0</v>
      </c>
      <c r="S689" s="54">
        <v>2</v>
      </c>
      <c r="T689" s="53">
        <f>STOCK[[#This Row],[Costo Unitario (USD)]]+STOCK[[#This Row],[Costo Envío (USD)]]+STOCK[[#This Row],[Comisión 10%]]</f>
        <v>12.9</v>
      </c>
      <c r="U689" s="54">
        <f>STOCK[[#This Row],[Costo total]]*1.5</f>
        <v>19.350000000000001</v>
      </c>
      <c r="V689" s="54">
        <v>19</v>
      </c>
      <c r="W689" s="54">
        <f>STOCK[[#This Row],[Precio Final]]-STOCK[[#This Row],[Costo total]]</f>
        <v>6.1</v>
      </c>
      <c r="X689" s="54">
        <f>STOCK[[#This Row],[Ganancia Unitaria]]*STOCK[[#This Row],[Salidas]]</f>
        <v>0</v>
      </c>
      <c r="AA689" s="54">
        <f>STOCK[[#This Row],[Costo total]]*STOCK[[#This Row],[Entradas]]</f>
        <v>12.9</v>
      </c>
      <c r="AB689" s="54">
        <f>STOCK[[#This Row],[Stock Actual]]*STOCK[[#This Row],[Costo total]]</f>
        <v>12.9</v>
      </c>
    </row>
    <row r="690" spans="1:29" s="53" customFormat="1" ht="50" customHeight="1">
      <c r="A690" s="53" t="s">
        <v>1390</v>
      </c>
      <c r="B690" s="64"/>
      <c r="C690" s="53" t="s">
        <v>32</v>
      </c>
      <c r="D690" s="53" t="s">
        <v>152</v>
      </c>
      <c r="E690" s="65" t="s">
        <v>1391</v>
      </c>
      <c r="F690" s="53" t="s">
        <v>62</v>
      </c>
      <c r="G690" s="53" t="s">
        <v>1296</v>
      </c>
      <c r="H690" s="53">
        <f>STOCK[[#This Row],[Precio Final]]</f>
        <v>18</v>
      </c>
      <c r="I690" s="53">
        <f>STOCK[[#This Row],[Precio Venta Ideal (x1.5)]]</f>
        <v>19.68</v>
      </c>
      <c r="J690" s="69">
        <v>1</v>
      </c>
      <c r="K690" s="69">
        <f>SUMIFS(VENTAS[Cantidad],VENTAS[Código del producto Vendido],STOCK[[#This Row],[Code]])</f>
        <v>1</v>
      </c>
      <c r="L690" s="69">
        <f>STOCK[[#This Row],[Entradas]]-STOCK[[#This Row],[Salidas]]</f>
        <v>0</v>
      </c>
      <c r="M690" s="53">
        <f>STOCK[[#This Row],[Precio Final]]*10%</f>
        <v>1.8</v>
      </c>
      <c r="N690" s="53">
        <v>0</v>
      </c>
      <c r="O690" s="53">
        <v>0</v>
      </c>
      <c r="P690" s="53">
        <v>9.32</v>
      </c>
      <c r="Q690" s="69">
        <v>0</v>
      </c>
      <c r="R690" s="53">
        <v>0</v>
      </c>
      <c r="S690" s="53">
        <v>2</v>
      </c>
      <c r="T690" s="53">
        <f>STOCK[[#This Row],[Costo Unitario (USD)]]+STOCK[[#This Row],[Costo Envío (USD)]]+STOCK[[#This Row],[Comisión 10%]]</f>
        <v>13.120000000000001</v>
      </c>
      <c r="U690" s="53">
        <f>STOCK[[#This Row],[Costo total]]*1.5</f>
        <v>19.68</v>
      </c>
      <c r="V690" s="53">
        <v>18</v>
      </c>
      <c r="W690" s="53">
        <f>STOCK[[#This Row],[Precio Final]]-STOCK[[#This Row],[Costo total]]</f>
        <v>4.879999999999999</v>
      </c>
      <c r="X690" s="53">
        <f>STOCK[[#This Row],[Ganancia Unitaria]]*STOCK[[#This Row],[Salidas]]</f>
        <v>4.879999999999999</v>
      </c>
      <c r="AA690" s="53">
        <f>STOCK[[#This Row],[Costo total]]*STOCK[[#This Row],[Entradas]]</f>
        <v>13.120000000000001</v>
      </c>
      <c r="AB690" s="53">
        <f>STOCK[[#This Row],[Stock Actual]]*STOCK[[#This Row],[Costo total]]</f>
        <v>0</v>
      </c>
    </row>
    <row r="691" spans="1:29" s="54" customFormat="1" ht="50" customHeight="1">
      <c r="A691" s="54" t="s">
        <v>1392</v>
      </c>
      <c r="B691" s="64"/>
      <c r="C691" s="54" t="s">
        <v>32</v>
      </c>
      <c r="D691" s="54" t="s">
        <v>152</v>
      </c>
      <c r="E691" s="66" t="s">
        <v>1393</v>
      </c>
      <c r="F691" s="54" t="s">
        <v>49</v>
      </c>
      <c r="G691" s="54" t="s">
        <v>1296</v>
      </c>
      <c r="H691" s="54">
        <f>STOCK[[#This Row],[Precio Final]]</f>
        <v>20</v>
      </c>
      <c r="I691" s="54">
        <f>STOCK[[#This Row],[Precio Venta Ideal (x1.5)]]</f>
        <v>24</v>
      </c>
      <c r="J691" s="70">
        <v>0</v>
      </c>
      <c r="K691" s="70">
        <f>SUMIFS(VENTAS[Cantidad],VENTAS[Código del producto Vendido],STOCK[[#This Row],[Code]])</f>
        <v>0</v>
      </c>
      <c r="L691" s="70">
        <f>STOCK[[#This Row],[Entradas]]-STOCK[[#This Row],[Salidas]]</f>
        <v>0</v>
      </c>
      <c r="M691" s="54">
        <f>STOCK[[#This Row],[Precio Final]]*10%</f>
        <v>2</v>
      </c>
      <c r="N691" s="54">
        <v>0</v>
      </c>
      <c r="O691" s="54">
        <v>0</v>
      </c>
      <c r="P691" s="54">
        <v>12</v>
      </c>
      <c r="Q691" s="70">
        <v>0</v>
      </c>
      <c r="R691" s="54">
        <v>0</v>
      </c>
      <c r="S691" s="54">
        <v>2</v>
      </c>
      <c r="T691" s="53">
        <f>STOCK[[#This Row],[Costo Unitario (USD)]]+STOCK[[#This Row],[Costo Envío (USD)]]+STOCK[[#This Row],[Comisión 10%]]</f>
        <v>16</v>
      </c>
      <c r="U691" s="54">
        <f>STOCK[[#This Row],[Costo total]]*1.5</f>
        <v>24</v>
      </c>
      <c r="V691" s="54">
        <v>20</v>
      </c>
      <c r="W691" s="54">
        <f>STOCK[[#This Row],[Precio Final]]-STOCK[[#This Row],[Costo total]]</f>
        <v>4</v>
      </c>
      <c r="X691" s="54">
        <f>STOCK[[#This Row],[Ganancia Unitaria]]*STOCK[[#This Row],[Salidas]]</f>
        <v>0</v>
      </c>
      <c r="AA691" s="54">
        <f>STOCK[[#This Row],[Costo total]]*STOCK[[#This Row],[Entradas]]</f>
        <v>0</v>
      </c>
      <c r="AB691" s="54">
        <f>STOCK[[#This Row],[Stock Actual]]*STOCK[[#This Row],[Costo total]]</f>
        <v>0</v>
      </c>
    </row>
    <row r="692" spans="1:29" s="53" customFormat="1" ht="50" customHeight="1">
      <c r="A692" s="53" t="s">
        <v>1394</v>
      </c>
      <c r="B692" s="64"/>
      <c r="C692" s="53" t="s">
        <v>32</v>
      </c>
      <c r="D692" s="53" t="s">
        <v>152</v>
      </c>
      <c r="E692" s="65" t="s">
        <v>1391</v>
      </c>
      <c r="F692" s="53" t="s">
        <v>40</v>
      </c>
      <c r="G692" s="53" t="s">
        <v>1296</v>
      </c>
      <c r="H692" s="53">
        <f>STOCK[[#This Row],[Precio Final]]</f>
        <v>18</v>
      </c>
      <c r="I692" s="53">
        <f>STOCK[[#This Row],[Precio Venta Ideal (x1.5)]]</f>
        <v>19.68</v>
      </c>
      <c r="J692" s="69">
        <v>1</v>
      </c>
      <c r="K692" s="69">
        <f>SUMIFS(VENTAS[Cantidad],VENTAS[Código del producto Vendido],STOCK[[#This Row],[Code]])</f>
        <v>1</v>
      </c>
      <c r="L692" s="69">
        <f>STOCK[[#This Row],[Entradas]]-STOCK[[#This Row],[Salidas]]</f>
        <v>0</v>
      </c>
      <c r="M692" s="53">
        <f>STOCK[[#This Row],[Precio Final]]*10%</f>
        <v>1.8</v>
      </c>
      <c r="N692" s="53">
        <v>0</v>
      </c>
      <c r="O692" s="53">
        <v>0</v>
      </c>
      <c r="P692" s="53">
        <v>9.32</v>
      </c>
      <c r="Q692" s="69">
        <v>0</v>
      </c>
      <c r="R692" s="53">
        <v>0</v>
      </c>
      <c r="S692" s="53">
        <v>2</v>
      </c>
      <c r="T692" s="53">
        <f>STOCK[[#This Row],[Costo Unitario (USD)]]+STOCK[[#This Row],[Costo Envío (USD)]]+STOCK[[#This Row],[Comisión 10%]]</f>
        <v>13.120000000000001</v>
      </c>
      <c r="U692" s="53">
        <f>STOCK[[#This Row],[Costo total]]*1.5</f>
        <v>19.68</v>
      </c>
      <c r="V692" s="53">
        <v>18</v>
      </c>
      <c r="W692" s="53">
        <f>STOCK[[#This Row],[Precio Final]]-STOCK[[#This Row],[Costo total]]</f>
        <v>4.879999999999999</v>
      </c>
      <c r="X692" s="53">
        <f>STOCK[[#This Row],[Ganancia Unitaria]]*STOCK[[#This Row],[Salidas]]</f>
        <v>4.879999999999999</v>
      </c>
      <c r="AA692" s="53">
        <f>STOCK[[#This Row],[Costo total]]*STOCK[[#This Row],[Entradas]]</f>
        <v>13.120000000000001</v>
      </c>
      <c r="AB692" s="53">
        <f>STOCK[[#This Row],[Stock Actual]]*STOCK[[#This Row],[Costo total]]</f>
        <v>0</v>
      </c>
    </row>
    <row r="693" spans="1:29" s="54" customFormat="1" ht="50" customHeight="1">
      <c r="A693" s="54" t="s">
        <v>1395</v>
      </c>
      <c r="B693" s="64"/>
      <c r="C693" s="54" t="s">
        <v>32</v>
      </c>
      <c r="D693" s="54" t="s">
        <v>174</v>
      </c>
      <c r="E693" s="66" t="s">
        <v>1396</v>
      </c>
      <c r="F693" s="54" t="s">
        <v>49</v>
      </c>
      <c r="G693" s="54" t="s">
        <v>704</v>
      </c>
      <c r="H693" s="54">
        <f>STOCK[[#This Row],[Precio Final]]</f>
        <v>18</v>
      </c>
      <c r="I693" s="54">
        <f>STOCK[[#This Row],[Precio Venta Ideal (x1.5)]]</f>
        <v>19.68</v>
      </c>
      <c r="J693" s="70">
        <v>0</v>
      </c>
      <c r="K693" s="70">
        <f>SUMIFS(VENTAS[Cantidad],VENTAS[Código del producto Vendido],STOCK[[#This Row],[Code]])</f>
        <v>0</v>
      </c>
      <c r="L693" s="70">
        <f>STOCK[[#This Row],[Entradas]]-STOCK[[#This Row],[Salidas]]</f>
        <v>0</v>
      </c>
      <c r="M693" s="54">
        <f>STOCK[[#This Row],[Precio Final]]*10%</f>
        <v>1.8</v>
      </c>
      <c r="N693" s="54">
        <v>0</v>
      </c>
      <c r="O693" s="54">
        <v>0</v>
      </c>
      <c r="P693" s="54">
        <v>9.32</v>
      </c>
      <c r="Q693" s="70">
        <v>0</v>
      </c>
      <c r="R693" s="54">
        <v>0</v>
      </c>
      <c r="S693" s="54">
        <v>2</v>
      </c>
      <c r="T693" s="53">
        <f>STOCK[[#This Row],[Costo Unitario (USD)]]+STOCK[[#This Row],[Costo Envío (USD)]]+STOCK[[#This Row],[Comisión 10%]]</f>
        <v>13.120000000000001</v>
      </c>
      <c r="U693" s="54">
        <f>STOCK[[#This Row],[Costo total]]*1.5</f>
        <v>19.68</v>
      </c>
      <c r="V693" s="54">
        <v>18</v>
      </c>
      <c r="W693" s="54">
        <f>STOCK[[#This Row],[Precio Final]]-STOCK[[#This Row],[Costo total]]</f>
        <v>4.879999999999999</v>
      </c>
      <c r="X693" s="54">
        <f>STOCK[[#This Row],[Ganancia Unitaria]]*STOCK[[#This Row],[Salidas]]</f>
        <v>0</v>
      </c>
      <c r="AA693" s="54">
        <f>STOCK[[#This Row],[Costo total]]*STOCK[[#This Row],[Entradas]]</f>
        <v>0</v>
      </c>
      <c r="AB693" s="54">
        <f>STOCK[[#This Row],[Stock Actual]]*STOCK[[#This Row],[Costo total]]</f>
        <v>0</v>
      </c>
    </row>
    <row r="694" spans="1:29" s="53" customFormat="1" ht="50" customHeight="1">
      <c r="A694" s="53" t="s">
        <v>1397</v>
      </c>
      <c r="B694" s="64"/>
      <c r="C694" s="53" t="s">
        <v>32</v>
      </c>
      <c r="D694" s="53" t="s">
        <v>174</v>
      </c>
      <c r="E694" s="65" t="s">
        <v>1398</v>
      </c>
      <c r="F694" s="53" t="s">
        <v>62</v>
      </c>
      <c r="G694" s="53" t="s">
        <v>1296</v>
      </c>
      <c r="H694" s="53">
        <f>STOCK[[#This Row],[Precio Final]]</f>
        <v>12</v>
      </c>
      <c r="I694" s="53">
        <f>STOCK[[#This Row],[Precio Venta Ideal (x1.5)]]</f>
        <v>15.299999999999999</v>
      </c>
      <c r="J694" s="69">
        <v>3</v>
      </c>
      <c r="K694" s="69">
        <f>SUMIFS(VENTAS[Cantidad],VENTAS[Código del producto Vendido],STOCK[[#This Row],[Code]])</f>
        <v>1</v>
      </c>
      <c r="L694" s="69">
        <f>STOCK[[#This Row],[Entradas]]-STOCK[[#This Row],[Salidas]]</f>
        <v>2</v>
      </c>
      <c r="M694" s="53">
        <f>STOCK[[#This Row],[Precio Final]]*10%</f>
        <v>1.2000000000000002</v>
      </c>
      <c r="N694" s="53">
        <v>0</v>
      </c>
      <c r="O694" s="53">
        <v>22.5</v>
      </c>
      <c r="P694" s="53">
        <v>7</v>
      </c>
      <c r="Q694" s="69">
        <v>0</v>
      </c>
      <c r="R694" s="53">
        <v>0</v>
      </c>
      <c r="S694" s="53">
        <v>2</v>
      </c>
      <c r="T694" s="53">
        <f>STOCK[[#This Row],[Costo Unitario (USD)]]+STOCK[[#This Row],[Costo Envío (USD)]]+STOCK[[#This Row],[Comisión 10%]]</f>
        <v>10.199999999999999</v>
      </c>
      <c r="U694" s="53">
        <f>STOCK[[#This Row],[Costo total]]*1.5</f>
        <v>15.299999999999999</v>
      </c>
      <c r="V694" s="53">
        <v>12</v>
      </c>
      <c r="W694" s="53">
        <f>STOCK[[#This Row],[Precio Final]]-STOCK[[#This Row],[Costo total]]</f>
        <v>1.8000000000000007</v>
      </c>
      <c r="X694" s="53">
        <f>STOCK[[#This Row],[Ganancia Unitaria]]*STOCK[[#This Row],[Salidas]]</f>
        <v>1.8000000000000007</v>
      </c>
      <c r="AA694" s="53">
        <f>STOCK[[#This Row],[Costo total]]*STOCK[[#This Row],[Entradas]]</f>
        <v>30.599999999999998</v>
      </c>
      <c r="AB694" s="53">
        <f>STOCK[[#This Row],[Stock Actual]]*STOCK[[#This Row],[Costo total]]</f>
        <v>20.399999999999999</v>
      </c>
    </row>
    <row r="695" spans="1:29" s="54" customFormat="1" ht="50" customHeight="1">
      <c r="A695" s="54" t="s">
        <v>1399</v>
      </c>
      <c r="B695" s="64"/>
      <c r="C695" s="54" t="s">
        <v>32</v>
      </c>
      <c r="D695" s="54" t="s">
        <v>174</v>
      </c>
      <c r="E695" s="65" t="s">
        <v>1398</v>
      </c>
      <c r="F695" s="54" t="s">
        <v>49</v>
      </c>
      <c r="G695" s="54" t="s">
        <v>1296</v>
      </c>
      <c r="H695" s="54">
        <f>STOCK[[#This Row],[Precio Final]]</f>
        <v>12</v>
      </c>
      <c r="I695" s="54">
        <f>STOCK[[#This Row],[Precio Venta Ideal (x1.5)]]</f>
        <v>15.299999999999999</v>
      </c>
      <c r="J695" s="70">
        <v>4</v>
      </c>
      <c r="K695" s="70">
        <f>SUMIFS(VENTAS[Cantidad],VENTAS[Código del producto Vendido],STOCK[[#This Row],[Code]])</f>
        <v>2</v>
      </c>
      <c r="L695" s="70">
        <f>STOCK[[#This Row],[Entradas]]-STOCK[[#This Row],[Salidas]]</f>
        <v>2</v>
      </c>
      <c r="M695" s="54">
        <f>STOCK[[#This Row],[Precio Final]]*10%</f>
        <v>1.2000000000000002</v>
      </c>
      <c r="N695" s="54">
        <v>0</v>
      </c>
      <c r="O695" s="54">
        <v>22.5</v>
      </c>
      <c r="P695" s="54">
        <v>7</v>
      </c>
      <c r="Q695" s="70">
        <v>0</v>
      </c>
      <c r="R695" s="54">
        <v>0</v>
      </c>
      <c r="S695" s="54">
        <v>2</v>
      </c>
      <c r="T695" s="53">
        <f>STOCK[[#This Row],[Costo Unitario (USD)]]+STOCK[[#This Row],[Costo Envío (USD)]]+STOCK[[#This Row],[Comisión 10%]]</f>
        <v>10.199999999999999</v>
      </c>
      <c r="U695" s="54">
        <f>STOCK[[#This Row],[Costo total]]*1.5</f>
        <v>15.299999999999999</v>
      </c>
      <c r="V695" s="54">
        <v>12</v>
      </c>
      <c r="W695" s="54">
        <f>STOCK[[#This Row],[Precio Final]]-STOCK[[#This Row],[Costo total]]</f>
        <v>1.8000000000000007</v>
      </c>
      <c r="X695" s="54">
        <f>STOCK[[#This Row],[Ganancia Unitaria]]*STOCK[[#This Row],[Salidas]]</f>
        <v>3.6000000000000014</v>
      </c>
      <c r="AA695" s="54">
        <f>STOCK[[#This Row],[Costo total]]*STOCK[[#This Row],[Entradas]]</f>
        <v>40.799999999999997</v>
      </c>
      <c r="AB695" s="54">
        <f>STOCK[[#This Row],[Stock Actual]]*STOCK[[#This Row],[Costo total]]</f>
        <v>20.399999999999999</v>
      </c>
    </row>
    <row r="696" spans="1:29" s="53" customFormat="1" ht="50" customHeight="1">
      <c r="A696" s="53" t="s">
        <v>1400</v>
      </c>
      <c r="B696" s="64"/>
      <c r="C696" s="53" t="s">
        <v>32</v>
      </c>
      <c r="D696" s="53" t="s">
        <v>174</v>
      </c>
      <c r="E696" s="65" t="s">
        <v>1401</v>
      </c>
      <c r="F696" s="53" t="s">
        <v>49</v>
      </c>
      <c r="G696" s="53" t="s">
        <v>1296</v>
      </c>
      <c r="H696" s="53">
        <f>STOCK[[#This Row],[Precio Final]]</f>
        <v>12</v>
      </c>
      <c r="I696" s="53">
        <f>STOCK[[#This Row],[Precio Venta Ideal (x1.5)]]</f>
        <v>15.299999999999999</v>
      </c>
      <c r="J696" s="69">
        <v>3</v>
      </c>
      <c r="K696" s="69">
        <f>SUMIFS(VENTAS[Cantidad],VENTAS[Código del producto Vendido],STOCK[[#This Row],[Code]])</f>
        <v>2</v>
      </c>
      <c r="L696" s="69">
        <f>STOCK[[#This Row],[Entradas]]-STOCK[[#This Row],[Salidas]]</f>
        <v>1</v>
      </c>
      <c r="M696" s="53">
        <f>STOCK[[#This Row],[Precio Final]]*10%</f>
        <v>1.2000000000000002</v>
      </c>
      <c r="N696" s="53">
        <v>0</v>
      </c>
      <c r="O696" s="53">
        <v>22.5</v>
      </c>
      <c r="P696" s="53">
        <v>7</v>
      </c>
      <c r="Q696" s="69">
        <v>0</v>
      </c>
      <c r="R696" s="53">
        <v>0</v>
      </c>
      <c r="S696" s="53">
        <v>2</v>
      </c>
      <c r="T696" s="53">
        <f>STOCK[[#This Row],[Costo Unitario (USD)]]+STOCK[[#This Row],[Costo Envío (USD)]]+STOCK[[#This Row],[Comisión 10%]]</f>
        <v>10.199999999999999</v>
      </c>
      <c r="U696" s="53">
        <f>STOCK[[#This Row],[Costo total]]*1.5</f>
        <v>15.299999999999999</v>
      </c>
      <c r="V696" s="53">
        <v>12</v>
      </c>
      <c r="W696" s="53">
        <f>STOCK[[#This Row],[Precio Final]]-STOCK[[#This Row],[Costo total]]</f>
        <v>1.8000000000000007</v>
      </c>
      <c r="X696" s="53">
        <f>STOCK[[#This Row],[Ganancia Unitaria]]*STOCK[[#This Row],[Salidas]]</f>
        <v>3.6000000000000014</v>
      </c>
      <c r="AA696" s="53">
        <f>STOCK[[#This Row],[Costo total]]*STOCK[[#This Row],[Entradas]]</f>
        <v>30.599999999999998</v>
      </c>
      <c r="AB696" s="53">
        <f>STOCK[[#This Row],[Stock Actual]]*STOCK[[#This Row],[Costo total]]</f>
        <v>10.199999999999999</v>
      </c>
    </row>
    <row r="697" spans="1:29" s="54" customFormat="1" ht="50" customHeight="1">
      <c r="A697" s="54" t="s">
        <v>1402</v>
      </c>
      <c r="B697" s="64"/>
      <c r="C697" s="54" t="s">
        <v>32</v>
      </c>
      <c r="D697" s="54" t="s">
        <v>152</v>
      </c>
      <c r="E697" s="66" t="s">
        <v>1403</v>
      </c>
      <c r="F697" s="54" t="s">
        <v>40</v>
      </c>
      <c r="G697" s="54" t="s">
        <v>1296</v>
      </c>
      <c r="H697" s="54">
        <f>STOCK[[#This Row],[Precio Final]]</f>
        <v>12</v>
      </c>
      <c r="I697" s="54">
        <f>STOCK[[#This Row],[Precio Venta Ideal (x1.5)]]</f>
        <v>15.299999999999999</v>
      </c>
      <c r="J697" s="70">
        <v>0</v>
      </c>
      <c r="K697" s="70">
        <f>SUMIFS(VENTAS[Cantidad],VENTAS[Código del producto Vendido],STOCK[[#This Row],[Code]])</f>
        <v>0</v>
      </c>
      <c r="L697" s="70">
        <f>STOCK[[#This Row],[Entradas]]-STOCK[[#This Row],[Salidas]]</f>
        <v>0</v>
      </c>
      <c r="M697" s="54">
        <f>STOCK[[#This Row],[Precio Final]]*10%</f>
        <v>1.2000000000000002</v>
      </c>
      <c r="N697" s="54">
        <v>0</v>
      </c>
      <c r="O697" s="54">
        <v>0</v>
      </c>
      <c r="P697" s="54">
        <v>7</v>
      </c>
      <c r="Q697" s="70">
        <v>0</v>
      </c>
      <c r="R697" s="54">
        <v>0</v>
      </c>
      <c r="S697" s="54">
        <v>2</v>
      </c>
      <c r="T697" s="53">
        <f>STOCK[[#This Row],[Costo Unitario (USD)]]+STOCK[[#This Row],[Costo Envío (USD)]]+STOCK[[#This Row],[Comisión 10%]]</f>
        <v>10.199999999999999</v>
      </c>
      <c r="U697" s="54">
        <f>STOCK[[#This Row],[Costo total]]*1.5</f>
        <v>15.299999999999999</v>
      </c>
      <c r="V697" s="54">
        <v>12</v>
      </c>
      <c r="W697" s="54">
        <f>STOCK[[#This Row],[Precio Final]]-STOCK[[#This Row],[Costo total]]</f>
        <v>1.8000000000000007</v>
      </c>
      <c r="X697" s="54">
        <f>STOCK[[#This Row],[Ganancia Unitaria]]*STOCK[[#This Row],[Salidas]]</f>
        <v>0</v>
      </c>
      <c r="AA697" s="54">
        <f>STOCK[[#This Row],[Costo total]]*STOCK[[#This Row],[Entradas]]</f>
        <v>0</v>
      </c>
      <c r="AB697" s="54">
        <f>STOCK[[#This Row],[Stock Actual]]*STOCK[[#This Row],[Costo total]]</f>
        <v>0</v>
      </c>
    </row>
    <row r="698" spans="1:29" s="53" customFormat="1" ht="50" customHeight="1">
      <c r="A698" s="53" t="s">
        <v>1404</v>
      </c>
      <c r="B698" s="64"/>
      <c r="C698" s="53" t="s">
        <v>32</v>
      </c>
      <c r="D698" s="53" t="s">
        <v>174</v>
      </c>
      <c r="E698" s="65" t="s">
        <v>1405</v>
      </c>
      <c r="F698" s="53" t="s">
        <v>49</v>
      </c>
      <c r="G698" s="53" t="s">
        <v>1296</v>
      </c>
      <c r="H698" s="53">
        <f>STOCK[[#This Row],[Precio Final]]</f>
        <v>10</v>
      </c>
      <c r="I698" s="53">
        <f>STOCK[[#This Row],[Precio Venta Ideal (x1.5)]]</f>
        <v>9.75</v>
      </c>
      <c r="J698" s="69">
        <v>3</v>
      </c>
      <c r="K698" s="69">
        <f>SUMIFS(VENTAS[Cantidad],VENTAS[Código del producto Vendido],STOCK[[#This Row],[Code]])</f>
        <v>3</v>
      </c>
      <c r="L698" s="69">
        <f>STOCK[[#This Row],[Entradas]]-STOCK[[#This Row],[Salidas]]</f>
        <v>0</v>
      </c>
      <c r="M698" s="53">
        <f>STOCK[[#This Row],[Precio Final]]*10%</f>
        <v>1</v>
      </c>
      <c r="N698" s="53">
        <v>0</v>
      </c>
      <c r="O698" s="53">
        <v>11</v>
      </c>
      <c r="P698" s="53">
        <v>4.5</v>
      </c>
      <c r="Q698" s="69">
        <v>0</v>
      </c>
      <c r="R698" s="53">
        <v>0</v>
      </c>
      <c r="S698" s="53">
        <v>1</v>
      </c>
      <c r="T698" s="53">
        <f>STOCK[[#This Row],[Costo Unitario (USD)]]+STOCK[[#This Row],[Costo Envío (USD)]]+STOCK[[#This Row],[Comisión 10%]]</f>
        <v>6.5</v>
      </c>
      <c r="U698" s="53">
        <f>STOCK[[#This Row],[Costo total]]*1.5</f>
        <v>9.75</v>
      </c>
      <c r="V698" s="53">
        <v>10</v>
      </c>
      <c r="W698" s="53">
        <f>STOCK[[#This Row],[Precio Final]]-STOCK[[#This Row],[Costo total]]</f>
        <v>3.5</v>
      </c>
      <c r="X698" s="53">
        <f>STOCK[[#This Row],[Ganancia Unitaria]]*STOCK[[#This Row],[Salidas]]</f>
        <v>10.5</v>
      </c>
      <c r="Y698" s="53" t="s">
        <v>1406</v>
      </c>
      <c r="AA698" s="53">
        <f>STOCK[[#This Row],[Costo total]]*STOCK[[#This Row],[Entradas]]</f>
        <v>19.5</v>
      </c>
      <c r="AB698" s="53">
        <f>STOCK[[#This Row],[Stock Actual]]*STOCK[[#This Row],[Costo total]]</f>
        <v>0</v>
      </c>
    </row>
    <row r="699" spans="1:29" s="54" customFormat="1" ht="50" customHeight="1">
      <c r="A699" s="54" t="s">
        <v>1407</v>
      </c>
      <c r="B699" s="64"/>
      <c r="C699" s="54" t="s">
        <v>32</v>
      </c>
      <c r="D699" s="54" t="s">
        <v>247</v>
      </c>
      <c r="E699" s="65" t="s">
        <v>1405</v>
      </c>
      <c r="F699" s="54" t="s">
        <v>1408</v>
      </c>
      <c r="G699" s="54" t="s">
        <v>1296</v>
      </c>
      <c r="H699" s="54">
        <f>STOCK[[#This Row],[Precio Final]]</f>
        <v>10</v>
      </c>
      <c r="I699" s="54">
        <f>STOCK[[#This Row],[Precio Venta Ideal (x1.5)]]</f>
        <v>9.75</v>
      </c>
      <c r="J699" s="70">
        <v>1</v>
      </c>
      <c r="K699" s="70">
        <f>SUMIFS(VENTAS[Cantidad],VENTAS[Código del producto Vendido],STOCK[[#This Row],[Code]])</f>
        <v>1</v>
      </c>
      <c r="L699" s="70">
        <f>STOCK[[#This Row],[Entradas]]-STOCK[[#This Row],[Salidas]]</f>
        <v>0</v>
      </c>
      <c r="M699" s="54">
        <f>STOCK[[#This Row],[Precio Final]]*10%</f>
        <v>1</v>
      </c>
      <c r="N699" s="54">
        <v>0</v>
      </c>
      <c r="O699" s="54">
        <v>5.5</v>
      </c>
      <c r="P699" s="54">
        <v>4.5</v>
      </c>
      <c r="Q699" s="70">
        <v>0</v>
      </c>
      <c r="R699" s="54">
        <v>0</v>
      </c>
      <c r="S699" s="54">
        <v>1</v>
      </c>
      <c r="T699" s="53">
        <f>STOCK[[#This Row],[Costo Unitario (USD)]]+STOCK[[#This Row],[Costo Envío (USD)]]+STOCK[[#This Row],[Comisión 10%]]</f>
        <v>6.5</v>
      </c>
      <c r="U699" s="54">
        <f>STOCK[[#This Row],[Costo total]]*1.5</f>
        <v>9.75</v>
      </c>
      <c r="V699" s="54">
        <v>10</v>
      </c>
      <c r="W699" s="54">
        <f>STOCK[[#This Row],[Precio Final]]-STOCK[[#This Row],[Costo total]]</f>
        <v>3.5</v>
      </c>
      <c r="X699" s="54">
        <f>STOCK[[#This Row],[Ganancia Unitaria]]*STOCK[[#This Row],[Salidas]]</f>
        <v>3.5</v>
      </c>
      <c r="AA699" s="54">
        <f>STOCK[[#This Row],[Costo total]]*STOCK[[#This Row],[Entradas]]</f>
        <v>6.5</v>
      </c>
      <c r="AB699" s="54">
        <f>STOCK[[#This Row],[Stock Actual]]*STOCK[[#This Row],[Costo total]]</f>
        <v>0</v>
      </c>
    </row>
    <row r="700" spans="1:29" s="53" customFormat="1" ht="50" customHeight="1">
      <c r="A700" s="53" t="s">
        <v>1409</v>
      </c>
      <c r="B700" s="64"/>
      <c r="C700" s="53" t="s">
        <v>32</v>
      </c>
      <c r="D700" s="53" t="s">
        <v>152</v>
      </c>
      <c r="E700" s="65" t="s">
        <v>1410</v>
      </c>
      <c r="F700" s="53" t="s">
        <v>62</v>
      </c>
      <c r="G700" s="53" t="s">
        <v>1296</v>
      </c>
      <c r="H700" s="53">
        <f>STOCK[[#This Row],[Precio Final]]</f>
        <v>23</v>
      </c>
      <c r="I700" s="53">
        <f>STOCK[[#This Row],[Precio Venta Ideal (x1.5)]]</f>
        <v>24.78</v>
      </c>
      <c r="J700" s="69">
        <v>5</v>
      </c>
      <c r="K700" s="69">
        <f>SUMIFS(VENTAS[Cantidad],VENTAS[Código del producto Vendido],STOCK[[#This Row],[Code]])</f>
        <v>5</v>
      </c>
      <c r="L700" s="69">
        <f>STOCK[[#This Row],[Entradas]]-STOCK[[#This Row],[Salidas]]</f>
        <v>0</v>
      </c>
      <c r="M700" s="53">
        <f>STOCK[[#This Row],[Precio Final]]*10%</f>
        <v>2.3000000000000003</v>
      </c>
      <c r="N700" s="53">
        <v>0</v>
      </c>
      <c r="O700" s="53">
        <v>31</v>
      </c>
      <c r="P700" s="53">
        <v>10.220000000000001</v>
      </c>
      <c r="Q700" s="69">
        <v>0</v>
      </c>
      <c r="R700" s="53">
        <v>0</v>
      </c>
      <c r="S700" s="53">
        <v>4</v>
      </c>
      <c r="T700" s="53">
        <f>STOCK[[#This Row],[Costo Unitario (USD)]]+STOCK[[#This Row],[Costo Envío (USD)]]+STOCK[[#This Row],[Comisión 10%]]</f>
        <v>16.52</v>
      </c>
      <c r="U700" s="53">
        <f>STOCK[[#This Row],[Costo total]]*1.5</f>
        <v>24.78</v>
      </c>
      <c r="V700" s="53">
        <v>23</v>
      </c>
      <c r="W700" s="53">
        <f>STOCK[[#This Row],[Precio Final]]-STOCK[[#This Row],[Costo total]]</f>
        <v>6.48</v>
      </c>
      <c r="X700" s="53">
        <f>STOCK[[#This Row],[Ganancia Unitaria]]*STOCK[[#This Row],[Salidas]]</f>
        <v>32.400000000000006</v>
      </c>
      <c r="AA700" s="53">
        <f>STOCK[[#This Row],[Costo total]]*STOCK[[#This Row],[Entradas]]</f>
        <v>82.6</v>
      </c>
      <c r="AB700" s="53">
        <f>STOCK[[#This Row],[Stock Actual]]*STOCK[[#This Row],[Costo total]]</f>
        <v>0</v>
      </c>
    </row>
    <row r="701" spans="1:29" s="54" customFormat="1" ht="50" customHeight="1">
      <c r="A701" s="54" t="s">
        <v>1411</v>
      </c>
      <c r="B701" s="64"/>
      <c r="C701" s="54" t="s">
        <v>32</v>
      </c>
      <c r="D701" s="54" t="s">
        <v>152</v>
      </c>
      <c r="E701" s="66" t="s">
        <v>1412</v>
      </c>
      <c r="F701" s="54" t="s">
        <v>1305</v>
      </c>
      <c r="G701" s="54" t="s">
        <v>1296</v>
      </c>
      <c r="H701" s="54">
        <f>STOCK[[#This Row],[Precio Final]]</f>
        <v>23</v>
      </c>
      <c r="I701" s="54">
        <f>STOCK[[#This Row],[Precio Venta Ideal (x1.5)]]</f>
        <v>24.78</v>
      </c>
      <c r="J701" s="70">
        <v>1</v>
      </c>
      <c r="K701" s="70">
        <f>SUMIFS(VENTAS[Cantidad],VENTAS[Código del producto Vendido],STOCK[[#This Row],[Code]])</f>
        <v>1</v>
      </c>
      <c r="L701" s="70">
        <f>STOCK[[#This Row],[Entradas]]-STOCK[[#This Row],[Salidas]]</f>
        <v>0</v>
      </c>
      <c r="M701" s="54">
        <f>STOCK[[#This Row],[Precio Final]]*10%</f>
        <v>2.3000000000000003</v>
      </c>
      <c r="N701" s="54">
        <v>0</v>
      </c>
      <c r="O701" s="54">
        <v>31</v>
      </c>
      <c r="P701" s="54">
        <v>10.220000000000001</v>
      </c>
      <c r="Q701" s="70">
        <v>0</v>
      </c>
      <c r="R701" s="54">
        <v>0</v>
      </c>
      <c r="S701" s="54">
        <v>4</v>
      </c>
      <c r="T701" s="53">
        <f>STOCK[[#This Row],[Costo Unitario (USD)]]+STOCK[[#This Row],[Costo Envío (USD)]]+STOCK[[#This Row],[Comisión 10%]]</f>
        <v>16.52</v>
      </c>
      <c r="U701" s="54">
        <f>STOCK[[#This Row],[Costo total]]*1.5</f>
        <v>24.78</v>
      </c>
      <c r="V701" s="54">
        <v>23</v>
      </c>
      <c r="W701" s="54">
        <f>STOCK[[#This Row],[Precio Final]]-STOCK[[#This Row],[Costo total]]</f>
        <v>6.48</v>
      </c>
      <c r="X701" s="54">
        <f>STOCK[[#This Row],[Ganancia Unitaria]]*STOCK[[#This Row],[Salidas]]</f>
        <v>6.48</v>
      </c>
      <c r="AA701" s="54">
        <f>STOCK[[#This Row],[Costo total]]*STOCK[[#This Row],[Entradas]]</f>
        <v>16.52</v>
      </c>
      <c r="AB701" s="54">
        <f>STOCK[[#This Row],[Stock Actual]]*STOCK[[#This Row],[Costo total]]</f>
        <v>0</v>
      </c>
    </row>
    <row r="702" spans="1:29" s="53" customFormat="1" ht="50" customHeight="1">
      <c r="A702" s="53" t="s">
        <v>1413</v>
      </c>
      <c r="B702" s="64"/>
      <c r="C702" s="53" t="s">
        <v>32</v>
      </c>
      <c r="D702" s="53" t="s">
        <v>196</v>
      </c>
      <c r="E702" s="65" t="s">
        <v>1414</v>
      </c>
      <c r="F702" s="53" t="s">
        <v>1415</v>
      </c>
      <c r="G702" s="53" t="s">
        <v>1296</v>
      </c>
      <c r="H702" s="53">
        <f>STOCK[[#This Row],[Precio Final]]</f>
        <v>35</v>
      </c>
      <c r="I702" s="53">
        <f>STOCK[[#This Row],[Precio Venta Ideal (x1.5)]]</f>
        <v>35.25</v>
      </c>
      <c r="J702" s="69">
        <v>3</v>
      </c>
      <c r="K702" s="69">
        <f>SUMIFS(VENTAS[Cantidad],VENTAS[Código del producto Vendido],STOCK[[#This Row],[Code]])</f>
        <v>2</v>
      </c>
      <c r="L702" s="69">
        <f>STOCK[[#This Row],[Entradas]]-STOCK[[#This Row],[Salidas]]</f>
        <v>1</v>
      </c>
      <c r="M702" s="53">
        <f>STOCK[[#This Row],[Precio Final]]*10%</f>
        <v>3.5</v>
      </c>
      <c r="N702" s="53">
        <v>0</v>
      </c>
      <c r="O702" s="53">
        <v>44</v>
      </c>
      <c r="P702" s="53">
        <v>15</v>
      </c>
      <c r="Q702" s="69">
        <v>0</v>
      </c>
      <c r="R702" s="53">
        <v>0</v>
      </c>
      <c r="S702" s="53">
        <v>5</v>
      </c>
      <c r="T702" s="53">
        <f>STOCK[[#This Row],[Costo Unitario (USD)]]+STOCK[[#This Row],[Costo Envío (USD)]]+STOCK[[#This Row],[Comisión 10%]]</f>
        <v>23.5</v>
      </c>
      <c r="U702" s="53">
        <f>STOCK[[#This Row],[Costo total]]*1.5</f>
        <v>35.25</v>
      </c>
      <c r="V702" s="53">
        <v>35</v>
      </c>
      <c r="W702" s="53">
        <f>STOCK[[#This Row],[Precio Final]]-STOCK[[#This Row],[Costo total]]</f>
        <v>11.5</v>
      </c>
      <c r="X702" s="53">
        <f>STOCK[[#This Row],[Ganancia Unitaria]]*STOCK[[#This Row],[Salidas]]</f>
        <v>23</v>
      </c>
      <c r="AA702" s="53">
        <f>STOCK[[#This Row],[Costo total]]*STOCK[[#This Row],[Entradas]]</f>
        <v>70.5</v>
      </c>
      <c r="AB702" s="53">
        <f>STOCK[[#This Row],[Stock Actual]]*STOCK[[#This Row],[Costo total]]</f>
        <v>23.5</v>
      </c>
      <c r="AC702" s="53">
        <v>30</v>
      </c>
    </row>
    <row r="703" spans="1:29" s="54" customFormat="1" ht="50" customHeight="1">
      <c r="A703" s="54" t="s">
        <v>1416</v>
      </c>
      <c r="B703" s="64"/>
      <c r="C703" s="54" t="s">
        <v>32</v>
      </c>
      <c r="D703" s="54" t="s">
        <v>152</v>
      </c>
      <c r="E703" s="66" t="s">
        <v>1414</v>
      </c>
      <c r="F703" s="54" t="s">
        <v>1417</v>
      </c>
      <c r="G703" s="54" t="s">
        <v>1296</v>
      </c>
      <c r="H703" s="54">
        <f>STOCK[[#This Row],[Precio Final]]</f>
        <v>32</v>
      </c>
      <c r="I703" s="54">
        <f>STOCK[[#This Row],[Precio Venta Ideal (x1.5)]]</f>
        <v>34.799999999999997</v>
      </c>
      <c r="J703" s="70">
        <v>3</v>
      </c>
      <c r="K703" s="70">
        <f>SUMIFS(VENTAS[Cantidad],VENTAS[Código del producto Vendido],STOCK[[#This Row],[Code]])</f>
        <v>3</v>
      </c>
      <c r="L703" s="70">
        <f>STOCK[[#This Row],[Entradas]]-STOCK[[#This Row],[Salidas]]</f>
        <v>0</v>
      </c>
      <c r="M703" s="54">
        <f>STOCK[[#This Row],[Precio Final]]*10%</f>
        <v>3.2</v>
      </c>
      <c r="N703" s="54">
        <v>0</v>
      </c>
      <c r="O703" s="54">
        <v>66</v>
      </c>
      <c r="P703" s="54">
        <v>15</v>
      </c>
      <c r="Q703" s="70">
        <v>0</v>
      </c>
      <c r="R703" s="54">
        <v>0</v>
      </c>
      <c r="S703" s="54">
        <v>5</v>
      </c>
      <c r="T703" s="53">
        <f>STOCK[[#This Row],[Costo Unitario (USD)]]+STOCK[[#This Row],[Costo Envío (USD)]]+STOCK[[#This Row],[Comisión 10%]]</f>
        <v>23.2</v>
      </c>
      <c r="U703" s="54">
        <f>STOCK[[#This Row],[Costo total]]*1.5</f>
        <v>34.799999999999997</v>
      </c>
      <c r="V703" s="54">
        <v>32</v>
      </c>
      <c r="W703" s="54">
        <f>STOCK[[#This Row],[Precio Final]]-STOCK[[#This Row],[Costo total]]</f>
        <v>8.8000000000000007</v>
      </c>
      <c r="X703" s="54">
        <f>STOCK[[#This Row],[Ganancia Unitaria]]*STOCK[[#This Row],[Salidas]]</f>
        <v>26.400000000000002</v>
      </c>
      <c r="AA703" s="54">
        <f>STOCK[[#This Row],[Costo total]]*STOCK[[#This Row],[Entradas]]</f>
        <v>69.599999999999994</v>
      </c>
      <c r="AB703" s="54">
        <f>STOCK[[#This Row],[Stock Actual]]*STOCK[[#This Row],[Costo total]]</f>
        <v>0</v>
      </c>
    </row>
    <row r="704" spans="1:29" s="53" customFormat="1" ht="50" customHeight="1">
      <c r="A704" s="53" t="s">
        <v>1418</v>
      </c>
      <c r="B704" s="64"/>
      <c r="C704" s="53" t="s">
        <v>32</v>
      </c>
      <c r="D704" s="53" t="s">
        <v>44</v>
      </c>
      <c r="E704" s="65" t="s">
        <v>1419</v>
      </c>
      <c r="F704" s="53" t="s">
        <v>49</v>
      </c>
      <c r="G704" s="53" t="s">
        <v>1296</v>
      </c>
      <c r="H704" s="53">
        <f>STOCK[[#This Row],[Precio Final]]</f>
        <v>30</v>
      </c>
      <c r="I704" s="53">
        <f>STOCK[[#This Row],[Precio Venta Ideal (x1.5)]]</f>
        <v>41.384999999999998</v>
      </c>
      <c r="J704" s="69">
        <v>2</v>
      </c>
      <c r="K704" s="69">
        <f>SUMIFS(VENTAS[Cantidad],VENTAS[Código del producto Vendido],STOCK[[#This Row],[Code]])</f>
        <v>2</v>
      </c>
      <c r="L704" s="69">
        <f>STOCK[[#This Row],[Entradas]]-STOCK[[#This Row],[Salidas]]</f>
        <v>0</v>
      </c>
      <c r="M704" s="53">
        <f>STOCK[[#This Row],[Precio Final]]*10%</f>
        <v>3</v>
      </c>
      <c r="N704" s="53">
        <v>0</v>
      </c>
      <c r="O704" s="53">
        <v>29.59</v>
      </c>
      <c r="P704" s="53">
        <v>19.59</v>
      </c>
      <c r="Q704" s="69">
        <v>0</v>
      </c>
      <c r="R704" s="53">
        <v>0</v>
      </c>
      <c r="S704" s="53">
        <v>5</v>
      </c>
      <c r="T704" s="53">
        <f>STOCK[[#This Row],[Costo Unitario (USD)]]+STOCK[[#This Row],[Costo Envío (USD)]]+STOCK[[#This Row],[Comisión 10%]]</f>
        <v>27.59</v>
      </c>
      <c r="U704" s="53">
        <f>STOCK[[#This Row],[Costo total]]*1.5</f>
        <v>41.384999999999998</v>
      </c>
      <c r="V704" s="53">
        <v>30</v>
      </c>
      <c r="W704" s="53">
        <f>STOCK[[#This Row],[Precio Final]]-STOCK[[#This Row],[Costo total]]</f>
        <v>2.41</v>
      </c>
      <c r="X704" s="53">
        <f>STOCK[[#This Row],[Ganancia Unitaria]]*STOCK[[#This Row],[Salidas]]</f>
        <v>4.82</v>
      </c>
      <c r="AA704" s="53">
        <f>STOCK[[#This Row],[Costo total]]*STOCK[[#This Row],[Entradas]]</f>
        <v>55.18</v>
      </c>
      <c r="AB704" s="53">
        <f>STOCK[[#This Row],[Stock Actual]]*STOCK[[#This Row],[Costo total]]</f>
        <v>0</v>
      </c>
    </row>
    <row r="705" spans="1:29" s="54" customFormat="1" ht="50" customHeight="1">
      <c r="A705" s="54" t="s">
        <v>1420</v>
      </c>
      <c r="B705" s="64"/>
      <c r="C705" s="54" t="s">
        <v>32</v>
      </c>
      <c r="D705" s="54" t="s">
        <v>152</v>
      </c>
      <c r="E705" s="66" t="s">
        <v>1419</v>
      </c>
      <c r="F705" s="54" t="s">
        <v>62</v>
      </c>
      <c r="G705" s="54" t="s">
        <v>1296</v>
      </c>
      <c r="H705" s="54">
        <f>STOCK[[#This Row],[Precio Final]]</f>
        <v>30</v>
      </c>
      <c r="I705" s="54">
        <f>STOCK[[#This Row],[Precio Venta Ideal (x1.5)]]</f>
        <v>41.384999999999998</v>
      </c>
      <c r="J705" s="70">
        <v>2</v>
      </c>
      <c r="K705" s="70">
        <f>SUMIFS(VENTAS[Cantidad],VENTAS[Código del producto Vendido],STOCK[[#This Row],[Code]])</f>
        <v>2</v>
      </c>
      <c r="L705" s="70">
        <f>STOCK[[#This Row],[Entradas]]-STOCK[[#This Row],[Salidas]]</f>
        <v>0</v>
      </c>
      <c r="M705" s="54">
        <f>STOCK[[#This Row],[Precio Final]]*10%</f>
        <v>3</v>
      </c>
      <c r="N705" s="54">
        <v>0</v>
      </c>
      <c r="O705" s="54">
        <v>29.59</v>
      </c>
      <c r="P705" s="54">
        <v>19.59</v>
      </c>
      <c r="Q705" s="70">
        <v>0</v>
      </c>
      <c r="R705" s="54">
        <v>0</v>
      </c>
      <c r="S705" s="54">
        <v>5</v>
      </c>
      <c r="T705" s="53">
        <f>STOCK[[#This Row],[Costo Unitario (USD)]]+STOCK[[#This Row],[Costo Envío (USD)]]+STOCK[[#This Row],[Comisión 10%]]</f>
        <v>27.59</v>
      </c>
      <c r="U705" s="54">
        <f>STOCK[[#This Row],[Costo total]]*1.5</f>
        <v>41.384999999999998</v>
      </c>
      <c r="V705" s="54">
        <v>30</v>
      </c>
      <c r="W705" s="54">
        <f>STOCK[[#This Row],[Precio Final]]-STOCK[[#This Row],[Costo total]]</f>
        <v>2.41</v>
      </c>
      <c r="X705" s="54">
        <f>STOCK[[#This Row],[Ganancia Unitaria]]*STOCK[[#This Row],[Salidas]]</f>
        <v>4.82</v>
      </c>
      <c r="AA705" s="54">
        <f>STOCK[[#This Row],[Costo total]]*STOCK[[#This Row],[Entradas]]</f>
        <v>55.18</v>
      </c>
      <c r="AB705" s="54">
        <f>STOCK[[#This Row],[Stock Actual]]*STOCK[[#This Row],[Costo total]]</f>
        <v>0</v>
      </c>
    </row>
    <row r="706" spans="1:29" s="53" customFormat="1" ht="50" customHeight="1">
      <c r="A706" s="53" t="s">
        <v>1421</v>
      </c>
      <c r="B706" s="64"/>
      <c r="C706" s="53" t="s">
        <v>32</v>
      </c>
      <c r="D706" s="53" t="s">
        <v>152</v>
      </c>
      <c r="E706" s="65" t="s">
        <v>1422</v>
      </c>
      <c r="F706" s="53" t="s">
        <v>62</v>
      </c>
      <c r="G706" s="53" t="s">
        <v>1296</v>
      </c>
      <c r="H706" s="53">
        <f>STOCK[[#This Row],[Precio Final]]</f>
        <v>20</v>
      </c>
      <c r="I706" s="53">
        <f>STOCK[[#This Row],[Precio Venta Ideal (x1.5)]]</f>
        <v>22.484999999999999</v>
      </c>
      <c r="J706" s="69">
        <v>2</v>
      </c>
      <c r="K706" s="69">
        <f>SUMIFS(VENTAS[Cantidad],VENTAS[Código del producto Vendido],STOCK[[#This Row],[Code]])</f>
        <v>2</v>
      </c>
      <c r="L706" s="69">
        <f>STOCK[[#This Row],[Entradas]]-STOCK[[#This Row],[Salidas]]</f>
        <v>0</v>
      </c>
      <c r="M706" s="53">
        <f>STOCK[[#This Row],[Precio Final]]*10%</f>
        <v>2</v>
      </c>
      <c r="N706" s="53">
        <v>0</v>
      </c>
      <c r="O706" s="53">
        <v>30</v>
      </c>
      <c r="P706" s="53">
        <v>9.99</v>
      </c>
      <c r="Q706" s="69">
        <v>0</v>
      </c>
      <c r="R706" s="53">
        <v>0</v>
      </c>
      <c r="S706" s="53">
        <v>3</v>
      </c>
      <c r="T706" s="53">
        <f>STOCK[[#This Row],[Costo Unitario (USD)]]+STOCK[[#This Row],[Costo Envío (USD)]]+STOCK[[#This Row],[Comisión 10%]]</f>
        <v>14.99</v>
      </c>
      <c r="U706" s="53">
        <f>STOCK[[#This Row],[Costo total]]*1.5</f>
        <v>22.484999999999999</v>
      </c>
      <c r="V706" s="53">
        <v>20</v>
      </c>
      <c r="W706" s="53">
        <f>STOCK[[#This Row],[Precio Final]]-STOCK[[#This Row],[Costo total]]</f>
        <v>5.01</v>
      </c>
      <c r="X706" s="53">
        <f>STOCK[[#This Row],[Ganancia Unitaria]]*STOCK[[#This Row],[Salidas]]</f>
        <v>10.02</v>
      </c>
      <c r="AA706" s="53">
        <f>STOCK[[#This Row],[Costo total]]*STOCK[[#This Row],[Entradas]]</f>
        <v>29.98</v>
      </c>
      <c r="AB706" s="53">
        <f>STOCK[[#This Row],[Stock Actual]]*STOCK[[#This Row],[Costo total]]</f>
        <v>0</v>
      </c>
    </row>
    <row r="707" spans="1:29" s="54" customFormat="1" ht="50" customHeight="1">
      <c r="A707" s="54" t="s">
        <v>1423</v>
      </c>
      <c r="B707" s="64"/>
      <c r="C707" s="54" t="s">
        <v>32</v>
      </c>
      <c r="D707" s="54" t="s">
        <v>934</v>
      </c>
      <c r="E707" s="66" t="s">
        <v>1424</v>
      </c>
      <c r="F707" s="54" t="s">
        <v>1425</v>
      </c>
      <c r="G707" s="54" t="s">
        <v>704</v>
      </c>
      <c r="H707" s="54">
        <f>STOCK[[#This Row],[Precio Final]]</f>
        <v>30</v>
      </c>
      <c r="I707" s="54">
        <f>STOCK[[#This Row],[Precio Venta Ideal (x1.5)]]</f>
        <v>36</v>
      </c>
      <c r="J707" s="70">
        <v>1</v>
      </c>
      <c r="K707" s="70">
        <f>SUMIFS(VENTAS[Cantidad],VENTAS[Código del producto Vendido],STOCK[[#This Row],[Code]])</f>
        <v>1</v>
      </c>
      <c r="L707" s="70">
        <f>STOCK[[#This Row],[Entradas]]-STOCK[[#This Row],[Salidas]]</f>
        <v>0</v>
      </c>
      <c r="M707" s="54">
        <f>STOCK[[#This Row],[Precio Final]]*10%</f>
        <v>3</v>
      </c>
      <c r="N707" s="54">
        <v>0</v>
      </c>
      <c r="O707" s="54">
        <v>18</v>
      </c>
      <c r="P707" s="54">
        <v>18</v>
      </c>
      <c r="Q707" s="70">
        <v>0</v>
      </c>
      <c r="R707" s="54">
        <v>0</v>
      </c>
      <c r="S707" s="54">
        <v>3</v>
      </c>
      <c r="T707" s="53">
        <f>STOCK[[#This Row],[Costo Unitario (USD)]]+STOCK[[#This Row],[Costo Envío (USD)]]+STOCK[[#This Row],[Comisión 10%]]</f>
        <v>24</v>
      </c>
      <c r="U707" s="54">
        <f>STOCK[[#This Row],[Costo total]]*1.5</f>
        <v>36</v>
      </c>
      <c r="V707" s="54">
        <v>30</v>
      </c>
      <c r="W707" s="54">
        <f>STOCK[[#This Row],[Precio Final]]-STOCK[[#This Row],[Costo total]]</f>
        <v>6</v>
      </c>
      <c r="X707" s="54">
        <f>STOCK[[#This Row],[Ganancia Unitaria]]*STOCK[[#This Row],[Salidas]]</f>
        <v>6</v>
      </c>
      <c r="AA707" s="54">
        <f>STOCK[[#This Row],[Costo total]]*STOCK[[#This Row],[Entradas]]</f>
        <v>24</v>
      </c>
      <c r="AB707" s="54">
        <f>STOCK[[#This Row],[Stock Actual]]*STOCK[[#This Row],[Costo total]]</f>
        <v>0</v>
      </c>
    </row>
    <row r="708" spans="1:29" s="53" customFormat="1" ht="50" customHeight="1">
      <c r="A708" s="53" t="s">
        <v>1426</v>
      </c>
      <c r="B708" s="64"/>
      <c r="C708" s="53" t="s">
        <v>32</v>
      </c>
      <c r="D708" s="53" t="s">
        <v>216</v>
      </c>
      <c r="E708" s="65" t="s">
        <v>1427</v>
      </c>
      <c r="F708" s="53" t="s">
        <v>49</v>
      </c>
      <c r="G708" s="53" t="s">
        <v>1296</v>
      </c>
      <c r="H708" s="53">
        <f>STOCK[[#This Row],[Precio Final]]</f>
        <v>35</v>
      </c>
      <c r="I708" s="53">
        <f>STOCK[[#This Row],[Precio Venta Ideal (x1.5)]]</f>
        <v>30.75</v>
      </c>
      <c r="J708" s="69">
        <v>3</v>
      </c>
      <c r="K708" s="69">
        <f>SUMIFS(VENTAS[Cantidad],VENTAS[Código del producto Vendido],STOCK[[#This Row],[Code]])</f>
        <v>1</v>
      </c>
      <c r="L708" s="69">
        <f>STOCK[[#This Row],[Entradas]]-STOCK[[#This Row],[Salidas]]</f>
        <v>2</v>
      </c>
      <c r="M708" s="53">
        <f>STOCK[[#This Row],[Precio Final]]*10%</f>
        <v>3.5</v>
      </c>
      <c r="N708" s="53">
        <v>0</v>
      </c>
      <c r="O708" s="53">
        <v>54</v>
      </c>
      <c r="P708" s="53">
        <v>12</v>
      </c>
      <c r="Q708" s="69">
        <v>0</v>
      </c>
      <c r="R708" s="53">
        <v>0</v>
      </c>
      <c r="S708" s="53">
        <v>5</v>
      </c>
      <c r="T708" s="53">
        <f>STOCK[[#This Row],[Costo Unitario (USD)]]+STOCK[[#This Row],[Costo Envío (USD)]]+STOCK[[#This Row],[Comisión 10%]]</f>
        <v>20.5</v>
      </c>
      <c r="U708" s="53">
        <f>STOCK[[#This Row],[Costo total]]*1.5</f>
        <v>30.75</v>
      </c>
      <c r="V708" s="53">
        <v>35</v>
      </c>
      <c r="W708" s="53">
        <f>STOCK[[#This Row],[Precio Final]]-STOCK[[#This Row],[Costo total]]</f>
        <v>14.5</v>
      </c>
      <c r="X708" s="53">
        <f>STOCK[[#This Row],[Ganancia Unitaria]]*STOCK[[#This Row],[Salidas]]</f>
        <v>14.5</v>
      </c>
      <c r="AA708" s="53">
        <f>STOCK[[#This Row],[Costo total]]*STOCK[[#This Row],[Entradas]]</f>
        <v>61.5</v>
      </c>
      <c r="AB708" s="53">
        <f>STOCK[[#This Row],[Stock Actual]]*STOCK[[#This Row],[Costo total]]</f>
        <v>41</v>
      </c>
      <c r="AC708" s="53">
        <v>30</v>
      </c>
    </row>
    <row r="709" spans="1:29" s="54" customFormat="1" ht="50" customHeight="1">
      <c r="A709" s="54" t="s">
        <v>1428</v>
      </c>
      <c r="B709" s="64"/>
      <c r="C709" s="54" t="s">
        <v>32</v>
      </c>
      <c r="D709" s="54" t="s">
        <v>44</v>
      </c>
      <c r="E709" s="66" t="s">
        <v>1427</v>
      </c>
      <c r="F709" s="54" t="s">
        <v>62</v>
      </c>
      <c r="G709" s="54" t="s">
        <v>1296</v>
      </c>
      <c r="H709" s="54">
        <f>STOCK[[#This Row],[Precio Final]]</f>
        <v>30</v>
      </c>
      <c r="I709" s="54">
        <f>STOCK[[#This Row],[Precio Venta Ideal (x1.5)]]</f>
        <v>30</v>
      </c>
      <c r="J709" s="70">
        <v>2</v>
      </c>
      <c r="K709" s="70">
        <f>SUMIFS(VENTAS[Cantidad],VENTAS[Código del producto Vendido],STOCK[[#This Row],[Code]])</f>
        <v>2</v>
      </c>
      <c r="L709" s="70">
        <f>STOCK[[#This Row],[Entradas]]-STOCK[[#This Row],[Salidas]]</f>
        <v>0</v>
      </c>
      <c r="M709" s="54">
        <f>STOCK[[#This Row],[Precio Final]]*10%</f>
        <v>3</v>
      </c>
      <c r="N709" s="54">
        <v>0</v>
      </c>
      <c r="O709" s="54">
        <v>18</v>
      </c>
      <c r="P709" s="54">
        <v>12</v>
      </c>
      <c r="Q709" s="70">
        <v>0</v>
      </c>
      <c r="R709" s="54">
        <v>0</v>
      </c>
      <c r="S709" s="54">
        <v>5</v>
      </c>
      <c r="T709" s="53">
        <f>STOCK[[#This Row],[Costo Unitario (USD)]]+STOCK[[#This Row],[Costo Envío (USD)]]+STOCK[[#This Row],[Comisión 10%]]</f>
        <v>20</v>
      </c>
      <c r="U709" s="54">
        <f>STOCK[[#This Row],[Costo total]]*1.5</f>
        <v>30</v>
      </c>
      <c r="V709" s="54">
        <v>30</v>
      </c>
      <c r="W709" s="54">
        <f>STOCK[[#This Row],[Precio Final]]-STOCK[[#This Row],[Costo total]]</f>
        <v>10</v>
      </c>
      <c r="X709" s="54">
        <f>STOCK[[#This Row],[Ganancia Unitaria]]*STOCK[[#This Row],[Salidas]]</f>
        <v>20</v>
      </c>
      <c r="AA709" s="54">
        <f>STOCK[[#This Row],[Costo total]]*STOCK[[#This Row],[Entradas]]</f>
        <v>40</v>
      </c>
      <c r="AB709" s="54">
        <f>STOCK[[#This Row],[Stock Actual]]*STOCK[[#This Row],[Costo total]]</f>
        <v>0</v>
      </c>
    </row>
    <row r="710" spans="1:29" s="53" customFormat="1" ht="50" customHeight="1">
      <c r="A710" s="53" t="s">
        <v>1429</v>
      </c>
      <c r="B710" s="64"/>
      <c r="C710" s="53" t="s">
        <v>32</v>
      </c>
      <c r="D710" s="53" t="s">
        <v>515</v>
      </c>
      <c r="E710" s="65" t="s">
        <v>1430</v>
      </c>
      <c r="F710" s="53" t="s">
        <v>759</v>
      </c>
      <c r="G710" s="53" t="s">
        <v>1296</v>
      </c>
      <c r="H710" s="53">
        <f>STOCK[[#This Row],[Precio Final]]</f>
        <v>18</v>
      </c>
      <c r="I710" s="53">
        <f>STOCK[[#This Row],[Precio Venta Ideal (x1.5)]]</f>
        <v>19.935000000000002</v>
      </c>
      <c r="J710" s="69">
        <v>1</v>
      </c>
      <c r="K710" s="69">
        <f>SUMIFS(VENTAS[Cantidad],VENTAS[Código del producto Vendido],STOCK[[#This Row],[Code]])</f>
        <v>1</v>
      </c>
      <c r="L710" s="69">
        <f>STOCK[[#This Row],[Entradas]]-STOCK[[#This Row],[Salidas]]</f>
        <v>0</v>
      </c>
      <c r="M710" s="53">
        <f>STOCK[[#This Row],[Precio Final]]*10%</f>
        <v>1.8</v>
      </c>
      <c r="N710" s="53">
        <v>0</v>
      </c>
      <c r="O710" s="53">
        <v>12.49</v>
      </c>
      <c r="P710" s="53">
        <v>7.49</v>
      </c>
      <c r="Q710" s="69">
        <v>0</v>
      </c>
      <c r="R710" s="53">
        <v>0</v>
      </c>
      <c r="S710" s="53">
        <v>4</v>
      </c>
      <c r="T710" s="53">
        <f>STOCK[[#This Row],[Costo Unitario (USD)]]+STOCK[[#This Row],[Costo Envío (USD)]]+STOCK[[#This Row],[Comisión 10%]]</f>
        <v>13.290000000000001</v>
      </c>
      <c r="U710" s="53">
        <f>STOCK[[#This Row],[Costo total]]*1.5</f>
        <v>19.935000000000002</v>
      </c>
      <c r="V710" s="53">
        <v>18</v>
      </c>
      <c r="W710" s="53">
        <f>STOCK[[#This Row],[Precio Final]]-STOCK[[#This Row],[Costo total]]</f>
        <v>4.7099999999999991</v>
      </c>
      <c r="X710" s="53">
        <f>STOCK[[#This Row],[Ganancia Unitaria]]*STOCK[[#This Row],[Salidas]]</f>
        <v>4.7099999999999991</v>
      </c>
      <c r="Y710" s="53" t="s">
        <v>1431</v>
      </c>
      <c r="AA710" s="53">
        <f>STOCK[[#This Row],[Costo total]]*STOCK[[#This Row],[Entradas]]</f>
        <v>13.290000000000001</v>
      </c>
      <c r="AB710" s="53">
        <f>STOCK[[#This Row],[Stock Actual]]*STOCK[[#This Row],[Costo total]]</f>
        <v>0</v>
      </c>
    </row>
    <row r="711" spans="1:29" s="54" customFormat="1" ht="50" customHeight="1">
      <c r="A711" s="54" t="s">
        <v>1432</v>
      </c>
      <c r="B711" s="64"/>
      <c r="C711" s="54" t="s">
        <v>32</v>
      </c>
      <c r="D711" s="53" t="s">
        <v>515</v>
      </c>
      <c r="E711" s="66" t="s">
        <v>1430</v>
      </c>
      <c r="F711" s="54" t="s">
        <v>1102</v>
      </c>
      <c r="G711" s="54" t="s">
        <v>1296</v>
      </c>
      <c r="H711" s="54">
        <f>STOCK[[#This Row],[Precio Final]]</f>
        <v>18</v>
      </c>
      <c r="I711" s="54">
        <f>STOCK[[#This Row],[Precio Venta Ideal (x1.5)]]</f>
        <v>19.935000000000002</v>
      </c>
      <c r="J711" s="70">
        <v>1</v>
      </c>
      <c r="K711" s="70">
        <f>SUMIFS(VENTAS[Cantidad],VENTAS[Código del producto Vendido],STOCK[[#This Row],[Code]])</f>
        <v>1</v>
      </c>
      <c r="L711" s="70">
        <f>STOCK[[#This Row],[Entradas]]-STOCK[[#This Row],[Salidas]]</f>
        <v>0</v>
      </c>
      <c r="M711" s="54">
        <f>STOCK[[#This Row],[Precio Final]]*10%</f>
        <v>1.8</v>
      </c>
      <c r="N711" s="54">
        <v>0</v>
      </c>
      <c r="O711" s="54">
        <v>12.49</v>
      </c>
      <c r="P711" s="54">
        <v>7.49</v>
      </c>
      <c r="Q711" s="70">
        <v>0</v>
      </c>
      <c r="R711" s="54">
        <v>0</v>
      </c>
      <c r="S711" s="54">
        <v>4</v>
      </c>
      <c r="T711" s="53">
        <f>STOCK[[#This Row],[Costo Unitario (USD)]]+STOCK[[#This Row],[Costo Envío (USD)]]+STOCK[[#This Row],[Comisión 10%]]</f>
        <v>13.290000000000001</v>
      </c>
      <c r="U711" s="54">
        <f>STOCK[[#This Row],[Costo total]]*1.5</f>
        <v>19.935000000000002</v>
      </c>
      <c r="V711" s="54">
        <v>18</v>
      </c>
      <c r="W711" s="54">
        <f>STOCK[[#This Row],[Precio Final]]-STOCK[[#This Row],[Costo total]]</f>
        <v>4.7099999999999991</v>
      </c>
      <c r="X711" s="54">
        <f>STOCK[[#This Row],[Ganancia Unitaria]]*STOCK[[#This Row],[Salidas]]</f>
        <v>4.7099999999999991</v>
      </c>
      <c r="Y711" s="54" t="s">
        <v>1431</v>
      </c>
      <c r="AA711" s="54">
        <f>STOCK[[#This Row],[Costo total]]*STOCK[[#This Row],[Entradas]]</f>
        <v>13.290000000000001</v>
      </c>
      <c r="AB711" s="54">
        <f>STOCK[[#This Row],[Stock Actual]]*STOCK[[#This Row],[Costo total]]</f>
        <v>0</v>
      </c>
    </row>
    <row r="712" spans="1:29" s="53" customFormat="1" ht="50" customHeight="1">
      <c r="A712" s="53" t="s">
        <v>1433</v>
      </c>
      <c r="B712" s="64"/>
      <c r="C712" s="53" t="s">
        <v>32</v>
      </c>
      <c r="D712" s="53" t="s">
        <v>515</v>
      </c>
      <c r="E712" s="65" t="s">
        <v>1430</v>
      </c>
      <c r="F712" s="53" t="s">
        <v>540</v>
      </c>
      <c r="G712" s="53" t="s">
        <v>1296</v>
      </c>
      <c r="H712" s="53">
        <f>STOCK[[#This Row],[Precio Final]]</f>
        <v>18</v>
      </c>
      <c r="I712" s="53">
        <f>STOCK[[#This Row],[Precio Venta Ideal (x1.5)]]</f>
        <v>19.935000000000002</v>
      </c>
      <c r="J712" s="69">
        <v>1</v>
      </c>
      <c r="K712" s="69">
        <f>SUMIFS(VENTAS[Cantidad],VENTAS[Código del producto Vendido],STOCK[[#This Row],[Code]])</f>
        <v>1</v>
      </c>
      <c r="L712" s="69">
        <f>STOCK[[#This Row],[Entradas]]-STOCK[[#This Row],[Salidas]]</f>
        <v>0</v>
      </c>
      <c r="M712" s="53">
        <f>STOCK[[#This Row],[Precio Final]]*10%</f>
        <v>1.8</v>
      </c>
      <c r="N712" s="53">
        <v>0</v>
      </c>
      <c r="O712" s="53">
        <v>12.49</v>
      </c>
      <c r="P712" s="53">
        <v>7.49</v>
      </c>
      <c r="Q712" s="69">
        <v>0</v>
      </c>
      <c r="R712" s="53">
        <v>0</v>
      </c>
      <c r="S712" s="53">
        <v>4</v>
      </c>
      <c r="T712" s="53">
        <f>STOCK[[#This Row],[Costo Unitario (USD)]]+STOCK[[#This Row],[Costo Envío (USD)]]+STOCK[[#This Row],[Comisión 10%]]</f>
        <v>13.290000000000001</v>
      </c>
      <c r="U712" s="53">
        <f>STOCK[[#This Row],[Costo total]]*1.5</f>
        <v>19.935000000000002</v>
      </c>
      <c r="V712" s="53">
        <v>18</v>
      </c>
      <c r="W712" s="53">
        <f>STOCK[[#This Row],[Precio Final]]-STOCK[[#This Row],[Costo total]]</f>
        <v>4.7099999999999991</v>
      </c>
      <c r="X712" s="53">
        <f>STOCK[[#This Row],[Ganancia Unitaria]]*STOCK[[#This Row],[Salidas]]</f>
        <v>4.7099999999999991</v>
      </c>
      <c r="Y712" s="53" t="s">
        <v>1431</v>
      </c>
      <c r="AA712" s="53">
        <f>STOCK[[#This Row],[Costo total]]*STOCK[[#This Row],[Entradas]]</f>
        <v>13.290000000000001</v>
      </c>
      <c r="AB712" s="53">
        <f>STOCK[[#This Row],[Stock Actual]]*STOCK[[#This Row],[Costo total]]</f>
        <v>0</v>
      </c>
    </row>
    <row r="713" spans="1:29" s="54" customFormat="1" ht="50" customHeight="1">
      <c r="A713" s="54" t="s">
        <v>1434</v>
      </c>
      <c r="B713" s="64"/>
      <c r="C713" s="54" t="s">
        <v>32</v>
      </c>
      <c r="D713" s="54" t="s">
        <v>152</v>
      </c>
      <c r="E713" s="66" t="s">
        <v>1435</v>
      </c>
      <c r="F713" s="54" t="s">
        <v>1425</v>
      </c>
      <c r="G713" s="54" t="s">
        <v>704</v>
      </c>
      <c r="H713" s="54">
        <f>STOCK[[#This Row],[Precio Final]]</f>
        <v>30</v>
      </c>
      <c r="I713" s="54">
        <f>STOCK[[#This Row],[Precio Venta Ideal (x1.5)]]</f>
        <v>36</v>
      </c>
      <c r="J713" s="70">
        <v>0</v>
      </c>
      <c r="K713" s="70">
        <f>SUMIFS(VENTAS[Cantidad],VENTAS[Código del producto Vendido],STOCK[[#This Row],[Code]])</f>
        <v>0</v>
      </c>
      <c r="L713" s="70">
        <f>STOCK[[#This Row],[Entradas]]-STOCK[[#This Row],[Salidas]]</f>
        <v>0</v>
      </c>
      <c r="M713" s="54">
        <f>STOCK[[#This Row],[Precio Final]]*10%</f>
        <v>3</v>
      </c>
      <c r="N713" s="54">
        <v>0</v>
      </c>
      <c r="O713" s="54">
        <v>0</v>
      </c>
      <c r="P713" s="54">
        <v>18</v>
      </c>
      <c r="Q713" s="70">
        <v>0</v>
      </c>
      <c r="R713" s="54">
        <v>0</v>
      </c>
      <c r="S713" s="54">
        <v>3</v>
      </c>
      <c r="T713" s="53">
        <f>STOCK[[#This Row],[Costo Unitario (USD)]]+STOCK[[#This Row],[Costo Envío (USD)]]+STOCK[[#This Row],[Comisión 10%]]</f>
        <v>24</v>
      </c>
      <c r="U713" s="54">
        <f>STOCK[[#This Row],[Costo total]]*1.5</f>
        <v>36</v>
      </c>
      <c r="V713" s="54">
        <v>30</v>
      </c>
      <c r="W713" s="54">
        <f>STOCK[[#This Row],[Precio Final]]-STOCK[[#This Row],[Costo total]]</f>
        <v>6</v>
      </c>
      <c r="X713" s="54">
        <f>STOCK[[#This Row],[Ganancia Unitaria]]*STOCK[[#This Row],[Salidas]]</f>
        <v>0</v>
      </c>
      <c r="AA713" s="54">
        <f>STOCK[[#This Row],[Costo total]]*STOCK[[#This Row],[Entradas]]</f>
        <v>0</v>
      </c>
      <c r="AB713" s="54">
        <f>STOCK[[#This Row],[Stock Actual]]*STOCK[[#This Row],[Costo total]]</f>
        <v>0</v>
      </c>
    </row>
    <row r="714" spans="1:29" s="53" customFormat="1" ht="50" customHeight="1">
      <c r="A714" s="53" t="s">
        <v>1436</v>
      </c>
      <c r="B714" s="64"/>
      <c r="C714" s="53" t="s">
        <v>32</v>
      </c>
      <c r="D714" s="53" t="s">
        <v>515</v>
      </c>
      <c r="E714" s="65" t="s">
        <v>1437</v>
      </c>
      <c r="F714" s="53" t="s">
        <v>540</v>
      </c>
      <c r="G714" s="53" t="s">
        <v>1296</v>
      </c>
      <c r="H714" s="53">
        <f>STOCK[[#This Row],[Precio Final]]</f>
        <v>30</v>
      </c>
      <c r="I714" s="53">
        <f>STOCK[[#This Row],[Precio Venta Ideal (x1.5)]]</f>
        <v>30</v>
      </c>
      <c r="J714" s="69">
        <v>1</v>
      </c>
      <c r="K714" s="69">
        <f>SUMIFS(VENTAS[Cantidad],VENTAS[Código del producto Vendido],STOCK[[#This Row],[Code]])</f>
        <v>1</v>
      </c>
      <c r="L714" s="69">
        <f>STOCK[[#This Row],[Entradas]]-STOCK[[#This Row],[Salidas]]</f>
        <v>0</v>
      </c>
      <c r="M714" s="53">
        <f>STOCK[[#This Row],[Precio Final]]*10%</f>
        <v>3</v>
      </c>
      <c r="N714" s="53">
        <v>0</v>
      </c>
      <c r="O714" s="53">
        <v>17</v>
      </c>
      <c r="P714" s="53">
        <v>7</v>
      </c>
      <c r="Q714" s="69">
        <v>0</v>
      </c>
      <c r="R714" s="53">
        <v>0</v>
      </c>
      <c r="S714" s="53">
        <v>10</v>
      </c>
      <c r="T714" s="53">
        <f>STOCK[[#This Row],[Costo Unitario (USD)]]+STOCK[[#This Row],[Costo Envío (USD)]]+STOCK[[#This Row],[Comisión 10%]]</f>
        <v>20</v>
      </c>
      <c r="U714" s="53">
        <f>STOCK[[#This Row],[Costo total]]*1.5</f>
        <v>30</v>
      </c>
      <c r="V714" s="53">
        <v>30</v>
      </c>
      <c r="W714" s="53">
        <f>STOCK[[#This Row],[Precio Final]]-STOCK[[#This Row],[Costo total]]</f>
        <v>10</v>
      </c>
      <c r="X714" s="53">
        <f>STOCK[[#This Row],[Ganancia Unitaria]]*STOCK[[#This Row],[Salidas]]</f>
        <v>10</v>
      </c>
      <c r="Y714" s="53" t="s">
        <v>1431</v>
      </c>
      <c r="AA714" s="53">
        <f>STOCK[[#This Row],[Costo total]]*STOCK[[#This Row],[Entradas]]</f>
        <v>20</v>
      </c>
      <c r="AB714" s="53">
        <f>STOCK[[#This Row],[Stock Actual]]*STOCK[[#This Row],[Costo total]]</f>
        <v>0</v>
      </c>
    </row>
    <row r="715" spans="1:29" s="54" customFormat="1" ht="50" customHeight="1">
      <c r="A715" s="54" t="s">
        <v>1438</v>
      </c>
      <c r="B715" s="64"/>
      <c r="C715" s="54" t="s">
        <v>32</v>
      </c>
      <c r="D715" s="53" t="s">
        <v>515</v>
      </c>
      <c r="E715" s="66" t="s">
        <v>1437</v>
      </c>
      <c r="F715" s="54" t="s">
        <v>759</v>
      </c>
      <c r="G715" s="54" t="s">
        <v>1296</v>
      </c>
      <c r="H715" s="54">
        <f>STOCK[[#This Row],[Precio Final]]</f>
        <v>30</v>
      </c>
      <c r="I715" s="54">
        <f>STOCK[[#This Row],[Precio Venta Ideal (x1.5)]]</f>
        <v>30</v>
      </c>
      <c r="J715" s="70">
        <v>1</v>
      </c>
      <c r="K715" s="70">
        <f>SUMIFS(VENTAS[Cantidad],VENTAS[Código del producto Vendido],STOCK[[#This Row],[Code]])</f>
        <v>1</v>
      </c>
      <c r="L715" s="70">
        <f>STOCK[[#This Row],[Entradas]]-STOCK[[#This Row],[Salidas]]</f>
        <v>0</v>
      </c>
      <c r="M715" s="54">
        <f>STOCK[[#This Row],[Precio Final]]*10%</f>
        <v>3</v>
      </c>
      <c r="N715" s="54">
        <v>0</v>
      </c>
      <c r="O715" s="54">
        <v>17</v>
      </c>
      <c r="P715" s="54">
        <v>7</v>
      </c>
      <c r="Q715" s="70">
        <v>0</v>
      </c>
      <c r="R715" s="54">
        <v>0</v>
      </c>
      <c r="S715" s="54">
        <v>10</v>
      </c>
      <c r="T715" s="53">
        <f>STOCK[[#This Row],[Costo Unitario (USD)]]+STOCK[[#This Row],[Costo Envío (USD)]]+STOCK[[#This Row],[Comisión 10%]]</f>
        <v>20</v>
      </c>
      <c r="U715" s="54">
        <f>STOCK[[#This Row],[Costo total]]*1.5</f>
        <v>30</v>
      </c>
      <c r="V715" s="54">
        <v>30</v>
      </c>
      <c r="W715" s="54">
        <f>STOCK[[#This Row],[Precio Final]]-STOCK[[#This Row],[Costo total]]</f>
        <v>10</v>
      </c>
      <c r="X715" s="54">
        <f>STOCK[[#This Row],[Ganancia Unitaria]]*STOCK[[#This Row],[Salidas]]</f>
        <v>10</v>
      </c>
      <c r="Y715" s="54" t="s">
        <v>1431</v>
      </c>
      <c r="AA715" s="54">
        <f>STOCK[[#This Row],[Costo total]]*STOCK[[#This Row],[Entradas]]</f>
        <v>20</v>
      </c>
      <c r="AB715" s="54">
        <f>STOCK[[#This Row],[Stock Actual]]*STOCK[[#This Row],[Costo total]]</f>
        <v>0</v>
      </c>
    </row>
    <row r="716" spans="1:29" s="53" customFormat="1" ht="50" customHeight="1">
      <c r="A716" s="53" t="s">
        <v>1439</v>
      </c>
      <c r="B716" s="64"/>
      <c r="C716" s="53" t="s">
        <v>32</v>
      </c>
      <c r="D716" s="53" t="s">
        <v>515</v>
      </c>
      <c r="E716" s="65" t="s">
        <v>1437</v>
      </c>
      <c r="F716" s="53" t="s">
        <v>517</v>
      </c>
      <c r="G716" s="53" t="s">
        <v>1296</v>
      </c>
      <c r="H716" s="53">
        <f>STOCK[[#This Row],[Precio Final]]</f>
        <v>30</v>
      </c>
      <c r="I716" s="53">
        <f>STOCK[[#This Row],[Precio Venta Ideal (x1.5)]]</f>
        <v>30</v>
      </c>
      <c r="J716" s="69">
        <v>1</v>
      </c>
      <c r="K716" s="69">
        <f>SUMIFS(VENTAS[Cantidad],VENTAS[Código del producto Vendido],STOCK[[#This Row],[Code]])</f>
        <v>1</v>
      </c>
      <c r="L716" s="69">
        <f>STOCK[[#This Row],[Entradas]]-STOCK[[#This Row],[Salidas]]</f>
        <v>0</v>
      </c>
      <c r="M716" s="53">
        <f>STOCK[[#This Row],[Precio Final]]*10%</f>
        <v>3</v>
      </c>
      <c r="N716" s="53">
        <v>0</v>
      </c>
      <c r="O716" s="53">
        <v>17</v>
      </c>
      <c r="P716" s="53">
        <v>7</v>
      </c>
      <c r="Q716" s="69">
        <v>0</v>
      </c>
      <c r="R716" s="53">
        <v>0</v>
      </c>
      <c r="S716" s="53">
        <v>10</v>
      </c>
      <c r="T716" s="53">
        <f>STOCK[[#This Row],[Costo Unitario (USD)]]+STOCK[[#This Row],[Costo Envío (USD)]]+STOCK[[#This Row],[Comisión 10%]]</f>
        <v>20</v>
      </c>
      <c r="U716" s="53">
        <f>STOCK[[#This Row],[Costo total]]*1.5</f>
        <v>30</v>
      </c>
      <c r="V716" s="53">
        <v>30</v>
      </c>
      <c r="W716" s="53">
        <f>STOCK[[#This Row],[Precio Final]]-STOCK[[#This Row],[Costo total]]</f>
        <v>10</v>
      </c>
      <c r="X716" s="53">
        <f>STOCK[[#This Row],[Ganancia Unitaria]]*STOCK[[#This Row],[Salidas]]</f>
        <v>10</v>
      </c>
      <c r="Y716" s="53" t="s">
        <v>1431</v>
      </c>
      <c r="AA716" s="53">
        <f>STOCK[[#This Row],[Costo total]]*STOCK[[#This Row],[Entradas]]</f>
        <v>20</v>
      </c>
      <c r="AB716" s="53">
        <f>STOCK[[#This Row],[Stock Actual]]*STOCK[[#This Row],[Costo total]]</f>
        <v>0</v>
      </c>
    </row>
    <row r="717" spans="1:29" s="54" customFormat="1" ht="50" customHeight="1">
      <c r="A717" s="54" t="s">
        <v>1440</v>
      </c>
      <c r="B717" s="64"/>
      <c r="C717" s="54" t="s">
        <v>32</v>
      </c>
      <c r="D717" s="53" t="s">
        <v>515</v>
      </c>
      <c r="E717" s="66" t="s">
        <v>1441</v>
      </c>
      <c r="F717" s="54" t="s">
        <v>1442</v>
      </c>
      <c r="G717" s="54" t="s">
        <v>1296</v>
      </c>
      <c r="H717" s="54">
        <f>STOCK[[#This Row],[Precio Final]]</f>
        <v>27</v>
      </c>
      <c r="I717" s="54">
        <f>STOCK[[#This Row],[Precio Venta Ideal (x1.5)]]</f>
        <v>22.785000000000004</v>
      </c>
      <c r="J717" s="70">
        <v>2</v>
      </c>
      <c r="K717" s="70">
        <f>SUMIFS(VENTAS[Cantidad],VENTAS[Código del producto Vendido],STOCK[[#This Row],[Code]])</f>
        <v>2</v>
      </c>
      <c r="L717" s="70">
        <f>STOCK[[#This Row],[Entradas]]-STOCK[[#This Row],[Salidas]]</f>
        <v>0</v>
      </c>
      <c r="M717" s="54">
        <f>STOCK[[#This Row],[Precio Final]]*10%</f>
        <v>2.7</v>
      </c>
      <c r="N717" s="54">
        <v>0</v>
      </c>
      <c r="O717" s="54">
        <v>17.5</v>
      </c>
      <c r="P717" s="54">
        <v>7.49</v>
      </c>
      <c r="Q717" s="70">
        <v>0</v>
      </c>
      <c r="R717" s="54">
        <v>0</v>
      </c>
      <c r="S717" s="54">
        <v>5</v>
      </c>
      <c r="T717" s="53">
        <f>STOCK[[#This Row],[Costo Unitario (USD)]]+STOCK[[#This Row],[Costo Envío (USD)]]+STOCK[[#This Row],[Comisión 10%]]</f>
        <v>15.190000000000001</v>
      </c>
      <c r="U717" s="54">
        <f>STOCK[[#This Row],[Costo total]]*1.5</f>
        <v>22.785000000000004</v>
      </c>
      <c r="V717" s="54">
        <v>27</v>
      </c>
      <c r="W717" s="54">
        <f>STOCK[[#This Row],[Precio Final]]-STOCK[[#This Row],[Costo total]]</f>
        <v>11.809999999999999</v>
      </c>
      <c r="X717" s="54">
        <f>STOCK[[#This Row],[Ganancia Unitaria]]*STOCK[[#This Row],[Salidas]]</f>
        <v>23.619999999999997</v>
      </c>
      <c r="Y717" s="54" t="s">
        <v>1431</v>
      </c>
      <c r="AA717" s="54">
        <f>STOCK[[#This Row],[Costo total]]*STOCK[[#This Row],[Entradas]]</f>
        <v>30.380000000000003</v>
      </c>
      <c r="AB717" s="54">
        <f>STOCK[[#This Row],[Stock Actual]]*STOCK[[#This Row],[Costo total]]</f>
        <v>0</v>
      </c>
    </row>
    <row r="718" spans="1:29" s="53" customFormat="1" ht="50" customHeight="1">
      <c r="A718" s="53" t="s">
        <v>1443</v>
      </c>
      <c r="B718" s="64"/>
      <c r="C718" s="53" t="s">
        <v>32</v>
      </c>
      <c r="D718" s="53" t="s">
        <v>515</v>
      </c>
      <c r="E718" s="65" t="s">
        <v>1444</v>
      </c>
      <c r="F718" s="53" t="s">
        <v>540</v>
      </c>
      <c r="G718" s="53" t="s">
        <v>1296</v>
      </c>
      <c r="H718" s="53">
        <f>STOCK[[#This Row],[Precio Final]]</f>
        <v>27</v>
      </c>
      <c r="I718" s="53">
        <f>STOCK[[#This Row],[Precio Venta Ideal (x1.5)]]</f>
        <v>22.785000000000004</v>
      </c>
      <c r="J718" s="69">
        <v>1</v>
      </c>
      <c r="K718" s="69">
        <f>SUMIFS(VENTAS[Cantidad],VENTAS[Código del producto Vendido],STOCK[[#This Row],[Code]])</f>
        <v>1</v>
      </c>
      <c r="L718" s="69">
        <f>STOCK[[#This Row],[Entradas]]-STOCK[[#This Row],[Salidas]]</f>
        <v>0</v>
      </c>
      <c r="M718" s="53">
        <f>STOCK[[#This Row],[Precio Final]]*10%</f>
        <v>2.7</v>
      </c>
      <c r="N718" s="53">
        <v>0</v>
      </c>
      <c r="O718" s="53">
        <v>17.5</v>
      </c>
      <c r="P718" s="53">
        <v>7.49</v>
      </c>
      <c r="Q718" s="69">
        <v>0</v>
      </c>
      <c r="R718" s="53">
        <v>0</v>
      </c>
      <c r="S718" s="53">
        <v>5</v>
      </c>
      <c r="T718" s="53">
        <f>STOCK[[#This Row],[Costo Unitario (USD)]]+STOCK[[#This Row],[Costo Envío (USD)]]+STOCK[[#This Row],[Comisión 10%]]</f>
        <v>15.190000000000001</v>
      </c>
      <c r="U718" s="53">
        <f>STOCK[[#This Row],[Costo total]]*1.5</f>
        <v>22.785000000000004</v>
      </c>
      <c r="V718" s="53">
        <v>27</v>
      </c>
      <c r="W718" s="53">
        <f>STOCK[[#This Row],[Precio Final]]-STOCK[[#This Row],[Costo total]]</f>
        <v>11.809999999999999</v>
      </c>
      <c r="X718" s="53">
        <f>STOCK[[#This Row],[Ganancia Unitaria]]*STOCK[[#This Row],[Salidas]]</f>
        <v>11.809999999999999</v>
      </c>
      <c r="Y718" s="53" t="s">
        <v>1431</v>
      </c>
      <c r="AA718" s="53">
        <f>STOCK[[#This Row],[Costo total]]*STOCK[[#This Row],[Entradas]]</f>
        <v>15.190000000000001</v>
      </c>
      <c r="AB718" s="53">
        <f>STOCK[[#This Row],[Stock Actual]]*STOCK[[#This Row],[Costo total]]</f>
        <v>0</v>
      </c>
    </row>
    <row r="719" spans="1:29" s="54" customFormat="1" ht="50" customHeight="1">
      <c r="A719" s="54" t="s">
        <v>1445</v>
      </c>
      <c r="B719" s="64"/>
      <c r="C719" s="54" t="s">
        <v>32</v>
      </c>
      <c r="D719" s="54" t="s">
        <v>515</v>
      </c>
      <c r="E719" s="66" t="s">
        <v>1444</v>
      </c>
      <c r="F719" s="54" t="s">
        <v>1102</v>
      </c>
      <c r="G719" s="54" t="s">
        <v>1296</v>
      </c>
      <c r="H719" s="54">
        <f>STOCK[[#This Row],[Precio Final]]</f>
        <v>27</v>
      </c>
      <c r="I719" s="54">
        <f>STOCK[[#This Row],[Precio Venta Ideal (x1.5)]]</f>
        <v>22.785000000000004</v>
      </c>
      <c r="J719" s="70">
        <v>1</v>
      </c>
      <c r="K719" s="70">
        <f>SUMIFS(VENTAS[Cantidad],VENTAS[Código del producto Vendido],STOCK[[#This Row],[Code]])</f>
        <v>1</v>
      </c>
      <c r="L719" s="70">
        <f>STOCK[[#This Row],[Entradas]]-STOCK[[#This Row],[Salidas]]</f>
        <v>0</v>
      </c>
      <c r="M719" s="54">
        <f>STOCK[[#This Row],[Precio Final]]*10%</f>
        <v>2.7</v>
      </c>
      <c r="N719" s="54">
        <v>0</v>
      </c>
      <c r="O719" s="54">
        <v>17.5</v>
      </c>
      <c r="P719" s="54">
        <v>7.49</v>
      </c>
      <c r="Q719" s="70">
        <v>0</v>
      </c>
      <c r="R719" s="54">
        <v>0</v>
      </c>
      <c r="S719" s="54">
        <v>5</v>
      </c>
      <c r="T719" s="53">
        <f>STOCK[[#This Row],[Costo Unitario (USD)]]+STOCK[[#This Row],[Costo Envío (USD)]]+STOCK[[#This Row],[Comisión 10%]]</f>
        <v>15.190000000000001</v>
      </c>
      <c r="U719" s="54">
        <f>STOCK[[#This Row],[Costo total]]*1.5</f>
        <v>22.785000000000004</v>
      </c>
      <c r="V719" s="54">
        <v>27</v>
      </c>
      <c r="W719" s="54">
        <f>STOCK[[#This Row],[Precio Final]]-STOCK[[#This Row],[Costo total]]</f>
        <v>11.809999999999999</v>
      </c>
      <c r="X719" s="54">
        <f>STOCK[[#This Row],[Ganancia Unitaria]]*STOCK[[#This Row],[Salidas]]</f>
        <v>11.809999999999999</v>
      </c>
      <c r="Y719" s="54" t="s">
        <v>1431</v>
      </c>
      <c r="AA719" s="54">
        <f>STOCK[[#This Row],[Costo total]]*STOCK[[#This Row],[Entradas]]</f>
        <v>15.190000000000001</v>
      </c>
      <c r="AB719" s="54">
        <f>STOCK[[#This Row],[Stock Actual]]*STOCK[[#This Row],[Costo total]]</f>
        <v>0</v>
      </c>
    </row>
    <row r="720" spans="1:29" s="53" customFormat="1" ht="50" customHeight="1">
      <c r="A720" s="53" t="s">
        <v>1446</v>
      </c>
      <c r="B720" s="64"/>
      <c r="C720" s="53" t="s">
        <v>32</v>
      </c>
      <c r="D720" s="53" t="s">
        <v>515</v>
      </c>
      <c r="E720" s="65" t="s">
        <v>1447</v>
      </c>
      <c r="F720" s="53" t="s">
        <v>540</v>
      </c>
      <c r="G720" s="53" t="s">
        <v>1296</v>
      </c>
      <c r="H720" s="53">
        <f>STOCK[[#This Row],[Precio Final]]</f>
        <v>43</v>
      </c>
      <c r="I720" s="53">
        <f>STOCK[[#This Row],[Precio Venta Ideal (x1.5)]]</f>
        <v>47.685000000000002</v>
      </c>
      <c r="J720" s="69">
        <v>1</v>
      </c>
      <c r="K720" s="69">
        <f>SUMIFS(VENTAS[Cantidad],VENTAS[Código del producto Vendido],STOCK[[#This Row],[Code]])</f>
        <v>1</v>
      </c>
      <c r="L720" s="69">
        <f>STOCK[[#This Row],[Entradas]]-STOCK[[#This Row],[Salidas]]</f>
        <v>0</v>
      </c>
      <c r="M720" s="53">
        <f>STOCK[[#This Row],[Precio Final]]*10%</f>
        <v>4.3</v>
      </c>
      <c r="N720" s="53">
        <v>0</v>
      </c>
      <c r="O720" s="53">
        <v>27.5</v>
      </c>
      <c r="P720" s="53">
        <v>17.489999999999998</v>
      </c>
      <c r="Q720" s="69">
        <v>0</v>
      </c>
      <c r="R720" s="53">
        <v>0</v>
      </c>
      <c r="S720" s="53">
        <v>10</v>
      </c>
      <c r="T720" s="53">
        <f>STOCK[[#This Row],[Costo Unitario (USD)]]+STOCK[[#This Row],[Costo Envío (USD)]]+STOCK[[#This Row],[Comisión 10%]]</f>
        <v>31.79</v>
      </c>
      <c r="U720" s="53">
        <f>STOCK[[#This Row],[Costo total]]*1.5</f>
        <v>47.685000000000002</v>
      </c>
      <c r="V720" s="53">
        <v>43</v>
      </c>
      <c r="W720" s="53">
        <f>STOCK[[#This Row],[Precio Final]]-STOCK[[#This Row],[Costo total]]</f>
        <v>11.21</v>
      </c>
      <c r="X720" s="53">
        <f>STOCK[[#This Row],[Ganancia Unitaria]]*STOCK[[#This Row],[Salidas]]</f>
        <v>11.21</v>
      </c>
      <c r="Y720" s="53" t="s">
        <v>1431</v>
      </c>
      <c r="AA720" s="53">
        <f>STOCK[[#This Row],[Costo total]]*STOCK[[#This Row],[Entradas]]</f>
        <v>31.79</v>
      </c>
      <c r="AB720" s="53">
        <f>STOCK[[#This Row],[Stock Actual]]*STOCK[[#This Row],[Costo total]]</f>
        <v>0</v>
      </c>
    </row>
    <row r="721" spans="1:28" s="54" customFormat="1" ht="50" customHeight="1">
      <c r="A721" s="54" t="s">
        <v>1448</v>
      </c>
      <c r="B721" s="64"/>
      <c r="C721" s="54" t="s">
        <v>32</v>
      </c>
      <c r="D721" s="54" t="s">
        <v>515</v>
      </c>
      <c r="E721" s="66" t="s">
        <v>1447</v>
      </c>
      <c r="F721" s="54" t="s">
        <v>1102</v>
      </c>
      <c r="G721" s="54" t="s">
        <v>1296</v>
      </c>
      <c r="H721" s="54">
        <f>STOCK[[#This Row],[Precio Final]]</f>
        <v>43</v>
      </c>
      <c r="I721" s="54">
        <f>STOCK[[#This Row],[Precio Venta Ideal (x1.5)]]</f>
        <v>47.685000000000002</v>
      </c>
      <c r="J721" s="70">
        <v>1</v>
      </c>
      <c r="K721" s="70">
        <f>SUMIFS(VENTAS[Cantidad],VENTAS[Código del producto Vendido],STOCK[[#This Row],[Code]])</f>
        <v>1</v>
      </c>
      <c r="L721" s="70">
        <f>STOCK[[#This Row],[Entradas]]-STOCK[[#This Row],[Salidas]]</f>
        <v>0</v>
      </c>
      <c r="M721" s="54">
        <f>STOCK[[#This Row],[Precio Final]]*10%</f>
        <v>4.3</v>
      </c>
      <c r="N721" s="54">
        <v>0</v>
      </c>
      <c r="O721" s="54">
        <v>27.5</v>
      </c>
      <c r="P721" s="54">
        <v>17.489999999999998</v>
      </c>
      <c r="Q721" s="70">
        <v>0</v>
      </c>
      <c r="R721" s="54">
        <v>0</v>
      </c>
      <c r="S721" s="54">
        <v>10</v>
      </c>
      <c r="T721" s="53">
        <f>STOCK[[#This Row],[Costo Unitario (USD)]]+STOCK[[#This Row],[Costo Envío (USD)]]+STOCK[[#This Row],[Comisión 10%]]</f>
        <v>31.79</v>
      </c>
      <c r="U721" s="54">
        <f>STOCK[[#This Row],[Costo total]]*1.5</f>
        <v>47.685000000000002</v>
      </c>
      <c r="V721" s="54">
        <v>43</v>
      </c>
      <c r="W721" s="54">
        <f>STOCK[[#This Row],[Precio Final]]-STOCK[[#This Row],[Costo total]]</f>
        <v>11.21</v>
      </c>
      <c r="X721" s="54">
        <f>STOCK[[#This Row],[Ganancia Unitaria]]*STOCK[[#This Row],[Salidas]]</f>
        <v>11.21</v>
      </c>
      <c r="Y721" s="54" t="s">
        <v>1431</v>
      </c>
      <c r="AA721" s="54">
        <f>STOCK[[#This Row],[Costo total]]*STOCK[[#This Row],[Entradas]]</f>
        <v>31.79</v>
      </c>
      <c r="AB721" s="54">
        <f>STOCK[[#This Row],[Stock Actual]]*STOCK[[#This Row],[Costo total]]</f>
        <v>0</v>
      </c>
    </row>
    <row r="722" spans="1:28" s="53" customFormat="1" ht="50" customHeight="1">
      <c r="A722" s="53" t="s">
        <v>1449</v>
      </c>
      <c r="B722" s="64"/>
      <c r="C722" s="53" t="s">
        <v>32</v>
      </c>
      <c r="D722" s="53" t="s">
        <v>515</v>
      </c>
      <c r="E722" s="65" t="s">
        <v>1447</v>
      </c>
      <c r="F722" s="53" t="s">
        <v>540</v>
      </c>
      <c r="G722" s="53" t="s">
        <v>1296</v>
      </c>
      <c r="H722" s="53">
        <f>STOCK[[#This Row],[Precio Final]]</f>
        <v>43</v>
      </c>
      <c r="I722" s="53">
        <f>STOCK[[#This Row],[Precio Venta Ideal (x1.5)]]</f>
        <v>47.685000000000002</v>
      </c>
      <c r="J722" s="69">
        <v>1</v>
      </c>
      <c r="K722" s="69">
        <f>SUMIFS(VENTAS[Cantidad],VENTAS[Código del producto Vendido],STOCK[[#This Row],[Code]])</f>
        <v>1</v>
      </c>
      <c r="L722" s="69">
        <f>STOCK[[#This Row],[Entradas]]-STOCK[[#This Row],[Salidas]]</f>
        <v>0</v>
      </c>
      <c r="M722" s="53">
        <f>STOCK[[#This Row],[Precio Final]]*10%</f>
        <v>4.3</v>
      </c>
      <c r="N722" s="53">
        <v>0</v>
      </c>
      <c r="O722" s="53">
        <v>27.5</v>
      </c>
      <c r="P722" s="53">
        <v>17.489999999999998</v>
      </c>
      <c r="Q722" s="69">
        <v>0</v>
      </c>
      <c r="R722" s="53">
        <v>0</v>
      </c>
      <c r="S722" s="53">
        <v>10</v>
      </c>
      <c r="T722" s="53">
        <f>STOCK[[#This Row],[Costo Unitario (USD)]]+STOCK[[#This Row],[Costo Envío (USD)]]+STOCK[[#This Row],[Comisión 10%]]</f>
        <v>31.79</v>
      </c>
      <c r="U722" s="53">
        <f>STOCK[[#This Row],[Costo total]]*1.5</f>
        <v>47.685000000000002</v>
      </c>
      <c r="V722" s="53">
        <v>43</v>
      </c>
      <c r="W722" s="53">
        <f>STOCK[[#This Row],[Precio Final]]-STOCK[[#This Row],[Costo total]]</f>
        <v>11.21</v>
      </c>
      <c r="X722" s="53">
        <f>STOCK[[#This Row],[Ganancia Unitaria]]*STOCK[[#This Row],[Salidas]]</f>
        <v>11.21</v>
      </c>
      <c r="Y722" s="53" t="s">
        <v>1431</v>
      </c>
      <c r="AA722" s="53">
        <f>STOCK[[#This Row],[Costo total]]*STOCK[[#This Row],[Entradas]]</f>
        <v>31.79</v>
      </c>
      <c r="AB722" s="53">
        <f>STOCK[[#This Row],[Stock Actual]]*STOCK[[#This Row],[Costo total]]</f>
        <v>0</v>
      </c>
    </row>
    <row r="723" spans="1:28" s="54" customFormat="1" ht="50" customHeight="1">
      <c r="A723" s="54" t="s">
        <v>1450</v>
      </c>
      <c r="B723" s="64"/>
      <c r="C723" s="54" t="s">
        <v>32</v>
      </c>
      <c r="D723" s="54" t="s">
        <v>515</v>
      </c>
      <c r="E723" s="66" t="s">
        <v>1451</v>
      </c>
      <c r="F723" s="54" t="s">
        <v>1102</v>
      </c>
      <c r="G723" s="54" t="s">
        <v>1296</v>
      </c>
      <c r="H723" s="54">
        <f>STOCK[[#This Row],[Precio Final]]</f>
        <v>35</v>
      </c>
      <c r="I723" s="54">
        <f>STOCK[[#This Row],[Precio Venta Ideal (x1.5)]]</f>
        <v>38.984999999999999</v>
      </c>
      <c r="J723" s="70">
        <v>1</v>
      </c>
      <c r="K723" s="70">
        <f>SUMIFS(VENTAS[Cantidad],VENTAS[Código del producto Vendido],STOCK[[#This Row],[Code]])</f>
        <v>1</v>
      </c>
      <c r="L723" s="70">
        <f>STOCK[[#This Row],[Entradas]]-STOCK[[#This Row],[Salidas]]</f>
        <v>0</v>
      </c>
      <c r="M723" s="54">
        <f>STOCK[[#This Row],[Precio Final]]*10%</f>
        <v>3.5</v>
      </c>
      <c r="N723" s="54">
        <v>0</v>
      </c>
      <c r="O723" s="54">
        <v>22.5</v>
      </c>
      <c r="P723" s="54">
        <v>12.49</v>
      </c>
      <c r="Q723" s="70">
        <v>0</v>
      </c>
      <c r="R723" s="54">
        <v>0</v>
      </c>
      <c r="S723" s="54">
        <v>10</v>
      </c>
      <c r="T723" s="53">
        <f>STOCK[[#This Row],[Costo Unitario (USD)]]+STOCK[[#This Row],[Costo Envío (USD)]]+STOCK[[#This Row],[Comisión 10%]]</f>
        <v>25.990000000000002</v>
      </c>
      <c r="U723" s="54">
        <f>STOCK[[#This Row],[Costo total]]*1.5</f>
        <v>38.984999999999999</v>
      </c>
      <c r="V723" s="54">
        <v>35</v>
      </c>
      <c r="W723" s="54">
        <f>STOCK[[#This Row],[Precio Final]]-STOCK[[#This Row],[Costo total]]</f>
        <v>9.009999999999998</v>
      </c>
      <c r="X723" s="54">
        <f>STOCK[[#This Row],[Ganancia Unitaria]]*STOCK[[#This Row],[Salidas]]</f>
        <v>9.009999999999998</v>
      </c>
      <c r="Y723" s="54" t="s">
        <v>1431</v>
      </c>
      <c r="AA723" s="54">
        <f>STOCK[[#This Row],[Costo total]]*STOCK[[#This Row],[Entradas]]</f>
        <v>25.990000000000002</v>
      </c>
      <c r="AB723" s="54">
        <f>STOCK[[#This Row],[Stock Actual]]*STOCK[[#This Row],[Costo total]]</f>
        <v>0</v>
      </c>
    </row>
    <row r="724" spans="1:28" s="53" customFormat="1" ht="50" customHeight="1">
      <c r="A724" s="53" t="s">
        <v>1452</v>
      </c>
      <c r="B724" s="64"/>
      <c r="C724" s="53" t="s">
        <v>32</v>
      </c>
      <c r="D724" s="53" t="s">
        <v>515</v>
      </c>
      <c r="E724" s="65" t="s">
        <v>1451</v>
      </c>
      <c r="F724" s="53" t="s">
        <v>1453</v>
      </c>
      <c r="G724" s="53" t="s">
        <v>1296</v>
      </c>
      <c r="H724" s="53">
        <f>STOCK[[#This Row],[Precio Final]]</f>
        <v>35</v>
      </c>
      <c r="I724" s="53">
        <f>STOCK[[#This Row],[Precio Venta Ideal (x1.5)]]</f>
        <v>38.984999999999999</v>
      </c>
      <c r="J724" s="69">
        <v>2</v>
      </c>
      <c r="K724" s="69">
        <f>SUMIFS(VENTAS[Cantidad],VENTAS[Código del producto Vendido],STOCK[[#This Row],[Code]])</f>
        <v>2</v>
      </c>
      <c r="L724" s="69">
        <f>STOCK[[#This Row],[Entradas]]-STOCK[[#This Row],[Salidas]]</f>
        <v>0</v>
      </c>
      <c r="M724" s="53">
        <f>STOCK[[#This Row],[Precio Final]]*10%</f>
        <v>3.5</v>
      </c>
      <c r="N724" s="53">
        <v>0</v>
      </c>
      <c r="O724" s="53">
        <v>22.5</v>
      </c>
      <c r="P724" s="53">
        <v>12.49</v>
      </c>
      <c r="Q724" s="69">
        <v>0</v>
      </c>
      <c r="R724" s="53">
        <v>0</v>
      </c>
      <c r="S724" s="53">
        <v>10</v>
      </c>
      <c r="T724" s="53">
        <f>STOCK[[#This Row],[Costo Unitario (USD)]]+STOCK[[#This Row],[Costo Envío (USD)]]+STOCK[[#This Row],[Comisión 10%]]</f>
        <v>25.990000000000002</v>
      </c>
      <c r="U724" s="53">
        <f>STOCK[[#This Row],[Costo total]]*1.5</f>
        <v>38.984999999999999</v>
      </c>
      <c r="V724" s="53">
        <v>35</v>
      </c>
      <c r="W724" s="53">
        <f>STOCK[[#This Row],[Precio Final]]-STOCK[[#This Row],[Costo total]]</f>
        <v>9.009999999999998</v>
      </c>
      <c r="X724" s="53">
        <f>STOCK[[#This Row],[Ganancia Unitaria]]*STOCK[[#This Row],[Salidas]]</f>
        <v>18.019999999999996</v>
      </c>
      <c r="Y724" s="53" t="s">
        <v>1431</v>
      </c>
      <c r="AA724" s="53">
        <f>STOCK[[#This Row],[Costo total]]*STOCK[[#This Row],[Entradas]]</f>
        <v>51.980000000000004</v>
      </c>
      <c r="AB724" s="53">
        <f>STOCK[[#This Row],[Stock Actual]]*STOCK[[#This Row],[Costo total]]</f>
        <v>0</v>
      </c>
    </row>
    <row r="725" spans="1:28" s="54" customFormat="1" ht="50" customHeight="1">
      <c r="A725" s="54" t="s">
        <v>1454</v>
      </c>
      <c r="B725" s="64"/>
      <c r="C725" s="54" t="s">
        <v>32</v>
      </c>
      <c r="D725" s="54" t="s">
        <v>515</v>
      </c>
      <c r="E725" s="66" t="s">
        <v>1451</v>
      </c>
      <c r="F725" s="54" t="s">
        <v>40</v>
      </c>
      <c r="G725" s="54" t="s">
        <v>1296</v>
      </c>
      <c r="H725" s="54">
        <f>STOCK[[#This Row],[Precio Final]]</f>
        <v>35</v>
      </c>
      <c r="I725" s="54">
        <f>STOCK[[#This Row],[Precio Venta Ideal (x1.5)]]</f>
        <v>38.984999999999999</v>
      </c>
      <c r="J725" s="70">
        <v>1</v>
      </c>
      <c r="K725" s="70">
        <f>SUMIFS(VENTAS[Cantidad],VENTAS[Código del producto Vendido],STOCK[[#This Row],[Code]])</f>
        <v>1</v>
      </c>
      <c r="L725" s="70">
        <f>STOCK[[#This Row],[Entradas]]-STOCK[[#This Row],[Salidas]]</f>
        <v>0</v>
      </c>
      <c r="M725" s="54">
        <f>STOCK[[#This Row],[Precio Final]]*10%</f>
        <v>3.5</v>
      </c>
      <c r="N725" s="54">
        <v>0</v>
      </c>
      <c r="O725" s="54">
        <v>0</v>
      </c>
      <c r="P725" s="54">
        <v>12.49</v>
      </c>
      <c r="Q725" s="70">
        <v>0</v>
      </c>
      <c r="R725" s="54">
        <v>0</v>
      </c>
      <c r="S725" s="54">
        <v>10</v>
      </c>
      <c r="T725" s="53">
        <f>STOCK[[#This Row],[Costo Unitario (USD)]]+STOCK[[#This Row],[Costo Envío (USD)]]+STOCK[[#This Row],[Comisión 10%]]</f>
        <v>25.990000000000002</v>
      </c>
      <c r="U725" s="54">
        <f>STOCK[[#This Row],[Costo total]]*1.5</f>
        <v>38.984999999999999</v>
      </c>
      <c r="V725" s="54">
        <v>35</v>
      </c>
      <c r="W725" s="54">
        <f>STOCK[[#This Row],[Precio Final]]-STOCK[[#This Row],[Costo total]]</f>
        <v>9.009999999999998</v>
      </c>
      <c r="X725" s="54">
        <f>STOCK[[#This Row],[Ganancia Unitaria]]*STOCK[[#This Row],[Salidas]]</f>
        <v>9.009999999999998</v>
      </c>
      <c r="Y725" s="54" t="s">
        <v>1431</v>
      </c>
      <c r="AA725" s="54">
        <f>STOCK[[#This Row],[Costo total]]*STOCK[[#This Row],[Entradas]]</f>
        <v>25.990000000000002</v>
      </c>
      <c r="AB725" s="54">
        <f>STOCK[[#This Row],[Stock Actual]]*STOCK[[#This Row],[Costo total]]</f>
        <v>0</v>
      </c>
    </row>
    <row r="726" spans="1:28" s="53" customFormat="1" ht="50" customHeight="1">
      <c r="A726" s="53" t="s">
        <v>1455</v>
      </c>
      <c r="B726" s="64"/>
      <c r="C726" s="53" t="s">
        <v>32</v>
      </c>
      <c r="D726" s="53" t="s">
        <v>216</v>
      </c>
      <c r="E726" s="65" t="s">
        <v>1456</v>
      </c>
      <c r="F726" s="53" t="s">
        <v>62</v>
      </c>
      <c r="G726" s="53" t="s">
        <v>1296</v>
      </c>
      <c r="H726" s="53">
        <f>STOCK[[#This Row],[Precio Final]]</f>
        <v>28</v>
      </c>
      <c r="I726" s="53">
        <f>STOCK[[#This Row],[Precio Venta Ideal (x1.5)]]</f>
        <v>22.950000000000003</v>
      </c>
      <c r="J726" s="69">
        <v>2</v>
      </c>
      <c r="K726" s="69">
        <f>SUMIFS(VENTAS[Cantidad],VENTAS[Código del producto Vendido],STOCK[[#This Row],[Code]])</f>
        <v>0</v>
      </c>
      <c r="L726" s="69">
        <f>STOCK[[#This Row],[Entradas]]-STOCK[[#This Row],[Salidas]]</f>
        <v>2</v>
      </c>
      <c r="M726" s="53">
        <f>STOCK[[#This Row],[Precio Final]]*10%</f>
        <v>2.8000000000000003</v>
      </c>
      <c r="N726" s="53">
        <v>0</v>
      </c>
      <c r="O726" s="53">
        <v>23</v>
      </c>
      <c r="P726" s="53">
        <v>7.5</v>
      </c>
      <c r="Q726" s="69">
        <v>0</v>
      </c>
      <c r="R726" s="53">
        <v>0</v>
      </c>
      <c r="S726" s="53">
        <v>5</v>
      </c>
      <c r="T726" s="53">
        <f>STOCK[[#This Row],[Costo Unitario (USD)]]+STOCK[[#This Row],[Costo Envío (USD)]]+STOCK[[#This Row],[Comisión 10%]]</f>
        <v>15.3</v>
      </c>
      <c r="U726" s="53">
        <f>STOCK[[#This Row],[Costo total]]*1.5</f>
        <v>22.950000000000003</v>
      </c>
      <c r="V726" s="53">
        <v>28</v>
      </c>
      <c r="W726" s="53">
        <f>STOCK[[#This Row],[Precio Final]]-STOCK[[#This Row],[Costo total]]</f>
        <v>12.7</v>
      </c>
      <c r="X726" s="53">
        <f>STOCK[[#This Row],[Ganancia Unitaria]]*STOCK[[#This Row],[Salidas]]</f>
        <v>0</v>
      </c>
      <c r="Y726" s="53" t="s">
        <v>1431</v>
      </c>
      <c r="AA726" s="53">
        <f>STOCK[[#This Row],[Costo total]]*STOCK[[#This Row],[Entradas]]</f>
        <v>30.6</v>
      </c>
      <c r="AB726" s="53">
        <f>STOCK[[#This Row],[Stock Actual]]*STOCK[[#This Row],[Costo total]]</f>
        <v>30.6</v>
      </c>
    </row>
    <row r="727" spans="1:28" s="54" customFormat="1" ht="50" customHeight="1">
      <c r="A727" s="54" t="s">
        <v>1457</v>
      </c>
      <c r="B727" s="64"/>
      <c r="C727" s="54" t="s">
        <v>32</v>
      </c>
      <c r="D727" s="54" t="s">
        <v>203</v>
      </c>
      <c r="E727" s="65" t="s">
        <v>1456</v>
      </c>
      <c r="F727" s="54" t="s">
        <v>46</v>
      </c>
      <c r="G727" s="54" t="s">
        <v>1296</v>
      </c>
      <c r="H727" s="54">
        <f>STOCK[[#This Row],[Precio Final]]</f>
        <v>28</v>
      </c>
      <c r="I727" s="54">
        <f>STOCK[[#This Row],[Precio Venta Ideal (x1.5)]]</f>
        <v>22.950000000000003</v>
      </c>
      <c r="J727" s="70">
        <v>2</v>
      </c>
      <c r="K727" s="70">
        <f>SUMIFS(VENTAS[Cantidad],VENTAS[Código del producto Vendido],STOCK[[#This Row],[Code]])</f>
        <v>0</v>
      </c>
      <c r="L727" s="70">
        <f>STOCK[[#This Row],[Entradas]]-STOCK[[#This Row],[Salidas]]</f>
        <v>2</v>
      </c>
      <c r="M727" s="54">
        <f>STOCK[[#This Row],[Precio Final]]*10%</f>
        <v>2.8000000000000003</v>
      </c>
      <c r="N727" s="54">
        <v>0</v>
      </c>
      <c r="O727" s="54">
        <v>23</v>
      </c>
      <c r="P727" s="54">
        <v>7.5</v>
      </c>
      <c r="Q727" s="70">
        <v>0</v>
      </c>
      <c r="R727" s="54">
        <v>0</v>
      </c>
      <c r="S727" s="54">
        <v>5</v>
      </c>
      <c r="T727" s="53">
        <f>STOCK[[#This Row],[Costo Unitario (USD)]]+STOCK[[#This Row],[Costo Envío (USD)]]+STOCK[[#This Row],[Comisión 10%]]</f>
        <v>15.3</v>
      </c>
      <c r="U727" s="54">
        <f>STOCK[[#This Row],[Costo total]]*1.5</f>
        <v>22.950000000000003</v>
      </c>
      <c r="V727" s="54">
        <v>28</v>
      </c>
      <c r="W727" s="54">
        <f>STOCK[[#This Row],[Precio Final]]-STOCK[[#This Row],[Costo total]]</f>
        <v>12.7</v>
      </c>
      <c r="X727" s="54">
        <f>STOCK[[#This Row],[Ganancia Unitaria]]*STOCK[[#This Row],[Salidas]]</f>
        <v>0</v>
      </c>
      <c r="Y727" s="54" t="s">
        <v>1431</v>
      </c>
      <c r="AA727" s="54">
        <f>STOCK[[#This Row],[Costo total]]*STOCK[[#This Row],[Entradas]]</f>
        <v>30.6</v>
      </c>
      <c r="AB727" s="54">
        <f>STOCK[[#This Row],[Stock Actual]]*STOCK[[#This Row],[Costo total]]</f>
        <v>30.6</v>
      </c>
    </row>
    <row r="728" spans="1:28" s="53" customFormat="1" ht="50" customHeight="1">
      <c r="A728" s="53" t="s">
        <v>1458</v>
      </c>
      <c r="B728" s="64"/>
      <c r="C728" s="53" t="s">
        <v>32</v>
      </c>
      <c r="D728" s="53" t="s">
        <v>1013</v>
      </c>
      <c r="E728" s="65" t="s">
        <v>1456</v>
      </c>
      <c r="F728" s="53" t="s">
        <v>40</v>
      </c>
      <c r="G728" s="53" t="s">
        <v>1296</v>
      </c>
      <c r="H728" s="53">
        <f>STOCK[[#This Row],[Precio Final]]</f>
        <v>28</v>
      </c>
      <c r="I728" s="53">
        <f>STOCK[[#This Row],[Precio Venta Ideal (x1.5)]]</f>
        <v>22.950000000000003</v>
      </c>
      <c r="J728" s="69">
        <v>2</v>
      </c>
      <c r="K728" s="69">
        <f>SUMIFS(VENTAS[Cantidad],VENTAS[Código del producto Vendido],STOCK[[#This Row],[Code]])</f>
        <v>0</v>
      </c>
      <c r="L728" s="69">
        <f>STOCK[[#This Row],[Entradas]]-STOCK[[#This Row],[Salidas]]</f>
        <v>2</v>
      </c>
      <c r="M728" s="53">
        <f>STOCK[[#This Row],[Precio Final]]*10%</f>
        <v>2.8000000000000003</v>
      </c>
      <c r="N728" s="53">
        <v>0</v>
      </c>
      <c r="O728" s="53">
        <v>11.5</v>
      </c>
      <c r="P728" s="53">
        <v>7.5</v>
      </c>
      <c r="Q728" s="69">
        <v>0</v>
      </c>
      <c r="R728" s="53">
        <v>0</v>
      </c>
      <c r="S728" s="53">
        <v>5</v>
      </c>
      <c r="T728" s="53">
        <f>STOCK[[#This Row],[Costo Unitario (USD)]]+STOCK[[#This Row],[Costo Envío (USD)]]+STOCK[[#This Row],[Comisión 10%]]</f>
        <v>15.3</v>
      </c>
      <c r="U728" s="53">
        <f>STOCK[[#This Row],[Costo total]]*1.5</f>
        <v>22.950000000000003</v>
      </c>
      <c r="V728" s="53">
        <v>28</v>
      </c>
      <c r="W728" s="53">
        <f>STOCK[[#This Row],[Precio Final]]-STOCK[[#This Row],[Costo total]]</f>
        <v>12.7</v>
      </c>
      <c r="X728" s="53">
        <f>STOCK[[#This Row],[Ganancia Unitaria]]*STOCK[[#This Row],[Salidas]]</f>
        <v>0</v>
      </c>
      <c r="Y728" s="53" t="s">
        <v>1431</v>
      </c>
      <c r="AA728" s="53">
        <f>STOCK[[#This Row],[Costo total]]*STOCK[[#This Row],[Entradas]]</f>
        <v>30.6</v>
      </c>
      <c r="AB728" s="53">
        <f>STOCK[[#This Row],[Stock Actual]]*STOCK[[#This Row],[Costo total]]</f>
        <v>30.6</v>
      </c>
    </row>
    <row r="729" spans="1:28" s="54" customFormat="1" ht="50" customHeight="1">
      <c r="A729" s="54" t="s">
        <v>1459</v>
      </c>
      <c r="B729" s="64"/>
      <c r="C729" s="54" t="s">
        <v>32</v>
      </c>
      <c r="D729" s="54" t="s">
        <v>1388</v>
      </c>
      <c r="E729" s="66" t="s">
        <v>1460</v>
      </c>
      <c r="F729" s="54" t="s">
        <v>40</v>
      </c>
      <c r="G729" s="54" t="s">
        <v>704</v>
      </c>
      <c r="H729" s="54">
        <f>STOCK[[#This Row],[Precio Final]]</f>
        <v>32</v>
      </c>
      <c r="I729" s="54">
        <f>STOCK[[#This Row],[Precio Venta Ideal (x1.5)]]</f>
        <v>29.084999999999994</v>
      </c>
      <c r="J729" s="70">
        <v>1</v>
      </c>
      <c r="K729" s="70">
        <f>SUMIFS(VENTAS[Cantidad],VENTAS[Código del producto Vendido],STOCK[[#This Row],[Code]])</f>
        <v>1</v>
      </c>
      <c r="L729" s="70">
        <f>STOCK[[#This Row],[Entradas]]-STOCK[[#This Row],[Salidas]]</f>
        <v>0</v>
      </c>
      <c r="M729" s="54">
        <f>STOCK[[#This Row],[Precio Final]]*10%</f>
        <v>3.2</v>
      </c>
      <c r="N729" s="54">
        <v>0</v>
      </c>
      <c r="O729" s="54">
        <v>19.5</v>
      </c>
      <c r="P729" s="54">
        <v>11.19</v>
      </c>
      <c r="Q729" s="70">
        <v>0</v>
      </c>
      <c r="R729" s="54">
        <v>0</v>
      </c>
      <c r="S729" s="54">
        <v>5</v>
      </c>
      <c r="T729" s="53">
        <f>STOCK[[#This Row],[Costo Unitario (USD)]]+STOCK[[#This Row],[Costo Envío (USD)]]+STOCK[[#This Row],[Comisión 10%]]</f>
        <v>19.389999999999997</v>
      </c>
      <c r="U729" s="54">
        <f>STOCK[[#This Row],[Costo total]]*1.5</f>
        <v>29.084999999999994</v>
      </c>
      <c r="V729" s="54">
        <v>32</v>
      </c>
      <c r="W729" s="54">
        <f>STOCK[[#This Row],[Precio Final]]-STOCK[[#This Row],[Costo total]]</f>
        <v>12.610000000000003</v>
      </c>
      <c r="X729" s="54">
        <f>STOCK[[#This Row],[Ganancia Unitaria]]*STOCK[[#This Row],[Salidas]]</f>
        <v>12.610000000000003</v>
      </c>
      <c r="AA729" s="54">
        <f>STOCK[[#This Row],[Costo total]]*STOCK[[#This Row],[Entradas]]</f>
        <v>19.389999999999997</v>
      </c>
      <c r="AB729" s="54">
        <f>STOCK[[#This Row],[Stock Actual]]*STOCK[[#This Row],[Costo total]]</f>
        <v>0</v>
      </c>
    </row>
    <row r="730" spans="1:28" s="53" customFormat="1" ht="50" customHeight="1">
      <c r="A730" s="53" t="s">
        <v>1461</v>
      </c>
      <c r="B730" s="64"/>
      <c r="C730" s="53" t="s">
        <v>32</v>
      </c>
      <c r="D730" s="54" t="s">
        <v>1388</v>
      </c>
      <c r="E730" s="65" t="s">
        <v>1460</v>
      </c>
      <c r="F730" s="53" t="s">
        <v>49</v>
      </c>
      <c r="G730" s="53" t="s">
        <v>704</v>
      </c>
      <c r="H730" s="53">
        <f>STOCK[[#This Row],[Precio Final]]</f>
        <v>32</v>
      </c>
      <c r="I730" s="53">
        <f>STOCK[[#This Row],[Precio Venta Ideal (x1.5)]]</f>
        <v>29.084999999999994</v>
      </c>
      <c r="J730" s="69">
        <v>3</v>
      </c>
      <c r="K730" s="69">
        <f>SUMIFS(VENTAS[Cantidad],VENTAS[Código del producto Vendido],STOCK[[#This Row],[Code]])</f>
        <v>2</v>
      </c>
      <c r="L730" s="69">
        <f>STOCK[[#This Row],[Entradas]]-STOCK[[#This Row],[Salidas]]</f>
        <v>1</v>
      </c>
      <c r="M730" s="53">
        <f>STOCK[[#This Row],[Precio Final]]*10%</f>
        <v>3.2</v>
      </c>
      <c r="N730" s="53">
        <v>0</v>
      </c>
      <c r="O730" s="53">
        <v>39</v>
      </c>
      <c r="P730" s="53">
        <v>11.19</v>
      </c>
      <c r="Q730" s="69">
        <v>0</v>
      </c>
      <c r="R730" s="53">
        <v>0</v>
      </c>
      <c r="S730" s="53">
        <v>5</v>
      </c>
      <c r="T730" s="53">
        <f>STOCK[[#This Row],[Costo Unitario (USD)]]+STOCK[[#This Row],[Costo Envío (USD)]]+STOCK[[#This Row],[Comisión 10%]]</f>
        <v>19.389999999999997</v>
      </c>
      <c r="U730" s="53">
        <f>STOCK[[#This Row],[Costo total]]*1.5</f>
        <v>29.084999999999994</v>
      </c>
      <c r="V730" s="53">
        <v>32</v>
      </c>
      <c r="W730" s="53">
        <f>STOCK[[#This Row],[Precio Final]]-STOCK[[#This Row],[Costo total]]</f>
        <v>12.610000000000003</v>
      </c>
      <c r="X730" s="53">
        <f>STOCK[[#This Row],[Ganancia Unitaria]]*STOCK[[#This Row],[Salidas]]</f>
        <v>25.220000000000006</v>
      </c>
      <c r="AA730" s="53">
        <f>STOCK[[#This Row],[Costo total]]*STOCK[[#This Row],[Entradas]]</f>
        <v>58.169999999999987</v>
      </c>
      <c r="AB730" s="53">
        <f>STOCK[[#This Row],[Stock Actual]]*STOCK[[#This Row],[Costo total]]</f>
        <v>19.389999999999997</v>
      </c>
    </row>
    <row r="731" spans="1:28" s="54" customFormat="1" ht="50" customHeight="1">
      <c r="A731" s="54" t="s">
        <v>1462</v>
      </c>
      <c r="B731" s="64"/>
      <c r="C731" s="54" t="s">
        <v>32</v>
      </c>
      <c r="D731" s="54" t="s">
        <v>1388</v>
      </c>
      <c r="E731" s="66" t="s">
        <v>1460</v>
      </c>
      <c r="F731" s="54" t="s">
        <v>46</v>
      </c>
      <c r="G731" s="54" t="s">
        <v>704</v>
      </c>
      <c r="H731" s="54">
        <f>STOCK[[#This Row],[Precio Final]]</f>
        <v>32</v>
      </c>
      <c r="I731" s="54">
        <f>STOCK[[#This Row],[Precio Venta Ideal (x1.5)]]</f>
        <v>29.084999999999994</v>
      </c>
      <c r="J731" s="70">
        <v>2</v>
      </c>
      <c r="K731" s="70">
        <f>SUMIFS(VENTAS[Cantidad],VENTAS[Código del producto Vendido],STOCK[[#This Row],[Code]])</f>
        <v>1</v>
      </c>
      <c r="L731" s="70">
        <f>STOCK[[#This Row],[Entradas]]-STOCK[[#This Row],[Salidas]]</f>
        <v>1</v>
      </c>
      <c r="M731" s="54">
        <f>STOCK[[#This Row],[Precio Final]]*10%</f>
        <v>3.2</v>
      </c>
      <c r="N731" s="54">
        <v>0</v>
      </c>
      <c r="O731" s="54">
        <v>58.5</v>
      </c>
      <c r="P731" s="54">
        <v>11.19</v>
      </c>
      <c r="Q731" s="70">
        <v>0</v>
      </c>
      <c r="R731" s="54">
        <v>0</v>
      </c>
      <c r="S731" s="54">
        <v>5</v>
      </c>
      <c r="T731" s="53">
        <f>STOCK[[#This Row],[Costo Unitario (USD)]]+STOCK[[#This Row],[Costo Envío (USD)]]+STOCK[[#This Row],[Comisión 10%]]</f>
        <v>19.389999999999997</v>
      </c>
      <c r="U731" s="54">
        <f>STOCK[[#This Row],[Costo total]]*1.5</f>
        <v>29.084999999999994</v>
      </c>
      <c r="V731" s="54">
        <v>32</v>
      </c>
      <c r="W731" s="54">
        <f>STOCK[[#This Row],[Precio Final]]-STOCK[[#This Row],[Costo total]]</f>
        <v>12.610000000000003</v>
      </c>
      <c r="X731" s="54">
        <f>STOCK[[#This Row],[Ganancia Unitaria]]*STOCK[[#This Row],[Salidas]]</f>
        <v>12.610000000000003</v>
      </c>
      <c r="AA731" s="54">
        <f>STOCK[[#This Row],[Costo total]]*STOCK[[#This Row],[Entradas]]</f>
        <v>38.779999999999994</v>
      </c>
      <c r="AB731" s="54">
        <f>STOCK[[#This Row],[Stock Actual]]*STOCK[[#This Row],[Costo total]]</f>
        <v>19.389999999999997</v>
      </c>
    </row>
    <row r="732" spans="1:28" s="53" customFormat="1" ht="50" customHeight="1">
      <c r="A732" s="53" t="s">
        <v>1463</v>
      </c>
      <c r="B732" s="64"/>
      <c r="C732" s="53" t="s">
        <v>32</v>
      </c>
      <c r="D732" s="54" t="s">
        <v>1388</v>
      </c>
      <c r="E732" s="65" t="s">
        <v>1460</v>
      </c>
      <c r="F732" s="53" t="s">
        <v>62</v>
      </c>
      <c r="G732" s="53" t="s">
        <v>704</v>
      </c>
      <c r="H732" s="53">
        <f>STOCK[[#This Row],[Precio Final]]</f>
        <v>32</v>
      </c>
      <c r="I732" s="53">
        <f>STOCK[[#This Row],[Precio Venta Ideal (x1.5)]]</f>
        <v>29.084999999999994</v>
      </c>
      <c r="J732" s="69">
        <v>3</v>
      </c>
      <c r="K732" s="69">
        <f>SUMIFS(VENTAS[Cantidad],VENTAS[Código del producto Vendido],STOCK[[#This Row],[Code]])</f>
        <v>2</v>
      </c>
      <c r="L732" s="69">
        <f>STOCK[[#This Row],[Entradas]]-STOCK[[#This Row],[Salidas]]</f>
        <v>1</v>
      </c>
      <c r="M732" s="53">
        <f>STOCK[[#This Row],[Precio Final]]*10%</f>
        <v>3.2</v>
      </c>
      <c r="N732" s="53">
        <v>0</v>
      </c>
      <c r="O732" s="53">
        <v>39</v>
      </c>
      <c r="P732" s="53">
        <v>11.19</v>
      </c>
      <c r="Q732" s="69">
        <v>0</v>
      </c>
      <c r="R732" s="53">
        <v>0</v>
      </c>
      <c r="S732" s="53">
        <v>5</v>
      </c>
      <c r="T732" s="53">
        <f>STOCK[[#This Row],[Costo Unitario (USD)]]+STOCK[[#This Row],[Costo Envío (USD)]]+STOCK[[#This Row],[Comisión 10%]]</f>
        <v>19.389999999999997</v>
      </c>
      <c r="U732" s="53">
        <f>STOCK[[#This Row],[Costo total]]*1.5</f>
        <v>29.084999999999994</v>
      </c>
      <c r="V732" s="53">
        <v>32</v>
      </c>
      <c r="W732" s="53">
        <f>STOCK[[#This Row],[Precio Final]]-STOCK[[#This Row],[Costo total]]</f>
        <v>12.610000000000003</v>
      </c>
      <c r="X732" s="53">
        <f>STOCK[[#This Row],[Ganancia Unitaria]]*STOCK[[#This Row],[Salidas]]</f>
        <v>25.220000000000006</v>
      </c>
      <c r="AA732" s="53">
        <f>STOCK[[#This Row],[Costo total]]*STOCK[[#This Row],[Entradas]]</f>
        <v>58.169999999999987</v>
      </c>
      <c r="AB732" s="53">
        <f>STOCK[[#This Row],[Stock Actual]]*STOCK[[#This Row],[Costo total]]</f>
        <v>19.389999999999997</v>
      </c>
    </row>
    <row r="733" spans="1:28" s="54" customFormat="1" ht="50" customHeight="1">
      <c r="A733" s="54" t="s">
        <v>1464</v>
      </c>
      <c r="B733" s="64"/>
      <c r="C733" s="54" t="s">
        <v>32</v>
      </c>
      <c r="D733" s="54" t="s">
        <v>1388</v>
      </c>
      <c r="E733" s="66" t="s">
        <v>1465</v>
      </c>
      <c r="F733" s="54" t="s">
        <v>62</v>
      </c>
      <c r="G733" s="54" t="s">
        <v>704</v>
      </c>
      <c r="H733" s="54">
        <f>STOCK[[#This Row],[Precio Final]]</f>
        <v>35</v>
      </c>
      <c r="I733" s="54">
        <f>STOCK[[#This Row],[Precio Venta Ideal (x1.5)]]</f>
        <v>35.25</v>
      </c>
      <c r="J733" s="70">
        <v>1</v>
      </c>
      <c r="K733" s="70">
        <f>SUMIFS(VENTAS[Cantidad],VENTAS[Código del producto Vendido],STOCK[[#This Row],[Code]])</f>
        <v>0</v>
      </c>
      <c r="L733" s="70">
        <f>STOCK[[#This Row],[Entradas]]-STOCK[[#This Row],[Salidas]]</f>
        <v>1</v>
      </c>
      <c r="M733" s="54">
        <f>STOCK[[#This Row],[Precio Final]]*10%</f>
        <v>3.5</v>
      </c>
      <c r="N733" s="54">
        <v>0</v>
      </c>
      <c r="O733" s="54">
        <v>0</v>
      </c>
      <c r="P733" s="54">
        <v>15</v>
      </c>
      <c r="Q733" s="70">
        <v>0</v>
      </c>
      <c r="R733" s="54">
        <v>0</v>
      </c>
      <c r="S733" s="54">
        <v>5</v>
      </c>
      <c r="T733" s="53">
        <f>STOCK[[#This Row],[Costo Unitario (USD)]]+STOCK[[#This Row],[Costo Envío (USD)]]+STOCK[[#This Row],[Comisión 10%]]</f>
        <v>23.5</v>
      </c>
      <c r="U733" s="54">
        <f>STOCK[[#This Row],[Costo total]]*1.5</f>
        <v>35.25</v>
      </c>
      <c r="V733" s="54">
        <v>35</v>
      </c>
      <c r="W733" s="54">
        <f>STOCK[[#This Row],[Precio Final]]-STOCK[[#This Row],[Costo total]]</f>
        <v>11.5</v>
      </c>
      <c r="X733" s="54">
        <f>STOCK[[#This Row],[Ganancia Unitaria]]*STOCK[[#This Row],[Salidas]]</f>
        <v>0</v>
      </c>
      <c r="AA733" s="54">
        <f>STOCK[[#This Row],[Costo total]]*STOCK[[#This Row],[Entradas]]</f>
        <v>23.5</v>
      </c>
      <c r="AB733" s="54">
        <f>STOCK[[#This Row],[Stock Actual]]*STOCK[[#This Row],[Costo total]]</f>
        <v>23.5</v>
      </c>
    </row>
    <row r="734" spans="1:28" s="53" customFormat="1" ht="50" customHeight="1">
      <c r="A734" s="53" t="s">
        <v>1466</v>
      </c>
      <c r="B734" s="64"/>
      <c r="C734" s="53" t="s">
        <v>32</v>
      </c>
      <c r="D734" s="54" t="s">
        <v>1388</v>
      </c>
      <c r="E734" s="65" t="s">
        <v>1467</v>
      </c>
      <c r="F734" s="53" t="s">
        <v>1468</v>
      </c>
      <c r="G734" s="53" t="s">
        <v>704</v>
      </c>
      <c r="H734" s="53">
        <f>STOCK[[#This Row],[Precio Final]]</f>
        <v>20</v>
      </c>
      <c r="I734" s="53">
        <f>STOCK[[#This Row],[Precio Venta Ideal (x1.5)]]</f>
        <v>28.5</v>
      </c>
      <c r="J734" s="69">
        <v>5</v>
      </c>
      <c r="K734" s="69">
        <f>SUMIFS(VENTAS[Cantidad],VENTAS[Código del producto Vendido],STOCK[[#This Row],[Code]])</f>
        <v>2</v>
      </c>
      <c r="L734" s="69">
        <f>STOCK[[#This Row],[Entradas]]-STOCK[[#This Row],[Salidas]]</f>
        <v>3</v>
      </c>
      <c r="M734" s="53">
        <f>STOCK[[#This Row],[Precio Final]]*10%</f>
        <v>2</v>
      </c>
      <c r="N734" s="53">
        <v>0</v>
      </c>
      <c r="O734" s="53">
        <v>17</v>
      </c>
      <c r="P734" s="53">
        <v>12</v>
      </c>
      <c r="Q734" s="69">
        <v>0</v>
      </c>
      <c r="R734" s="53">
        <v>0</v>
      </c>
      <c r="S734" s="53">
        <v>5</v>
      </c>
      <c r="T734" s="53">
        <f>STOCK[[#This Row],[Costo Unitario (USD)]]+STOCK[[#This Row],[Costo Envío (USD)]]+STOCK[[#This Row],[Comisión 10%]]</f>
        <v>19</v>
      </c>
      <c r="U734" s="53">
        <f>STOCK[[#This Row],[Costo total]]*1.5</f>
        <v>28.5</v>
      </c>
      <c r="V734" s="53">
        <v>20</v>
      </c>
      <c r="W734" s="53">
        <f>STOCK[[#This Row],[Precio Final]]-STOCK[[#This Row],[Costo total]]</f>
        <v>1</v>
      </c>
      <c r="X734" s="53">
        <f>STOCK[[#This Row],[Ganancia Unitaria]]*STOCK[[#This Row],[Salidas]]</f>
        <v>2</v>
      </c>
      <c r="AA734" s="53">
        <f>STOCK[[#This Row],[Costo total]]*STOCK[[#This Row],[Entradas]]</f>
        <v>95</v>
      </c>
      <c r="AB734" s="53">
        <f>STOCK[[#This Row],[Stock Actual]]*STOCK[[#This Row],[Costo total]]</f>
        <v>57</v>
      </c>
    </row>
    <row r="735" spans="1:28" s="54" customFormat="1" ht="50" customHeight="1">
      <c r="A735" s="54" t="s">
        <v>1469</v>
      </c>
      <c r="B735" s="64"/>
      <c r="C735" s="54" t="s">
        <v>32</v>
      </c>
      <c r="D735" s="54" t="s">
        <v>515</v>
      </c>
      <c r="E735" s="66" t="s">
        <v>1470</v>
      </c>
      <c r="F735" s="54" t="s">
        <v>1471</v>
      </c>
      <c r="G735" s="54" t="s">
        <v>36</v>
      </c>
      <c r="H735" s="54">
        <f>STOCK[[#This Row],[Precio Final]]</f>
        <v>35</v>
      </c>
      <c r="I735" s="54">
        <f>STOCK[[#This Row],[Precio Venta Ideal (x1.5)]]</f>
        <v>41.25</v>
      </c>
      <c r="J735" s="70">
        <v>1</v>
      </c>
      <c r="K735" s="70">
        <f>SUMIFS(VENTAS[Cantidad],VENTAS[Código del producto Vendido],STOCK[[#This Row],[Code]])</f>
        <v>1</v>
      </c>
      <c r="L735" s="70">
        <f>STOCK[[#This Row],[Entradas]]-STOCK[[#This Row],[Salidas]]</f>
        <v>0</v>
      </c>
      <c r="M735" s="54">
        <f>STOCK[[#This Row],[Precio Final]]*10%</f>
        <v>3.5</v>
      </c>
      <c r="N735" s="54">
        <v>0</v>
      </c>
      <c r="O735" s="54">
        <v>0</v>
      </c>
      <c r="P735" s="54">
        <v>19</v>
      </c>
      <c r="Q735" s="70">
        <v>0</v>
      </c>
      <c r="R735" s="54">
        <v>0</v>
      </c>
      <c r="S735" s="54">
        <v>5</v>
      </c>
      <c r="T735" s="53">
        <f>STOCK[[#This Row],[Costo Unitario (USD)]]+STOCK[[#This Row],[Costo Envío (USD)]]+STOCK[[#This Row],[Comisión 10%]]</f>
        <v>27.5</v>
      </c>
      <c r="U735" s="54">
        <f>STOCK[[#This Row],[Costo total]]*1.5</f>
        <v>41.25</v>
      </c>
      <c r="V735" s="54">
        <v>35</v>
      </c>
      <c r="W735" s="54">
        <f>STOCK[[#This Row],[Precio Final]]-STOCK[[#This Row],[Costo total]]</f>
        <v>7.5</v>
      </c>
      <c r="X735" s="54">
        <f>STOCK[[#This Row],[Ganancia Unitaria]]*STOCK[[#This Row],[Salidas]]</f>
        <v>7.5</v>
      </c>
      <c r="Y735" s="54" t="s">
        <v>1472</v>
      </c>
      <c r="AA735" s="54">
        <f>STOCK[[#This Row],[Costo total]]*STOCK[[#This Row],[Entradas]]</f>
        <v>27.5</v>
      </c>
      <c r="AB735" s="54">
        <f>STOCK[[#This Row],[Stock Actual]]*STOCK[[#This Row],[Costo total]]</f>
        <v>0</v>
      </c>
    </row>
    <row r="736" spans="1:28" s="53" customFormat="1" ht="50" customHeight="1">
      <c r="A736" s="53" t="s">
        <v>1473</v>
      </c>
      <c r="B736" s="64"/>
      <c r="C736" s="53" t="s">
        <v>32</v>
      </c>
      <c r="D736" s="53" t="s">
        <v>152</v>
      </c>
      <c r="E736" s="65" t="s">
        <v>1474</v>
      </c>
      <c r="F736" s="53" t="s">
        <v>62</v>
      </c>
      <c r="G736" s="53" t="s">
        <v>36</v>
      </c>
      <c r="H736" s="53">
        <f>STOCK[[#This Row],[Precio Final]]</f>
        <v>13</v>
      </c>
      <c r="I736" s="53">
        <f>STOCK[[#This Row],[Precio Venta Ideal (x1.5)]]</f>
        <v>18.450000000000003</v>
      </c>
      <c r="J736" s="69">
        <v>1</v>
      </c>
      <c r="K736" s="69">
        <f>SUMIFS(VENTAS[Cantidad],VENTAS[Código del producto Vendido],STOCK[[#This Row],[Code]])</f>
        <v>1</v>
      </c>
      <c r="L736" s="69">
        <f>STOCK[[#This Row],[Entradas]]-STOCK[[#This Row],[Salidas]]</f>
        <v>0</v>
      </c>
      <c r="M736" s="53">
        <f>STOCK[[#This Row],[Precio Final]]*10%</f>
        <v>1.3</v>
      </c>
      <c r="N736" s="53">
        <v>0</v>
      </c>
      <c r="O736" s="53">
        <v>0</v>
      </c>
      <c r="P736" s="53">
        <v>6</v>
      </c>
      <c r="Q736" s="69">
        <v>0</v>
      </c>
      <c r="R736" s="53">
        <v>0</v>
      </c>
      <c r="S736" s="53">
        <v>5</v>
      </c>
      <c r="T736" s="53">
        <f>STOCK[[#This Row],[Costo Unitario (USD)]]+STOCK[[#This Row],[Costo Envío (USD)]]+STOCK[[#This Row],[Comisión 10%]]</f>
        <v>12.3</v>
      </c>
      <c r="U736" s="53">
        <f>STOCK[[#This Row],[Costo total]]*1.5</f>
        <v>18.450000000000003</v>
      </c>
      <c r="V736" s="53">
        <v>13</v>
      </c>
      <c r="W736" s="53">
        <f>STOCK[[#This Row],[Precio Final]]-STOCK[[#This Row],[Costo total]]</f>
        <v>0.69999999999999929</v>
      </c>
      <c r="X736" s="53">
        <f>STOCK[[#This Row],[Ganancia Unitaria]]*STOCK[[#This Row],[Salidas]]</f>
        <v>0.69999999999999929</v>
      </c>
      <c r="Y736" s="53" t="s">
        <v>1472</v>
      </c>
      <c r="AA736" s="53">
        <f>STOCK[[#This Row],[Costo total]]*STOCK[[#This Row],[Entradas]]</f>
        <v>12.3</v>
      </c>
      <c r="AB736" s="53">
        <f>STOCK[[#This Row],[Stock Actual]]*STOCK[[#This Row],[Costo total]]</f>
        <v>0</v>
      </c>
    </row>
    <row r="737" spans="1:28" s="54" customFormat="1" ht="50" customHeight="1">
      <c r="A737" s="54" t="s">
        <v>1475</v>
      </c>
      <c r="B737" s="64"/>
      <c r="C737" s="54" t="s">
        <v>32</v>
      </c>
      <c r="D737" s="54" t="s">
        <v>152</v>
      </c>
      <c r="E737" s="66" t="s">
        <v>1476</v>
      </c>
      <c r="F737" s="54" t="s">
        <v>62</v>
      </c>
      <c r="G737" s="54" t="s">
        <v>36</v>
      </c>
      <c r="H737" s="54">
        <f>STOCK[[#This Row],[Precio Final]]</f>
        <v>25</v>
      </c>
      <c r="I737" s="54">
        <f>STOCK[[#This Row],[Precio Venta Ideal (x1.5)]]</f>
        <v>36.75</v>
      </c>
      <c r="J737" s="70">
        <v>0</v>
      </c>
      <c r="K737" s="70">
        <f>SUMIFS(VENTAS[Cantidad],VENTAS[Código del producto Vendido],STOCK[[#This Row],[Code]])</f>
        <v>0</v>
      </c>
      <c r="L737" s="70">
        <f>STOCK[[#This Row],[Entradas]]-STOCK[[#This Row],[Salidas]]</f>
        <v>0</v>
      </c>
      <c r="M737" s="54">
        <f>STOCK[[#This Row],[Precio Final]]*10%</f>
        <v>2.5</v>
      </c>
      <c r="N737" s="54">
        <v>0</v>
      </c>
      <c r="O737" s="54">
        <v>0</v>
      </c>
      <c r="P737" s="54">
        <v>17</v>
      </c>
      <c r="Q737" s="70">
        <v>0</v>
      </c>
      <c r="R737" s="54">
        <v>0</v>
      </c>
      <c r="S737" s="54">
        <v>5</v>
      </c>
      <c r="T737" s="53">
        <f>STOCK[[#This Row],[Costo Unitario (USD)]]+STOCK[[#This Row],[Costo Envío (USD)]]+STOCK[[#This Row],[Comisión 10%]]</f>
        <v>24.5</v>
      </c>
      <c r="U737" s="54">
        <f>STOCK[[#This Row],[Costo total]]*1.5</f>
        <v>36.75</v>
      </c>
      <c r="V737" s="54">
        <v>25</v>
      </c>
      <c r="W737" s="54">
        <f>STOCK[[#This Row],[Precio Final]]-STOCK[[#This Row],[Costo total]]</f>
        <v>0.5</v>
      </c>
      <c r="X737" s="54">
        <f>STOCK[[#This Row],[Ganancia Unitaria]]*STOCK[[#This Row],[Salidas]]</f>
        <v>0</v>
      </c>
      <c r="Y737" s="54" t="s">
        <v>1472</v>
      </c>
      <c r="AA737" s="54">
        <f>STOCK[[#This Row],[Costo total]]*STOCK[[#This Row],[Entradas]]</f>
        <v>0</v>
      </c>
      <c r="AB737" s="54">
        <f>STOCK[[#This Row],[Stock Actual]]*STOCK[[#This Row],[Costo total]]</f>
        <v>0</v>
      </c>
    </row>
    <row r="738" spans="1:28" s="53" customFormat="1" ht="50" customHeight="1">
      <c r="A738" s="53" t="s">
        <v>1477</v>
      </c>
      <c r="B738" s="64"/>
      <c r="C738" s="53" t="s">
        <v>32</v>
      </c>
      <c r="D738" s="53" t="s">
        <v>152</v>
      </c>
      <c r="E738" s="65" t="s">
        <v>1478</v>
      </c>
      <c r="F738" s="53" t="s">
        <v>62</v>
      </c>
      <c r="G738" s="53" t="s">
        <v>36</v>
      </c>
      <c r="H738" s="53">
        <f>STOCK[[#This Row],[Precio Final]]</f>
        <v>12</v>
      </c>
      <c r="I738" s="53">
        <f>STOCK[[#This Row],[Precio Venta Ideal (x1.5)]]</f>
        <v>18.299999999999997</v>
      </c>
      <c r="J738" s="69">
        <v>1</v>
      </c>
      <c r="K738" s="69">
        <f>SUMIFS(VENTAS[Cantidad],VENTAS[Código del producto Vendido],STOCK[[#This Row],[Code]])</f>
        <v>1</v>
      </c>
      <c r="L738" s="69">
        <f>STOCK[[#This Row],[Entradas]]-STOCK[[#This Row],[Salidas]]</f>
        <v>0</v>
      </c>
      <c r="M738" s="53">
        <f>STOCK[[#This Row],[Precio Final]]*10%</f>
        <v>1.2000000000000002</v>
      </c>
      <c r="N738" s="53">
        <v>0</v>
      </c>
      <c r="O738" s="53">
        <v>0</v>
      </c>
      <c r="P738" s="53">
        <v>6</v>
      </c>
      <c r="Q738" s="69">
        <v>0</v>
      </c>
      <c r="R738" s="53">
        <v>0</v>
      </c>
      <c r="S738" s="53">
        <v>5</v>
      </c>
      <c r="T738" s="53">
        <f>STOCK[[#This Row],[Costo Unitario (USD)]]+STOCK[[#This Row],[Costo Envío (USD)]]+STOCK[[#This Row],[Comisión 10%]]</f>
        <v>12.2</v>
      </c>
      <c r="U738" s="53">
        <f>STOCK[[#This Row],[Costo total]]*1.5</f>
        <v>18.299999999999997</v>
      </c>
      <c r="V738" s="53">
        <v>12</v>
      </c>
      <c r="W738" s="53">
        <f>STOCK[[#This Row],[Precio Final]]-STOCK[[#This Row],[Costo total]]</f>
        <v>-0.19999999999999929</v>
      </c>
      <c r="X738" s="53">
        <f>STOCK[[#This Row],[Ganancia Unitaria]]*STOCK[[#This Row],[Salidas]]</f>
        <v>-0.19999999999999929</v>
      </c>
      <c r="Y738" s="53" t="s">
        <v>1472</v>
      </c>
      <c r="AA738" s="53">
        <f>STOCK[[#This Row],[Costo total]]*STOCK[[#This Row],[Entradas]]</f>
        <v>12.2</v>
      </c>
      <c r="AB738" s="53">
        <f>STOCK[[#This Row],[Stock Actual]]*STOCK[[#This Row],[Costo total]]</f>
        <v>0</v>
      </c>
    </row>
    <row r="739" spans="1:28" s="54" customFormat="1" ht="50" customHeight="1">
      <c r="A739" s="54" t="s">
        <v>1479</v>
      </c>
      <c r="B739" s="64"/>
      <c r="C739" s="54" t="s">
        <v>32</v>
      </c>
      <c r="D739" s="54" t="s">
        <v>152</v>
      </c>
      <c r="E739" s="66" t="s">
        <v>1480</v>
      </c>
      <c r="F739" s="54" t="s">
        <v>49</v>
      </c>
      <c r="G739" s="54" t="s">
        <v>36</v>
      </c>
      <c r="H739" s="54">
        <f>STOCK[[#This Row],[Precio Final]]</f>
        <v>30</v>
      </c>
      <c r="I739" s="54">
        <f>STOCK[[#This Row],[Precio Venta Ideal (x1.5)]]</f>
        <v>32.25</v>
      </c>
      <c r="J739" s="70">
        <v>1</v>
      </c>
      <c r="K739" s="70">
        <f>SUMIFS(VENTAS[Cantidad],VENTAS[Código del producto Vendido],STOCK[[#This Row],[Code]])</f>
        <v>1</v>
      </c>
      <c r="L739" s="70">
        <f>STOCK[[#This Row],[Entradas]]-STOCK[[#This Row],[Salidas]]</f>
        <v>0</v>
      </c>
      <c r="M739" s="54">
        <f>STOCK[[#This Row],[Precio Final]]*10%</f>
        <v>3</v>
      </c>
      <c r="N739" s="54">
        <v>0</v>
      </c>
      <c r="O739" s="54">
        <v>0</v>
      </c>
      <c r="P739" s="54">
        <v>13.5</v>
      </c>
      <c r="Q739" s="70">
        <v>0</v>
      </c>
      <c r="R739" s="54">
        <v>0</v>
      </c>
      <c r="S739" s="54">
        <v>5</v>
      </c>
      <c r="T739" s="53">
        <f>STOCK[[#This Row],[Costo Unitario (USD)]]+STOCK[[#This Row],[Costo Envío (USD)]]+STOCK[[#This Row],[Comisión 10%]]</f>
        <v>21.5</v>
      </c>
      <c r="U739" s="54">
        <f>STOCK[[#This Row],[Costo total]]*1.5</f>
        <v>32.25</v>
      </c>
      <c r="V739" s="54">
        <v>30</v>
      </c>
      <c r="W739" s="54">
        <f>STOCK[[#This Row],[Precio Final]]-STOCK[[#This Row],[Costo total]]</f>
        <v>8.5</v>
      </c>
      <c r="X739" s="54">
        <f>STOCK[[#This Row],[Ganancia Unitaria]]*STOCK[[#This Row],[Salidas]]</f>
        <v>8.5</v>
      </c>
      <c r="Y739" s="54" t="s">
        <v>1472</v>
      </c>
      <c r="AA739" s="54">
        <f>STOCK[[#This Row],[Costo total]]*STOCK[[#This Row],[Entradas]]</f>
        <v>21.5</v>
      </c>
      <c r="AB739" s="54">
        <f>STOCK[[#This Row],[Stock Actual]]*STOCK[[#This Row],[Costo total]]</f>
        <v>0</v>
      </c>
    </row>
    <row r="740" spans="1:28" s="53" customFormat="1" ht="50" customHeight="1">
      <c r="A740" s="53" t="s">
        <v>1481</v>
      </c>
      <c r="B740" s="64"/>
      <c r="C740" s="53" t="s">
        <v>32</v>
      </c>
      <c r="D740" s="53" t="s">
        <v>1482</v>
      </c>
      <c r="E740" s="65" t="s">
        <v>1483</v>
      </c>
      <c r="F740" s="53" t="s">
        <v>1484</v>
      </c>
      <c r="G740" s="53" t="s">
        <v>36</v>
      </c>
      <c r="H740" s="53">
        <f>STOCK[[#This Row],[Precio Final]]</f>
        <v>50</v>
      </c>
      <c r="I740" s="53">
        <f>STOCK[[#This Row],[Precio Venta Ideal (x1.5)]]</f>
        <v>52.5</v>
      </c>
      <c r="J740" s="69">
        <v>1</v>
      </c>
      <c r="K740" s="69">
        <f>SUMIFS(VENTAS[Cantidad],VENTAS[Código del producto Vendido],STOCK[[#This Row],[Code]])</f>
        <v>1</v>
      </c>
      <c r="L740" s="69">
        <f>STOCK[[#This Row],[Entradas]]-STOCK[[#This Row],[Salidas]]</f>
        <v>0</v>
      </c>
      <c r="M740" s="53">
        <f>STOCK[[#This Row],[Precio Final]]*10%</f>
        <v>5</v>
      </c>
      <c r="N740" s="53">
        <v>0</v>
      </c>
      <c r="O740" s="53">
        <v>0</v>
      </c>
      <c r="P740" s="53">
        <v>25</v>
      </c>
      <c r="Q740" s="69">
        <v>0</v>
      </c>
      <c r="R740" s="53">
        <v>0</v>
      </c>
      <c r="S740" s="53">
        <v>5</v>
      </c>
      <c r="T740" s="53">
        <f>STOCK[[#This Row],[Costo Unitario (USD)]]+STOCK[[#This Row],[Costo Envío (USD)]]+STOCK[[#This Row],[Comisión 10%]]</f>
        <v>35</v>
      </c>
      <c r="U740" s="53">
        <f>STOCK[[#This Row],[Costo total]]*1.5</f>
        <v>52.5</v>
      </c>
      <c r="V740" s="53">
        <v>50</v>
      </c>
      <c r="W740" s="53">
        <f>STOCK[[#This Row],[Precio Final]]-STOCK[[#This Row],[Costo total]]</f>
        <v>15</v>
      </c>
      <c r="X740" s="53">
        <f>STOCK[[#This Row],[Ganancia Unitaria]]*STOCK[[#This Row],[Salidas]]</f>
        <v>15</v>
      </c>
      <c r="Y740" s="53" t="s">
        <v>1472</v>
      </c>
      <c r="AA740" s="53">
        <f>STOCK[[#This Row],[Costo total]]*STOCK[[#This Row],[Entradas]]</f>
        <v>35</v>
      </c>
      <c r="AB740" s="53">
        <f>STOCK[[#This Row],[Stock Actual]]*STOCK[[#This Row],[Costo total]]</f>
        <v>0</v>
      </c>
    </row>
    <row r="741" spans="1:28" s="54" customFormat="1" ht="50" customHeight="1">
      <c r="A741" s="54" t="s">
        <v>1485</v>
      </c>
      <c r="B741" s="64"/>
      <c r="C741" s="54" t="s">
        <v>32</v>
      </c>
      <c r="D741" s="54" t="s">
        <v>515</v>
      </c>
      <c r="E741" s="66" t="s">
        <v>1486</v>
      </c>
      <c r="F741" s="54" t="s">
        <v>540</v>
      </c>
      <c r="G741" s="54" t="s">
        <v>36</v>
      </c>
      <c r="H741" s="54">
        <f>STOCK[[#This Row],[Precio Final]]</f>
        <v>40</v>
      </c>
      <c r="I741" s="54">
        <f>STOCK[[#This Row],[Precio Venta Ideal (x1.5)]]</f>
        <v>41.25</v>
      </c>
      <c r="J741" s="70">
        <v>1</v>
      </c>
      <c r="K741" s="70">
        <f>SUMIFS(VENTAS[Cantidad],VENTAS[Código del producto Vendido],STOCK[[#This Row],[Code]])</f>
        <v>1</v>
      </c>
      <c r="L741" s="70">
        <f>STOCK[[#This Row],[Entradas]]-STOCK[[#This Row],[Salidas]]</f>
        <v>0</v>
      </c>
      <c r="M741" s="54">
        <f>STOCK[[#This Row],[Precio Final]]*10%</f>
        <v>4</v>
      </c>
      <c r="N741" s="54">
        <v>0</v>
      </c>
      <c r="O741" s="54">
        <v>0</v>
      </c>
      <c r="P741" s="54">
        <v>18.5</v>
      </c>
      <c r="Q741" s="70">
        <v>0</v>
      </c>
      <c r="R741" s="54">
        <v>0</v>
      </c>
      <c r="S741" s="54">
        <v>5</v>
      </c>
      <c r="T741" s="53">
        <f>STOCK[[#This Row],[Costo Unitario (USD)]]+STOCK[[#This Row],[Costo Envío (USD)]]+STOCK[[#This Row],[Comisión 10%]]</f>
        <v>27.5</v>
      </c>
      <c r="U741" s="54">
        <f>STOCK[[#This Row],[Costo total]]*1.5</f>
        <v>41.25</v>
      </c>
      <c r="V741" s="54">
        <v>40</v>
      </c>
      <c r="W741" s="54">
        <f>STOCK[[#This Row],[Precio Final]]-STOCK[[#This Row],[Costo total]]</f>
        <v>12.5</v>
      </c>
      <c r="X741" s="54">
        <f>STOCK[[#This Row],[Ganancia Unitaria]]*STOCK[[#This Row],[Salidas]]</f>
        <v>12.5</v>
      </c>
      <c r="Y741" s="54" t="s">
        <v>1472</v>
      </c>
      <c r="AA741" s="54">
        <f>STOCK[[#This Row],[Costo total]]*STOCK[[#This Row],[Entradas]]</f>
        <v>27.5</v>
      </c>
      <c r="AB741" s="54">
        <f>STOCK[[#This Row],[Stock Actual]]*STOCK[[#This Row],[Costo total]]</f>
        <v>0</v>
      </c>
    </row>
    <row r="742" spans="1:28" s="53" customFormat="1" ht="50" customHeight="1">
      <c r="A742" s="53" t="s">
        <v>1487</v>
      </c>
      <c r="B742" s="64"/>
      <c r="C742" s="53" t="s">
        <v>32</v>
      </c>
      <c r="D742" s="53" t="s">
        <v>152</v>
      </c>
      <c r="E742" s="65" t="s">
        <v>1488</v>
      </c>
      <c r="F742" s="53" t="s">
        <v>46</v>
      </c>
      <c r="G742" s="53" t="s">
        <v>36</v>
      </c>
      <c r="H742" s="53">
        <f>STOCK[[#This Row],[Precio Final]]</f>
        <v>35</v>
      </c>
      <c r="I742" s="53">
        <f>STOCK[[#This Row],[Precio Venta Ideal (x1.5)]]</f>
        <v>36.150000000000006</v>
      </c>
      <c r="J742" s="69">
        <v>1</v>
      </c>
      <c r="K742" s="69">
        <f>SUMIFS(VENTAS[Cantidad],VENTAS[Código del producto Vendido],STOCK[[#This Row],[Code]])</f>
        <v>1</v>
      </c>
      <c r="L742" s="69">
        <f>STOCK[[#This Row],[Entradas]]-STOCK[[#This Row],[Salidas]]</f>
        <v>0</v>
      </c>
      <c r="M742" s="53">
        <f>STOCK[[#This Row],[Precio Final]]*10%</f>
        <v>3.5</v>
      </c>
      <c r="N742" s="53">
        <v>0</v>
      </c>
      <c r="O742" s="53">
        <v>0</v>
      </c>
      <c r="P742" s="53">
        <v>15.6</v>
      </c>
      <c r="Q742" s="69">
        <v>0</v>
      </c>
      <c r="R742" s="53">
        <v>0</v>
      </c>
      <c r="S742" s="53">
        <v>5</v>
      </c>
      <c r="T742" s="53">
        <f>STOCK[[#This Row],[Costo Unitario (USD)]]+STOCK[[#This Row],[Costo Envío (USD)]]+STOCK[[#This Row],[Comisión 10%]]</f>
        <v>24.1</v>
      </c>
      <c r="U742" s="53">
        <f>STOCK[[#This Row],[Costo total]]*1.5</f>
        <v>36.150000000000006</v>
      </c>
      <c r="V742" s="53">
        <v>35</v>
      </c>
      <c r="W742" s="53">
        <f>STOCK[[#This Row],[Precio Final]]-STOCK[[#This Row],[Costo total]]</f>
        <v>10.899999999999999</v>
      </c>
      <c r="X742" s="53">
        <f>STOCK[[#This Row],[Ganancia Unitaria]]*STOCK[[#This Row],[Salidas]]</f>
        <v>10.899999999999999</v>
      </c>
      <c r="Y742" s="53" t="s">
        <v>1472</v>
      </c>
      <c r="AA742" s="53">
        <f>STOCK[[#This Row],[Costo total]]*STOCK[[#This Row],[Entradas]]</f>
        <v>24.1</v>
      </c>
      <c r="AB742" s="53">
        <f>STOCK[[#This Row],[Stock Actual]]*STOCK[[#This Row],[Costo total]]</f>
        <v>0</v>
      </c>
    </row>
    <row r="743" spans="1:28" s="54" customFormat="1" ht="50" customHeight="1">
      <c r="A743" s="54" t="s">
        <v>1489</v>
      </c>
      <c r="B743" s="64"/>
      <c r="C743" s="54" t="s">
        <v>32</v>
      </c>
      <c r="D743" s="54" t="s">
        <v>152</v>
      </c>
      <c r="E743" s="66" t="s">
        <v>1490</v>
      </c>
      <c r="F743" s="54" t="s">
        <v>1046</v>
      </c>
      <c r="G743" s="54" t="s">
        <v>36</v>
      </c>
      <c r="H743" s="54">
        <f>STOCK[[#This Row],[Precio Final]]</f>
        <v>20</v>
      </c>
      <c r="I743" s="54">
        <f>STOCK[[#This Row],[Precio Venta Ideal (x1.5)]]</f>
        <v>25.5</v>
      </c>
      <c r="J743" s="70">
        <v>1</v>
      </c>
      <c r="K743" s="70">
        <f>SUMIFS(VENTAS[Cantidad],VENTAS[Código del producto Vendido],STOCK[[#This Row],[Code]])</f>
        <v>1</v>
      </c>
      <c r="L743" s="70">
        <f>STOCK[[#This Row],[Entradas]]-STOCK[[#This Row],[Salidas]]</f>
        <v>0</v>
      </c>
      <c r="M743" s="54">
        <f>STOCK[[#This Row],[Precio Final]]*10%</f>
        <v>2</v>
      </c>
      <c r="N743" s="54">
        <v>0</v>
      </c>
      <c r="O743" s="54">
        <v>0</v>
      </c>
      <c r="P743" s="54">
        <v>13.5</v>
      </c>
      <c r="Q743" s="70">
        <v>0</v>
      </c>
      <c r="R743" s="54">
        <v>0</v>
      </c>
      <c r="S743" s="54">
        <v>1.5</v>
      </c>
      <c r="T743" s="53">
        <f>STOCK[[#This Row],[Costo Unitario (USD)]]+STOCK[[#This Row],[Costo Envío (USD)]]+STOCK[[#This Row],[Comisión 10%]]</f>
        <v>17</v>
      </c>
      <c r="U743" s="54">
        <f>STOCK[[#This Row],[Costo total]]*1.5</f>
        <v>25.5</v>
      </c>
      <c r="V743" s="54">
        <v>20</v>
      </c>
      <c r="W743" s="54">
        <f>STOCK[[#This Row],[Precio Final]]-STOCK[[#This Row],[Costo total]]</f>
        <v>3</v>
      </c>
      <c r="X743" s="54">
        <f>STOCK[[#This Row],[Ganancia Unitaria]]*STOCK[[#This Row],[Salidas]]</f>
        <v>3</v>
      </c>
      <c r="Y743" s="54" t="s">
        <v>1472</v>
      </c>
      <c r="AA743" s="54">
        <f>STOCK[[#This Row],[Costo total]]*STOCK[[#This Row],[Entradas]]</f>
        <v>17</v>
      </c>
      <c r="AB743" s="54">
        <f>STOCK[[#This Row],[Stock Actual]]*STOCK[[#This Row],[Costo total]]</f>
        <v>0</v>
      </c>
    </row>
    <row r="744" spans="1:28" s="53" customFormat="1" ht="50" customHeight="1">
      <c r="A744" s="53" t="s">
        <v>1491</v>
      </c>
      <c r="B744" s="64"/>
      <c r="C744" s="53" t="s">
        <v>32</v>
      </c>
      <c r="D744" s="53" t="s">
        <v>152</v>
      </c>
      <c r="E744" s="65" t="s">
        <v>1492</v>
      </c>
      <c r="F744" s="53" t="s">
        <v>49</v>
      </c>
      <c r="G744" s="53" t="s">
        <v>36</v>
      </c>
      <c r="H744" s="53">
        <f>STOCK[[#This Row],[Precio Final]]</f>
        <v>13</v>
      </c>
      <c r="I744" s="53">
        <f>STOCK[[#This Row],[Precio Venta Ideal (x1.5)]]</f>
        <v>13.200000000000001</v>
      </c>
      <c r="J744" s="69">
        <v>1</v>
      </c>
      <c r="K744" s="69">
        <f>SUMIFS(VENTAS[Cantidad],VENTAS[Código del producto Vendido],STOCK[[#This Row],[Code]])</f>
        <v>1</v>
      </c>
      <c r="L744" s="69">
        <f>STOCK[[#This Row],[Entradas]]-STOCK[[#This Row],[Salidas]]</f>
        <v>0</v>
      </c>
      <c r="M744" s="53">
        <f>STOCK[[#This Row],[Precio Final]]*10%</f>
        <v>1.3</v>
      </c>
      <c r="N744" s="53">
        <v>0</v>
      </c>
      <c r="O744" s="53">
        <v>0</v>
      </c>
      <c r="P744" s="53">
        <v>6</v>
      </c>
      <c r="Q744" s="69">
        <v>0</v>
      </c>
      <c r="R744" s="53">
        <v>0</v>
      </c>
      <c r="S744" s="53">
        <v>1.5</v>
      </c>
      <c r="T744" s="53">
        <f>STOCK[[#This Row],[Costo Unitario (USD)]]+STOCK[[#This Row],[Costo Envío (USD)]]+STOCK[[#This Row],[Comisión 10%]]</f>
        <v>8.8000000000000007</v>
      </c>
      <c r="U744" s="53">
        <f>STOCK[[#This Row],[Costo total]]*1.5</f>
        <v>13.200000000000001</v>
      </c>
      <c r="V744" s="53">
        <v>13</v>
      </c>
      <c r="W744" s="53">
        <f>STOCK[[#This Row],[Precio Final]]-STOCK[[#This Row],[Costo total]]</f>
        <v>4.1999999999999993</v>
      </c>
      <c r="X744" s="53">
        <f>STOCK[[#This Row],[Ganancia Unitaria]]*STOCK[[#This Row],[Salidas]]</f>
        <v>4.1999999999999993</v>
      </c>
      <c r="Y744" s="53" t="s">
        <v>1472</v>
      </c>
      <c r="AA744" s="53">
        <f>STOCK[[#This Row],[Costo total]]*STOCK[[#This Row],[Entradas]]</f>
        <v>8.8000000000000007</v>
      </c>
      <c r="AB744" s="53">
        <f>STOCK[[#This Row],[Stock Actual]]*STOCK[[#This Row],[Costo total]]</f>
        <v>0</v>
      </c>
    </row>
    <row r="745" spans="1:28" s="54" customFormat="1" ht="50" customHeight="1">
      <c r="A745" s="54" t="s">
        <v>1493</v>
      </c>
      <c r="B745" s="64"/>
      <c r="C745" s="54" t="s">
        <v>32</v>
      </c>
      <c r="D745" s="54" t="s">
        <v>174</v>
      </c>
      <c r="E745" s="66" t="s">
        <v>1494</v>
      </c>
      <c r="F745" s="54" t="s">
        <v>62</v>
      </c>
      <c r="G745" s="54" t="s">
        <v>36</v>
      </c>
      <c r="H745" s="54">
        <f>STOCK[[#This Row],[Precio Final]]</f>
        <v>12</v>
      </c>
      <c r="I745" s="54">
        <f>STOCK[[#This Row],[Precio Venta Ideal (x1.5)]]</f>
        <v>11.55</v>
      </c>
      <c r="J745" s="70">
        <v>2</v>
      </c>
      <c r="K745" s="70">
        <f>SUMIFS(VENTAS[Cantidad],VENTAS[Código del producto Vendido],STOCK[[#This Row],[Code]])</f>
        <v>1</v>
      </c>
      <c r="L745" s="70">
        <f>STOCK[[#This Row],[Entradas]]-STOCK[[#This Row],[Salidas]]</f>
        <v>1</v>
      </c>
      <c r="M745" s="54">
        <f>STOCK[[#This Row],[Precio Final]]*10%</f>
        <v>1.2000000000000002</v>
      </c>
      <c r="N745" s="54">
        <v>0</v>
      </c>
      <c r="O745" s="54">
        <v>0</v>
      </c>
      <c r="P745" s="54">
        <v>5</v>
      </c>
      <c r="Q745" s="70">
        <v>0</v>
      </c>
      <c r="R745" s="54">
        <v>0</v>
      </c>
      <c r="S745" s="54">
        <v>1.5</v>
      </c>
      <c r="T745" s="53">
        <f>STOCK[[#This Row],[Costo Unitario (USD)]]+STOCK[[#This Row],[Costo Envío (USD)]]+STOCK[[#This Row],[Comisión 10%]]</f>
        <v>7.7</v>
      </c>
      <c r="U745" s="54">
        <f>STOCK[[#This Row],[Costo total]]*1.5</f>
        <v>11.55</v>
      </c>
      <c r="V745" s="54">
        <v>12</v>
      </c>
      <c r="W745" s="54">
        <f>STOCK[[#This Row],[Precio Final]]-STOCK[[#This Row],[Costo total]]</f>
        <v>4.3</v>
      </c>
      <c r="X745" s="54">
        <f>STOCK[[#This Row],[Ganancia Unitaria]]*STOCK[[#This Row],[Salidas]]</f>
        <v>4.3</v>
      </c>
      <c r="Y745" s="54" t="s">
        <v>1472</v>
      </c>
      <c r="AA745" s="54">
        <f>STOCK[[#This Row],[Costo total]]*STOCK[[#This Row],[Entradas]]</f>
        <v>15.4</v>
      </c>
      <c r="AB745" s="54">
        <f>STOCK[[#This Row],[Stock Actual]]*STOCK[[#This Row],[Costo total]]</f>
        <v>7.7</v>
      </c>
    </row>
    <row r="746" spans="1:28" s="53" customFormat="1" ht="50" customHeight="1">
      <c r="A746" s="53" t="s">
        <v>1495</v>
      </c>
      <c r="B746" s="64"/>
      <c r="C746" s="53" t="s">
        <v>32</v>
      </c>
      <c r="D746" s="53" t="s">
        <v>152</v>
      </c>
      <c r="E746" s="65" t="s">
        <v>1496</v>
      </c>
      <c r="F746" s="53" t="s">
        <v>42</v>
      </c>
      <c r="G746" s="53" t="s">
        <v>36</v>
      </c>
      <c r="H746" s="53">
        <f>STOCK[[#This Row],[Precio Final]]</f>
        <v>35</v>
      </c>
      <c r="I746" s="53">
        <f>STOCK[[#This Row],[Precio Venta Ideal (x1.5)]]</f>
        <v>40.5</v>
      </c>
      <c r="J746" s="69">
        <v>0</v>
      </c>
      <c r="K746" s="69">
        <f>SUMIFS(VENTAS[Cantidad],VENTAS[Código del producto Vendido],STOCK[[#This Row],[Code]])</f>
        <v>0</v>
      </c>
      <c r="L746" s="69">
        <f>STOCK[[#This Row],[Entradas]]-STOCK[[#This Row],[Salidas]]</f>
        <v>0</v>
      </c>
      <c r="M746" s="53">
        <f>STOCK[[#This Row],[Precio Final]]*10%</f>
        <v>3.5</v>
      </c>
      <c r="N746" s="53">
        <v>0</v>
      </c>
      <c r="O746" s="53">
        <v>0</v>
      </c>
      <c r="P746" s="53">
        <v>22</v>
      </c>
      <c r="Q746" s="69">
        <v>0</v>
      </c>
      <c r="R746" s="53">
        <v>0</v>
      </c>
      <c r="S746" s="53">
        <v>1.5</v>
      </c>
      <c r="T746" s="53">
        <f>STOCK[[#This Row],[Costo Unitario (USD)]]+STOCK[[#This Row],[Costo Envío (USD)]]+STOCK[[#This Row],[Comisión 10%]]</f>
        <v>27</v>
      </c>
      <c r="U746" s="53">
        <f>STOCK[[#This Row],[Costo total]]*1.5</f>
        <v>40.5</v>
      </c>
      <c r="V746" s="53">
        <v>35</v>
      </c>
      <c r="W746" s="53">
        <f>STOCK[[#This Row],[Precio Final]]-STOCK[[#This Row],[Costo total]]</f>
        <v>8</v>
      </c>
      <c r="X746" s="53">
        <f>STOCK[[#This Row],[Ganancia Unitaria]]*STOCK[[#This Row],[Salidas]]</f>
        <v>0</v>
      </c>
      <c r="Y746" s="53" t="s">
        <v>1472</v>
      </c>
      <c r="AA746" s="53">
        <f>STOCK[[#This Row],[Costo total]]*STOCK[[#This Row],[Entradas]]</f>
        <v>0</v>
      </c>
      <c r="AB746" s="53">
        <f>STOCK[[#This Row],[Stock Actual]]*STOCK[[#This Row],[Costo total]]</f>
        <v>0</v>
      </c>
    </row>
    <row r="747" spans="1:28" s="54" customFormat="1" ht="50" customHeight="1">
      <c r="A747" s="54" t="s">
        <v>1497</v>
      </c>
      <c r="B747" s="64"/>
      <c r="C747" s="54" t="s">
        <v>32</v>
      </c>
      <c r="D747" s="54" t="s">
        <v>152</v>
      </c>
      <c r="E747" s="66" t="s">
        <v>1498</v>
      </c>
      <c r="F747" s="54" t="s">
        <v>42</v>
      </c>
      <c r="G747" s="54" t="s">
        <v>36</v>
      </c>
      <c r="H747" s="54">
        <f>STOCK[[#This Row],[Precio Final]]</f>
        <v>40</v>
      </c>
      <c r="I747" s="54">
        <f>STOCK[[#This Row],[Precio Venta Ideal (x1.5)]]</f>
        <v>47.25</v>
      </c>
      <c r="J747" s="70">
        <v>0</v>
      </c>
      <c r="K747" s="70">
        <f>SUMIFS(VENTAS[Cantidad],VENTAS[Código del producto Vendido],STOCK[[#This Row],[Code]])</f>
        <v>0</v>
      </c>
      <c r="L747" s="70">
        <f>STOCK[[#This Row],[Entradas]]-STOCK[[#This Row],[Salidas]]</f>
        <v>0</v>
      </c>
      <c r="M747" s="54">
        <f>STOCK[[#This Row],[Precio Final]]*10%</f>
        <v>4</v>
      </c>
      <c r="N747" s="54">
        <v>0</v>
      </c>
      <c r="O747" s="54">
        <v>0</v>
      </c>
      <c r="P747" s="54">
        <v>26</v>
      </c>
      <c r="Q747" s="70">
        <v>0</v>
      </c>
      <c r="R747" s="54">
        <v>0</v>
      </c>
      <c r="S747" s="54">
        <v>1.5</v>
      </c>
      <c r="T747" s="53">
        <f>STOCK[[#This Row],[Costo Unitario (USD)]]+STOCK[[#This Row],[Costo Envío (USD)]]+STOCK[[#This Row],[Comisión 10%]]</f>
        <v>31.5</v>
      </c>
      <c r="U747" s="54">
        <f>STOCK[[#This Row],[Costo total]]*1.5</f>
        <v>47.25</v>
      </c>
      <c r="V747" s="54">
        <v>40</v>
      </c>
      <c r="W747" s="54">
        <f>STOCK[[#This Row],[Precio Final]]-STOCK[[#This Row],[Costo total]]</f>
        <v>8.5</v>
      </c>
      <c r="X747" s="54">
        <f>STOCK[[#This Row],[Ganancia Unitaria]]*STOCK[[#This Row],[Salidas]]</f>
        <v>0</v>
      </c>
      <c r="Y747" s="54" t="s">
        <v>1472</v>
      </c>
      <c r="AA747" s="54">
        <f>STOCK[[#This Row],[Costo total]]*STOCK[[#This Row],[Entradas]]</f>
        <v>0</v>
      </c>
      <c r="AB747" s="54">
        <f>STOCK[[#This Row],[Stock Actual]]*STOCK[[#This Row],[Costo total]]</f>
        <v>0</v>
      </c>
    </row>
    <row r="748" spans="1:28" s="53" customFormat="1" ht="50" customHeight="1">
      <c r="B748" s="64"/>
      <c r="E748" s="65"/>
      <c r="H748" s="53">
        <f>STOCK[[#This Row],[Precio Final]]</f>
        <v>0</v>
      </c>
      <c r="I748" s="53">
        <f>STOCK[[#This Row],[Precio Venta Ideal (x1.5)]]</f>
        <v>0</v>
      </c>
      <c r="J748" s="69"/>
      <c r="K748" s="69">
        <f>SUMIFS(VENTAS[Cantidad],VENTAS[Código del producto Vendido],STOCK[[#This Row],[Code]])</f>
        <v>0</v>
      </c>
      <c r="L748" s="69">
        <f>STOCK[[#This Row],[Entradas]]-STOCK[[#This Row],[Salidas]]</f>
        <v>0</v>
      </c>
      <c r="M748" s="53">
        <f>STOCK[[#This Row],[Precio Final]]*10%</f>
        <v>0</v>
      </c>
      <c r="Q748" s="69">
        <v>0</v>
      </c>
      <c r="R748" s="53">
        <v>0</v>
      </c>
      <c r="T748" s="53">
        <f>STOCK[[#This Row],[Costo Unitario (USD)]]+STOCK[[#This Row],[Costo Envío (USD)]]+STOCK[[#This Row],[Comisión 10%]]</f>
        <v>0</v>
      </c>
      <c r="U748" s="53">
        <f>STOCK[[#This Row],[Costo total]]*1.5</f>
        <v>0</v>
      </c>
      <c r="W748" s="53">
        <f>STOCK[[#This Row],[Precio Final]]-STOCK[[#This Row],[Costo total]]</f>
        <v>0</v>
      </c>
      <c r="X748" s="53">
        <f>STOCK[[#This Row],[Ganancia Unitaria]]*STOCK[[#This Row],[Salidas]]</f>
        <v>0</v>
      </c>
      <c r="AA748" s="53">
        <f>STOCK[[#This Row],[Costo total]]*STOCK[[#This Row],[Entradas]]</f>
        <v>0</v>
      </c>
      <c r="AB748" s="53">
        <f>STOCK[[#This Row],[Stock Actual]]*STOCK[[#This Row],[Costo total]]</f>
        <v>0</v>
      </c>
    </row>
    <row r="749" spans="1:28" s="54" customFormat="1" ht="50" customHeight="1">
      <c r="A749" s="54" t="s">
        <v>1499</v>
      </c>
      <c r="B749" s="64"/>
      <c r="C749" s="54" t="s">
        <v>32</v>
      </c>
      <c r="D749" s="54" t="s">
        <v>247</v>
      </c>
      <c r="E749" s="66" t="s">
        <v>1500</v>
      </c>
      <c r="F749" s="54" t="s">
        <v>83</v>
      </c>
      <c r="G749" s="54" t="s">
        <v>36</v>
      </c>
      <c r="H749" s="54">
        <f>STOCK[[#This Row],[Precio Final]]</f>
        <v>13</v>
      </c>
      <c r="I749" s="54">
        <f>STOCK[[#This Row],[Precio Venta Ideal (x1.5)]]</f>
        <v>13.200000000000001</v>
      </c>
      <c r="J749" s="70">
        <v>1</v>
      </c>
      <c r="K749" s="70">
        <f>SUMIFS(VENTAS[Cantidad],VENTAS[Código del producto Vendido],STOCK[[#This Row],[Code]])</f>
        <v>1</v>
      </c>
      <c r="L749" s="70">
        <f>STOCK[[#This Row],[Entradas]]-STOCK[[#This Row],[Salidas]]</f>
        <v>0</v>
      </c>
      <c r="M749" s="54">
        <f>STOCK[[#This Row],[Precio Final]]*10%</f>
        <v>1.3</v>
      </c>
      <c r="N749" s="54">
        <v>0</v>
      </c>
      <c r="O749" s="54">
        <v>0</v>
      </c>
      <c r="P749" s="54">
        <v>6</v>
      </c>
      <c r="Q749" s="70">
        <v>0</v>
      </c>
      <c r="R749" s="54">
        <v>0</v>
      </c>
      <c r="S749" s="54">
        <v>1.5</v>
      </c>
      <c r="T749" s="53">
        <f>STOCK[[#This Row],[Costo Unitario (USD)]]+STOCK[[#This Row],[Costo Envío (USD)]]+STOCK[[#This Row],[Comisión 10%]]</f>
        <v>8.8000000000000007</v>
      </c>
      <c r="U749" s="54">
        <f>STOCK[[#This Row],[Costo total]]*1.5</f>
        <v>13.200000000000001</v>
      </c>
      <c r="V749" s="54">
        <v>13</v>
      </c>
      <c r="W749" s="54">
        <f>STOCK[[#This Row],[Precio Final]]-STOCK[[#This Row],[Costo total]]</f>
        <v>4.1999999999999993</v>
      </c>
      <c r="X749" s="54">
        <f>STOCK[[#This Row],[Ganancia Unitaria]]*STOCK[[#This Row],[Salidas]]</f>
        <v>4.1999999999999993</v>
      </c>
      <c r="Y749" s="54" t="s">
        <v>1472</v>
      </c>
      <c r="AA749" s="54">
        <f>STOCK[[#This Row],[Costo total]]*STOCK[[#This Row],[Entradas]]</f>
        <v>8.8000000000000007</v>
      </c>
      <c r="AB749" s="54">
        <f>STOCK[[#This Row],[Stock Actual]]*STOCK[[#This Row],[Costo total]]</f>
        <v>0</v>
      </c>
    </row>
    <row r="750" spans="1:28" s="53" customFormat="1" ht="50" customHeight="1">
      <c r="A750" s="53" t="s">
        <v>1501</v>
      </c>
      <c r="B750" s="64"/>
      <c r="C750" s="53" t="s">
        <v>32</v>
      </c>
      <c r="D750" s="53" t="s">
        <v>152</v>
      </c>
      <c r="E750" s="65" t="s">
        <v>1478</v>
      </c>
      <c r="F750" s="53" t="s">
        <v>540</v>
      </c>
      <c r="G750" s="53" t="s">
        <v>36</v>
      </c>
      <c r="H750" s="53">
        <f>STOCK[[#This Row],[Precio Final]]</f>
        <v>13</v>
      </c>
      <c r="I750" s="53">
        <f>STOCK[[#This Row],[Precio Venta Ideal (x1.5)]]</f>
        <v>13.200000000000001</v>
      </c>
      <c r="J750" s="69">
        <v>0</v>
      </c>
      <c r="K750" s="69">
        <f>SUMIFS(VENTAS[Cantidad],VENTAS[Código del producto Vendido],STOCK[[#This Row],[Code]])</f>
        <v>0</v>
      </c>
      <c r="L750" s="69">
        <f>STOCK[[#This Row],[Entradas]]-STOCK[[#This Row],[Salidas]]</f>
        <v>0</v>
      </c>
      <c r="M750" s="53">
        <f>STOCK[[#This Row],[Precio Final]]*10%</f>
        <v>1.3</v>
      </c>
      <c r="N750" s="53">
        <v>0</v>
      </c>
      <c r="O750" s="53">
        <v>0</v>
      </c>
      <c r="P750" s="53">
        <v>6</v>
      </c>
      <c r="Q750" s="69">
        <v>0</v>
      </c>
      <c r="R750" s="53">
        <v>0</v>
      </c>
      <c r="S750" s="53">
        <v>1.5</v>
      </c>
      <c r="T750" s="53">
        <f>STOCK[[#This Row],[Costo Unitario (USD)]]+STOCK[[#This Row],[Costo Envío (USD)]]+STOCK[[#This Row],[Comisión 10%]]</f>
        <v>8.8000000000000007</v>
      </c>
      <c r="U750" s="53">
        <f>STOCK[[#This Row],[Costo total]]*1.5</f>
        <v>13.200000000000001</v>
      </c>
      <c r="V750" s="53">
        <v>13</v>
      </c>
      <c r="W750" s="53">
        <f>STOCK[[#This Row],[Precio Final]]-STOCK[[#This Row],[Costo total]]</f>
        <v>4.1999999999999993</v>
      </c>
      <c r="X750" s="53">
        <f>STOCK[[#This Row],[Ganancia Unitaria]]*STOCK[[#This Row],[Salidas]]</f>
        <v>0</v>
      </c>
      <c r="Y750" s="53" t="s">
        <v>1472</v>
      </c>
      <c r="AA750" s="53">
        <f>STOCK[[#This Row],[Costo total]]*STOCK[[#This Row],[Entradas]]</f>
        <v>0</v>
      </c>
      <c r="AB750" s="53">
        <f>STOCK[[#This Row],[Stock Actual]]*STOCK[[#This Row],[Costo total]]</f>
        <v>0</v>
      </c>
    </row>
    <row r="751" spans="1:28" s="54" customFormat="1" ht="50" customHeight="1">
      <c r="A751" s="54" t="s">
        <v>1502</v>
      </c>
      <c r="B751" s="64"/>
      <c r="C751" s="54" t="s">
        <v>32</v>
      </c>
      <c r="D751" s="54" t="s">
        <v>152</v>
      </c>
      <c r="E751" s="66" t="s">
        <v>1503</v>
      </c>
      <c r="F751" s="54" t="s">
        <v>49</v>
      </c>
      <c r="G751" s="54" t="s">
        <v>36</v>
      </c>
      <c r="H751" s="54">
        <f>STOCK[[#This Row],[Precio Final]]</f>
        <v>25</v>
      </c>
      <c r="I751" s="54">
        <f>STOCK[[#This Row],[Precio Venta Ideal (x1.5)]]</f>
        <v>24</v>
      </c>
      <c r="J751" s="70">
        <v>1</v>
      </c>
      <c r="K751" s="70">
        <f>SUMIFS(VENTAS[Cantidad],VENTAS[Código del producto Vendido],STOCK[[#This Row],[Code]])</f>
        <v>1</v>
      </c>
      <c r="L751" s="70">
        <f>STOCK[[#This Row],[Entradas]]-STOCK[[#This Row],[Salidas]]</f>
        <v>0</v>
      </c>
      <c r="M751" s="54">
        <f>STOCK[[#This Row],[Precio Final]]*10%</f>
        <v>2.5</v>
      </c>
      <c r="N751" s="54">
        <v>0</v>
      </c>
      <c r="O751" s="54">
        <v>0</v>
      </c>
      <c r="P751" s="54">
        <v>12</v>
      </c>
      <c r="Q751" s="70">
        <v>0</v>
      </c>
      <c r="R751" s="54">
        <v>0</v>
      </c>
      <c r="S751" s="54">
        <v>1.5</v>
      </c>
      <c r="T751" s="53">
        <f>STOCK[[#This Row],[Costo Unitario (USD)]]+STOCK[[#This Row],[Costo Envío (USD)]]+STOCK[[#This Row],[Comisión 10%]]</f>
        <v>16</v>
      </c>
      <c r="U751" s="54">
        <f>STOCK[[#This Row],[Costo total]]*1.5</f>
        <v>24</v>
      </c>
      <c r="V751" s="54">
        <v>25</v>
      </c>
      <c r="W751" s="54">
        <f>STOCK[[#This Row],[Precio Final]]-STOCK[[#This Row],[Costo total]]</f>
        <v>9</v>
      </c>
      <c r="X751" s="54">
        <f>STOCK[[#This Row],[Ganancia Unitaria]]*STOCK[[#This Row],[Salidas]]</f>
        <v>9</v>
      </c>
      <c r="Y751" s="54" t="s">
        <v>1472</v>
      </c>
      <c r="AA751" s="54">
        <f>STOCK[[#This Row],[Costo total]]*STOCK[[#This Row],[Entradas]]</f>
        <v>16</v>
      </c>
      <c r="AB751" s="54">
        <f>STOCK[[#This Row],[Stock Actual]]*STOCK[[#This Row],[Costo total]]</f>
        <v>0</v>
      </c>
    </row>
    <row r="752" spans="1:28" s="53" customFormat="1" ht="50" customHeight="1">
      <c r="A752" s="53" t="s">
        <v>1504</v>
      </c>
      <c r="B752" s="64"/>
      <c r="C752" s="53" t="s">
        <v>32</v>
      </c>
      <c r="D752" s="53" t="s">
        <v>152</v>
      </c>
      <c r="E752" s="65" t="s">
        <v>1483</v>
      </c>
      <c r="F752" s="53" t="s">
        <v>40</v>
      </c>
      <c r="G752" s="53" t="s">
        <v>36</v>
      </c>
      <c r="H752" s="53">
        <f>STOCK[[#This Row],[Precio Final]]</f>
        <v>50</v>
      </c>
      <c r="I752" s="53">
        <f>STOCK[[#This Row],[Precio Venta Ideal (x1.5)]]</f>
        <v>47.25</v>
      </c>
      <c r="J752" s="69">
        <v>0</v>
      </c>
      <c r="K752" s="69">
        <f>SUMIFS(VENTAS[Cantidad],VENTAS[Código del producto Vendido],STOCK[[#This Row],[Code]])</f>
        <v>0</v>
      </c>
      <c r="L752" s="69">
        <f>STOCK[[#This Row],[Entradas]]-STOCK[[#This Row],[Salidas]]</f>
        <v>0</v>
      </c>
      <c r="M752" s="53">
        <f>STOCK[[#This Row],[Precio Final]]*10%</f>
        <v>5</v>
      </c>
      <c r="N752" s="53">
        <v>0</v>
      </c>
      <c r="O752" s="53">
        <v>0</v>
      </c>
      <c r="P752" s="53">
        <v>25</v>
      </c>
      <c r="Q752" s="69">
        <v>0</v>
      </c>
      <c r="R752" s="53">
        <v>0</v>
      </c>
      <c r="S752" s="53">
        <v>1.5</v>
      </c>
      <c r="T752" s="53">
        <f>STOCK[[#This Row],[Costo Unitario (USD)]]+STOCK[[#This Row],[Costo Envío (USD)]]+STOCK[[#This Row],[Comisión 10%]]</f>
        <v>31.5</v>
      </c>
      <c r="U752" s="53">
        <f>STOCK[[#This Row],[Costo total]]*1.5</f>
        <v>47.25</v>
      </c>
      <c r="V752" s="53">
        <v>50</v>
      </c>
      <c r="W752" s="53">
        <f>STOCK[[#This Row],[Precio Final]]-STOCK[[#This Row],[Costo total]]</f>
        <v>18.5</v>
      </c>
      <c r="X752" s="53">
        <f>STOCK[[#This Row],[Ganancia Unitaria]]*STOCK[[#This Row],[Salidas]]</f>
        <v>0</v>
      </c>
      <c r="Y752" s="53" t="s">
        <v>1472</v>
      </c>
      <c r="AA752" s="53">
        <f>STOCK[[#This Row],[Costo total]]*STOCK[[#This Row],[Entradas]]</f>
        <v>0</v>
      </c>
      <c r="AB752" s="53">
        <f>STOCK[[#This Row],[Stock Actual]]*STOCK[[#This Row],[Costo total]]</f>
        <v>0</v>
      </c>
    </row>
    <row r="753" spans="1:28" s="54" customFormat="1" ht="50" customHeight="1">
      <c r="A753" s="54" t="s">
        <v>1505</v>
      </c>
      <c r="B753" s="64"/>
      <c r="C753" s="54" t="s">
        <v>32</v>
      </c>
      <c r="D753" s="54" t="s">
        <v>174</v>
      </c>
      <c r="E753" s="66" t="s">
        <v>1171</v>
      </c>
      <c r="F753" s="54" t="s">
        <v>211</v>
      </c>
      <c r="G753" s="54" t="s">
        <v>36</v>
      </c>
      <c r="H753" s="54">
        <f>STOCK[[#This Row],[Precio Final]]</f>
        <v>13</v>
      </c>
      <c r="I753" s="54">
        <f>STOCK[[#This Row],[Precio Venta Ideal (x1.5)]]</f>
        <v>13.200000000000001</v>
      </c>
      <c r="J753" s="70">
        <v>3</v>
      </c>
      <c r="K753" s="70">
        <f>SUMIFS(VENTAS[Cantidad],VENTAS[Código del producto Vendido],STOCK[[#This Row],[Code]])</f>
        <v>3</v>
      </c>
      <c r="L753" s="70">
        <f>STOCK[[#This Row],[Entradas]]-STOCK[[#This Row],[Salidas]]</f>
        <v>0</v>
      </c>
      <c r="M753" s="54">
        <f>STOCK[[#This Row],[Precio Final]]*10%</f>
        <v>1.3</v>
      </c>
      <c r="N753" s="54">
        <v>0</v>
      </c>
      <c r="O753" s="54">
        <v>0</v>
      </c>
      <c r="P753" s="54">
        <v>6</v>
      </c>
      <c r="Q753" s="70">
        <v>0</v>
      </c>
      <c r="R753" s="54">
        <v>0</v>
      </c>
      <c r="S753" s="54">
        <v>1.5</v>
      </c>
      <c r="T753" s="53">
        <f>STOCK[[#This Row],[Costo Unitario (USD)]]+STOCK[[#This Row],[Costo Envío (USD)]]+STOCK[[#This Row],[Comisión 10%]]</f>
        <v>8.8000000000000007</v>
      </c>
      <c r="U753" s="54">
        <f>STOCK[[#This Row],[Costo total]]*1.5</f>
        <v>13.200000000000001</v>
      </c>
      <c r="V753" s="54">
        <v>13</v>
      </c>
      <c r="W753" s="54">
        <f>STOCK[[#This Row],[Precio Final]]-STOCK[[#This Row],[Costo total]]</f>
        <v>4.1999999999999993</v>
      </c>
      <c r="X753" s="54">
        <f>STOCK[[#This Row],[Ganancia Unitaria]]*STOCK[[#This Row],[Salidas]]</f>
        <v>12.599999999999998</v>
      </c>
      <c r="Y753" s="54" t="s">
        <v>1472</v>
      </c>
      <c r="AA753" s="54">
        <f>STOCK[[#This Row],[Costo total]]*STOCK[[#This Row],[Entradas]]</f>
        <v>26.400000000000002</v>
      </c>
      <c r="AB753" s="54">
        <f>STOCK[[#This Row],[Stock Actual]]*STOCK[[#This Row],[Costo total]]</f>
        <v>0</v>
      </c>
    </row>
    <row r="754" spans="1:28" s="53" customFormat="1" ht="50" customHeight="1">
      <c r="A754" s="53" t="s">
        <v>1506</v>
      </c>
      <c r="B754" s="64"/>
      <c r="C754" s="53" t="s">
        <v>32</v>
      </c>
      <c r="D754" s="53" t="s">
        <v>44</v>
      </c>
      <c r="E754" s="65" t="s">
        <v>1507</v>
      </c>
      <c r="F754" s="53" t="s">
        <v>40</v>
      </c>
      <c r="G754" s="53" t="s">
        <v>36</v>
      </c>
      <c r="H754" s="53">
        <f>STOCK[[#This Row],[Precio Final]]</f>
        <v>25</v>
      </c>
      <c r="I754" s="53">
        <f>STOCK[[#This Row],[Precio Venta Ideal (x1.5)]]</f>
        <v>21</v>
      </c>
      <c r="J754" s="69">
        <v>1</v>
      </c>
      <c r="K754" s="69">
        <f>SUMIFS(VENTAS[Cantidad],VENTAS[Código del producto Vendido],STOCK[[#This Row],[Code]])</f>
        <v>1</v>
      </c>
      <c r="L754" s="69">
        <f>STOCK[[#This Row],[Entradas]]-STOCK[[#This Row],[Salidas]]</f>
        <v>0</v>
      </c>
      <c r="M754" s="53">
        <f>STOCK[[#This Row],[Precio Final]]*10%</f>
        <v>2.5</v>
      </c>
      <c r="N754" s="53">
        <v>0</v>
      </c>
      <c r="O754" s="53">
        <v>0</v>
      </c>
      <c r="P754" s="53">
        <v>10</v>
      </c>
      <c r="Q754" s="69">
        <v>0</v>
      </c>
      <c r="R754" s="53">
        <v>0</v>
      </c>
      <c r="S754" s="53">
        <v>1.5</v>
      </c>
      <c r="T754" s="53">
        <f>STOCK[[#This Row],[Costo Unitario (USD)]]+STOCK[[#This Row],[Costo Envío (USD)]]+STOCK[[#This Row],[Comisión 10%]]</f>
        <v>14</v>
      </c>
      <c r="U754" s="53">
        <f>STOCK[[#This Row],[Costo total]]*1.5</f>
        <v>21</v>
      </c>
      <c r="V754" s="53">
        <v>25</v>
      </c>
      <c r="W754" s="53">
        <f>STOCK[[#This Row],[Precio Final]]-STOCK[[#This Row],[Costo total]]</f>
        <v>11</v>
      </c>
      <c r="X754" s="53">
        <f>STOCK[[#This Row],[Ganancia Unitaria]]*STOCK[[#This Row],[Salidas]]</f>
        <v>11</v>
      </c>
      <c r="Y754" s="53" t="s">
        <v>1472</v>
      </c>
      <c r="AA754" s="53">
        <f>STOCK[[#This Row],[Costo total]]*STOCK[[#This Row],[Entradas]]</f>
        <v>14</v>
      </c>
      <c r="AB754" s="53">
        <f>STOCK[[#This Row],[Stock Actual]]*STOCK[[#This Row],[Costo total]]</f>
        <v>0</v>
      </c>
    </row>
    <row r="755" spans="1:28" s="54" customFormat="1" ht="50" customHeight="1">
      <c r="A755" s="54" t="s">
        <v>1508</v>
      </c>
      <c r="B755" s="64"/>
      <c r="C755" s="54" t="s">
        <v>32</v>
      </c>
      <c r="D755" s="54" t="s">
        <v>174</v>
      </c>
      <c r="E755" s="66" t="s">
        <v>1478</v>
      </c>
      <c r="F755" s="54" t="s">
        <v>49</v>
      </c>
      <c r="G755" s="54" t="s">
        <v>36</v>
      </c>
      <c r="H755" s="54">
        <f>STOCK[[#This Row],[Precio Final]]</f>
        <v>6</v>
      </c>
      <c r="I755" s="54">
        <f>STOCK[[#This Row],[Precio Venta Ideal (x1.5)]]</f>
        <v>3.1500000000000004</v>
      </c>
      <c r="J755" s="70">
        <v>1</v>
      </c>
      <c r="K755" s="70">
        <f>SUMIFS(VENTAS[Cantidad],VENTAS[Código del producto Vendido],STOCK[[#This Row],[Code]])</f>
        <v>1</v>
      </c>
      <c r="L755" s="70">
        <f>STOCK[[#This Row],[Entradas]]-STOCK[[#This Row],[Salidas]]</f>
        <v>0</v>
      </c>
      <c r="M755" s="54">
        <f>STOCK[[#This Row],[Precio Final]]*10%</f>
        <v>0.60000000000000009</v>
      </c>
      <c r="N755" s="54">
        <v>0</v>
      </c>
      <c r="O755" s="54">
        <v>0</v>
      </c>
      <c r="P755" s="54">
        <v>0</v>
      </c>
      <c r="Q755" s="70">
        <v>0</v>
      </c>
      <c r="R755" s="54">
        <v>0</v>
      </c>
      <c r="S755" s="54">
        <v>1.5</v>
      </c>
      <c r="T755" s="53">
        <f>STOCK[[#This Row],[Costo Unitario (USD)]]+STOCK[[#This Row],[Costo Envío (USD)]]+STOCK[[#This Row],[Comisión 10%]]</f>
        <v>2.1</v>
      </c>
      <c r="U755" s="54">
        <f>STOCK[[#This Row],[Costo total]]*1.5</f>
        <v>3.1500000000000004</v>
      </c>
      <c r="V755" s="54">
        <v>6</v>
      </c>
      <c r="W755" s="54">
        <f>STOCK[[#This Row],[Precio Final]]-STOCK[[#This Row],[Costo total]]</f>
        <v>3.9</v>
      </c>
      <c r="X755" s="54">
        <f>STOCK[[#This Row],[Ganancia Unitaria]]*STOCK[[#This Row],[Salidas]]</f>
        <v>3.9</v>
      </c>
      <c r="Y755" s="54" t="s">
        <v>1472</v>
      </c>
      <c r="AA755" s="54">
        <f>STOCK[[#This Row],[Costo total]]*STOCK[[#This Row],[Entradas]]</f>
        <v>2.1</v>
      </c>
      <c r="AB755" s="54">
        <f>STOCK[[#This Row],[Stock Actual]]*STOCK[[#This Row],[Costo total]]</f>
        <v>0</v>
      </c>
    </row>
    <row r="756" spans="1:28" s="53" customFormat="1" ht="50" customHeight="1">
      <c r="A756" s="53" t="s">
        <v>1509</v>
      </c>
      <c r="B756" s="64"/>
      <c r="C756" s="53" t="s">
        <v>32</v>
      </c>
      <c r="D756" s="53" t="s">
        <v>152</v>
      </c>
      <c r="E756" s="65" t="s">
        <v>1510</v>
      </c>
      <c r="F756" s="53" t="s">
        <v>211</v>
      </c>
      <c r="G756" s="53" t="s">
        <v>36</v>
      </c>
      <c r="H756" s="53">
        <f>STOCK[[#This Row],[Precio Final]]</f>
        <v>30</v>
      </c>
      <c r="I756" s="53">
        <f>STOCK[[#This Row],[Precio Venta Ideal (x1.5)]]</f>
        <v>29.25</v>
      </c>
      <c r="J756" s="69">
        <v>1</v>
      </c>
      <c r="K756" s="69">
        <f>SUMIFS(VENTAS[Cantidad],VENTAS[Código del producto Vendido],STOCK[[#This Row],[Code]])</f>
        <v>1</v>
      </c>
      <c r="L756" s="69">
        <f>STOCK[[#This Row],[Entradas]]-STOCK[[#This Row],[Salidas]]</f>
        <v>0</v>
      </c>
      <c r="M756" s="53">
        <f>STOCK[[#This Row],[Precio Final]]*10%</f>
        <v>3</v>
      </c>
      <c r="N756" s="53">
        <v>0</v>
      </c>
      <c r="O756" s="53">
        <v>0</v>
      </c>
      <c r="P756" s="53">
        <v>15</v>
      </c>
      <c r="Q756" s="69">
        <v>0</v>
      </c>
      <c r="R756" s="53">
        <v>0</v>
      </c>
      <c r="S756" s="53">
        <v>1.5</v>
      </c>
      <c r="T756" s="53">
        <f>STOCK[[#This Row],[Costo Unitario (USD)]]+STOCK[[#This Row],[Costo Envío (USD)]]+STOCK[[#This Row],[Comisión 10%]]</f>
        <v>19.5</v>
      </c>
      <c r="U756" s="53">
        <f>STOCK[[#This Row],[Costo total]]*1.5</f>
        <v>29.25</v>
      </c>
      <c r="V756" s="53">
        <v>30</v>
      </c>
      <c r="W756" s="53">
        <f>STOCK[[#This Row],[Precio Final]]-STOCK[[#This Row],[Costo total]]</f>
        <v>10.5</v>
      </c>
      <c r="X756" s="53">
        <f>STOCK[[#This Row],[Ganancia Unitaria]]*STOCK[[#This Row],[Salidas]]</f>
        <v>10.5</v>
      </c>
      <c r="Y756" s="53" t="s">
        <v>1472</v>
      </c>
      <c r="AA756" s="53">
        <f>STOCK[[#This Row],[Costo total]]*STOCK[[#This Row],[Entradas]]</f>
        <v>19.5</v>
      </c>
      <c r="AB756" s="53">
        <f>STOCK[[#This Row],[Stock Actual]]*STOCK[[#This Row],[Costo total]]</f>
        <v>0</v>
      </c>
    </row>
    <row r="757" spans="1:28" s="54" customFormat="1" ht="50" customHeight="1">
      <c r="A757" s="54" t="s">
        <v>1511</v>
      </c>
      <c r="B757" s="64"/>
      <c r="C757" s="54" t="s">
        <v>32</v>
      </c>
      <c r="D757" s="54" t="s">
        <v>152</v>
      </c>
      <c r="E757" s="66" t="s">
        <v>1510</v>
      </c>
      <c r="F757" s="54" t="s">
        <v>62</v>
      </c>
      <c r="G757" s="54" t="s">
        <v>36</v>
      </c>
      <c r="H757" s="54">
        <f>STOCK[[#This Row],[Precio Final]]</f>
        <v>30</v>
      </c>
      <c r="I757" s="54">
        <f>STOCK[[#This Row],[Precio Venta Ideal (x1.5)]]</f>
        <v>29.25</v>
      </c>
      <c r="J757" s="70">
        <v>1</v>
      </c>
      <c r="K757" s="70">
        <f>SUMIFS(VENTAS[Cantidad],VENTAS[Código del producto Vendido],STOCK[[#This Row],[Code]])</f>
        <v>1</v>
      </c>
      <c r="L757" s="70">
        <f>STOCK[[#This Row],[Entradas]]-STOCK[[#This Row],[Salidas]]</f>
        <v>0</v>
      </c>
      <c r="M757" s="54">
        <f>STOCK[[#This Row],[Precio Final]]*10%</f>
        <v>3</v>
      </c>
      <c r="N757" s="54">
        <v>0</v>
      </c>
      <c r="O757" s="54">
        <v>0</v>
      </c>
      <c r="P757" s="54">
        <v>15</v>
      </c>
      <c r="Q757" s="70">
        <v>0</v>
      </c>
      <c r="R757" s="54">
        <v>0</v>
      </c>
      <c r="S757" s="54">
        <v>1.5</v>
      </c>
      <c r="T757" s="53">
        <f>STOCK[[#This Row],[Costo Unitario (USD)]]+STOCK[[#This Row],[Costo Envío (USD)]]+STOCK[[#This Row],[Comisión 10%]]</f>
        <v>19.5</v>
      </c>
      <c r="U757" s="54">
        <f>STOCK[[#This Row],[Costo total]]*1.5</f>
        <v>29.25</v>
      </c>
      <c r="V757" s="54">
        <v>30</v>
      </c>
      <c r="W757" s="54">
        <f>STOCK[[#This Row],[Precio Final]]-STOCK[[#This Row],[Costo total]]</f>
        <v>10.5</v>
      </c>
      <c r="X757" s="54">
        <f>STOCK[[#This Row],[Ganancia Unitaria]]*STOCK[[#This Row],[Salidas]]</f>
        <v>10.5</v>
      </c>
      <c r="Y757" s="54" t="s">
        <v>1472</v>
      </c>
      <c r="AA757" s="54">
        <f>STOCK[[#This Row],[Costo total]]*STOCK[[#This Row],[Entradas]]</f>
        <v>19.5</v>
      </c>
      <c r="AB757" s="54">
        <f>STOCK[[#This Row],[Stock Actual]]*STOCK[[#This Row],[Costo total]]</f>
        <v>0</v>
      </c>
    </row>
    <row r="758" spans="1:28" s="53" customFormat="1" ht="50" customHeight="1">
      <c r="A758" s="53" t="s">
        <v>1512</v>
      </c>
      <c r="B758" s="64"/>
      <c r="C758" s="53" t="s">
        <v>32</v>
      </c>
      <c r="D758" s="53" t="s">
        <v>152</v>
      </c>
      <c r="E758" s="65" t="s">
        <v>1513</v>
      </c>
      <c r="F758" s="53" t="s">
        <v>49</v>
      </c>
      <c r="G758" s="53" t="s">
        <v>36</v>
      </c>
      <c r="H758" s="53">
        <f>STOCK[[#This Row],[Precio Final]]</f>
        <v>30</v>
      </c>
      <c r="I758" s="53">
        <f>STOCK[[#This Row],[Precio Venta Ideal (x1.5)]]</f>
        <v>29.25</v>
      </c>
      <c r="J758" s="69">
        <v>1</v>
      </c>
      <c r="K758" s="69">
        <f>SUMIFS(VENTAS[Cantidad],VENTAS[Código del producto Vendido],STOCK[[#This Row],[Code]])</f>
        <v>1</v>
      </c>
      <c r="L758" s="69">
        <f>STOCK[[#This Row],[Entradas]]-STOCK[[#This Row],[Salidas]]</f>
        <v>0</v>
      </c>
      <c r="M758" s="53">
        <f>STOCK[[#This Row],[Precio Final]]*10%</f>
        <v>3</v>
      </c>
      <c r="N758" s="53">
        <v>0</v>
      </c>
      <c r="O758" s="53">
        <v>0</v>
      </c>
      <c r="P758" s="53">
        <v>15</v>
      </c>
      <c r="Q758" s="69">
        <v>0</v>
      </c>
      <c r="R758" s="53">
        <v>0</v>
      </c>
      <c r="S758" s="53">
        <v>1.5</v>
      </c>
      <c r="T758" s="53">
        <f>STOCK[[#This Row],[Costo Unitario (USD)]]+STOCK[[#This Row],[Costo Envío (USD)]]+STOCK[[#This Row],[Comisión 10%]]</f>
        <v>19.5</v>
      </c>
      <c r="U758" s="53">
        <f>STOCK[[#This Row],[Costo total]]*1.5</f>
        <v>29.25</v>
      </c>
      <c r="V758" s="53">
        <v>30</v>
      </c>
      <c r="W758" s="53">
        <f>STOCK[[#This Row],[Precio Final]]-STOCK[[#This Row],[Costo total]]</f>
        <v>10.5</v>
      </c>
      <c r="X758" s="53">
        <f>STOCK[[#This Row],[Ganancia Unitaria]]*STOCK[[#This Row],[Salidas]]</f>
        <v>10.5</v>
      </c>
      <c r="Y758" s="53" t="s">
        <v>1472</v>
      </c>
      <c r="AA758" s="53">
        <f>STOCK[[#This Row],[Costo total]]*STOCK[[#This Row],[Entradas]]</f>
        <v>19.5</v>
      </c>
      <c r="AB758" s="53">
        <f>STOCK[[#This Row],[Stock Actual]]*STOCK[[#This Row],[Costo total]]</f>
        <v>0</v>
      </c>
    </row>
    <row r="759" spans="1:28" s="54" customFormat="1" ht="50" customHeight="1">
      <c r="A759" s="54" t="s">
        <v>1514</v>
      </c>
      <c r="B759" s="64"/>
      <c r="C759" s="54" t="s">
        <v>32</v>
      </c>
      <c r="D759" s="54" t="s">
        <v>174</v>
      </c>
      <c r="E759" s="66" t="s">
        <v>1515</v>
      </c>
      <c r="F759" s="54" t="s">
        <v>1516</v>
      </c>
      <c r="G759" s="54" t="s">
        <v>36</v>
      </c>
      <c r="H759" s="54">
        <f>STOCK[[#This Row],[Precio Final]]</f>
        <v>19</v>
      </c>
      <c r="I759" s="54">
        <f>STOCK[[#This Row],[Precio Venta Ideal (x1.5)]]</f>
        <v>24.9</v>
      </c>
      <c r="J759" s="70">
        <v>0</v>
      </c>
      <c r="K759" s="70">
        <f>SUMIFS(VENTAS[Cantidad],VENTAS[Código del producto Vendido],STOCK[[#This Row],[Code]])</f>
        <v>0</v>
      </c>
      <c r="L759" s="70">
        <f>STOCK[[#This Row],[Entradas]]-STOCK[[#This Row],[Salidas]]</f>
        <v>0</v>
      </c>
      <c r="M759" s="54">
        <f>STOCK[[#This Row],[Precio Final]]*10%</f>
        <v>1.9000000000000001</v>
      </c>
      <c r="N759" s="54">
        <v>0</v>
      </c>
      <c r="O759" s="54">
        <v>0</v>
      </c>
      <c r="P759" s="54">
        <v>13.2</v>
      </c>
      <c r="Q759" s="70">
        <v>0</v>
      </c>
      <c r="R759" s="54">
        <v>0</v>
      </c>
      <c r="S759" s="54">
        <v>1.5</v>
      </c>
      <c r="T759" s="53">
        <f>STOCK[[#This Row],[Costo Unitario (USD)]]+STOCK[[#This Row],[Costo Envío (USD)]]+STOCK[[#This Row],[Comisión 10%]]</f>
        <v>16.599999999999998</v>
      </c>
      <c r="U759" s="54">
        <f>STOCK[[#This Row],[Costo total]]*1.5</f>
        <v>24.9</v>
      </c>
      <c r="V759" s="54">
        <v>19</v>
      </c>
      <c r="W759" s="54">
        <f>STOCK[[#This Row],[Precio Final]]-STOCK[[#This Row],[Costo total]]</f>
        <v>2.4000000000000021</v>
      </c>
      <c r="X759" s="54">
        <f>STOCK[[#This Row],[Ganancia Unitaria]]*STOCK[[#This Row],[Salidas]]</f>
        <v>0</v>
      </c>
      <c r="Y759" s="54" t="s">
        <v>1472</v>
      </c>
      <c r="AA759" s="54">
        <f>STOCK[[#This Row],[Costo total]]*STOCK[[#This Row],[Entradas]]</f>
        <v>0</v>
      </c>
      <c r="AB759" s="54">
        <f>STOCK[[#This Row],[Stock Actual]]*STOCK[[#This Row],[Costo total]]</f>
        <v>0</v>
      </c>
    </row>
    <row r="760" spans="1:28" s="53" customFormat="1" ht="50" customHeight="1">
      <c r="A760" s="53" t="s">
        <v>1517</v>
      </c>
      <c r="B760" s="64"/>
      <c r="C760" s="53" t="s">
        <v>32</v>
      </c>
      <c r="D760" s="53" t="s">
        <v>152</v>
      </c>
      <c r="E760" s="65" t="s">
        <v>1474</v>
      </c>
      <c r="F760" s="53" t="s">
        <v>62</v>
      </c>
      <c r="G760" s="53" t="s">
        <v>36</v>
      </c>
      <c r="H760" s="53">
        <f>STOCK[[#This Row],[Precio Final]]</f>
        <v>12</v>
      </c>
      <c r="I760" s="53">
        <f>STOCK[[#This Row],[Precio Venta Ideal (x1.5)]]</f>
        <v>13.049999999999999</v>
      </c>
      <c r="J760" s="69">
        <v>0</v>
      </c>
      <c r="K760" s="69">
        <f>SUMIFS(VENTAS[Cantidad],VENTAS[Código del producto Vendido],STOCK[[#This Row],[Code]])</f>
        <v>0</v>
      </c>
      <c r="L760" s="69">
        <f>STOCK[[#This Row],[Entradas]]-STOCK[[#This Row],[Salidas]]</f>
        <v>0</v>
      </c>
      <c r="M760" s="53">
        <f>STOCK[[#This Row],[Precio Final]]*10%</f>
        <v>1.2000000000000002</v>
      </c>
      <c r="N760" s="53">
        <v>0</v>
      </c>
      <c r="O760" s="53">
        <v>0</v>
      </c>
      <c r="P760" s="53">
        <v>6</v>
      </c>
      <c r="Q760" s="69">
        <v>0</v>
      </c>
      <c r="R760" s="53">
        <v>0</v>
      </c>
      <c r="S760" s="53">
        <v>1.5</v>
      </c>
      <c r="T760" s="53">
        <f>STOCK[[#This Row],[Costo Unitario (USD)]]+STOCK[[#This Row],[Costo Envío (USD)]]+STOCK[[#This Row],[Comisión 10%]]</f>
        <v>8.6999999999999993</v>
      </c>
      <c r="U760" s="53">
        <f>STOCK[[#This Row],[Costo total]]*1.5</f>
        <v>13.049999999999999</v>
      </c>
      <c r="V760" s="53">
        <v>12</v>
      </c>
      <c r="W760" s="53">
        <f>STOCK[[#This Row],[Precio Final]]-STOCK[[#This Row],[Costo total]]</f>
        <v>3.3000000000000007</v>
      </c>
      <c r="X760" s="53">
        <f>STOCK[[#This Row],[Ganancia Unitaria]]*STOCK[[#This Row],[Salidas]]</f>
        <v>0</v>
      </c>
      <c r="Y760" s="53" t="s">
        <v>1472</v>
      </c>
      <c r="AA760" s="53">
        <f>STOCK[[#This Row],[Costo total]]*STOCK[[#This Row],[Entradas]]</f>
        <v>0</v>
      </c>
      <c r="AB760" s="53">
        <f>STOCK[[#This Row],[Stock Actual]]*STOCK[[#This Row],[Costo total]]</f>
        <v>0</v>
      </c>
    </row>
    <row r="761" spans="1:28" s="54" customFormat="1" ht="50" customHeight="1">
      <c r="A761" s="54" t="s">
        <v>1518</v>
      </c>
      <c r="B761" s="64"/>
      <c r="C761" s="54" t="s">
        <v>32</v>
      </c>
      <c r="D761" s="54" t="s">
        <v>174</v>
      </c>
      <c r="E761" s="66" t="s">
        <v>1519</v>
      </c>
      <c r="F761" s="54" t="s">
        <v>40</v>
      </c>
      <c r="G761" s="54" t="s">
        <v>36</v>
      </c>
      <c r="H761" s="54">
        <f>STOCK[[#This Row],[Precio Final]]</f>
        <v>25</v>
      </c>
      <c r="I761" s="54">
        <f>STOCK[[#This Row],[Precio Venta Ideal (x1.5)]]</f>
        <v>24</v>
      </c>
      <c r="J761" s="70">
        <v>2</v>
      </c>
      <c r="K761" s="70">
        <f>SUMIFS(VENTAS[Cantidad],VENTAS[Código del producto Vendido],STOCK[[#This Row],[Code]])</f>
        <v>2</v>
      </c>
      <c r="L761" s="70">
        <f>STOCK[[#This Row],[Entradas]]-STOCK[[#This Row],[Salidas]]</f>
        <v>0</v>
      </c>
      <c r="M761" s="54">
        <f>STOCK[[#This Row],[Precio Final]]*10%</f>
        <v>2.5</v>
      </c>
      <c r="N761" s="54">
        <v>0</v>
      </c>
      <c r="O761" s="54">
        <v>0</v>
      </c>
      <c r="P761" s="54">
        <v>12</v>
      </c>
      <c r="Q761" s="70">
        <v>0</v>
      </c>
      <c r="R761" s="54">
        <v>0</v>
      </c>
      <c r="S761" s="54">
        <v>1.5</v>
      </c>
      <c r="T761" s="53">
        <f>STOCK[[#This Row],[Costo Unitario (USD)]]+STOCK[[#This Row],[Costo Envío (USD)]]+STOCK[[#This Row],[Comisión 10%]]</f>
        <v>16</v>
      </c>
      <c r="U761" s="54">
        <f>STOCK[[#This Row],[Costo total]]*1.5</f>
        <v>24</v>
      </c>
      <c r="V761" s="54">
        <v>25</v>
      </c>
      <c r="W761" s="54">
        <f>STOCK[[#This Row],[Precio Final]]-STOCK[[#This Row],[Costo total]]</f>
        <v>9</v>
      </c>
      <c r="X761" s="54">
        <f>STOCK[[#This Row],[Ganancia Unitaria]]*STOCK[[#This Row],[Salidas]]</f>
        <v>18</v>
      </c>
      <c r="Y761" s="54" t="s">
        <v>1472</v>
      </c>
      <c r="AA761" s="54">
        <f>STOCK[[#This Row],[Costo total]]*STOCK[[#This Row],[Entradas]]</f>
        <v>32</v>
      </c>
      <c r="AB761" s="54">
        <f>STOCK[[#This Row],[Stock Actual]]*STOCK[[#This Row],[Costo total]]</f>
        <v>0</v>
      </c>
    </row>
    <row r="762" spans="1:28" s="53" customFormat="1" ht="50" customHeight="1">
      <c r="A762" s="53" t="s">
        <v>1520</v>
      </c>
      <c r="B762" s="64"/>
      <c r="C762" s="53" t="s">
        <v>32</v>
      </c>
      <c r="D762" s="53" t="s">
        <v>174</v>
      </c>
      <c r="E762" s="65" t="s">
        <v>1519</v>
      </c>
      <c r="F762" s="53" t="s">
        <v>49</v>
      </c>
      <c r="G762" s="53" t="s">
        <v>36</v>
      </c>
      <c r="H762" s="53">
        <f>STOCK[[#This Row],[Precio Final]]</f>
        <v>25</v>
      </c>
      <c r="I762" s="53">
        <f>STOCK[[#This Row],[Precio Venta Ideal (x1.5)]]</f>
        <v>24</v>
      </c>
      <c r="J762" s="69">
        <v>1</v>
      </c>
      <c r="K762" s="69">
        <f>SUMIFS(VENTAS[Cantidad],VENTAS[Código del producto Vendido],STOCK[[#This Row],[Code]])</f>
        <v>1</v>
      </c>
      <c r="L762" s="69">
        <f>STOCK[[#This Row],[Entradas]]-STOCK[[#This Row],[Salidas]]</f>
        <v>0</v>
      </c>
      <c r="M762" s="53">
        <f>STOCK[[#This Row],[Precio Final]]*10%</f>
        <v>2.5</v>
      </c>
      <c r="N762" s="53">
        <v>0</v>
      </c>
      <c r="O762" s="53">
        <v>0</v>
      </c>
      <c r="P762" s="53">
        <v>12</v>
      </c>
      <c r="Q762" s="69">
        <v>0</v>
      </c>
      <c r="R762" s="53">
        <v>0</v>
      </c>
      <c r="S762" s="53">
        <v>1.5</v>
      </c>
      <c r="T762" s="53">
        <f>STOCK[[#This Row],[Costo Unitario (USD)]]+STOCK[[#This Row],[Costo Envío (USD)]]+STOCK[[#This Row],[Comisión 10%]]</f>
        <v>16</v>
      </c>
      <c r="U762" s="53">
        <f>STOCK[[#This Row],[Costo total]]*1.5</f>
        <v>24</v>
      </c>
      <c r="V762" s="53">
        <v>25</v>
      </c>
      <c r="W762" s="53">
        <f>STOCK[[#This Row],[Precio Final]]-STOCK[[#This Row],[Costo total]]</f>
        <v>9</v>
      </c>
      <c r="X762" s="53">
        <f>STOCK[[#This Row],[Ganancia Unitaria]]*STOCK[[#This Row],[Salidas]]</f>
        <v>9</v>
      </c>
      <c r="Y762" s="53" t="s">
        <v>1472</v>
      </c>
      <c r="AA762" s="53">
        <f>STOCK[[#This Row],[Costo total]]*STOCK[[#This Row],[Entradas]]</f>
        <v>16</v>
      </c>
      <c r="AB762" s="53">
        <f>STOCK[[#This Row],[Stock Actual]]*STOCK[[#This Row],[Costo total]]</f>
        <v>0</v>
      </c>
    </row>
    <row r="763" spans="1:28" s="54" customFormat="1" ht="50" customHeight="1">
      <c r="A763" s="54" t="s">
        <v>1521</v>
      </c>
      <c r="B763" s="64"/>
      <c r="C763" s="54" t="s">
        <v>32</v>
      </c>
      <c r="D763" s="54" t="s">
        <v>152</v>
      </c>
      <c r="E763" s="66" t="s">
        <v>1522</v>
      </c>
      <c r="F763" s="54" t="s">
        <v>40</v>
      </c>
      <c r="G763" s="54" t="s">
        <v>36</v>
      </c>
      <c r="H763" s="54">
        <f>STOCK[[#This Row],[Precio Final]]</f>
        <v>35</v>
      </c>
      <c r="I763" s="54">
        <f>STOCK[[#This Row],[Precio Venta Ideal (x1.5)]]</f>
        <v>33</v>
      </c>
      <c r="J763" s="70">
        <v>1</v>
      </c>
      <c r="K763" s="70">
        <f>SUMIFS(VENTAS[Cantidad],VENTAS[Código del producto Vendido],STOCK[[#This Row],[Code]])</f>
        <v>1</v>
      </c>
      <c r="L763" s="70">
        <f>STOCK[[#This Row],[Entradas]]-STOCK[[#This Row],[Salidas]]</f>
        <v>0</v>
      </c>
      <c r="M763" s="54">
        <f>STOCK[[#This Row],[Precio Final]]*10%</f>
        <v>3.5</v>
      </c>
      <c r="N763" s="54">
        <v>0</v>
      </c>
      <c r="O763" s="54">
        <v>0</v>
      </c>
      <c r="P763" s="54">
        <v>17</v>
      </c>
      <c r="Q763" s="70">
        <v>0</v>
      </c>
      <c r="R763" s="54">
        <v>0</v>
      </c>
      <c r="S763" s="54">
        <v>1.5</v>
      </c>
      <c r="T763" s="53">
        <f>STOCK[[#This Row],[Costo Unitario (USD)]]+STOCK[[#This Row],[Costo Envío (USD)]]+STOCK[[#This Row],[Comisión 10%]]</f>
        <v>22</v>
      </c>
      <c r="U763" s="54">
        <f>STOCK[[#This Row],[Costo total]]*1.5</f>
        <v>33</v>
      </c>
      <c r="V763" s="54">
        <v>35</v>
      </c>
      <c r="W763" s="54">
        <f>STOCK[[#This Row],[Precio Final]]-STOCK[[#This Row],[Costo total]]</f>
        <v>13</v>
      </c>
      <c r="X763" s="54">
        <f>STOCK[[#This Row],[Ganancia Unitaria]]*STOCK[[#This Row],[Salidas]]</f>
        <v>13</v>
      </c>
      <c r="Y763" s="54" t="s">
        <v>1472</v>
      </c>
      <c r="AA763" s="54">
        <f>STOCK[[#This Row],[Costo total]]*STOCK[[#This Row],[Entradas]]</f>
        <v>22</v>
      </c>
      <c r="AB763" s="54">
        <f>STOCK[[#This Row],[Stock Actual]]*STOCK[[#This Row],[Costo total]]</f>
        <v>0</v>
      </c>
    </row>
    <row r="764" spans="1:28" s="53" customFormat="1" ht="50" customHeight="1">
      <c r="A764" s="53" t="s">
        <v>1523</v>
      </c>
      <c r="B764" s="64"/>
      <c r="C764" s="53" t="s">
        <v>32</v>
      </c>
      <c r="D764" s="53" t="s">
        <v>515</v>
      </c>
      <c r="E764" s="65" t="s">
        <v>1496</v>
      </c>
      <c r="F764" s="53" t="s">
        <v>759</v>
      </c>
      <c r="G764" s="53" t="s">
        <v>36</v>
      </c>
      <c r="H764" s="53">
        <f>STOCK[[#This Row],[Precio Final]]</f>
        <v>35</v>
      </c>
      <c r="I764" s="53">
        <f>STOCK[[#This Row],[Precio Venta Ideal (x1.5)]]</f>
        <v>39.75</v>
      </c>
      <c r="J764" s="69">
        <v>2</v>
      </c>
      <c r="K764" s="69">
        <f>SUMIFS(VENTAS[Cantidad],VENTAS[Código del producto Vendido],STOCK[[#This Row],[Code]])</f>
        <v>2</v>
      </c>
      <c r="L764" s="69">
        <f>STOCK[[#This Row],[Entradas]]-STOCK[[#This Row],[Salidas]]</f>
        <v>0</v>
      </c>
      <c r="M764" s="53">
        <f>STOCK[[#This Row],[Precio Final]]*10%</f>
        <v>3.5</v>
      </c>
      <c r="N764" s="53">
        <v>0</v>
      </c>
      <c r="O764" s="53">
        <v>0</v>
      </c>
      <c r="P764" s="53">
        <v>21.5</v>
      </c>
      <c r="Q764" s="69">
        <v>0</v>
      </c>
      <c r="R764" s="53">
        <v>0</v>
      </c>
      <c r="S764" s="53">
        <v>1.5</v>
      </c>
      <c r="T764" s="53">
        <f>STOCK[[#This Row],[Costo Unitario (USD)]]+STOCK[[#This Row],[Costo Envío (USD)]]+STOCK[[#This Row],[Comisión 10%]]</f>
        <v>26.5</v>
      </c>
      <c r="U764" s="53">
        <f>STOCK[[#This Row],[Costo total]]*1.5</f>
        <v>39.75</v>
      </c>
      <c r="V764" s="53">
        <v>35</v>
      </c>
      <c r="W764" s="53">
        <f>STOCK[[#This Row],[Precio Final]]-STOCK[[#This Row],[Costo total]]</f>
        <v>8.5</v>
      </c>
      <c r="X764" s="53">
        <f>STOCK[[#This Row],[Ganancia Unitaria]]*STOCK[[#This Row],[Salidas]]</f>
        <v>17</v>
      </c>
      <c r="Y764" s="53" t="s">
        <v>1472</v>
      </c>
      <c r="AA764" s="53">
        <f>STOCK[[#This Row],[Costo total]]*STOCK[[#This Row],[Entradas]]</f>
        <v>53</v>
      </c>
      <c r="AB764" s="53">
        <f>STOCK[[#This Row],[Stock Actual]]*STOCK[[#This Row],[Costo total]]</f>
        <v>0</v>
      </c>
    </row>
    <row r="765" spans="1:28" s="54" customFormat="1" ht="50" customHeight="1">
      <c r="A765" s="54" t="s">
        <v>1524</v>
      </c>
      <c r="B765" s="64"/>
      <c r="C765" s="54" t="s">
        <v>32</v>
      </c>
      <c r="D765" s="54" t="s">
        <v>515</v>
      </c>
      <c r="E765" s="66" t="s">
        <v>1525</v>
      </c>
      <c r="F765" s="54" t="s">
        <v>1102</v>
      </c>
      <c r="G765" s="54" t="s">
        <v>36</v>
      </c>
      <c r="H765" s="54">
        <f>STOCK[[#This Row],[Precio Final]]</f>
        <v>45</v>
      </c>
      <c r="I765" s="54">
        <f>STOCK[[#This Row],[Precio Venta Ideal (x1.5)]]</f>
        <v>53.25</v>
      </c>
      <c r="J765" s="70">
        <v>1</v>
      </c>
      <c r="K765" s="70">
        <f>SUMIFS(VENTAS[Cantidad],VENTAS[Código del producto Vendido],STOCK[[#This Row],[Code]])</f>
        <v>1</v>
      </c>
      <c r="L765" s="70">
        <f>STOCK[[#This Row],[Entradas]]-STOCK[[#This Row],[Salidas]]</f>
        <v>0</v>
      </c>
      <c r="M765" s="54">
        <f>STOCK[[#This Row],[Precio Final]]*10%</f>
        <v>4.5</v>
      </c>
      <c r="N765" s="54">
        <v>0</v>
      </c>
      <c r="O765" s="54">
        <v>0</v>
      </c>
      <c r="P765" s="54">
        <v>26</v>
      </c>
      <c r="Q765" s="70">
        <v>0</v>
      </c>
      <c r="R765" s="54">
        <v>0</v>
      </c>
      <c r="S765" s="54">
        <v>5</v>
      </c>
      <c r="T765" s="53">
        <f>STOCK[[#This Row],[Costo Unitario (USD)]]+STOCK[[#This Row],[Costo Envío (USD)]]+STOCK[[#This Row],[Comisión 10%]]</f>
        <v>35.5</v>
      </c>
      <c r="U765" s="54">
        <f>STOCK[[#This Row],[Costo total]]*1.5</f>
        <v>53.25</v>
      </c>
      <c r="V765" s="54">
        <v>45</v>
      </c>
      <c r="W765" s="54">
        <f>STOCK[[#This Row],[Precio Final]]-STOCK[[#This Row],[Costo total]]</f>
        <v>9.5</v>
      </c>
      <c r="X765" s="54">
        <f>STOCK[[#This Row],[Ganancia Unitaria]]*STOCK[[#This Row],[Salidas]]</f>
        <v>9.5</v>
      </c>
      <c r="Y765" s="54" t="s">
        <v>1472</v>
      </c>
      <c r="AA765" s="54">
        <f>STOCK[[#This Row],[Costo total]]*STOCK[[#This Row],[Entradas]]</f>
        <v>35.5</v>
      </c>
      <c r="AB765" s="54">
        <f>STOCK[[#This Row],[Stock Actual]]*STOCK[[#This Row],[Costo total]]</f>
        <v>0</v>
      </c>
    </row>
    <row r="766" spans="1:28" s="53" customFormat="1" ht="50" customHeight="1">
      <c r="A766" s="53" t="s">
        <v>1526</v>
      </c>
      <c r="B766" s="64"/>
      <c r="C766" s="53" t="s">
        <v>32</v>
      </c>
      <c r="D766" s="53" t="s">
        <v>44</v>
      </c>
      <c r="E766" s="65" t="s">
        <v>1476</v>
      </c>
      <c r="F766" s="53" t="s">
        <v>211</v>
      </c>
      <c r="G766" s="53" t="s">
        <v>36</v>
      </c>
      <c r="H766" s="53">
        <f>STOCK[[#This Row],[Precio Final]]</f>
        <v>20</v>
      </c>
      <c r="I766" s="53">
        <f>STOCK[[#This Row],[Precio Venta Ideal (x1.5)]]</f>
        <v>30.75</v>
      </c>
      <c r="J766" s="69">
        <v>0</v>
      </c>
      <c r="K766" s="69">
        <f>SUMIFS(VENTAS[Cantidad],VENTAS[Código del producto Vendido],STOCK[[#This Row],[Code]])</f>
        <v>0</v>
      </c>
      <c r="L766" s="69">
        <f>STOCK[[#This Row],[Entradas]]-STOCK[[#This Row],[Salidas]]</f>
        <v>0</v>
      </c>
      <c r="M766" s="53">
        <f>STOCK[[#This Row],[Precio Final]]*10%</f>
        <v>2</v>
      </c>
      <c r="N766" s="53">
        <v>0</v>
      </c>
      <c r="O766" s="53">
        <v>0</v>
      </c>
      <c r="P766" s="53">
        <v>17</v>
      </c>
      <c r="Q766" s="69">
        <v>0</v>
      </c>
      <c r="R766" s="53">
        <v>0</v>
      </c>
      <c r="S766" s="53">
        <v>1.5</v>
      </c>
      <c r="T766" s="53">
        <f>STOCK[[#This Row],[Costo Unitario (USD)]]+STOCK[[#This Row],[Costo Envío (USD)]]+STOCK[[#This Row],[Comisión 10%]]</f>
        <v>20.5</v>
      </c>
      <c r="U766" s="53">
        <f>STOCK[[#This Row],[Costo total]]*1.5</f>
        <v>30.75</v>
      </c>
      <c r="V766" s="53">
        <v>20</v>
      </c>
      <c r="W766" s="53">
        <f>STOCK[[#This Row],[Precio Final]]-STOCK[[#This Row],[Costo total]]</f>
        <v>-0.5</v>
      </c>
      <c r="X766" s="53">
        <f>STOCK[[#This Row],[Ganancia Unitaria]]*STOCK[[#This Row],[Salidas]]</f>
        <v>0</v>
      </c>
      <c r="Y766" s="53" t="s">
        <v>1472</v>
      </c>
      <c r="AA766" s="53">
        <f>STOCK[[#This Row],[Costo total]]*STOCK[[#This Row],[Entradas]]</f>
        <v>0</v>
      </c>
      <c r="AB766" s="53">
        <f>STOCK[[#This Row],[Stock Actual]]*STOCK[[#This Row],[Costo total]]</f>
        <v>0</v>
      </c>
    </row>
    <row r="767" spans="1:28" s="54" customFormat="1" ht="50" customHeight="1">
      <c r="A767" s="54" t="s">
        <v>1527</v>
      </c>
      <c r="B767" s="64"/>
      <c r="C767" s="54" t="s">
        <v>32</v>
      </c>
      <c r="D767" s="54" t="s">
        <v>174</v>
      </c>
      <c r="E767" s="66" t="s">
        <v>1528</v>
      </c>
      <c r="F767" s="54" t="s">
        <v>40</v>
      </c>
      <c r="G767" s="54" t="s">
        <v>36</v>
      </c>
      <c r="H767" s="54">
        <f>STOCK[[#This Row],[Precio Final]]</f>
        <v>22</v>
      </c>
      <c r="I767" s="54">
        <f>STOCK[[#This Row],[Precio Venta Ideal (x1.5)]]</f>
        <v>25.349999999999998</v>
      </c>
      <c r="J767" s="70">
        <v>2</v>
      </c>
      <c r="K767" s="70">
        <f>SUMIFS(VENTAS[Cantidad],VENTAS[Código del producto Vendido],STOCK[[#This Row],[Code]])</f>
        <v>2</v>
      </c>
      <c r="L767" s="70">
        <f>STOCK[[#This Row],[Entradas]]-STOCK[[#This Row],[Salidas]]</f>
        <v>0</v>
      </c>
      <c r="M767" s="54">
        <f>STOCK[[#This Row],[Precio Final]]*10%</f>
        <v>2.2000000000000002</v>
      </c>
      <c r="N767" s="54">
        <v>0</v>
      </c>
      <c r="O767" s="54">
        <v>0</v>
      </c>
      <c r="P767" s="54">
        <v>13.2</v>
      </c>
      <c r="Q767" s="70">
        <v>0</v>
      </c>
      <c r="R767" s="54">
        <v>0</v>
      </c>
      <c r="S767" s="54">
        <v>1.5</v>
      </c>
      <c r="T767" s="53">
        <f>STOCK[[#This Row],[Costo Unitario (USD)]]+STOCK[[#This Row],[Costo Envío (USD)]]+STOCK[[#This Row],[Comisión 10%]]</f>
        <v>16.899999999999999</v>
      </c>
      <c r="U767" s="54">
        <f>STOCK[[#This Row],[Costo total]]*1.5</f>
        <v>25.349999999999998</v>
      </c>
      <c r="V767" s="54">
        <v>22</v>
      </c>
      <c r="W767" s="54">
        <f>STOCK[[#This Row],[Precio Final]]-STOCK[[#This Row],[Costo total]]</f>
        <v>5.1000000000000014</v>
      </c>
      <c r="X767" s="54">
        <f>STOCK[[#This Row],[Ganancia Unitaria]]*STOCK[[#This Row],[Salidas]]</f>
        <v>10.200000000000003</v>
      </c>
      <c r="Y767" s="54" t="s">
        <v>1472</v>
      </c>
      <c r="AA767" s="54">
        <f>STOCK[[#This Row],[Costo total]]*STOCK[[#This Row],[Entradas]]</f>
        <v>33.799999999999997</v>
      </c>
      <c r="AB767" s="54">
        <f>STOCK[[#This Row],[Stock Actual]]*STOCK[[#This Row],[Costo total]]</f>
        <v>0</v>
      </c>
    </row>
    <row r="768" spans="1:28" s="53" customFormat="1" ht="50" customHeight="1">
      <c r="A768" s="53" t="s">
        <v>1529</v>
      </c>
      <c r="B768" s="64"/>
      <c r="C768" s="53" t="s">
        <v>32</v>
      </c>
      <c r="D768" s="53" t="s">
        <v>152</v>
      </c>
      <c r="E768" s="65" t="s">
        <v>1486</v>
      </c>
      <c r="F768" s="53" t="s">
        <v>765</v>
      </c>
      <c r="G768" s="53" t="s">
        <v>36</v>
      </c>
      <c r="H768" s="53">
        <f>STOCK[[#This Row],[Precio Final]]</f>
        <v>35</v>
      </c>
      <c r="I768" s="53">
        <f>STOCK[[#This Row],[Precio Venta Ideal (x1.5)]]</f>
        <v>35.25</v>
      </c>
      <c r="J768" s="69">
        <v>1</v>
      </c>
      <c r="K768" s="69">
        <f>SUMIFS(VENTAS[Cantidad],VENTAS[Código del producto Vendido],STOCK[[#This Row],[Code]])</f>
        <v>1</v>
      </c>
      <c r="L768" s="69">
        <f>STOCK[[#This Row],[Entradas]]-STOCK[[#This Row],[Salidas]]</f>
        <v>0</v>
      </c>
      <c r="M768" s="53">
        <f>STOCK[[#This Row],[Precio Final]]*10%</f>
        <v>3.5</v>
      </c>
      <c r="N768" s="53">
        <v>0</v>
      </c>
      <c r="O768" s="53">
        <v>0</v>
      </c>
      <c r="P768" s="53">
        <v>18.5</v>
      </c>
      <c r="Q768" s="69">
        <v>0</v>
      </c>
      <c r="R768" s="53">
        <v>0</v>
      </c>
      <c r="S768" s="53">
        <v>1.5</v>
      </c>
      <c r="T768" s="53">
        <f>STOCK[[#This Row],[Costo Unitario (USD)]]+STOCK[[#This Row],[Costo Envío (USD)]]+STOCK[[#This Row],[Comisión 10%]]</f>
        <v>23.5</v>
      </c>
      <c r="U768" s="53">
        <f>STOCK[[#This Row],[Costo total]]*1.5</f>
        <v>35.25</v>
      </c>
      <c r="V768" s="53">
        <v>35</v>
      </c>
      <c r="W768" s="53">
        <f>STOCK[[#This Row],[Precio Final]]-STOCK[[#This Row],[Costo total]]</f>
        <v>11.5</v>
      </c>
      <c r="X768" s="53">
        <f>STOCK[[#This Row],[Ganancia Unitaria]]*STOCK[[#This Row],[Salidas]]</f>
        <v>11.5</v>
      </c>
      <c r="Y768" s="53" t="s">
        <v>1472</v>
      </c>
      <c r="AA768" s="53">
        <f>STOCK[[#This Row],[Costo total]]*STOCK[[#This Row],[Entradas]]</f>
        <v>23.5</v>
      </c>
      <c r="AB768" s="53">
        <f>STOCK[[#This Row],[Stock Actual]]*STOCK[[#This Row],[Costo total]]</f>
        <v>0</v>
      </c>
    </row>
    <row r="769" spans="1:28" s="54" customFormat="1" ht="50" customHeight="1">
      <c r="A769" s="54" t="s">
        <v>1530</v>
      </c>
      <c r="B769" s="64"/>
      <c r="C769" s="54" t="s">
        <v>32</v>
      </c>
      <c r="D769" s="54" t="s">
        <v>152</v>
      </c>
      <c r="E769" s="66" t="s">
        <v>1488</v>
      </c>
      <c r="F769" s="54" t="s">
        <v>40</v>
      </c>
      <c r="G769" s="54" t="s">
        <v>36</v>
      </c>
      <c r="H769" s="54">
        <f>STOCK[[#This Row],[Precio Final]]</f>
        <v>30</v>
      </c>
      <c r="I769" s="54">
        <f>STOCK[[#This Row],[Precio Venta Ideal (x1.5)]]</f>
        <v>30.150000000000002</v>
      </c>
      <c r="J769" s="70">
        <v>0</v>
      </c>
      <c r="K769" s="70">
        <f>SUMIFS(VENTAS[Cantidad],VENTAS[Código del producto Vendido],STOCK[[#This Row],[Code]])</f>
        <v>0</v>
      </c>
      <c r="L769" s="70">
        <f>STOCK[[#This Row],[Entradas]]-STOCK[[#This Row],[Salidas]]</f>
        <v>0</v>
      </c>
      <c r="M769" s="54">
        <f>STOCK[[#This Row],[Precio Final]]*10%</f>
        <v>3</v>
      </c>
      <c r="N769" s="54">
        <v>0</v>
      </c>
      <c r="O769" s="54">
        <v>0</v>
      </c>
      <c r="P769" s="54">
        <v>15.6</v>
      </c>
      <c r="Q769" s="70">
        <v>0</v>
      </c>
      <c r="R769" s="54">
        <v>0</v>
      </c>
      <c r="S769" s="54">
        <v>1.5</v>
      </c>
      <c r="T769" s="53">
        <f>STOCK[[#This Row],[Costo Unitario (USD)]]+STOCK[[#This Row],[Costo Envío (USD)]]+STOCK[[#This Row],[Comisión 10%]]</f>
        <v>20.100000000000001</v>
      </c>
      <c r="U769" s="54">
        <f>STOCK[[#This Row],[Costo total]]*1.5</f>
        <v>30.150000000000002</v>
      </c>
      <c r="V769" s="54">
        <v>30</v>
      </c>
      <c r="W769" s="54">
        <f>STOCK[[#This Row],[Precio Final]]-STOCK[[#This Row],[Costo total]]</f>
        <v>9.8999999999999986</v>
      </c>
      <c r="X769" s="54">
        <f>STOCK[[#This Row],[Ganancia Unitaria]]*STOCK[[#This Row],[Salidas]]</f>
        <v>0</v>
      </c>
      <c r="Y769" s="54" t="s">
        <v>1472</v>
      </c>
      <c r="AA769" s="54">
        <f>STOCK[[#This Row],[Costo total]]*STOCK[[#This Row],[Entradas]]</f>
        <v>0</v>
      </c>
      <c r="AB769" s="54">
        <f>STOCK[[#This Row],[Stock Actual]]*STOCK[[#This Row],[Costo total]]</f>
        <v>0</v>
      </c>
    </row>
    <row r="770" spans="1:28" s="53" customFormat="1" ht="50" customHeight="1">
      <c r="A770" s="53" t="s">
        <v>1531</v>
      </c>
      <c r="B770" s="64"/>
      <c r="C770" s="53" t="s">
        <v>32</v>
      </c>
      <c r="D770" s="53" t="s">
        <v>1532</v>
      </c>
      <c r="E770" s="65" t="s">
        <v>1533</v>
      </c>
      <c r="F770" s="53" t="s">
        <v>1534</v>
      </c>
      <c r="G770" s="53" t="s">
        <v>36</v>
      </c>
      <c r="H770" s="53">
        <f>STOCK[[#This Row],[Precio Final]]</f>
        <v>22</v>
      </c>
      <c r="I770" s="53">
        <f>STOCK[[#This Row],[Precio Venta Ideal (x1.5)]]</f>
        <v>25.049999999999997</v>
      </c>
      <c r="J770" s="69">
        <v>2</v>
      </c>
      <c r="K770" s="69">
        <f>SUMIFS(VENTAS[Cantidad],VENTAS[Código del producto Vendido],STOCK[[#This Row],[Code]])</f>
        <v>2</v>
      </c>
      <c r="L770" s="69">
        <f>STOCK[[#This Row],[Entradas]]-STOCK[[#This Row],[Salidas]]</f>
        <v>0</v>
      </c>
      <c r="M770" s="53">
        <f>STOCK[[#This Row],[Precio Final]]*10%</f>
        <v>2.2000000000000002</v>
      </c>
      <c r="N770" s="53">
        <v>0</v>
      </c>
      <c r="O770" s="53">
        <v>0</v>
      </c>
      <c r="P770" s="53">
        <v>13</v>
      </c>
      <c r="Q770" s="69">
        <v>0</v>
      </c>
      <c r="R770" s="53">
        <v>0</v>
      </c>
      <c r="S770" s="53">
        <v>1.5</v>
      </c>
      <c r="T770" s="53">
        <f>STOCK[[#This Row],[Costo Unitario (USD)]]+STOCK[[#This Row],[Costo Envío (USD)]]+STOCK[[#This Row],[Comisión 10%]]</f>
        <v>16.7</v>
      </c>
      <c r="U770" s="53">
        <f>STOCK[[#This Row],[Costo total]]*1.5</f>
        <v>25.049999999999997</v>
      </c>
      <c r="V770" s="53">
        <v>22</v>
      </c>
      <c r="W770" s="53">
        <f>STOCK[[#This Row],[Precio Final]]-STOCK[[#This Row],[Costo total]]</f>
        <v>5.3000000000000007</v>
      </c>
      <c r="X770" s="53">
        <f>STOCK[[#This Row],[Ganancia Unitaria]]*STOCK[[#This Row],[Salidas]]</f>
        <v>10.600000000000001</v>
      </c>
      <c r="Y770" s="53" t="s">
        <v>1472</v>
      </c>
      <c r="AA770" s="53">
        <f>STOCK[[#This Row],[Costo total]]*STOCK[[#This Row],[Entradas]]</f>
        <v>33.4</v>
      </c>
      <c r="AB770" s="53">
        <f>STOCK[[#This Row],[Stock Actual]]*STOCK[[#This Row],[Costo total]]</f>
        <v>0</v>
      </c>
    </row>
    <row r="771" spans="1:28" s="54" customFormat="1" ht="50" customHeight="1">
      <c r="A771" s="54" t="s">
        <v>1535</v>
      </c>
      <c r="B771" s="64"/>
      <c r="C771" s="54" t="s">
        <v>32</v>
      </c>
      <c r="D771" s="54" t="s">
        <v>174</v>
      </c>
      <c r="E771" s="66" t="s">
        <v>1536</v>
      </c>
      <c r="F771" s="54" t="s">
        <v>49</v>
      </c>
      <c r="G771" s="54" t="s">
        <v>36</v>
      </c>
      <c r="H771" s="54">
        <f>STOCK[[#This Row],[Precio Final]]</f>
        <v>22</v>
      </c>
      <c r="I771" s="54">
        <f>STOCK[[#This Row],[Precio Venta Ideal (x1.5)]]</f>
        <v>25.349999999999998</v>
      </c>
      <c r="J771" s="70">
        <v>1</v>
      </c>
      <c r="K771" s="70">
        <f>SUMIFS(VENTAS[Cantidad],VENTAS[Código del producto Vendido],STOCK[[#This Row],[Code]])</f>
        <v>1</v>
      </c>
      <c r="L771" s="70">
        <f>STOCK[[#This Row],[Entradas]]-STOCK[[#This Row],[Salidas]]</f>
        <v>0</v>
      </c>
      <c r="M771" s="54">
        <f>STOCK[[#This Row],[Precio Final]]*10%</f>
        <v>2.2000000000000002</v>
      </c>
      <c r="N771" s="54">
        <v>0</v>
      </c>
      <c r="O771" s="54">
        <v>0</v>
      </c>
      <c r="P771" s="54">
        <v>13.2</v>
      </c>
      <c r="Q771" s="70">
        <v>0</v>
      </c>
      <c r="R771" s="54">
        <v>0</v>
      </c>
      <c r="S771" s="54">
        <v>1.5</v>
      </c>
      <c r="T771" s="53">
        <f>STOCK[[#This Row],[Costo Unitario (USD)]]+STOCK[[#This Row],[Costo Envío (USD)]]+STOCK[[#This Row],[Comisión 10%]]</f>
        <v>16.899999999999999</v>
      </c>
      <c r="U771" s="54">
        <f>STOCK[[#This Row],[Costo total]]*1.5</f>
        <v>25.349999999999998</v>
      </c>
      <c r="V771" s="54">
        <v>22</v>
      </c>
      <c r="W771" s="54">
        <f>STOCK[[#This Row],[Precio Final]]-STOCK[[#This Row],[Costo total]]</f>
        <v>5.1000000000000014</v>
      </c>
      <c r="X771" s="54">
        <f>STOCK[[#This Row],[Ganancia Unitaria]]*STOCK[[#This Row],[Salidas]]</f>
        <v>5.1000000000000014</v>
      </c>
      <c r="Y771" s="54" t="s">
        <v>1472</v>
      </c>
      <c r="AA771" s="54">
        <f>STOCK[[#This Row],[Costo total]]*STOCK[[#This Row],[Entradas]]</f>
        <v>16.899999999999999</v>
      </c>
      <c r="AB771" s="54">
        <f>STOCK[[#This Row],[Stock Actual]]*STOCK[[#This Row],[Costo total]]</f>
        <v>0</v>
      </c>
    </row>
    <row r="772" spans="1:28" s="53" customFormat="1" ht="50" customHeight="1">
      <c r="A772" s="53" t="s">
        <v>1537</v>
      </c>
      <c r="B772" s="64"/>
      <c r="C772" s="53" t="s">
        <v>32</v>
      </c>
      <c r="D772" s="53" t="s">
        <v>515</v>
      </c>
      <c r="E772" s="65" t="s">
        <v>1483</v>
      </c>
      <c r="F772" s="53" t="s">
        <v>40</v>
      </c>
      <c r="G772" s="53" t="s">
        <v>36</v>
      </c>
      <c r="H772" s="53">
        <f>STOCK[[#This Row],[Precio Final]]</f>
        <v>50</v>
      </c>
      <c r="I772" s="53">
        <f>STOCK[[#This Row],[Precio Venta Ideal (x1.5)]]</f>
        <v>47.25</v>
      </c>
      <c r="J772" s="69">
        <v>0</v>
      </c>
      <c r="K772" s="69">
        <f>SUMIFS(VENTAS[Cantidad],VENTAS[Código del producto Vendido],STOCK[[#This Row],[Code]])</f>
        <v>0</v>
      </c>
      <c r="L772" s="69">
        <f>STOCK[[#This Row],[Entradas]]-STOCK[[#This Row],[Salidas]]</f>
        <v>0</v>
      </c>
      <c r="M772" s="53">
        <f>STOCK[[#This Row],[Precio Final]]*10%</f>
        <v>5</v>
      </c>
      <c r="N772" s="53">
        <v>0</v>
      </c>
      <c r="O772" s="53">
        <v>0</v>
      </c>
      <c r="P772" s="53">
        <v>25</v>
      </c>
      <c r="Q772" s="69">
        <v>0</v>
      </c>
      <c r="R772" s="53">
        <v>0</v>
      </c>
      <c r="S772" s="53">
        <v>1.5</v>
      </c>
      <c r="T772" s="53">
        <f>STOCK[[#This Row],[Costo Unitario (USD)]]+STOCK[[#This Row],[Costo Envío (USD)]]+STOCK[[#This Row],[Comisión 10%]]</f>
        <v>31.5</v>
      </c>
      <c r="U772" s="53">
        <f>STOCK[[#This Row],[Costo total]]*1.5</f>
        <v>47.25</v>
      </c>
      <c r="V772" s="53">
        <v>50</v>
      </c>
      <c r="W772" s="53">
        <f>STOCK[[#This Row],[Precio Final]]-STOCK[[#This Row],[Costo total]]</f>
        <v>18.5</v>
      </c>
      <c r="X772" s="53">
        <f>STOCK[[#This Row],[Ganancia Unitaria]]*STOCK[[#This Row],[Salidas]]</f>
        <v>0</v>
      </c>
      <c r="Y772" s="53" t="s">
        <v>1472</v>
      </c>
      <c r="AA772" s="53">
        <f>STOCK[[#This Row],[Costo total]]*STOCK[[#This Row],[Entradas]]</f>
        <v>0</v>
      </c>
      <c r="AB772" s="53">
        <f>STOCK[[#This Row],[Stock Actual]]*STOCK[[#This Row],[Costo total]]</f>
        <v>0</v>
      </c>
    </row>
    <row r="773" spans="1:28" s="54" customFormat="1" ht="50" customHeight="1">
      <c r="A773" s="54" t="s">
        <v>1538</v>
      </c>
      <c r="B773" s="64"/>
      <c r="C773" s="54" t="s">
        <v>32</v>
      </c>
      <c r="D773" s="54" t="s">
        <v>152</v>
      </c>
      <c r="E773" s="66" t="s">
        <v>1539</v>
      </c>
      <c r="F773" s="54" t="s">
        <v>40</v>
      </c>
      <c r="G773" s="54" t="s">
        <v>36</v>
      </c>
      <c r="H773" s="54">
        <f>STOCK[[#This Row],[Precio Final]]</f>
        <v>25</v>
      </c>
      <c r="I773" s="54">
        <f>STOCK[[#This Row],[Precio Venta Ideal (x1.5)]]</f>
        <v>26.25</v>
      </c>
      <c r="J773" s="70">
        <v>1</v>
      </c>
      <c r="K773" s="70">
        <f>SUMIFS(VENTAS[Cantidad],VENTAS[Código del producto Vendido],STOCK[[#This Row],[Code]])</f>
        <v>1</v>
      </c>
      <c r="L773" s="70">
        <f>STOCK[[#This Row],[Entradas]]-STOCK[[#This Row],[Salidas]]</f>
        <v>0</v>
      </c>
      <c r="M773" s="54">
        <f>STOCK[[#This Row],[Precio Final]]*10%</f>
        <v>2.5</v>
      </c>
      <c r="N773" s="54">
        <v>0</v>
      </c>
      <c r="O773" s="54">
        <v>0</v>
      </c>
      <c r="P773" s="54">
        <v>13.5</v>
      </c>
      <c r="Q773" s="70">
        <v>0</v>
      </c>
      <c r="R773" s="54">
        <v>0</v>
      </c>
      <c r="S773" s="54">
        <v>1.5</v>
      </c>
      <c r="T773" s="53">
        <f>STOCK[[#This Row],[Costo Unitario (USD)]]+STOCK[[#This Row],[Costo Envío (USD)]]+STOCK[[#This Row],[Comisión 10%]]</f>
        <v>17.5</v>
      </c>
      <c r="U773" s="54">
        <f>STOCK[[#This Row],[Costo total]]*1.5</f>
        <v>26.25</v>
      </c>
      <c r="V773" s="54">
        <v>25</v>
      </c>
      <c r="W773" s="54">
        <f>STOCK[[#This Row],[Precio Final]]-STOCK[[#This Row],[Costo total]]</f>
        <v>7.5</v>
      </c>
      <c r="X773" s="54">
        <f>STOCK[[#This Row],[Ganancia Unitaria]]*STOCK[[#This Row],[Salidas]]</f>
        <v>7.5</v>
      </c>
      <c r="Y773" s="54" t="s">
        <v>1472</v>
      </c>
      <c r="AA773" s="54">
        <f>STOCK[[#This Row],[Costo total]]*STOCK[[#This Row],[Entradas]]</f>
        <v>17.5</v>
      </c>
      <c r="AB773" s="54">
        <f>STOCK[[#This Row],[Stock Actual]]*STOCK[[#This Row],[Costo total]]</f>
        <v>0</v>
      </c>
    </row>
    <row r="774" spans="1:28" s="53" customFormat="1" ht="50" customHeight="1">
      <c r="A774" s="53" t="s">
        <v>1540</v>
      </c>
      <c r="B774" s="64"/>
      <c r="C774" s="53" t="s">
        <v>32</v>
      </c>
      <c r="D774" s="53" t="s">
        <v>351</v>
      </c>
      <c r="E774" s="65" t="s">
        <v>1541</v>
      </c>
      <c r="F774" s="53" t="s">
        <v>394</v>
      </c>
      <c r="G774" s="53" t="s">
        <v>36</v>
      </c>
      <c r="H774" s="53">
        <f>STOCK[[#This Row],[Precio Final]]</f>
        <v>5</v>
      </c>
      <c r="I774" s="53">
        <f>STOCK[[#This Row],[Precio Venta Ideal (x1.5)]]</f>
        <v>7.3500000000000005</v>
      </c>
      <c r="J774" s="69">
        <v>1</v>
      </c>
      <c r="K774" s="69">
        <f>SUMIFS(VENTAS[Cantidad],VENTAS[Código del producto Vendido],STOCK[[#This Row],[Code]])</f>
        <v>1</v>
      </c>
      <c r="L774" s="69">
        <f>STOCK[[#This Row],[Entradas]]-STOCK[[#This Row],[Salidas]]</f>
        <v>0</v>
      </c>
      <c r="M774" s="53">
        <f>STOCK[[#This Row],[Precio Final]]*10%</f>
        <v>0.5</v>
      </c>
      <c r="N774" s="53">
        <v>0</v>
      </c>
      <c r="O774" s="53">
        <v>0</v>
      </c>
      <c r="P774" s="53">
        <v>2.9</v>
      </c>
      <c r="Q774" s="69">
        <v>0</v>
      </c>
      <c r="R774" s="53">
        <v>0</v>
      </c>
      <c r="S774" s="53">
        <v>1.5</v>
      </c>
      <c r="T774" s="53">
        <f>STOCK[[#This Row],[Costo Unitario (USD)]]+STOCK[[#This Row],[Costo Envío (USD)]]+STOCK[[#This Row],[Comisión 10%]]</f>
        <v>4.9000000000000004</v>
      </c>
      <c r="U774" s="53">
        <f>STOCK[[#This Row],[Costo total]]*1.5</f>
        <v>7.3500000000000005</v>
      </c>
      <c r="V774" s="53">
        <v>5</v>
      </c>
      <c r="W774" s="53">
        <f>STOCK[[#This Row],[Precio Final]]-STOCK[[#This Row],[Costo total]]</f>
        <v>9.9999999999999645E-2</v>
      </c>
      <c r="X774" s="53">
        <f>STOCK[[#This Row],[Ganancia Unitaria]]*STOCK[[#This Row],[Salidas]]</f>
        <v>9.9999999999999645E-2</v>
      </c>
      <c r="Y774" s="53" t="s">
        <v>1472</v>
      </c>
      <c r="AA774" s="53">
        <f>STOCK[[#This Row],[Costo total]]*STOCK[[#This Row],[Entradas]]</f>
        <v>4.9000000000000004</v>
      </c>
      <c r="AB774" s="53">
        <f>STOCK[[#This Row],[Stock Actual]]*STOCK[[#This Row],[Costo total]]</f>
        <v>0</v>
      </c>
    </row>
    <row r="775" spans="1:28" s="54" customFormat="1" ht="50" customHeight="1">
      <c r="A775" s="54" t="s">
        <v>1542</v>
      </c>
      <c r="B775" s="64"/>
      <c r="C775" s="54" t="s">
        <v>32</v>
      </c>
      <c r="D775" s="54" t="s">
        <v>351</v>
      </c>
      <c r="E775" s="66" t="s">
        <v>1543</v>
      </c>
      <c r="F775" s="54" t="s">
        <v>394</v>
      </c>
      <c r="G775" s="54" t="s">
        <v>36</v>
      </c>
      <c r="H775" s="54">
        <f>STOCK[[#This Row],[Precio Final]]</f>
        <v>8</v>
      </c>
      <c r="I775" s="54">
        <f>STOCK[[#This Row],[Precio Venta Ideal (x1.5)]]</f>
        <v>10.5</v>
      </c>
      <c r="J775" s="70">
        <v>1</v>
      </c>
      <c r="K775" s="70">
        <f>SUMIFS(VENTAS[Cantidad],VENTAS[Código del producto Vendido],STOCK[[#This Row],[Code]])</f>
        <v>1</v>
      </c>
      <c r="L775" s="70">
        <f>STOCK[[#This Row],[Entradas]]-STOCK[[#This Row],[Salidas]]</f>
        <v>0</v>
      </c>
      <c r="M775" s="54">
        <f>STOCK[[#This Row],[Precio Final]]*10%</f>
        <v>0.8</v>
      </c>
      <c r="N775" s="54">
        <v>0</v>
      </c>
      <c r="O775" s="54">
        <v>0</v>
      </c>
      <c r="P775" s="54">
        <v>4.7</v>
      </c>
      <c r="Q775" s="70">
        <v>0</v>
      </c>
      <c r="R775" s="54">
        <v>0</v>
      </c>
      <c r="S775" s="54">
        <v>1.5</v>
      </c>
      <c r="T775" s="53">
        <f>STOCK[[#This Row],[Costo Unitario (USD)]]+STOCK[[#This Row],[Costo Envío (USD)]]+STOCK[[#This Row],[Comisión 10%]]</f>
        <v>7</v>
      </c>
      <c r="U775" s="54">
        <f>STOCK[[#This Row],[Costo total]]*1.5</f>
        <v>10.5</v>
      </c>
      <c r="V775" s="54">
        <v>8</v>
      </c>
      <c r="W775" s="54">
        <f>STOCK[[#This Row],[Precio Final]]-STOCK[[#This Row],[Costo total]]</f>
        <v>1</v>
      </c>
      <c r="X775" s="54">
        <f>STOCK[[#This Row],[Ganancia Unitaria]]*STOCK[[#This Row],[Salidas]]</f>
        <v>1</v>
      </c>
      <c r="Y775" s="54" t="s">
        <v>1472</v>
      </c>
      <c r="AA775" s="54">
        <f>STOCK[[#This Row],[Costo total]]*STOCK[[#This Row],[Entradas]]</f>
        <v>7</v>
      </c>
      <c r="AB775" s="54">
        <f>STOCK[[#This Row],[Stock Actual]]*STOCK[[#This Row],[Costo total]]</f>
        <v>0</v>
      </c>
    </row>
    <row r="776" spans="1:28" s="53" customFormat="1" ht="50" customHeight="1">
      <c r="A776" s="53" t="s">
        <v>1544</v>
      </c>
      <c r="B776" s="64"/>
      <c r="C776" s="53" t="s">
        <v>32</v>
      </c>
      <c r="D776" s="53" t="s">
        <v>351</v>
      </c>
      <c r="E776" s="65" t="s">
        <v>1545</v>
      </c>
      <c r="F776" s="53" t="s">
        <v>394</v>
      </c>
      <c r="G776" s="53" t="s">
        <v>36</v>
      </c>
      <c r="H776" s="53">
        <f>STOCK[[#This Row],[Precio Final]]</f>
        <v>5</v>
      </c>
      <c r="I776" s="53">
        <f>STOCK[[#This Row],[Precio Venta Ideal (x1.5)]]</f>
        <v>7.080000000000001</v>
      </c>
      <c r="J776" s="69">
        <v>1</v>
      </c>
      <c r="K776" s="69">
        <f>SUMIFS(VENTAS[Cantidad],VENTAS[Código del producto Vendido],STOCK[[#This Row],[Code]])</f>
        <v>1</v>
      </c>
      <c r="L776" s="69">
        <f>STOCK[[#This Row],[Entradas]]-STOCK[[#This Row],[Salidas]]</f>
        <v>0</v>
      </c>
      <c r="M776" s="53">
        <f>STOCK[[#This Row],[Precio Final]]*10%</f>
        <v>0.5</v>
      </c>
      <c r="N776" s="53">
        <v>0</v>
      </c>
      <c r="O776" s="53">
        <v>0</v>
      </c>
      <c r="P776" s="53">
        <v>2.72</v>
      </c>
      <c r="Q776" s="69">
        <v>0</v>
      </c>
      <c r="R776" s="53">
        <v>0</v>
      </c>
      <c r="S776" s="53">
        <v>1.5</v>
      </c>
      <c r="T776" s="53">
        <f>STOCK[[#This Row],[Costo Unitario (USD)]]+STOCK[[#This Row],[Costo Envío (USD)]]+STOCK[[#This Row],[Comisión 10%]]</f>
        <v>4.7200000000000006</v>
      </c>
      <c r="U776" s="53">
        <f>STOCK[[#This Row],[Costo total]]*1.5</f>
        <v>7.080000000000001</v>
      </c>
      <c r="V776" s="53">
        <v>5</v>
      </c>
      <c r="W776" s="53">
        <f>STOCK[[#This Row],[Precio Final]]-STOCK[[#This Row],[Costo total]]</f>
        <v>0.27999999999999936</v>
      </c>
      <c r="X776" s="53">
        <f>STOCK[[#This Row],[Ganancia Unitaria]]*STOCK[[#This Row],[Salidas]]</f>
        <v>0.27999999999999936</v>
      </c>
      <c r="Y776" s="53" t="s">
        <v>1472</v>
      </c>
      <c r="AA776" s="53">
        <f>STOCK[[#This Row],[Costo total]]*STOCK[[#This Row],[Entradas]]</f>
        <v>4.7200000000000006</v>
      </c>
      <c r="AB776" s="53">
        <f>STOCK[[#This Row],[Stock Actual]]*STOCK[[#This Row],[Costo total]]</f>
        <v>0</v>
      </c>
    </row>
    <row r="777" spans="1:28" s="54" customFormat="1" ht="50" customHeight="1">
      <c r="A777" s="54" t="s">
        <v>1546</v>
      </c>
      <c r="B777" s="64"/>
      <c r="C777" s="54" t="s">
        <v>32</v>
      </c>
      <c r="D777" s="54" t="s">
        <v>1547</v>
      </c>
      <c r="E777" s="66" t="s">
        <v>1541</v>
      </c>
      <c r="F777" s="54" t="s">
        <v>394</v>
      </c>
      <c r="G777" s="54" t="s">
        <v>36</v>
      </c>
      <c r="H777" s="54">
        <f>STOCK[[#This Row],[Precio Final]]</f>
        <v>7</v>
      </c>
      <c r="I777" s="54">
        <f>STOCK[[#This Row],[Precio Venta Ideal (x1.5)]]</f>
        <v>10.125</v>
      </c>
      <c r="J777" s="70">
        <v>1</v>
      </c>
      <c r="K777" s="70">
        <f>SUMIFS(VENTAS[Cantidad],VENTAS[Código del producto Vendido],STOCK[[#This Row],[Code]])</f>
        <v>1</v>
      </c>
      <c r="L777" s="70">
        <f>STOCK[[#This Row],[Entradas]]-STOCK[[#This Row],[Salidas]]</f>
        <v>0</v>
      </c>
      <c r="M777" s="54">
        <f>STOCK[[#This Row],[Precio Final]]*10%</f>
        <v>0.70000000000000007</v>
      </c>
      <c r="N777" s="54">
        <v>0</v>
      </c>
      <c r="O777" s="54">
        <v>0</v>
      </c>
      <c r="P777" s="54">
        <v>4.55</v>
      </c>
      <c r="Q777" s="70">
        <v>0</v>
      </c>
      <c r="R777" s="54">
        <v>0</v>
      </c>
      <c r="S777" s="54">
        <v>1.5</v>
      </c>
      <c r="T777" s="53">
        <f>STOCK[[#This Row],[Costo Unitario (USD)]]+STOCK[[#This Row],[Costo Envío (USD)]]+STOCK[[#This Row],[Comisión 10%]]</f>
        <v>6.75</v>
      </c>
      <c r="U777" s="54">
        <f>STOCK[[#This Row],[Costo total]]*1.5</f>
        <v>10.125</v>
      </c>
      <c r="V777" s="54">
        <v>7</v>
      </c>
      <c r="W777" s="54">
        <f>STOCK[[#This Row],[Precio Final]]-STOCK[[#This Row],[Costo total]]</f>
        <v>0.25</v>
      </c>
      <c r="X777" s="54">
        <f>STOCK[[#This Row],[Ganancia Unitaria]]*STOCK[[#This Row],[Salidas]]</f>
        <v>0.25</v>
      </c>
      <c r="Y777" s="54" t="s">
        <v>1472</v>
      </c>
      <c r="AA777" s="54">
        <f>STOCK[[#This Row],[Costo total]]*STOCK[[#This Row],[Entradas]]</f>
        <v>6.75</v>
      </c>
      <c r="AB777" s="54">
        <f>STOCK[[#This Row],[Stock Actual]]*STOCK[[#This Row],[Costo total]]</f>
        <v>0</v>
      </c>
    </row>
    <row r="778" spans="1:28" s="53" customFormat="1" ht="50" customHeight="1">
      <c r="A778" s="53" t="s">
        <v>1548</v>
      </c>
      <c r="B778" s="64"/>
      <c r="C778" s="53" t="s">
        <v>32</v>
      </c>
      <c r="D778" s="53" t="s">
        <v>1549</v>
      </c>
      <c r="E778" s="65" t="s">
        <v>1550</v>
      </c>
      <c r="F778" s="53" t="s">
        <v>765</v>
      </c>
      <c r="G778" s="53" t="s">
        <v>36</v>
      </c>
      <c r="H778" s="53">
        <f>STOCK[[#This Row],[Precio Final]]</f>
        <v>3</v>
      </c>
      <c r="I778" s="53">
        <f>STOCK[[#This Row],[Precio Venta Ideal (x1.5)]]</f>
        <v>5.3249999999999993</v>
      </c>
      <c r="J778" s="69">
        <v>1</v>
      </c>
      <c r="K778" s="69">
        <f>SUMIFS(VENTAS[Cantidad],VENTAS[Código del producto Vendido],STOCK[[#This Row],[Code]])</f>
        <v>1</v>
      </c>
      <c r="L778" s="69">
        <f>STOCK[[#This Row],[Entradas]]-STOCK[[#This Row],[Salidas]]</f>
        <v>0</v>
      </c>
      <c r="M778" s="53">
        <f>STOCK[[#This Row],[Precio Final]]*10%</f>
        <v>0.30000000000000004</v>
      </c>
      <c r="N778" s="53">
        <v>0</v>
      </c>
      <c r="O778" s="53">
        <v>0</v>
      </c>
      <c r="P778" s="53">
        <v>1.75</v>
      </c>
      <c r="Q778" s="69">
        <v>0</v>
      </c>
      <c r="R778" s="53">
        <v>0</v>
      </c>
      <c r="S778" s="53">
        <v>1.5</v>
      </c>
      <c r="T778" s="53">
        <f>STOCK[[#This Row],[Costo Unitario (USD)]]+STOCK[[#This Row],[Costo Envío (USD)]]+STOCK[[#This Row],[Comisión 10%]]</f>
        <v>3.55</v>
      </c>
      <c r="U778" s="53">
        <f>STOCK[[#This Row],[Costo total]]*1.5</f>
        <v>5.3249999999999993</v>
      </c>
      <c r="V778" s="53">
        <v>3</v>
      </c>
      <c r="W778" s="53">
        <f>STOCK[[#This Row],[Precio Final]]-STOCK[[#This Row],[Costo total]]</f>
        <v>-0.54999999999999982</v>
      </c>
      <c r="X778" s="53">
        <f>STOCK[[#This Row],[Ganancia Unitaria]]*STOCK[[#This Row],[Salidas]]</f>
        <v>-0.54999999999999982</v>
      </c>
      <c r="Y778" s="53" t="s">
        <v>1472</v>
      </c>
      <c r="AA778" s="53">
        <f>STOCK[[#This Row],[Costo total]]*STOCK[[#This Row],[Entradas]]</f>
        <v>3.55</v>
      </c>
      <c r="AB778" s="53">
        <f>STOCK[[#This Row],[Stock Actual]]*STOCK[[#This Row],[Costo total]]</f>
        <v>0</v>
      </c>
    </row>
    <row r="779" spans="1:28" s="54" customFormat="1" ht="50" customHeight="1">
      <c r="A779" s="54" t="s">
        <v>1551</v>
      </c>
      <c r="B779" s="64"/>
      <c r="C779" s="54" t="s">
        <v>32</v>
      </c>
      <c r="D779" s="54" t="s">
        <v>1549</v>
      </c>
      <c r="E779" s="66" t="s">
        <v>1552</v>
      </c>
      <c r="F779" s="54" t="s">
        <v>540</v>
      </c>
      <c r="G779" s="54" t="s">
        <v>36</v>
      </c>
      <c r="H779" s="54">
        <f>STOCK[[#This Row],[Precio Final]]</f>
        <v>3</v>
      </c>
      <c r="I779" s="54">
        <f>STOCK[[#This Row],[Precio Venta Ideal (x1.5)]]</f>
        <v>5.6999999999999993</v>
      </c>
      <c r="J779" s="70">
        <v>1</v>
      </c>
      <c r="K779" s="70">
        <f>SUMIFS(VENTAS[Cantidad],VENTAS[Código del producto Vendido],STOCK[[#This Row],[Code]])</f>
        <v>1</v>
      </c>
      <c r="L779" s="70">
        <f>STOCK[[#This Row],[Entradas]]-STOCK[[#This Row],[Salidas]]</f>
        <v>0</v>
      </c>
      <c r="M779" s="54">
        <f>STOCK[[#This Row],[Precio Final]]*10%</f>
        <v>0.30000000000000004</v>
      </c>
      <c r="N779" s="54">
        <v>0</v>
      </c>
      <c r="O779" s="54">
        <v>0</v>
      </c>
      <c r="P779" s="54">
        <v>2</v>
      </c>
      <c r="Q779" s="70">
        <v>0</v>
      </c>
      <c r="R779" s="54">
        <v>0</v>
      </c>
      <c r="S779" s="54">
        <v>1.5</v>
      </c>
      <c r="T779" s="53">
        <f>STOCK[[#This Row],[Costo Unitario (USD)]]+STOCK[[#This Row],[Costo Envío (USD)]]+STOCK[[#This Row],[Comisión 10%]]</f>
        <v>3.8</v>
      </c>
      <c r="U779" s="54">
        <f>STOCK[[#This Row],[Costo total]]*1.5</f>
        <v>5.6999999999999993</v>
      </c>
      <c r="V779" s="54">
        <v>3</v>
      </c>
      <c r="W779" s="54">
        <f>STOCK[[#This Row],[Precio Final]]-STOCK[[#This Row],[Costo total]]</f>
        <v>-0.79999999999999982</v>
      </c>
      <c r="X779" s="54">
        <f>STOCK[[#This Row],[Ganancia Unitaria]]*STOCK[[#This Row],[Salidas]]</f>
        <v>-0.79999999999999982</v>
      </c>
      <c r="Y779" s="54" t="s">
        <v>1472</v>
      </c>
      <c r="AA779" s="54">
        <f>STOCK[[#This Row],[Costo total]]*STOCK[[#This Row],[Entradas]]</f>
        <v>3.8</v>
      </c>
      <c r="AB779" s="54">
        <f>STOCK[[#This Row],[Stock Actual]]*STOCK[[#This Row],[Costo total]]</f>
        <v>0</v>
      </c>
    </row>
    <row r="780" spans="1:28" s="53" customFormat="1" ht="50" customHeight="1">
      <c r="A780" s="53" t="s">
        <v>1553</v>
      </c>
      <c r="B780" s="64"/>
      <c r="C780" s="53" t="s">
        <v>32</v>
      </c>
      <c r="D780" s="53" t="s">
        <v>1554</v>
      </c>
      <c r="E780" s="65" t="s">
        <v>1555</v>
      </c>
      <c r="F780" s="53" t="s">
        <v>540</v>
      </c>
      <c r="G780" s="53" t="s">
        <v>704</v>
      </c>
      <c r="H780" s="53">
        <f>STOCK[[#This Row],[Precio Final]]</f>
        <v>55</v>
      </c>
      <c r="I780" s="53">
        <f>STOCK[[#This Row],[Precio Venta Ideal (x1.5)]]</f>
        <v>68.25</v>
      </c>
      <c r="J780" s="69">
        <v>1</v>
      </c>
      <c r="K780" s="69">
        <f>SUMIFS(VENTAS[Cantidad],VENTAS[Código del producto Vendido],STOCK[[#This Row],[Code]])</f>
        <v>1</v>
      </c>
      <c r="L780" s="69">
        <f>STOCK[[#This Row],[Entradas]]-STOCK[[#This Row],[Salidas]]</f>
        <v>0</v>
      </c>
      <c r="M780" s="53">
        <f>STOCK[[#This Row],[Precio Final]]*10%</f>
        <v>5.5</v>
      </c>
      <c r="N780" s="53">
        <v>0</v>
      </c>
      <c r="O780" s="53">
        <v>0</v>
      </c>
      <c r="P780" s="53">
        <v>32</v>
      </c>
      <c r="Q780" s="69">
        <v>0</v>
      </c>
      <c r="R780" s="53">
        <v>0</v>
      </c>
      <c r="S780" s="53">
        <v>8</v>
      </c>
      <c r="T780" s="53">
        <f>STOCK[[#This Row],[Costo Unitario (USD)]]+STOCK[[#This Row],[Costo Envío (USD)]]+STOCK[[#This Row],[Comisión 10%]]</f>
        <v>45.5</v>
      </c>
      <c r="U780" s="53">
        <f>STOCK[[#This Row],[Costo total]]*1.5</f>
        <v>68.25</v>
      </c>
      <c r="V780" s="53">
        <v>55</v>
      </c>
      <c r="W780" s="53">
        <f>STOCK[[#This Row],[Precio Final]]-STOCK[[#This Row],[Costo total]]</f>
        <v>9.5</v>
      </c>
      <c r="X780" s="53">
        <f>STOCK[[#This Row],[Ganancia Unitaria]]*STOCK[[#This Row],[Salidas]]</f>
        <v>9.5</v>
      </c>
      <c r="AA780" s="53">
        <f>STOCK[[#This Row],[Costo total]]*STOCK[[#This Row],[Entradas]]</f>
        <v>45.5</v>
      </c>
      <c r="AB780" s="53">
        <f>STOCK[[#This Row],[Stock Actual]]*STOCK[[#This Row],[Costo total]]</f>
        <v>0</v>
      </c>
    </row>
    <row r="781" spans="1:28" s="54" customFormat="1" ht="50" customHeight="1">
      <c r="A781" s="54" t="s">
        <v>1556</v>
      </c>
      <c r="B781" s="64"/>
      <c r="C781" s="54" t="s">
        <v>32</v>
      </c>
      <c r="D781" s="54" t="s">
        <v>515</v>
      </c>
      <c r="E781" s="66" t="s">
        <v>1557</v>
      </c>
      <c r="F781" s="54" t="s">
        <v>40</v>
      </c>
      <c r="G781" s="54" t="s">
        <v>704</v>
      </c>
      <c r="H781" s="54">
        <f>STOCK[[#This Row],[Precio Final]]</f>
        <v>90</v>
      </c>
      <c r="I781" s="54">
        <f>STOCK[[#This Row],[Precio Venta Ideal (x1.5)]]</f>
        <v>130.5</v>
      </c>
      <c r="J781" s="70">
        <v>1</v>
      </c>
      <c r="K781" s="70">
        <f>SUMIFS(VENTAS[Cantidad],VENTAS[Código del producto Vendido],STOCK[[#This Row],[Code]])</f>
        <v>1</v>
      </c>
      <c r="L781" s="70">
        <f>STOCK[[#This Row],[Entradas]]-STOCK[[#This Row],[Salidas]]</f>
        <v>0</v>
      </c>
      <c r="M781" s="54">
        <f>STOCK[[#This Row],[Precio Final]]*10%</f>
        <v>9</v>
      </c>
      <c r="N781" s="54">
        <v>0</v>
      </c>
      <c r="O781" s="54">
        <v>0</v>
      </c>
      <c r="P781" s="54">
        <v>63</v>
      </c>
      <c r="Q781" s="70">
        <v>0</v>
      </c>
      <c r="R781" s="54">
        <v>0</v>
      </c>
      <c r="S781" s="54">
        <v>15</v>
      </c>
      <c r="T781" s="53">
        <f>STOCK[[#This Row],[Costo Unitario (USD)]]+STOCK[[#This Row],[Costo Envío (USD)]]+STOCK[[#This Row],[Comisión 10%]]</f>
        <v>87</v>
      </c>
      <c r="U781" s="54">
        <f>STOCK[[#This Row],[Costo total]]*1.5</f>
        <v>130.5</v>
      </c>
      <c r="V781" s="54">
        <v>90</v>
      </c>
      <c r="W781" s="54">
        <f>STOCK[[#This Row],[Precio Final]]-STOCK[[#This Row],[Costo total]]</f>
        <v>3</v>
      </c>
      <c r="X781" s="54">
        <f>STOCK[[#This Row],[Ganancia Unitaria]]*STOCK[[#This Row],[Salidas]]</f>
        <v>3</v>
      </c>
      <c r="AA781" s="54">
        <f>STOCK[[#This Row],[Costo total]]*STOCK[[#This Row],[Entradas]]</f>
        <v>87</v>
      </c>
      <c r="AB781" s="54">
        <f>STOCK[[#This Row],[Stock Actual]]*STOCK[[#This Row],[Costo total]]</f>
        <v>0</v>
      </c>
    </row>
    <row r="782" spans="1:28" s="53" customFormat="1" ht="50" customHeight="1">
      <c r="A782" s="53" t="s">
        <v>1558</v>
      </c>
      <c r="B782" s="64"/>
      <c r="C782" s="53" t="s">
        <v>32</v>
      </c>
      <c r="D782" s="53" t="s">
        <v>779</v>
      </c>
      <c r="E782" s="65" t="s">
        <v>1559</v>
      </c>
      <c r="F782" s="53" t="s">
        <v>40</v>
      </c>
      <c r="G782" s="53" t="s">
        <v>704</v>
      </c>
      <c r="H782" s="53">
        <f>STOCK[[#This Row],[Precio Final]]</f>
        <v>20</v>
      </c>
      <c r="I782" s="53">
        <f>STOCK[[#This Row],[Precio Venta Ideal (x1.5)]]</f>
        <v>24.674999999999997</v>
      </c>
      <c r="J782" s="69">
        <v>1</v>
      </c>
      <c r="K782" s="69">
        <f>SUMIFS(VENTAS[Cantidad],VENTAS[Código del producto Vendido],STOCK[[#This Row],[Code]])</f>
        <v>0</v>
      </c>
      <c r="L782" s="69">
        <f>STOCK[[#This Row],[Entradas]]-STOCK[[#This Row],[Salidas]]</f>
        <v>1</v>
      </c>
      <c r="M782" s="53">
        <f>STOCK[[#This Row],[Precio Final]]*10%</f>
        <v>2</v>
      </c>
      <c r="N782" s="53">
        <v>0</v>
      </c>
      <c r="O782" s="53">
        <v>0</v>
      </c>
      <c r="P782" s="53">
        <v>12.45</v>
      </c>
      <c r="Q782" s="69">
        <v>0</v>
      </c>
      <c r="R782" s="53">
        <v>0</v>
      </c>
      <c r="S782" s="53">
        <v>2</v>
      </c>
      <c r="T782" s="53">
        <f>STOCK[[#This Row],[Costo Unitario (USD)]]+STOCK[[#This Row],[Costo Envío (USD)]]+STOCK[[#This Row],[Comisión 10%]]</f>
        <v>16.45</v>
      </c>
      <c r="U782" s="53">
        <f>STOCK[[#This Row],[Costo total]]*1.5</f>
        <v>24.674999999999997</v>
      </c>
      <c r="V782" s="53">
        <v>20</v>
      </c>
      <c r="W782" s="53">
        <f>STOCK[[#This Row],[Precio Final]]-STOCK[[#This Row],[Costo total]]</f>
        <v>3.5500000000000007</v>
      </c>
      <c r="X782" s="53">
        <f>STOCK[[#This Row],[Ganancia Unitaria]]*STOCK[[#This Row],[Salidas]]</f>
        <v>0</v>
      </c>
      <c r="AA782" s="53">
        <f>STOCK[[#This Row],[Costo total]]*STOCK[[#This Row],[Entradas]]</f>
        <v>16.45</v>
      </c>
      <c r="AB782" s="53">
        <f>STOCK[[#This Row],[Stock Actual]]*STOCK[[#This Row],[Costo total]]</f>
        <v>16.45</v>
      </c>
    </row>
    <row r="783" spans="1:28" s="54" customFormat="1" ht="50" customHeight="1">
      <c r="A783" s="54" t="s">
        <v>1560</v>
      </c>
      <c r="B783" s="64"/>
      <c r="C783" s="54" t="s">
        <v>32</v>
      </c>
      <c r="D783" s="54" t="s">
        <v>1388</v>
      </c>
      <c r="E783" s="66" t="s">
        <v>1561</v>
      </c>
      <c r="F783" s="54" t="s">
        <v>40</v>
      </c>
      <c r="G783" s="54" t="s">
        <v>704</v>
      </c>
      <c r="H783" s="54">
        <f>STOCK[[#This Row],[Precio Final]]</f>
        <v>50</v>
      </c>
      <c r="I783" s="54">
        <f>STOCK[[#This Row],[Precio Venta Ideal (x1.5)]]</f>
        <v>67.5</v>
      </c>
      <c r="J783" s="70">
        <v>1</v>
      </c>
      <c r="K783" s="70">
        <f>SUMIFS(VENTAS[Cantidad],VENTAS[Código del producto Vendido],STOCK[[#This Row],[Code]])</f>
        <v>0</v>
      </c>
      <c r="L783" s="70">
        <f>STOCK[[#This Row],[Entradas]]-STOCK[[#This Row],[Salidas]]</f>
        <v>1</v>
      </c>
      <c r="M783" s="54">
        <f>STOCK[[#This Row],[Precio Final]]*10%</f>
        <v>5</v>
      </c>
      <c r="N783" s="54">
        <v>0</v>
      </c>
      <c r="O783" s="54">
        <v>0</v>
      </c>
      <c r="P783" s="54">
        <v>35</v>
      </c>
      <c r="Q783" s="70">
        <v>0</v>
      </c>
      <c r="R783" s="54">
        <v>0</v>
      </c>
      <c r="S783" s="54">
        <v>5</v>
      </c>
      <c r="T783" s="53">
        <f>STOCK[[#This Row],[Costo Unitario (USD)]]+STOCK[[#This Row],[Costo Envío (USD)]]+STOCK[[#This Row],[Comisión 10%]]</f>
        <v>45</v>
      </c>
      <c r="U783" s="54">
        <f>STOCK[[#This Row],[Costo total]]*1.5</f>
        <v>67.5</v>
      </c>
      <c r="V783" s="54">
        <v>50</v>
      </c>
      <c r="W783" s="54">
        <f>STOCK[[#This Row],[Precio Final]]-STOCK[[#This Row],[Costo total]]</f>
        <v>5</v>
      </c>
      <c r="X783" s="54">
        <f>STOCK[[#This Row],[Ganancia Unitaria]]*STOCK[[#This Row],[Salidas]]</f>
        <v>0</v>
      </c>
      <c r="AA783" s="54">
        <f>STOCK[[#This Row],[Costo total]]*STOCK[[#This Row],[Entradas]]</f>
        <v>45</v>
      </c>
      <c r="AB783" s="54">
        <f>STOCK[[#This Row],[Stock Actual]]*STOCK[[#This Row],[Costo total]]</f>
        <v>45</v>
      </c>
    </row>
    <row r="784" spans="1:28" s="53" customFormat="1" ht="50" customHeight="1">
      <c r="A784" s="53" t="s">
        <v>1562</v>
      </c>
      <c r="B784" s="64"/>
      <c r="C784" s="53" t="s">
        <v>32</v>
      </c>
      <c r="D784" s="53" t="s">
        <v>1013</v>
      </c>
      <c r="E784" s="65" t="s">
        <v>1563</v>
      </c>
      <c r="F784" s="53" t="s">
        <v>720</v>
      </c>
      <c r="G784" s="53" t="s">
        <v>704</v>
      </c>
      <c r="H784" s="53">
        <f>STOCK[[#This Row],[Precio Final]]</f>
        <v>35</v>
      </c>
      <c r="I784" s="53">
        <f>STOCK[[#This Row],[Precio Venta Ideal (x1.5)]]</f>
        <v>41.25</v>
      </c>
      <c r="J784" s="69">
        <v>1</v>
      </c>
      <c r="K784" s="69">
        <f>SUMIFS(VENTAS[Cantidad],VENTAS[Código del producto Vendido],STOCK[[#This Row],[Code]])</f>
        <v>1</v>
      </c>
      <c r="L784" s="69">
        <f>STOCK[[#This Row],[Entradas]]-STOCK[[#This Row],[Salidas]]</f>
        <v>0</v>
      </c>
      <c r="M784" s="53">
        <f>STOCK[[#This Row],[Precio Final]]*10%</f>
        <v>3.5</v>
      </c>
      <c r="N784" s="53">
        <v>0</v>
      </c>
      <c r="O784" s="53">
        <v>0</v>
      </c>
      <c r="P784" s="53">
        <v>22</v>
      </c>
      <c r="Q784" s="69">
        <v>0</v>
      </c>
      <c r="R784" s="53">
        <v>0</v>
      </c>
      <c r="S784" s="53">
        <v>2</v>
      </c>
      <c r="T784" s="53">
        <f>STOCK[[#This Row],[Costo Unitario (USD)]]+STOCK[[#This Row],[Costo Envío (USD)]]+STOCK[[#This Row],[Comisión 10%]]</f>
        <v>27.5</v>
      </c>
      <c r="U784" s="53">
        <f>STOCK[[#This Row],[Costo total]]*1.5</f>
        <v>41.25</v>
      </c>
      <c r="V784" s="53">
        <v>35</v>
      </c>
      <c r="W784" s="53">
        <f>STOCK[[#This Row],[Precio Final]]-STOCK[[#This Row],[Costo total]]</f>
        <v>7.5</v>
      </c>
      <c r="X784" s="53">
        <f>STOCK[[#This Row],[Ganancia Unitaria]]*STOCK[[#This Row],[Salidas]]</f>
        <v>7.5</v>
      </c>
      <c r="AA784" s="53">
        <f>STOCK[[#This Row],[Costo total]]*STOCK[[#This Row],[Entradas]]</f>
        <v>27.5</v>
      </c>
      <c r="AB784" s="53">
        <f>STOCK[[#This Row],[Stock Actual]]*STOCK[[#This Row],[Costo total]]</f>
        <v>0</v>
      </c>
    </row>
    <row r="785" spans="1:28" s="54" customFormat="1" ht="50" customHeight="1">
      <c r="A785" s="54" t="s">
        <v>1564</v>
      </c>
      <c r="B785" s="64"/>
      <c r="C785" s="54" t="s">
        <v>32</v>
      </c>
      <c r="D785" s="54" t="s">
        <v>1388</v>
      </c>
      <c r="E785" s="66" t="s">
        <v>1565</v>
      </c>
      <c r="F785" s="54" t="s">
        <v>40</v>
      </c>
      <c r="G785" s="54" t="s">
        <v>704</v>
      </c>
      <c r="H785" s="54">
        <f>STOCK[[#This Row],[Precio Final]]</f>
        <v>50</v>
      </c>
      <c r="I785" s="54">
        <f>STOCK[[#This Row],[Precio Venta Ideal (x1.5)]]</f>
        <v>58.275000000000006</v>
      </c>
      <c r="J785" s="70">
        <v>1</v>
      </c>
      <c r="K785" s="70">
        <f>SUMIFS(VENTAS[Cantidad],VENTAS[Código del producto Vendido],STOCK[[#This Row],[Code]])</f>
        <v>0</v>
      </c>
      <c r="L785" s="70">
        <f>STOCK[[#This Row],[Entradas]]-STOCK[[#This Row],[Salidas]]</f>
        <v>1</v>
      </c>
      <c r="M785" s="54">
        <f>STOCK[[#This Row],[Precio Final]]*10%</f>
        <v>5</v>
      </c>
      <c r="N785" s="54">
        <v>0</v>
      </c>
      <c r="O785" s="54">
        <v>0</v>
      </c>
      <c r="P785" s="54">
        <v>26.85</v>
      </c>
      <c r="Q785" s="70">
        <v>0</v>
      </c>
      <c r="R785" s="54">
        <v>0</v>
      </c>
      <c r="S785" s="54">
        <v>7</v>
      </c>
      <c r="T785" s="53">
        <f>STOCK[[#This Row],[Costo Unitario (USD)]]+STOCK[[#This Row],[Costo Envío (USD)]]+STOCK[[#This Row],[Comisión 10%]]</f>
        <v>38.85</v>
      </c>
      <c r="U785" s="54">
        <f>STOCK[[#This Row],[Costo total]]*1.5</f>
        <v>58.275000000000006</v>
      </c>
      <c r="V785" s="54">
        <v>50</v>
      </c>
      <c r="W785" s="54">
        <f>STOCK[[#This Row],[Precio Final]]-STOCK[[#This Row],[Costo total]]</f>
        <v>11.149999999999999</v>
      </c>
      <c r="X785" s="54">
        <f>STOCK[[#This Row],[Ganancia Unitaria]]*STOCK[[#This Row],[Salidas]]</f>
        <v>0</v>
      </c>
      <c r="AA785" s="54">
        <f>STOCK[[#This Row],[Costo total]]*STOCK[[#This Row],[Entradas]]</f>
        <v>38.85</v>
      </c>
      <c r="AB785" s="54">
        <f>STOCK[[#This Row],[Stock Actual]]*STOCK[[#This Row],[Costo total]]</f>
        <v>38.85</v>
      </c>
    </row>
    <row r="786" spans="1:28" s="53" customFormat="1" ht="50" customHeight="1">
      <c r="A786" s="53" t="s">
        <v>1566</v>
      </c>
      <c r="B786" s="64"/>
      <c r="C786" s="53" t="s">
        <v>32</v>
      </c>
      <c r="D786" s="53" t="s">
        <v>1388</v>
      </c>
      <c r="E786" s="65" t="s">
        <v>1567</v>
      </c>
      <c r="F786" s="53" t="s">
        <v>40</v>
      </c>
      <c r="G786" s="53" t="s">
        <v>704</v>
      </c>
      <c r="H786" s="53">
        <f>STOCK[[#This Row],[Precio Final]]</f>
        <v>15</v>
      </c>
      <c r="I786" s="53">
        <f>STOCK[[#This Row],[Precio Venta Ideal (x1.5)]]</f>
        <v>18.57</v>
      </c>
      <c r="J786" s="69">
        <v>4</v>
      </c>
      <c r="K786" s="69">
        <f>SUMIFS(VENTAS[Cantidad],VENTAS[Código del producto Vendido],STOCK[[#This Row],[Code]])</f>
        <v>0</v>
      </c>
      <c r="L786" s="69">
        <f>STOCK[[#This Row],[Entradas]]-STOCK[[#This Row],[Salidas]]</f>
        <v>4</v>
      </c>
      <c r="M786" s="53">
        <f>STOCK[[#This Row],[Precio Final]]*10%</f>
        <v>1.5</v>
      </c>
      <c r="N786" s="53">
        <v>0</v>
      </c>
      <c r="O786" s="53">
        <v>0</v>
      </c>
      <c r="P786" s="53">
        <v>8.8800000000000008</v>
      </c>
      <c r="Q786" s="69">
        <v>0</v>
      </c>
      <c r="R786" s="53">
        <v>0</v>
      </c>
      <c r="S786" s="53">
        <v>2</v>
      </c>
      <c r="T786" s="53">
        <f>STOCK[[#This Row],[Costo Unitario (USD)]]+STOCK[[#This Row],[Costo Envío (USD)]]+STOCK[[#This Row],[Comisión 10%]]</f>
        <v>12.38</v>
      </c>
      <c r="U786" s="53">
        <f>STOCK[[#This Row],[Costo total]]*1.5</f>
        <v>18.57</v>
      </c>
      <c r="V786" s="53">
        <v>15</v>
      </c>
      <c r="W786" s="53">
        <f>STOCK[[#This Row],[Precio Final]]-STOCK[[#This Row],[Costo total]]</f>
        <v>2.6199999999999992</v>
      </c>
      <c r="X786" s="53">
        <f>STOCK[[#This Row],[Ganancia Unitaria]]*STOCK[[#This Row],[Salidas]]</f>
        <v>0</v>
      </c>
      <c r="AA786" s="53">
        <f>STOCK[[#This Row],[Costo total]]*STOCK[[#This Row],[Entradas]]</f>
        <v>49.52</v>
      </c>
      <c r="AB786" s="53">
        <f>STOCK[[#This Row],[Stock Actual]]*STOCK[[#This Row],[Costo total]]</f>
        <v>49.52</v>
      </c>
    </row>
    <row r="787" spans="1:28" s="54" customFormat="1" ht="50" customHeight="1">
      <c r="A787" s="54" t="s">
        <v>1568</v>
      </c>
      <c r="B787" s="64"/>
      <c r="C787" s="54" t="s">
        <v>32</v>
      </c>
      <c r="D787" s="54" t="s">
        <v>174</v>
      </c>
      <c r="E787" s="66" t="s">
        <v>1569</v>
      </c>
      <c r="F787" s="54" t="s">
        <v>62</v>
      </c>
      <c r="G787" s="54" t="s">
        <v>1296</v>
      </c>
      <c r="H787" s="54">
        <f>STOCK[[#This Row],[Precio Final]]</f>
        <v>40</v>
      </c>
      <c r="I787" s="54">
        <f>STOCK[[#This Row],[Precio Venta Ideal (x1.5)]]</f>
        <v>36</v>
      </c>
      <c r="J787" s="70">
        <v>3</v>
      </c>
      <c r="K787" s="70">
        <f>SUMIFS(VENTAS[Cantidad],VENTAS[Código del producto Vendido],STOCK[[#This Row],[Code]])</f>
        <v>2</v>
      </c>
      <c r="L787" s="70">
        <f>STOCK[[#This Row],[Entradas]]-STOCK[[#This Row],[Salidas]]</f>
        <v>1</v>
      </c>
      <c r="M787" s="54">
        <f>STOCK[[#This Row],[Precio Final]]*10%</f>
        <v>4</v>
      </c>
      <c r="N787" s="54">
        <v>0</v>
      </c>
      <c r="O787" s="54">
        <v>0</v>
      </c>
      <c r="P787" s="54">
        <v>15</v>
      </c>
      <c r="Q787" s="70">
        <v>0</v>
      </c>
      <c r="R787" s="54">
        <v>0</v>
      </c>
      <c r="S787" s="54">
        <v>5</v>
      </c>
      <c r="T787" s="53">
        <f>STOCK[[#This Row],[Costo Unitario (USD)]]+STOCK[[#This Row],[Costo Envío (USD)]]+STOCK[[#This Row],[Comisión 10%]]</f>
        <v>24</v>
      </c>
      <c r="U787" s="54">
        <f>STOCK[[#This Row],[Costo total]]*1.5</f>
        <v>36</v>
      </c>
      <c r="V787" s="54">
        <v>40</v>
      </c>
      <c r="W787" s="54">
        <f>STOCK[[#This Row],[Precio Final]]-STOCK[[#This Row],[Costo total]]</f>
        <v>16</v>
      </c>
      <c r="X787" s="54">
        <f>STOCK[[#This Row],[Ganancia Unitaria]]*STOCK[[#This Row],[Salidas]]</f>
        <v>32</v>
      </c>
      <c r="AA787" s="54">
        <f>STOCK[[#This Row],[Costo total]]*STOCK[[#This Row],[Entradas]]</f>
        <v>72</v>
      </c>
      <c r="AB787" s="54">
        <f>STOCK[[#This Row],[Stock Actual]]*STOCK[[#This Row],[Costo total]]</f>
        <v>24</v>
      </c>
    </row>
    <row r="788" spans="1:28" s="53" customFormat="1" ht="50" customHeight="1">
      <c r="A788" s="53" t="s">
        <v>1570</v>
      </c>
      <c r="B788" s="64"/>
      <c r="C788" s="53" t="s">
        <v>32</v>
      </c>
      <c r="D788" s="53" t="s">
        <v>1571</v>
      </c>
      <c r="E788" s="65" t="s">
        <v>1572</v>
      </c>
      <c r="F788" s="53" t="s">
        <v>765</v>
      </c>
      <c r="G788" s="53" t="s">
        <v>1296</v>
      </c>
      <c r="H788" s="53">
        <f>STOCK[[#This Row],[Precio Final]]</f>
        <v>25</v>
      </c>
      <c r="I788" s="53">
        <f>STOCK[[#This Row],[Precio Venta Ideal (x1.5)]]</f>
        <v>24.75</v>
      </c>
      <c r="J788" s="69">
        <v>1</v>
      </c>
      <c r="K788" s="69">
        <f>SUMIFS(VENTAS[Cantidad],VENTAS[Código del producto Vendido],STOCK[[#This Row],[Code]])</f>
        <v>1</v>
      </c>
      <c r="L788" s="69">
        <f>STOCK[[#This Row],[Entradas]]-STOCK[[#This Row],[Salidas]]</f>
        <v>0</v>
      </c>
      <c r="M788" s="53">
        <f>STOCK[[#This Row],[Precio Final]]*10%</f>
        <v>2.5</v>
      </c>
      <c r="N788" s="53">
        <v>0</v>
      </c>
      <c r="O788" s="53">
        <v>0</v>
      </c>
      <c r="P788" s="53">
        <v>9</v>
      </c>
      <c r="Q788" s="69">
        <v>0</v>
      </c>
      <c r="R788" s="53">
        <v>0</v>
      </c>
      <c r="S788" s="53">
        <v>5</v>
      </c>
      <c r="T788" s="53">
        <f>STOCK[[#This Row],[Costo Unitario (USD)]]+STOCK[[#This Row],[Costo Envío (USD)]]+STOCK[[#This Row],[Comisión 10%]]</f>
        <v>16.5</v>
      </c>
      <c r="U788" s="53">
        <f>STOCK[[#This Row],[Costo total]]*1.5</f>
        <v>24.75</v>
      </c>
      <c r="V788" s="53">
        <v>25</v>
      </c>
      <c r="W788" s="53">
        <f>STOCK[[#This Row],[Precio Final]]-STOCK[[#This Row],[Costo total]]</f>
        <v>8.5</v>
      </c>
      <c r="X788" s="53">
        <f>STOCK[[#This Row],[Ganancia Unitaria]]*STOCK[[#This Row],[Salidas]]</f>
        <v>8.5</v>
      </c>
      <c r="AA788" s="53">
        <f>STOCK[[#This Row],[Costo total]]*STOCK[[#This Row],[Entradas]]</f>
        <v>16.5</v>
      </c>
      <c r="AB788" s="53">
        <f>STOCK[[#This Row],[Stock Actual]]*STOCK[[#This Row],[Costo total]]</f>
        <v>0</v>
      </c>
    </row>
    <row r="789" spans="1:28" s="54" customFormat="1" ht="50" customHeight="1">
      <c r="A789" s="54" t="s">
        <v>1573</v>
      </c>
      <c r="B789" s="64"/>
      <c r="C789" s="54" t="s">
        <v>32</v>
      </c>
      <c r="D789" s="54" t="s">
        <v>1571</v>
      </c>
      <c r="E789" s="66" t="s">
        <v>1572</v>
      </c>
      <c r="F789" s="54" t="s">
        <v>1574</v>
      </c>
      <c r="G789" s="54" t="s">
        <v>1296</v>
      </c>
      <c r="H789" s="54">
        <f>STOCK[[#This Row],[Precio Final]]</f>
        <v>25</v>
      </c>
      <c r="I789" s="54">
        <f>STOCK[[#This Row],[Precio Venta Ideal (x1.5)]]</f>
        <v>24.75</v>
      </c>
      <c r="J789" s="70">
        <v>3</v>
      </c>
      <c r="K789" s="70">
        <f>SUMIFS(VENTAS[Cantidad],VENTAS[Código del producto Vendido],STOCK[[#This Row],[Code]])</f>
        <v>3</v>
      </c>
      <c r="L789" s="70">
        <f>STOCK[[#This Row],[Entradas]]-STOCK[[#This Row],[Salidas]]</f>
        <v>0</v>
      </c>
      <c r="M789" s="54">
        <f>STOCK[[#This Row],[Precio Final]]*10%</f>
        <v>2.5</v>
      </c>
      <c r="N789" s="54">
        <v>0</v>
      </c>
      <c r="O789" s="54">
        <v>0</v>
      </c>
      <c r="P789" s="54">
        <v>9</v>
      </c>
      <c r="Q789" s="70">
        <v>0</v>
      </c>
      <c r="R789" s="54">
        <v>0</v>
      </c>
      <c r="S789" s="54">
        <v>5</v>
      </c>
      <c r="T789" s="53">
        <f>STOCK[[#This Row],[Costo Unitario (USD)]]+STOCK[[#This Row],[Costo Envío (USD)]]+STOCK[[#This Row],[Comisión 10%]]</f>
        <v>16.5</v>
      </c>
      <c r="U789" s="54">
        <f>STOCK[[#This Row],[Costo total]]*1.5</f>
        <v>24.75</v>
      </c>
      <c r="V789" s="54">
        <v>25</v>
      </c>
      <c r="W789" s="54">
        <f>STOCK[[#This Row],[Precio Final]]-STOCK[[#This Row],[Costo total]]</f>
        <v>8.5</v>
      </c>
      <c r="X789" s="54">
        <f>STOCK[[#This Row],[Ganancia Unitaria]]*STOCK[[#This Row],[Salidas]]</f>
        <v>25.5</v>
      </c>
      <c r="AA789" s="54">
        <f>STOCK[[#This Row],[Costo total]]*STOCK[[#This Row],[Entradas]]</f>
        <v>49.5</v>
      </c>
      <c r="AB789" s="54">
        <f>STOCK[[#This Row],[Stock Actual]]*STOCK[[#This Row],[Costo total]]</f>
        <v>0</v>
      </c>
    </row>
    <row r="790" spans="1:28" s="53" customFormat="1" ht="50" customHeight="1">
      <c r="A790" s="53" t="s">
        <v>1575</v>
      </c>
      <c r="B790" s="64"/>
      <c r="C790" s="53" t="s">
        <v>32</v>
      </c>
      <c r="D790" s="53" t="s">
        <v>1576</v>
      </c>
      <c r="E790" s="65" t="s">
        <v>1577</v>
      </c>
      <c r="F790" s="53" t="s">
        <v>1578</v>
      </c>
      <c r="G790" s="53" t="s">
        <v>1296</v>
      </c>
      <c r="H790" s="53">
        <f>STOCK[[#This Row],[Precio Final]]</f>
        <v>18</v>
      </c>
      <c r="I790" s="53">
        <f>STOCK[[#This Row],[Precio Venta Ideal (x1.5)]]</f>
        <v>19.200000000000003</v>
      </c>
      <c r="J790" s="69">
        <v>2</v>
      </c>
      <c r="K790" s="69">
        <f>SUMIFS(VENTAS[Cantidad],VENTAS[Código del producto Vendido],STOCK[[#This Row],[Code]])</f>
        <v>2</v>
      </c>
      <c r="L790" s="69">
        <f>STOCK[[#This Row],[Entradas]]-STOCK[[#This Row],[Salidas]]</f>
        <v>0</v>
      </c>
      <c r="M790" s="53">
        <f>STOCK[[#This Row],[Precio Final]]*10%</f>
        <v>1.8</v>
      </c>
      <c r="N790" s="53">
        <v>0</v>
      </c>
      <c r="O790" s="53">
        <v>0</v>
      </c>
      <c r="P790" s="53">
        <v>7</v>
      </c>
      <c r="Q790" s="69">
        <v>0</v>
      </c>
      <c r="R790" s="53">
        <v>0</v>
      </c>
      <c r="S790" s="53">
        <v>4</v>
      </c>
      <c r="T790" s="53">
        <f>STOCK[[#This Row],[Costo Unitario (USD)]]+STOCK[[#This Row],[Costo Envío (USD)]]+STOCK[[#This Row],[Comisión 10%]]</f>
        <v>12.8</v>
      </c>
      <c r="U790" s="53">
        <f>STOCK[[#This Row],[Costo total]]*1.5</f>
        <v>19.200000000000003</v>
      </c>
      <c r="V790" s="53">
        <v>18</v>
      </c>
      <c r="W790" s="53">
        <f>STOCK[[#This Row],[Precio Final]]-STOCK[[#This Row],[Costo total]]</f>
        <v>5.1999999999999993</v>
      </c>
      <c r="X790" s="53">
        <f>STOCK[[#This Row],[Ganancia Unitaria]]*STOCK[[#This Row],[Salidas]]</f>
        <v>10.399999999999999</v>
      </c>
      <c r="AA790" s="53">
        <f>STOCK[[#This Row],[Costo total]]*STOCK[[#This Row],[Entradas]]</f>
        <v>25.6</v>
      </c>
      <c r="AB790" s="53">
        <f>STOCK[[#This Row],[Stock Actual]]*STOCK[[#This Row],[Costo total]]</f>
        <v>0</v>
      </c>
    </row>
    <row r="791" spans="1:28" s="54" customFormat="1" ht="50" customHeight="1">
      <c r="A791" s="54" t="s">
        <v>1579</v>
      </c>
      <c r="B791" s="64"/>
      <c r="C791" s="54" t="s">
        <v>32</v>
      </c>
      <c r="D791" s="54" t="s">
        <v>1576</v>
      </c>
      <c r="E791" s="66" t="s">
        <v>1577</v>
      </c>
      <c r="F791" s="54" t="s">
        <v>1574</v>
      </c>
      <c r="G791" s="54" t="s">
        <v>1296</v>
      </c>
      <c r="H791" s="54">
        <f>STOCK[[#This Row],[Precio Final]]</f>
        <v>18</v>
      </c>
      <c r="I791" s="54">
        <f>STOCK[[#This Row],[Precio Venta Ideal (x1.5)]]</f>
        <v>19.200000000000003</v>
      </c>
      <c r="J791" s="70">
        <v>1</v>
      </c>
      <c r="K791" s="70">
        <f>SUMIFS(VENTAS[Cantidad],VENTAS[Código del producto Vendido],STOCK[[#This Row],[Code]])</f>
        <v>1</v>
      </c>
      <c r="L791" s="70">
        <f>STOCK[[#This Row],[Entradas]]-STOCK[[#This Row],[Salidas]]</f>
        <v>0</v>
      </c>
      <c r="M791" s="54">
        <f>STOCK[[#This Row],[Precio Final]]*10%</f>
        <v>1.8</v>
      </c>
      <c r="N791" s="54">
        <v>0</v>
      </c>
      <c r="O791" s="54">
        <v>0</v>
      </c>
      <c r="P791" s="54">
        <v>7</v>
      </c>
      <c r="Q791" s="70">
        <v>0</v>
      </c>
      <c r="R791" s="54">
        <v>0</v>
      </c>
      <c r="S791" s="54">
        <v>4</v>
      </c>
      <c r="T791" s="53">
        <f>STOCK[[#This Row],[Costo Unitario (USD)]]+STOCK[[#This Row],[Costo Envío (USD)]]+STOCK[[#This Row],[Comisión 10%]]</f>
        <v>12.8</v>
      </c>
      <c r="U791" s="54">
        <f>STOCK[[#This Row],[Costo total]]*1.5</f>
        <v>19.200000000000003</v>
      </c>
      <c r="V791" s="54">
        <v>18</v>
      </c>
      <c r="W791" s="54">
        <f>STOCK[[#This Row],[Precio Final]]-STOCK[[#This Row],[Costo total]]</f>
        <v>5.1999999999999993</v>
      </c>
      <c r="X791" s="54">
        <f>STOCK[[#This Row],[Ganancia Unitaria]]*STOCK[[#This Row],[Salidas]]</f>
        <v>5.1999999999999993</v>
      </c>
      <c r="AA791" s="54">
        <f>STOCK[[#This Row],[Costo total]]*STOCK[[#This Row],[Entradas]]</f>
        <v>12.8</v>
      </c>
      <c r="AB791" s="54">
        <f>STOCK[[#This Row],[Stock Actual]]*STOCK[[#This Row],[Costo total]]</f>
        <v>0</v>
      </c>
    </row>
    <row r="792" spans="1:28" s="53" customFormat="1" ht="50" customHeight="1">
      <c r="A792" s="53" t="s">
        <v>1580</v>
      </c>
      <c r="B792" s="64"/>
      <c r="C792" s="53" t="s">
        <v>32</v>
      </c>
      <c r="D792" s="53" t="s">
        <v>1576</v>
      </c>
      <c r="E792" s="65" t="s">
        <v>1581</v>
      </c>
      <c r="F792" s="53" t="s">
        <v>1578</v>
      </c>
      <c r="G792" s="53" t="s">
        <v>1296</v>
      </c>
      <c r="H792" s="53">
        <f>STOCK[[#This Row],[Precio Final]]</f>
        <v>50</v>
      </c>
      <c r="I792" s="53">
        <f>STOCK[[#This Row],[Precio Venta Ideal (x1.5)]]</f>
        <v>49.5</v>
      </c>
      <c r="J792" s="69">
        <v>2</v>
      </c>
      <c r="K792" s="69">
        <f>SUMIFS(VENTAS[Cantidad],VENTAS[Código del producto Vendido],STOCK[[#This Row],[Code]])</f>
        <v>2</v>
      </c>
      <c r="L792" s="69">
        <f>STOCK[[#This Row],[Entradas]]-STOCK[[#This Row],[Salidas]]</f>
        <v>0</v>
      </c>
      <c r="M792" s="53">
        <f>STOCK[[#This Row],[Precio Final]]*10%</f>
        <v>5</v>
      </c>
      <c r="N792" s="53">
        <v>0</v>
      </c>
      <c r="O792" s="53">
        <v>0</v>
      </c>
      <c r="P792" s="53">
        <v>18</v>
      </c>
      <c r="Q792" s="69">
        <v>0</v>
      </c>
      <c r="R792" s="53">
        <v>0</v>
      </c>
      <c r="S792" s="53">
        <v>10</v>
      </c>
      <c r="T792" s="53">
        <f>STOCK[[#This Row],[Costo Unitario (USD)]]+STOCK[[#This Row],[Costo Envío (USD)]]+STOCK[[#This Row],[Comisión 10%]]</f>
        <v>33</v>
      </c>
      <c r="U792" s="53">
        <f>STOCK[[#This Row],[Costo total]]*1.5</f>
        <v>49.5</v>
      </c>
      <c r="V792" s="53">
        <v>50</v>
      </c>
      <c r="W792" s="53">
        <f>STOCK[[#This Row],[Precio Final]]-STOCK[[#This Row],[Costo total]]</f>
        <v>17</v>
      </c>
      <c r="X792" s="53">
        <f>STOCK[[#This Row],[Ganancia Unitaria]]*STOCK[[#This Row],[Salidas]]</f>
        <v>34</v>
      </c>
      <c r="AA792" s="53">
        <f>STOCK[[#This Row],[Costo total]]*STOCK[[#This Row],[Entradas]]</f>
        <v>66</v>
      </c>
      <c r="AB792" s="53">
        <f>STOCK[[#This Row],[Stock Actual]]*STOCK[[#This Row],[Costo total]]</f>
        <v>0</v>
      </c>
    </row>
    <row r="793" spans="1:28" s="54" customFormat="1" ht="50" customHeight="1">
      <c r="A793" s="54" t="s">
        <v>1582</v>
      </c>
      <c r="B793" s="64"/>
      <c r="C793" s="54" t="s">
        <v>32</v>
      </c>
      <c r="D793" s="54" t="s">
        <v>1576</v>
      </c>
      <c r="E793" s="66" t="s">
        <v>1583</v>
      </c>
      <c r="F793" s="54" t="s">
        <v>1574</v>
      </c>
      <c r="G793" s="54" t="s">
        <v>1296</v>
      </c>
      <c r="H793" s="54">
        <f>STOCK[[#This Row],[Precio Final]]</f>
        <v>50</v>
      </c>
      <c r="I793" s="54">
        <f>STOCK[[#This Row],[Precio Venta Ideal (x1.5)]]</f>
        <v>49.5</v>
      </c>
      <c r="J793" s="70">
        <v>1</v>
      </c>
      <c r="K793" s="70">
        <f>SUMIFS(VENTAS[Cantidad],VENTAS[Código del producto Vendido],STOCK[[#This Row],[Code]])</f>
        <v>1</v>
      </c>
      <c r="L793" s="70">
        <f>STOCK[[#This Row],[Entradas]]-STOCK[[#This Row],[Salidas]]</f>
        <v>0</v>
      </c>
      <c r="M793" s="54">
        <f>STOCK[[#This Row],[Precio Final]]*10%</f>
        <v>5</v>
      </c>
      <c r="N793" s="54">
        <v>0</v>
      </c>
      <c r="O793" s="54">
        <v>0</v>
      </c>
      <c r="P793" s="54">
        <v>18</v>
      </c>
      <c r="Q793" s="70">
        <v>0</v>
      </c>
      <c r="R793" s="54">
        <v>0</v>
      </c>
      <c r="S793" s="54">
        <v>10</v>
      </c>
      <c r="T793" s="53">
        <f>STOCK[[#This Row],[Costo Unitario (USD)]]+STOCK[[#This Row],[Costo Envío (USD)]]+STOCK[[#This Row],[Comisión 10%]]</f>
        <v>33</v>
      </c>
      <c r="U793" s="54">
        <f>STOCK[[#This Row],[Costo total]]*1.5</f>
        <v>49.5</v>
      </c>
      <c r="V793" s="54">
        <v>50</v>
      </c>
      <c r="W793" s="54">
        <f>STOCK[[#This Row],[Precio Final]]-STOCK[[#This Row],[Costo total]]</f>
        <v>17</v>
      </c>
      <c r="X793" s="54">
        <f>STOCK[[#This Row],[Ganancia Unitaria]]*STOCK[[#This Row],[Salidas]]</f>
        <v>17</v>
      </c>
      <c r="AA793" s="54">
        <f>STOCK[[#This Row],[Costo total]]*STOCK[[#This Row],[Entradas]]</f>
        <v>33</v>
      </c>
      <c r="AB793" s="54">
        <f>STOCK[[#This Row],[Stock Actual]]*STOCK[[#This Row],[Costo total]]</f>
        <v>0</v>
      </c>
    </row>
    <row r="794" spans="1:28" s="53" customFormat="1" ht="50" customHeight="1">
      <c r="A794" s="53" t="s">
        <v>1584</v>
      </c>
      <c r="B794" s="64"/>
      <c r="C794" s="53" t="s">
        <v>32</v>
      </c>
      <c r="D794" s="53" t="s">
        <v>515</v>
      </c>
      <c r="E794" s="65" t="s">
        <v>1585</v>
      </c>
      <c r="F794" s="53" t="s">
        <v>1102</v>
      </c>
      <c r="G794" s="53" t="s">
        <v>1296</v>
      </c>
      <c r="H794" s="53">
        <f>STOCK[[#This Row],[Precio Final]]</f>
        <v>18</v>
      </c>
      <c r="I794" s="53">
        <f>STOCK[[#This Row],[Precio Venta Ideal (x1.5)]]</f>
        <v>19.200000000000003</v>
      </c>
      <c r="J794" s="69">
        <v>2</v>
      </c>
      <c r="K794" s="69">
        <f>SUMIFS(VENTAS[Cantidad],VENTAS[Código del producto Vendido],STOCK[[#This Row],[Code]])</f>
        <v>2</v>
      </c>
      <c r="L794" s="69">
        <f>STOCK[[#This Row],[Entradas]]-STOCK[[#This Row],[Salidas]]</f>
        <v>0</v>
      </c>
      <c r="M794" s="53">
        <f>STOCK[[#This Row],[Precio Final]]*10%</f>
        <v>1.8</v>
      </c>
      <c r="N794" s="53">
        <v>0</v>
      </c>
      <c r="O794" s="53">
        <v>0</v>
      </c>
      <c r="P794" s="53">
        <v>7</v>
      </c>
      <c r="Q794" s="69">
        <v>0</v>
      </c>
      <c r="R794" s="53">
        <v>0</v>
      </c>
      <c r="S794" s="53">
        <v>4</v>
      </c>
      <c r="T794" s="53">
        <f>STOCK[[#This Row],[Costo Unitario (USD)]]+STOCK[[#This Row],[Costo Envío (USD)]]+STOCK[[#This Row],[Comisión 10%]]</f>
        <v>12.8</v>
      </c>
      <c r="U794" s="53">
        <f>STOCK[[#This Row],[Costo total]]*1.5</f>
        <v>19.200000000000003</v>
      </c>
      <c r="V794" s="53">
        <v>18</v>
      </c>
      <c r="W794" s="53">
        <f>STOCK[[#This Row],[Precio Final]]-STOCK[[#This Row],[Costo total]]</f>
        <v>5.1999999999999993</v>
      </c>
      <c r="X794" s="53">
        <f>STOCK[[#This Row],[Ganancia Unitaria]]*STOCK[[#This Row],[Salidas]]</f>
        <v>10.399999999999999</v>
      </c>
      <c r="AA794" s="53">
        <f>STOCK[[#This Row],[Costo total]]*STOCK[[#This Row],[Entradas]]</f>
        <v>25.6</v>
      </c>
      <c r="AB794" s="53">
        <f>STOCK[[#This Row],[Stock Actual]]*STOCK[[#This Row],[Costo total]]</f>
        <v>0</v>
      </c>
    </row>
    <row r="795" spans="1:28" s="54" customFormat="1" ht="50" customHeight="1">
      <c r="A795" s="54" t="s">
        <v>1586</v>
      </c>
      <c r="B795" s="64"/>
      <c r="C795" s="54" t="s">
        <v>32</v>
      </c>
      <c r="D795" s="53" t="s">
        <v>515</v>
      </c>
      <c r="E795" s="66" t="s">
        <v>1585</v>
      </c>
      <c r="F795" s="54" t="s">
        <v>1102</v>
      </c>
      <c r="G795" s="54" t="s">
        <v>1296</v>
      </c>
      <c r="H795" s="54">
        <f>STOCK[[#This Row],[Precio Final]]</f>
        <v>18</v>
      </c>
      <c r="I795" s="54">
        <f>STOCK[[#This Row],[Precio Venta Ideal (x1.5)]]</f>
        <v>19.200000000000003</v>
      </c>
      <c r="J795" s="70">
        <v>1</v>
      </c>
      <c r="K795" s="70">
        <f>SUMIFS(VENTAS[Cantidad],VENTAS[Código del producto Vendido],STOCK[[#This Row],[Code]])</f>
        <v>1</v>
      </c>
      <c r="L795" s="70">
        <f>STOCK[[#This Row],[Entradas]]-STOCK[[#This Row],[Salidas]]</f>
        <v>0</v>
      </c>
      <c r="M795" s="54">
        <f>STOCK[[#This Row],[Precio Final]]*10%</f>
        <v>1.8</v>
      </c>
      <c r="N795" s="54">
        <v>0</v>
      </c>
      <c r="O795" s="54">
        <v>0</v>
      </c>
      <c r="P795" s="54">
        <v>7</v>
      </c>
      <c r="Q795" s="70">
        <v>0</v>
      </c>
      <c r="R795" s="54">
        <v>0</v>
      </c>
      <c r="S795" s="54">
        <v>4</v>
      </c>
      <c r="T795" s="53">
        <f>STOCK[[#This Row],[Costo Unitario (USD)]]+STOCK[[#This Row],[Costo Envío (USD)]]+STOCK[[#This Row],[Comisión 10%]]</f>
        <v>12.8</v>
      </c>
      <c r="U795" s="54">
        <f>STOCK[[#This Row],[Costo total]]*1.5</f>
        <v>19.200000000000003</v>
      </c>
      <c r="V795" s="54">
        <v>18</v>
      </c>
      <c r="W795" s="54">
        <f>STOCK[[#This Row],[Precio Final]]-STOCK[[#This Row],[Costo total]]</f>
        <v>5.1999999999999993</v>
      </c>
      <c r="X795" s="54">
        <f>STOCK[[#This Row],[Ganancia Unitaria]]*STOCK[[#This Row],[Salidas]]</f>
        <v>5.1999999999999993</v>
      </c>
      <c r="AA795" s="54">
        <f>STOCK[[#This Row],[Costo total]]*STOCK[[#This Row],[Entradas]]</f>
        <v>12.8</v>
      </c>
      <c r="AB795" s="54">
        <f>STOCK[[#This Row],[Stock Actual]]*STOCK[[#This Row],[Costo total]]</f>
        <v>0</v>
      </c>
    </row>
    <row r="796" spans="1:28" s="53" customFormat="1" ht="50" customHeight="1">
      <c r="A796" s="53" t="s">
        <v>1587</v>
      </c>
      <c r="B796" s="64"/>
      <c r="C796" s="53" t="s">
        <v>32</v>
      </c>
      <c r="D796" s="53" t="s">
        <v>515</v>
      </c>
      <c r="E796" s="65" t="s">
        <v>1588</v>
      </c>
      <c r="F796" s="53" t="s">
        <v>1589</v>
      </c>
      <c r="G796" s="53" t="s">
        <v>1296</v>
      </c>
      <c r="H796" s="53">
        <f>STOCK[[#This Row],[Precio Final]]</f>
        <v>15</v>
      </c>
      <c r="I796" s="53">
        <f>STOCK[[#This Row],[Precio Venta Ideal (x1.5)]]</f>
        <v>16.484999999999999</v>
      </c>
      <c r="J796" s="69">
        <v>1</v>
      </c>
      <c r="K796" s="69">
        <f>SUMIFS(VENTAS[Cantidad],VENTAS[Código del producto Vendido],STOCK[[#This Row],[Code]])</f>
        <v>0</v>
      </c>
      <c r="L796" s="69">
        <f>STOCK[[#This Row],[Entradas]]-STOCK[[#This Row],[Salidas]]</f>
        <v>1</v>
      </c>
      <c r="M796" s="53">
        <f>STOCK[[#This Row],[Precio Final]]*10%</f>
        <v>1.5</v>
      </c>
      <c r="N796" s="53">
        <v>0</v>
      </c>
      <c r="O796" s="53">
        <v>0</v>
      </c>
      <c r="P796" s="53">
        <v>6.49</v>
      </c>
      <c r="Q796" s="69">
        <v>0</v>
      </c>
      <c r="R796" s="53">
        <v>0</v>
      </c>
      <c r="S796" s="53">
        <v>3</v>
      </c>
      <c r="T796" s="53">
        <f>STOCK[[#This Row],[Costo Unitario (USD)]]+STOCK[[#This Row],[Costo Envío (USD)]]+STOCK[[#This Row],[Comisión 10%]]</f>
        <v>10.99</v>
      </c>
      <c r="U796" s="53">
        <f>STOCK[[#This Row],[Costo total]]*1.5</f>
        <v>16.484999999999999</v>
      </c>
      <c r="V796" s="53">
        <v>15</v>
      </c>
      <c r="W796" s="53">
        <f>STOCK[[#This Row],[Precio Final]]-STOCK[[#This Row],[Costo total]]</f>
        <v>4.01</v>
      </c>
      <c r="X796" s="53">
        <f>STOCK[[#This Row],[Ganancia Unitaria]]*STOCK[[#This Row],[Salidas]]</f>
        <v>0</v>
      </c>
      <c r="AA796" s="53">
        <f>STOCK[[#This Row],[Costo total]]*STOCK[[#This Row],[Entradas]]</f>
        <v>10.99</v>
      </c>
      <c r="AB796" s="53">
        <f>STOCK[[#This Row],[Stock Actual]]*STOCK[[#This Row],[Costo total]]</f>
        <v>10.99</v>
      </c>
    </row>
    <row r="797" spans="1:28" s="54" customFormat="1" ht="50" customHeight="1">
      <c r="A797" s="54" t="s">
        <v>1590</v>
      </c>
      <c r="B797" s="64"/>
      <c r="C797" s="54" t="s">
        <v>32</v>
      </c>
      <c r="D797" s="53" t="s">
        <v>515</v>
      </c>
      <c r="E797" s="66" t="s">
        <v>1591</v>
      </c>
      <c r="F797" s="54" t="s">
        <v>1592</v>
      </c>
      <c r="G797" s="54" t="s">
        <v>1296</v>
      </c>
      <c r="H797" s="54">
        <f>STOCK[[#This Row],[Precio Final]]</f>
        <v>15</v>
      </c>
      <c r="I797" s="54">
        <f>STOCK[[#This Row],[Precio Venta Ideal (x1.5)]]</f>
        <v>16.484999999999999</v>
      </c>
      <c r="J797" s="70">
        <v>2</v>
      </c>
      <c r="K797" s="70">
        <f>SUMIFS(VENTAS[Cantidad],VENTAS[Código del producto Vendido],STOCK[[#This Row],[Code]])</f>
        <v>1</v>
      </c>
      <c r="L797" s="70">
        <f>STOCK[[#This Row],[Entradas]]-STOCK[[#This Row],[Salidas]]</f>
        <v>1</v>
      </c>
      <c r="M797" s="54">
        <f>STOCK[[#This Row],[Precio Final]]*10%</f>
        <v>1.5</v>
      </c>
      <c r="N797" s="54">
        <v>0</v>
      </c>
      <c r="O797" s="54">
        <v>0</v>
      </c>
      <c r="P797" s="54">
        <v>6.49</v>
      </c>
      <c r="Q797" s="70">
        <v>0</v>
      </c>
      <c r="R797" s="54">
        <v>0</v>
      </c>
      <c r="S797" s="54">
        <v>3</v>
      </c>
      <c r="T797" s="53">
        <f>STOCK[[#This Row],[Costo Unitario (USD)]]+STOCK[[#This Row],[Costo Envío (USD)]]+STOCK[[#This Row],[Comisión 10%]]</f>
        <v>10.99</v>
      </c>
      <c r="U797" s="54">
        <f>STOCK[[#This Row],[Costo total]]*1.5</f>
        <v>16.484999999999999</v>
      </c>
      <c r="V797" s="54">
        <v>15</v>
      </c>
      <c r="W797" s="54">
        <f>STOCK[[#This Row],[Precio Final]]-STOCK[[#This Row],[Costo total]]</f>
        <v>4.01</v>
      </c>
      <c r="X797" s="54">
        <f>STOCK[[#This Row],[Ganancia Unitaria]]*STOCK[[#This Row],[Salidas]]</f>
        <v>4.01</v>
      </c>
      <c r="AA797" s="54">
        <f>STOCK[[#This Row],[Costo total]]*STOCK[[#This Row],[Entradas]]</f>
        <v>21.98</v>
      </c>
      <c r="AB797" s="54">
        <f>STOCK[[#This Row],[Stock Actual]]*STOCK[[#This Row],[Costo total]]</f>
        <v>10.99</v>
      </c>
    </row>
    <row r="798" spans="1:28" s="53" customFormat="1" ht="50" customHeight="1">
      <c r="A798" s="53" t="s">
        <v>1593</v>
      </c>
      <c r="B798" s="64"/>
      <c r="C798" s="53" t="s">
        <v>32</v>
      </c>
      <c r="D798" s="53" t="s">
        <v>515</v>
      </c>
      <c r="E798" s="65" t="s">
        <v>1591</v>
      </c>
      <c r="F798" s="53" t="s">
        <v>1594</v>
      </c>
      <c r="G798" s="53" t="s">
        <v>1296</v>
      </c>
      <c r="H798" s="54">
        <f>STOCK[[#This Row],[Precio Final]]</f>
        <v>15</v>
      </c>
      <c r="I798" s="54">
        <f>STOCK[[#This Row],[Precio Venta Ideal (x1.5)]]</f>
        <v>16.484999999999999</v>
      </c>
      <c r="J798" s="69">
        <v>1</v>
      </c>
      <c r="K798" s="69">
        <f>SUMIFS(VENTAS[Cantidad],VENTAS[Código del producto Vendido],STOCK[[#This Row],[Code]])</f>
        <v>0</v>
      </c>
      <c r="L798" s="69">
        <f>STOCK[[#This Row],[Entradas]]-STOCK[[#This Row],[Salidas]]</f>
        <v>1</v>
      </c>
      <c r="M798" s="53">
        <f>STOCK[[#This Row],[Precio Final]]*10%</f>
        <v>1.5</v>
      </c>
      <c r="N798" s="53">
        <v>0</v>
      </c>
      <c r="O798" s="53">
        <v>0</v>
      </c>
      <c r="P798" s="53">
        <v>6.49</v>
      </c>
      <c r="Q798" s="69">
        <v>0</v>
      </c>
      <c r="R798" s="53">
        <v>0</v>
      </c>
      <c r="S798" s="53">
        <v>3</v>
      </c>
      <c r="T798" s="53">
        <f>STOCK[[#This Row],[Costo Unitario (USD)]]+STOCK[[#This Row],[Costo Envío (USD)]]+STOCK[[#This Row],[Comisión 10%]]</f>
        <v>10.99</v>
      </c>
      <c r="U798" s="53">
        <f>STOCK[[#This Row],[Costo total]]*1.5</f>
        <v>16.484999999999999</v>
      </c>
      <c r="V798" s="53">
        <v>15</v>
      </c>
      <c r="W798" s="53">
        <f>STOCK[[#This Row],[Precio Final]]-STOCK[[#This Row],[Costo total]]</f>
        <v>4.01</v>
      </c>
      <c r="X798" s="53">
        <f>STOCK[[#This Row],[Ganancia Unitaria]]*STOCK[[#This Row],[Salidas]]</f>
        <v>0</v>
      </c>
      <c r="AA798" s="53">
        <f>STOCK[[#This Row],[Costo total]]*STOCK[[#This Row],[Entradas]]</f>
        <v>10.99</v>
      </c>
      <c r="AB798" s="53">
        <f>STOCK[[#This Row],[Stock Actual]]*STOCK[[#This Row],[Costo total]]</f>
        <v>10.99</v>
      </c>
    </row>
    <row r="799" spans="1:28" s="53" customFormat="1" ht="50" customHeight="1">
      <c r="A799" s="53" t="s">
        <v>1595</v>
      </c>
      <c r="B799" s="64"/>
      <c r="C799" s="53" t="s">
        <v>32</v>
      </c>
      <c r="D799" s="53" t="s">
        <v>515</v>
      </c>
      <c r="E799" s="65" t="s">
        <v>1591</v>
      </c>
      <c r="F799" s="53" t="s">
        <v>1596</v>
      </c>
      <c r="H799" s="54">
        <f>STOCK[[#This Row],[Precio Final]]</f>
        <v>0</v>
      </c>
      <c r="I799" s="54">
        <f>STOCK[[#This Row],[Precio Venta Ideal (x1.5)]]</f>
        <v>0</v>
      </c>
      <c r="J799" s="69"/>
      <c r="K799" s="69"/>
      <c r="L799" s="69">
        <f>STOCK[[#This Row],[Entradas]]-STOCK[[#This Row],[Salidas]]</f>
        <v>0</v>
      </c>
      <c r="Q799" s="69"/>
    </row>
    <row r="800" spans="1:28" s="54" customFormat="1" ht="50" customHeight="1">
      <c r="A800" s="54" t="s">
        <v>1597</v>
      </c>
      <c r="B800" s="64"/>
      <c r="C800" s="54" t="s">
        <v>32</v>
      </c>
      <c r="D800" s="53" t="s">
        <v>515</v>
      </c>
      <c r="E800" s="66" t="s">
        <v>1598</v>
      </c>
      <c r="F800" s="54" t="s">
        <v>765</v>
      </c>
      <c r="G800" s="54" t="s">
        <v>1296</v>
      </c>
      <c r="H800" s="54">
        <f>STOCK[[#This Row],[Precio Final]]</f>
        <v>15</v>
      </c>
      <c r="I800" s="54">
        <f>STOCK[[#This Row],[Precio Venta Ideal (x1.5)]]</f>
        <v>16.484999999999999</v>
      </c>
      <c r="J800" s="70">
        <v>2</v>
      </c>
      <c r="K800" s="70">
        <f>SUMIFS(VENTAS[Cantidad],VENTAS[Código del producto Vendido],STOCK[[#This Row],[Code]])</f>
        <v>2</v>
      </c>
      <c r="L800" s="70">
        <f>STOCK[[#This Row],[Entradas]]-STOCK[[#This Row],[Salidas]]</f>
        <v>0</v>
      </c>
      <c r="M800" s="54">
        <f>STOCK[[#This Row],[Precio Final]]*10%</f>
        <v>1.5</v>
      </c>
      <c r="N800" s="54">
        <v>0</v>
      </c>
      <c r="O800" s="54">
        <v>0</v>
      </c>
      <c r="P800" s="54">
        <v>6.49</v>
      </c>
      <c r="Q800" s="70">
        <v>0</v>
      </c>
      <c r="R800" s="54">
        <v>0</v>
      </c>
      <c r="S800" s="54">
        <v>3</v>
      </c>
      <c r="T800" s="53">
        <f>STOCK[[#This Row],[Costo Unitario (USD)]]+STOCK[[#This Row],[Costo Envío (USD)]]+STOCK[[#This Row],[Comisión 10%]]</f>
        <v>10.99</v>
      </c>
      <c r="U800" s="54">
        <f>STOCK[[#This Row],[Costo total]]*1.5</f>
        <v>16.484999999999999</v>
      </c>
      <c r="V800" s="54">
        <v>15</v>
      </c>
      <c r="W800" s="54">
        <f>STOCK[[#This Row],[Precio Final]]-STOCK[[#This Row],[Costo total]]</f>
        <v>4.01</v>
      </c>
      <c r="X800" s="54">
        <f>STOCK[[#This Row],[Ganancia Unitaria]]*STOCK[[#This Row],[Salidas]]</f>
        <v>8.02</v>
      </c>
      <c r="AA800" s="54">
        <f>STOCK[[#This Row],[Costo total]]*STOCK[[#This Row],[Entradas]]</f>
        <v>21.98</v>
      </c>
      <c r="AB800" s="54">
        <f>STOCK[[#This Row],[Stock Actual]]*STOCK[[#This Row],[Costo total]]</f>
        <v>0</v>
      </c>
    </row>
    <row r="801" spans="1:28" s="53" customFormat="1" ht="50" customHeight="1">
      <c r="A801" s="53" t="s">
        <v>1599</v>
      </c>
      <c r="B801" s="64"/>
      <c r="C801" s="53" t="s">
        <v>32</v>
      </c>
      <c r="D801" s="53" t="s">
        <v>515</v>
      </c>
      <c r="E801" s="65" t="s">
        <v>1600</v>
      </c>
      <c r="F801" s="53" t="s">
        <v>1102</v>
      </c>
      <c r="G801" s="53" t="s">
        <v>1296</v>
      </c>
      <c r="H801" s="53">
        <f>STOCK[[#This Row],[Precio Final]]</f>
        <v>15</v>
      </c>
      <c r="I801" s="53">
        <f>STOCK[[#This Row],[Precio Venta Ideal (x1.5)]]</f>
        <v>16.484999999999999</v>
      </c>
      <c r="J801" s="69">
        <v>1</v>
      </c>
      <c r="K801" s="69">
        <f>SUMIFS(VENTAS[Cantidad],VENTAS[Código del producto Vendido],STOCK[[#This Row],[Code]])</f>
        <v>1</v>
      </c>
      <c r="L801" s="69">
        <f>STOCK[[#This Row],[Entradas]]-STOCK[[#This Row],[Salidas]]</f>
        <v>0</v>
      </c>
      <c r="M801" s="53">
        <f>STOCK[[#This Row],[Precio Final]]*10%</f>
        <v>1.5</v>
      </c>
      <c r="N801" s="53">
        <v>0</v>
      </c>
      <c r="O801" s="53">
        <v>0</v>
      </c>
      <c r="P801" s="53">
        <v>6.49</v>
      </c>
      <c r="Q801" s="69">
        <v>0</v>
      </c>
      <c r="R801" s="53">
        <v>0</v>
      </c>
      <c r="S801" s="53">
        <v>3</v>
      </c>
      <c r="T801" s="53">
        <f>STOCK[[#This Row],[Costo Unitario (USD)]]+STOCK[[#This Row],[Costo Envío (USD)]]+STOCK[[#This Row],[Comisión 10%]]</f>
        <v>10.99</v>
      </c>
      <c r="U801" s="53">
        <f>STOCK[[#This Row],[Costo total]]*1.5</f>
        <v>16.484999999999999</v>
      </c>
      <c r="V801" s="53">
        <v>15</v>
      </c>
      <c r="W801" s="53">
        <f>STOCK[[#This Row],[Precio Final]]-STOCK[[#This Row],[Costo total]]</f>
        <v>4.01</v>
      </c>
      <c r="X801" s="53">
        <f>STOCK[[#This Row],[Ganancia Unitaria]]*STOCK[[#This Row],[Salidas]]</f>
        <v>4.01</v>
      </c>
      <c r="AA801" s="53">
        <f>STOCK[[#This Row],[Costo total]]*STOCK[[#This Row],[Entradas]]</f>
        <v>10.99</v>
      </c>
      <c r="AB801" s="53">
        <f>STOCK[[#This Row],[Stock Actual]]*STOCK[[#This Row],[Costo total]]</f>
        <v>0</v>
      </c>
    </row>
    <row r="802" spans="1:28" s="54" customFormat="1" ht="50" customHeight="1">
      <c r="A802" s="54" t="s">
        <v>1601</v>
      </c>
      <c r="B802" s="64"/>
      <c r="C802" s="54" t="s">
        <v>32</v>
      </c>
      <c r="D802" s="54" t="s">
        <v>247</v>
      </c>
      <c r="E802" s="66" t="s">
        <v>1602</v>
      </c>
      <c r="F802" s="54" t="s">
        <v>42</v>
      </c>
      <c r="G802" s="54" t="s">
        <v>1603</v>
      </c>
      <c r="H802" s="54">
        <f>STOCK[[#This Row],[Precio Final]]</f>
        <v>20</v>
      </c>
      <c r="I802" s="54">
        <f>STOCK[[#This Row],[Precio Venta Ideal (x1.5)]]</f>
        <v>20.700000000000003</v>
      </c>
      <c r="J802" s="70">
        <v>3</v>
      </c>
      <c r="K802" s="70">
        <f>SUMIFS(VENTAS[Cantidad],VENTAS[Código del producto Vendido],STOCK[[#This Row],[Code]])</f>
        <v>3</v>
      </c>
      <c r="L802" s="70">
        <f>STOCK[[#This Row],[Entradas]]-STOCK[[#This Row],[Salidas]]</f>
        <v>0</v>
      </c>
      <c r="M802" s="54">
        <f>STOCK[[#This Row],[Precio Final]]*10%</f>
        <v>2</v>
      </c>
      <c r="N802" s="54">
        <v>0</v>
      </c>
      <c r="O802" s="54">
        <v>0</v>
      </c>
      <c r="P802" s="54">
        <v>10.3</v>
      </c>
      <c r="Q802" s="70">
        <v>0</v>
      </c>
      <c r="R802" s="54">
        <v>0</v>
      </c>
      <c r="S802" s="54">
        <v>1.5</v>
      </c>
      <c r="T802" s="53">
        <f>STOCK[[#This Row],[Costo Unitario (USD)]]+STOCK[[#This Row],[Costo Envío (USD)]]+STOCK[[#This Row],[Comisión 10%]]</f>
        <v>13.8</v>
      </c>
      <c r="U802" s="54">
        <f>STOCK[[#This Row],[Costo total]]*1.5</f>
        <v>20.700000000000003</v>
      </c>
      <c r="V802" s="54">
        <v>20</v>
      </c>
      <c r="W802" s="54">
        <f>STOCK[[#This Row],[Precio Final]]-STOCK[[#This Row],[Costo total]]</f>
        <v>6.1999999999999993</v>
      </c>
      <c r="X802" s="54">
        <f>STOCK[[#This Row],[Ganancia Unitaria]]*STOCK[[#This Row],[Salidas]]</f>
        <v>18.599999999999998</v>
      </c>
      <c r="Y802" s="54" t="s">
        <v>1604</v>
      </c>
      <c r="AA802" s="54">
        <f>STOCK[[#This Row],[Costo total]]*STOCK[[#This Row],[Entradas]]</f>
        <v>41.400000000000006</v>
      </c>
      <c r="AB802" s="54">
        <f>STOCK[[#This Row],[Stock Actual]]*STOCK[[#This Row],[Costo total]]</f>
        <v>0</v>
      </c>
    </row>
    <row r="803" spans="1:28" s="53" customFormat="1" ht="50" customHeight="1">
      <c r="A803" s="53" t="s">
        <v>1605</v>
      </c>
      <c r="B803" s="64"/>
      <c r="C803" s="53" t="s">
        <v>32</v>
      </c>
      <c r="D803" s="53" t="s">
        <v>515</v>
      </c>
      <c r="E803" s="65" t="s">
        <v>1606</v>
      </c>
      <c r="F803" s="53" t="s">
        <v>540</v>
      </c>
      <c r="G803" s="53" t="s">
        <v>36</v>
      </c>
      <c r="H803" s="53">
        <f>STOCK[[#This Row],[Precio Final]]</f>
        <v>35</v>
      </c>
      <c r="I803" s="53">
        <f>STOCK[[#This Row],[Precio Venta Ideal (x1.5)]]</f>
        <v>31.29</v>
      </c>
      <c r="J803" s="69">
        <v>1</v>
      </c>
      <c r="K803" s="69">
        <f>SUMIFS(VENTAS[Cantidad],VENTAS[Código del producto Vendido],STOCK[[#This Row],[Code]])</f>
        <v>1</v>
      </c>
      <c r="L803" s="69">
        <f>STOCK[[#This Row],[Entradas]]-STOCK[[#This Row],[Salidas]]</f>
        <v>0</v>
      </c>
      <c r="M803" s="53">
        <f>STOCK[[#This Row],[Precio Final]]*10%</f>
        <v>3.5</v>
      </c>
      <c r="N803" s="53">
        <v>0</v>
      </c>
      <c r="O803" s="53">
        <v>0</v>
      </c>
      <c r="P803" s="53">
        <v>15.86</v>
      </c>
      <c r="Q803" s="69">
        <v>0</v>
      </c>
      <c r="R803" s="53">
        <v>0</v>
      </c>
      <c r="S803" s="53">
        <v>1.5</v>
      </c>
      <c r="T803" s="53">
        <f>STOCK[[#This Row],[Costo Unitario (USD)]]+STOCK[[#This Row],[Costo Envío (USD)]]+STOCK[[#This Row],[Comisión 10%]]</f>
        <v>20.86</v>
      </c>
      <c r="U803" s="53">
        <f>STOCK[[#This Row],[Costo total]]*1.5</f>
        <v>31.29</v>
      </c>
      <c r="V803" s="53">
        <v>35</v>
      </c>
      <c r="W803" s="53">
        <f>STOCK[[#This Row],[Precio Final]]-STOCK[[#This Row],[Costo total]]</f>
        <v>14.14</v>
      </c>
      <c r="X803" s="53">
        <f>STOCK[[#This Row],[Ganancia Unitaria]]*STOCK[[#This Row],[Salidas]]</f>
        <v>14.14</v>
      </c>
      <c r="AA803" s="53">
        <f>STOCK[[#This Row],[Costo total]]*STOCK[[#This Row],[Entradas]]</f>
        <v>20.86</v>
      </c>
      <c r="AB803" s="53">
        <f>STOCK[[#This Row],[Stock Actual]]*STOCK[[#This Row],[Costo total]]</f>
        <v>0</v>
      </c>
    </row>
    <row r="804" spans="1:28" s="54" customFormat="1" ht="50" customHeight="1">
      <c r="A804" s="54" t="s">
        <v>1607</v>
      </c>
      <c r="B804" s="64"/>
      <c r="C804" s="54" t="s">
        <v>32</v>
      </c>
      <c r="D804" s="53" t="s">
        <v>515</v>
      </c>
      <c r="E804" s="66" t="s">
        <v>1606</v>
      </c>
      <c r="F804" s="54" t="s">
        <v>1102</v>
      </c>
      <c r="G804" s="54" t="s">
        <v>36</v>
      </c>
      <c r="H804" s="54">
        <f>STOCK[[#This Row],[Precio Final]]</f>
        <v>35</v>
      </c>
      <c r="I804" s="54">
        <f>STOCK[[#This Row],[Precio Venta Ideal (x1.5)]]</f>
        <v>31.29</v>
      </c>
      <c r="J804" s="70">
        <v>1</v>
      </c>
      <c r="K804" s="70">
        <f>SUMIFS(VENTAS[Cantidad],VENTAS[Código del producto Vendido],STOCK[[#This Row],[Code]])</f>
        <v>1</v>
      </c>
      <c r="L804" s="70">
        <f>STOCK[[#This Row],[Entradas]]-STOCK[[#This Row],[Salidas]]</f>
        <v>0</v>
      </c>
      <c r="M804" s="54">
        <f>STOCK[[#This Row],[Precio Final]]*10%</f>
        <v>3.5</v>
      </c>
      <c r="N804" s="54">
        <v>0</v>
      </c>
      <c r="O804" s="54">
        <v>0</v>
      </c>
      <c r="P804" s="54">
        <v>15.86</v>
      </c>
      <c r="Q804" s="70">
        <v>0</v>
      </c>
      <c r="R804" s="54">
        <v>0</v>
      </c>
      <c r="S804" s="54">
        <v>1.5</v>
      </c>
      <c r="T804" s="53">
        <f>STOCK[[#This Row],[Costo Unitario (USD)]]+STOCK[[#This Row],[Costo Envío (USD)]]+STOCK[[#This Row],[Comisión 10%]]</f>
        <v>20.86</v>
      </c>
      <c r="U804" s="54">
        <f>STOCK[[#This Row],[Costo total]]*1.5</f>
        <v>31.29</v>
      </c>
      <c r="V804" s="54">
        <v>35</v>
      </c>
      <c r="W804" s="54">
        <f>STOCK[[#This Row],[Precio Final]]-STOCK[[#This Row],[Costo total]]</f>
        <v>14.14</v>
      </c>
      <c r="X804" s="54">
        <f>STOCK[[#This Row],[Ganancia Unitaria]]*STOCK[[#This Row],[Salidas]]</f>
        <v>14.14</v>
      </c>
      <c r="Y804" s="54" t="s">
        <v>1604</v>
      </c>
      <c r="AA804" s="54">
        <f>STOCK[[#This Row],[Costo total]]*STOCK[[#This Row],[Entradas]]</f>
        <v>20.86</v>
      </c>
      <c r="AB804" s="54">
        <f>STOCK[[#This Row],[Stock Actual]]*STOCK[[#This Row],[Costo total]]</f>
        <v>0</v>
      </c>
    </row>
    <row r="805" spans="1:28" s="53" customFormat="1" ht="50" customHeight="1">
      <c r="A805" s="53" t="s">
        <v>1608</v>
      </c>
      <c r="B805" s="64"/>
      <c r="C805" s="53" t="s">
        <v>32</v>
      </c>
      <c r="D805" s="53" t="s">
        <v>44</v>
      </c>
      <c r="E805" s="65" t="s">
        <v>1609</v>
      </c>
      <c r="F805" s="53" t="s">
        <v>49</v>
      </c>
      <c r="G805" s="53" t="s">
        <v>36</v>
      </c>
      <c r="H805" s="53">
        <f>STOCK[[#This Row],[Precio Final]]</f>
        <v>30</v>
      </c>
      <c r="I805" s="53">
        <f>STOCK[[#This Row],[Precio Venta Ideal (x1.5)]]</f>
        <v>26.759999999999998</v>
      </c>
      <c r="J805" s="69">
        <v>2</v>
      </c>
      <c r="K805" s="69">
        <f>SUMIFS(VENTAS[Cantidad],VENTAS[Código del producto Vendido],STOCK[[#This Row],[Code]])</f>
        <v>2</v>
      </c>
      <c r="L805" s="69">
        <f>STOCK[[#This Row],[Entradas]]-STOCK[[#This Row],[Salidas]]</f>
        <v>0</v>
      </c>
      <c r="M805" s="53">
        <f>STOCK[[#This Row],[Precio Final]]*10%</f>
        <v>3</v>
      </c>
      <c r="N805" s="53">
        <v>0</v>
      </c>
      <c r="O805" s="53">
        <v>0</v>
      </c>
      <c r="P805" s="53">
        <v>13.34</v>
      </c>
      <c r="Q805" s="69">
        <v>0</v>
      </c>
      <c r="R805" s="53">
        <v>0</v>
      </c>
      <c r="S805" s="53">
        <v>1.5</v>
      </c>
      <c r="T805" s="53">
        <f>STOCK[[#This Row],[Costo Unitario (USD)]]+STOCK[[#This Row],[Costo Envío (USD)]]+STOCK[[#This Row],[Comisión 10%]]</f>
        <v>17.84</v>
      </c>
      <c r="U805" s="53">
        <f>STOCK[[#This Row],[Costo total]]*1.5</f>
        <v>26.759999999999998</v>
      </c>
      <c r="V805" s="53">
        <v>30</v>
      </c>
      <c r="W805" s="53">
        <f>STOCK[[#This Row],[Precio Final]]-STOCK[[#This Row],[Costo total]]</f>
        <v>12.16</v>
      </c>
      <c r="X805" s="53">
        <f>STOCK[[#This Row],[Ganancia Unitaria]]*STOCK[[#This Row],[Salidas]]</f>
        <v>24.32</v>
      </c>
      <c r="Y805" s="53" t="s">
        <v>1604</v>
      </c>
      <c r="AA805" s="53">
        <f>STOCK[[#This Row],[Costo total]]*STOCK[[#This Row],[Entradas]]</f>
        <v>35.68</v>
      </c>
      <c r="AB805" s="53">
        <f>STOCK[[#This Row],[Stock Actual]]*STOCK[[#This Row],[Costo total]]</f>
        <v>0</v>
      </c>
    </row>
    <row r="806" spans="1:28" s="54" customFormat="1" ht="50" customHeight="1">
      <c r="A806" s="54" t="s">
        <v>1610</v>
      </c>
      <c r="B806" s="64"/>
      <c r="C806" s="54" t="s">
        <v>32</v>
      </c>
      <c r="D806" s="54" t="s">
        <v>44</v>
      </c>
      <c r="E806" s="66" t="s">
        <v>1609</v>
      </c>
      <c r="F806" s="54" t="s">
        <v>62</v>
      </c>
      <c r="G806" s="54" t="s">
        <v>36</v>
      </c>
      <c r="H806" s="54">
        <f>STOCK[[#This Row],[Precio Final]]</f>
        <v>30</v>
      </c>
      <c r="I806" s="54">
        <f>STOCK[[#This Row],[Precio Venta Ideal (x1.5)]]</f>
        <v>26.759999999999998</v>
      </c>
      <c r="J806" s="70">
        <v>1</v>
      </c>
      <c r="K806" s="70">
        <f>SUMIFS(VENTAS[Cantidad],VENTAS[Código del producto Vendido],STOCK[[#This Row],[Code]])</f>
        <v>1</v>
      </c>
      <c r="L806" s="70">
        <f>STOCK[[#This Row],[Entradas]]-STOCK[[#This Row],[Salidas]]</f>
        <v>0</v>
      </c>
      <c r="M806" s="54">
        <f>STOCK[[#This Row],[Precio Final]]*10%</f>
        <v>3</v>
      </c>
      <c r="N806" s="54">
        <v>0</v>
      </c>
      <c r="O806" s="54">
        <v>0</v>
      </c>
      <c r="P806" s="54">
        <v>13.34</v>
      </c>
      <c r="Q806" s="70">
        <v>0</v>
      </c>
      <c r="R806" s="54">
        <v>0</v>
      </c>
      <c r="S806" s="54">
        <v>1.5</v>
      </c>
      <c r="T806" s="53">
        <f>STOCK[[#This Row],[Costo Unitario (USD)]]+STOCK[[#This Row],[Costo Envío (USD)]]+STOCK[[#This Row],[Comisión 10%]]</f>
        <v>17.84</v>
      </c>
      <c r="U806" s="54">
        <f>STOCK[[#This Row],[Costo total]]*1.5</f>
        <v>26.759999999999998</v>
      </c>
      <c r="V806" s="54">
        <v>30</v>
      </c>
      <c r="W806" s="54">
        <f>STOCK[[#This Row],[Precio Final]]-STOCK[[#This Row],[Costo total]]</f>
        <v>12.16</v>
      </c>
      <c r="X806" s="54">
        <f>STOCK[[#This Row],[Ganancia Unitaria]]*STOCK[[#This Row],[Salidas]]</f>
        <v>12.16</v>
      </c>
      <c r="Y806" s="54" t="s">
        <v>1604</v>
      </c>
      <c r="AA806" s="54">
        <f>STOCK[[#This Row],[Costo total]]*STOCK[[#This Row],[Entradas]]</f>
        <v>17.84</v>
      </c>
      <c r="AB806" s="54">
        <f>STOCK[[#This Row],[Stock Actual]]*STOCK[[#This Row],[Costo total]]</f>
        <v>0</v>
      </c>
    </row>
    <row r="807" spans="1:28" s="53" customFormat="1" ht="50" customHeight="1">
      <c r="A807" s="53" t="s">
        <v>1611</v>
      </c>
      <c r="B807" s="64"/>
      <c r="C807" s="53" t="s">
        <v>32</v>
      </c>
      <c r="D807" s="53" t="s">
        <v>1612</v>
      </c>
      <c r="E807" s="65" t="s">
        <v>1613</v>
      </c>
      <c r="F807" s="53" t="s">
        <v>83</v>
      </c>
      <c r="G807" s="53" t="s">
        <v>36</v>
      </c>
      <c r="H807" s="53">
        <f>STOCK[[#This Row],[Precio Final]]</f>
        <v>30</v>
      </c>
      <c r="I807" s="53">
        <f>STOCK[[#This Row],[Precio Venta Ideal (x1.5)]]</f>
        <v>26.759999999999998</v>
      </c>
      <c r="J807" s="69">
        <v>2</v>
      </c>
      <c r="K807" s="69">
        <f>SUMIFS(VENTAS[Cantidad],VENTAS[Código del producto Vendido],STOCK[[#This Row],[Code]])</f>
        <v>2</v>
      </c>
      <c r="L807" s="69">
        <f>STOCK[[#This Row],[Entradas]]-STOCK[[#This Row],[Salidas]]</f>
        <v>0</v>
      </c>
      <c r="M807" s="53">
        <f>STOCK[[#This Row],[Precio Final]]*10%</f>
        <v>3</v>
      </c>
      <c r="N807" s="53">
        <v>0</v>
      </c>
      <c r="O807" s="53">
        <v>0</v>
      </c>
      <c r="P807" s="53">
        <v>13.34</v>
      </c>
      <c r="Q807" s="69">
        <v>0</v>
      </c>
      <c r="R807" s="53">
        <v>0</v>
      </c>
      <c r="S807" s="53">
        <v>1.5</v>
      </c>
      <c r="T807" s="53">
        <f>STOCK[[#This Row],[Costo Unitario (USD)]]+STOCK[[#This Row],[Costo Envío (USD)]]+STOCK[[#This Row],[Comisión 10%]]</f>
        <v>17.84</v>
      </c>
      <c r="U807" s="53">
        <f>STOCK[[#This Row],[Costo total]]*1.5</f>
        <v>26.759999999999998</v>
      </c>
      <c r="V807" s="53">
        <v>30</v>
      </c>
      <c r="W807" s="53">
        <f>STOCK[[#This Row],[Precio Final]]-STOCK[[#This Row],[Costo total]]</f>
        <v>12.16</v>
      </c>
      <c r="X807" s="53">
        <f>STOCK[[#This Row],[Ganancia Unitaria]]*STOCK[[#This Row],[Salidas]]</f>
        <v>24.32</v>
      </c>
      <c r="Y807" s="53" t="s">
        <v>1604</v>
      </c>
      <c r="AA807" s="53">
        <f>STOCK[[#This Row],[Costo total]]*STOCK[[#This Row],[Entradas]]</f>
        <v>35.68</v>
      </c>
      <c r="AB807" s="53">
        <f>STOCK[[#This Row],[Stock Actual]]*STOCK[[#This Row],[Costo total]]</f>
        <v>0</v>
      </c>
    </row>
    <row r="808" spans="1:28" s="54" customFormat="1" ht="50" customHeight="1">
      <c r="A808" s="54" t="s">
        <v>1614</v>
      </c>
      <c r="B808" s="64"/>
      <c r="C808" s="54" t="s">
        <v>32</v>
      </c>
      <c r="D808" s="54" t="s">
        <v>174</v>
      </c>
      <c r="E808" s="66" t="s">
        <v>1615</v>
      </c>
      <c r="F808" s="54" t="s">
        <v>211</v>
      </c>
      <c r="G808" s="54" t="s">
        <v>36</v>
      </c>
      <c r="H808" s="54">
        <f>STOCK[[#This Row],[Precio Final]]</f>
        <v>22</v>
      </c>
      <c r="I808" s="54">
        <f>STOCK[[#This Row],[Precio Venta Ideal (x1.5)]]</f>
        <v>17.910000000000004</v>
      </c>
      <c r="J808" s="70">
        <v>4</v>
      </c>
      <c r="K808" s="70">
        <f>SUMIFS(VENTAS[Cantidad],VENTAS[Código del producto Vendido],STOCK[[#This Row],[Code]])</f>
        <v>4</v>
      </c>
      <c r="L808" s="70">
        <f>STOCK[[#This Row],[Entradas]]-STOCK[[#This Row],[Salidas]]</f>
        <v>0</v>
      </c>
      <c r="M808" s="54">
        <f>STOCK[[#This Row],[Precio Final]]*10%</f>
        <v>2.2000000000000002</v>
      </c>
      <c r="N808" s="54">
        <v>0</v>
      </c>
      <c r="O808" s="54">
        <v>0</v>
      </c>
      <c r="P808" s="54">
        <v>8.24</v>
      </c>
      <c r="Q808" s="70">
        <v>0</v>
      </c>
      <c r="R808" s="54">
        <v>0</v>
      </c>
      <c r="S808" s="54">
        <v>1.5</v>
      </c>
      <c r="T808" s="53">
        <f>STOCK[[#This Row],[Costo Unitario (USD)]]+STOCK[[#This Row],[Costo Envío (USD)]]+STOCK[[#This Row],[Comisión 10%]]</f>
        <v>11.940000000000001</v>
      </c>
      <c r="U808" s="54">
        <f>STOCK[[#This Row],[Costo total]]*1.5</f>
        <v>17.910000000000004</v>
      </c>
      <c r="V808" s="54">
        <v>22</v>
      </c>
      <c r="W808" s="54">
        <f>STOCK[[#This Row],[Precio Final]]-STOCK[[#This Row],[Costo total]]</f>
        <v>10.059999999999999</v>
      </c>
      <c r="X808" s="54">
        <f>STOCK[[#This Row],[Ganancia Unitaria]]*STOCK[[#This Row],[Salidas]]</f>
        <v>40.239999999999995</v>
      </c>
      <c r="Y808" s="54" t="s">
        <v>1604</v>
      </c>
      <c r="AA808" s="54">
        <f>STOCK[[#This Row],[Costo total]]*STOCK[[#This Row],[Entradas]]</f>
        <v>47.760000000000005</v>
      </c>
      <c r="AB808" s="54">
        <f>STOCK[[#This Row],[Stock Actual]]*STOCK[[#This Row],[Costo total]]</f>
        <v>0</v>
      </c>
    </row>
    <row r="809" spans="1:28" s="53" customFormat="1" ht="50" customHeight="1">
      <c r="A809" s="53" t="s">
        <v>1616</v>
      </c>
      <c r="B809" s="64"/>
      <c r="C809" s="53" t="s">
        <v>32</v>
      </c>
      <c r="D809" s="53" t="s">
        <v>174</v>
      </c>
      <c r="E809" s="65" t="s">
        <v>1615</v>
      </c>
      <c r="F809" s="53" t="s">
        <v>62</v>
      </c>
      <c r="G809" s="53" t="s">
        <v>36</v>
      </c>
      <c r="H809" s="53">
        <f>STOCK[[#This Row],[Precio Final]]</f>
        <v>22</v>
      </c>
      <c r="I809" s="53">
        <f>STOCK[[#This Row],[Precio Venta Ideal (x1.5)]]</f>
        <v>17.910000000000004</v>
      </c>
      <c r="J809" s="69">
        <v>4</v>
      </c>
      <c r="K809" s="69">
        <f>SUMIFS(VENTAS[Cantidad],VENTAS[Código del producto Vendido],STOCK[[#This Row],[Code]])</f>
        <v>4</v>
      </c>
      <c r="L809" s="69">
        <f>STOCK[[#This Row],[Entradas]]-STOCK[[#This Row],[Salidas]]</f>
        <v>0</v>
      </c>
      <c r="M809" s="53">
        <f>STOCK[[#This Row],[Precio Final]]*10%</f>
        <v>2.2000000000000002</v>
      </c>
      <c r="N809" s="53">
        <v>0</v>
      </c>
      <c r="O809" s="53">
        <v>0</v>
      </c>
      <c r="P809" s="53">
        <v>8.24</v>
      </c>
      <c r="Q809" s="69">
        <v>0</v>
      </c>
      <c r="R809" s="53">
        <v>0</v>
      </c>
      <c r="S809" s="53">
        <v>1.5</v>
      </c>
      <c r="T809" s="53">
        <f>STOCK[[#This Row],[Costo Unitario (USD)]]+STOCK[[#This Row],[Costo Envío (USD)]]+STOCK[[#This Row],[Comisión 10%]]</f>
        <v>11.940000000000001</v>
      </c>
      <c r="U809" s="53">
        <f>STOCK[[#This Row],[Costo total]]*1.5</f>
        <v>17.910000000000004</v>
      </c>
      <c r="V809" s="53">
        <v>22</v>
      </c>
      <c r="W809" s="53">
        <f>STOCK[[#This Row],[Precio Final]]-STOCK[[#This Row],[Costo total]]</f>
        <v>10.059999999999999</v>
      </c>
      <c r="X809" s="53">
        <f>STOCK[[#This Row],[Ganancia Unitaria]]*STOCK[[#This Row],[Salidas]]</f>
        <v>40.239999999999995</v>
      </c>
      <c r="Y809" s="53" t="s">
        <v>1604</v>
      </c>
      <c r="AA809" s="53">
        <f>STOCK[[#This Row],[Costo total]]*STOCK[[#This Row],[Entradas]]</f>
        <v>47.760000000000005</v>
      </c>
      <c r="AB809" s="53">
        <f>STOCK[[#This Row],[Stock Actual]]*STOCK[[#This Row],[Costo total]]</f>
        <v>0</v>
      </c>
    </row>
    <row r="810" spans="1:28" s="54" customFormat="1" ht="50" customHeight="1">
      <c r="A810" s="54" t="s">
        <v>1617</v>
      </c>
      <c r="B810" s="64"/>
      <c r="C810" s="54" t="s">
        <v>32</v>
      </c>
      <c r="D810" s="54" t="s">
        <v>247</v>
      </c>
      <c r="E810" s="66" t="s">
        <v>1615</v>
      </c>
      <c r="F810" s="54" t="s">
        <v>46</v>
      </c>
      <c r="G810" s="54" t="s">
        <v>36</v>
      </c>
      <c r="H810" s="54">
        <f>STOCK[[#This Row],[Precio Final]]</f>
        <v>22</v>
      </c>
      <c r="I810" s="54">
        <f>STOCK[[#This Row],[Precio Venta Ideal (x1.5)]]</f>
        <v>17.910000000000004</v>
      </c>
      <c r="J810" s="70">
        <v>2</v>
      </c>
      <c r="K810" s="70">
        <f>SUMIFS(VENTAS[Cantidad],VENTAS[Código del producto Vendido],STOCK[[#This Row],[Code]])</f>
        <v>2</v>
      </c>
      <c r="L810" s="70">
        <f>STOCK[[#This Row],[Entradas]]-STOCK[[#This Row],[Salidas]]</f>
        <v>0</v>
      </c>
      <c r="M810" s="54">
        <f>STOCK[[#This Row],[Precio Final]]*10%</f>
        <v>2.2000000000000002</v>
      </c>
      <c r="N810" s="54">
        <v>0</v>
      </c>
      <c r="O810" s="54">
        <v>0</v>
      </c>
      <c r="P810" s="54">
        <v>8.24</v>
      </c>
      <c r="Q810" s="70">
        <v>0</v>
      </c>
      <c r="R810" s="54">
        <v>0</v>
      </c>
      <c r="S810" s="54">
        <v>1.5</v>
      </c>
      <c r="T810" s="53">
        <f>STOCK[[#This Row],[Costo Unitario (USD)]]+STOCK[[#This Row],[Costo Envío (USD)]]+STOCK[[#This Row],[Comisión 10%]]</f>
        <v>11.940000000000001</v>
      </c>
      <c r="U810" s="54">
        <f>STOCK[[#This Row],[Costo total]]*1.5</f>
        <v>17.910000000000004</v>
      </c>
      <c r="V810" s="54">
        <v>22</v>
      </c>
      <c r="W810" s="54">
        <f>STOCK[[#This Row],[Precio Final]]-STOCK[[#This Row],[Costo total]]</f>
        <v>10.059999999999999</v>
      </c>
      <c r="X810" s="54">
        <f>STOCK[[#This Row],[Ganancia Unitaria]]*STOCK[[#This Row],[Salidas]]</f>
        <v>20.119999999999997</v>
      </c>
      <c r="Y810" s="54" t="s">
        <v>1604</v>
      </c>
      <c r="AA810" s="54">
        <f>STOCK[[#This Row],[Costo total]]*STOCK[[#This Row],[Entradas]]</f>
        <v>23.880000000000003</v>
      </c>
      <c r="AB810" s="54">
        <f>STOCK[[#This Row],[Stock Actual]]*STOCK[[#This Row],[Costo total]]</f>
        <v>0</v>
      </c>
    </row>
    <row r="811" spans="1:28" s="53" customFormat="1" ht="50" customHeight="1">
      <c r="A811" s="53" t="s">
        <v>1618</v>
      </c>
      <c r="B811" s="64"/>
      <c r="C811" s="53" t="s">
        <v>32</v>
      </c>
      <c r="D811" s="53" t="s">
        <v>44</v>
      </c>
      <c r="E811" s="65" t="s">
        <v>1619</v>
      </c>
      <c r="F811" s="53" t="s">
        <v>49</v>
      </c>
      <c r="G811" s="53" t="s">
        <v>36</v>
      </c>
      <c r="H811" s="53">
        <f>STOCK[[#This Row],[Precio Final]]</f>
        <v>30</v>
      </c>
      <c r="I811" s="53">
        <f>STOCK[[#This Row],[Precio Venta Ideal (x1.5)]]</f>
        <v>27.134999999999998</v>
      </c>
      <c r="J811" s="69">
        <v>1</v>
      </c>
      <c r="K811" s="69">
        <f>SUMIFS(VENTAS[Cantidad],VENTAS[Código del producto Vendido],STOCK[[#This Row],[Code]])</f>
        <v>1</v>
      </c>
      <c r="L811" s="69">
        <f>STOCK[[#This Row],[Entradas]]-STOCK[[#This Row],[Salidas]]</f>
        <v>0</v>
      </c>
      <c r="M811" s="53">
        <f>STOCK[[#This Row],[Precio Final]]*10%</f>
        <v>3</v>
      </c>
      <c r="N811" s="53">
        <v>0</v>
      </c>
      <c r="O811" s="53">
        <v>0</v>
      </c>
      <c r="P811" s="53">
        <v>13.59</v>
      </c>
      <c r="Q811" s="69">
        <v>0</v>
      </c>
      <c r="R811" s="53">
        <v>0</v>
      </c>
      <c r="S811" s="53">
        <v>1.5</v>
      </c>
      <c r="T811" s="53">
        <f>STOCK[[#This Row],[Costo Unitario (USD)]]+STOCK[[#This Row],[Costo Envío (USD)]]+STOCK[[#This Row],[Comisión 10%]]</f>
        <v>18.09</v>
      </c>
      <c r="U811" s="53">
        <f>STOCK[[#This Row],[Costo total]]*1.5</f>
        <v>27.134999999999998</v>
      </c>
      <c r="V811" s="53">
        <v>30</v>
      </c>
      <c r="W811" s="53">
        <f>STOCK[[#This Row],[Precio Final]]-STOCK[[#This Row],[Costo total]]</f>
        <v>11.91</v>
      </c>
      <c r="X811" s="53">
        <f>STOCK[[#This Row],[Ganancia Unitaria]]*STOCK[[#This Row],[Salidas]]</f>
        <v>11.91</v>
      </c>
      <c r="Y811" s="53" t="s">
        <v>1604</v>
      </c>
      <c r="AA811" s="53">
        <f>STOCK[[#This Row],[Costo total]]*STOCK[[#This Row],[Entradas]]</f>
        <v>18.09</v>
      </c>
      <c r="AB811" s="53">
        <f>STOCK[[#This Row],[Stock Actual]]*STOCK[[#This Row],[Costo total]]</f>
        <v>0</v>
      </c>
    </row>
    <row r="812" spans="1:28" s="54" customFormat="1" ht="50" customHeight="1">
      <c r="A812" s="54" t="s">
        <v>1620</v>
      </c>
      <c r="B812" s="64"/>
      <c r="C812" s="54" t="s">
        <v>32</v>
      </c>
      <c r="D812" s="54" t="s">
        <v>44</v>
      </c>
      <c r="E812" s="66" t="s">
        <v>1619</v>
      </c>
      <c r="F812" s="54" t="s">
        <v>88</v>
      </c>
      <c r="G812" s="54" t="s">
        <v>36</v>
      </c>
      <c r="H812" s="54">
        <f>STOCK[[#This Row],[Precio Final]]</f>
        <v>30</v>
      </c>
      <c r="I812" s="54">
        <f>STOCK[[#This Row],[Precio Venta Ideal (x1.5)]]</f>
        <v>27.134999999999998</v>
      </c>
      <c r="J812" s="70">
        <v>1</v>
      </c>
      <c r="K812" s="70">
        <f>SUMIFS(VENTAS[Cantidad],VENTAS[Código del producto Vendido],STOCK[[#This Row],[Code]])</f>
        <v>1</v>
      </c>
      <c r="L812" s="70">
        <f>STOCK[[#This Row],[Entradas]]-STOCK[[#This Row],[Salidas]]</f>
        <v>0</v>
      </c>
      <c r="M812" s="54">
        <f>STOCK[[#This Row],[Precio Final]]*10%</f>
        <v>3</v>
      </c>
      <c r="N812" s="54">
        <v>0</v>
      </c>
      <c r="O812" s="54">
        <v>0</v>
      </c>
      <c r="P812" s="54">
        <v>13.59</v>
      </c>
      <c r="Q812" s="70">
        <v>0</v>
      </c>
      <c r="R812" s="54">
        <v>0</v>
      </c>
      <c r="S812" s="54">
        <v>1.5</v>
      </c>
      <c r="T812" s="53">
        <f>STOCK[[#This Row],[Costo Unitario (USD)]]+STOCK[[#This Row],[Costo Envío (USD)]]+STOCK[[#This Row],[Comisión 10%]]</f>
        <v>18.09</v>
      </c>
      <c r="U812" s="54">
        <f>STOCK[[#This Row],[Costo total]]*1.5</f>
        <v>27.134999999999998</v>
      </c>
      <c r="V812" s="54">
        <v>30</v>
      </c>
      <c r="W812" s="54">
        <f>STOCK[[#This Row],[Precio Final]]-STOCK[[#This Row],[Costo total]]</f>
        <v>11.91</v>
      </c>
      <c r="X812" s="54">
        <f>STOCK[[#This Row],[Ganancia Unitaria]]*STOCK[[#This Row],[Salidas]]</f>
        <v>11.91</v>
      </c>
      <c r="Y812" s="54" t="s">
        <v>1604</v>
      </c>
      <c r="AA812" s="54">
        <f>STOCK[[#This Row],[Costo total]]*STOCK[[#This Row],[Entradas]]</f>
        <v>18.09</v>
      </c>
      <c r="AB812" s="54">
        <f>STOCK[[#This Row],[Stock Actual]]*STOCK[[#This Row],[Costo total]]</f>
        <v>0</v>
      </c>
    </row>
    <row r="813" spans="1:28" s="53" customFormat="1" ht="50" customHeight="1">
      <c r="A813" s="53" t="s">
        <v>1621</v>
      </c>
      <c r="B813" s="64"/>
      <c r="C813" s="53" t="s">
        <v>32</v>
      </c>
      <c r="D813" s="53" t="s">
        <v>44</v>
      </c>
      <c r="E813" s="65" t="s">
        <v>1622</v>
      </c>
      <c r="F813" s="53" t="s">
        <v>211</v>
      </c>
      <c r="G813" s="53" t="s">
        <v>36</v>
      </c>
      <c r="H813" s="53">
        <f>STOCK[[#This Row],[Precio Final]]</f>
        <v>25</v>
      </c>
      <c r="I813" s="53">
        <f>STOCK[[#This Row],[Precio Venta Ideal (x1.5)]]</f>
        <v>22.35</v>
      </c>
      <c r="J813" s="69">
        <v>1</v>
      </c>
      <c r="K813" s="69">
        <f>SUMIFS(VENTAS[Cantidad],VENTAS[Código del producto Vendido],STOCK[[#This Row],[Code]])</f>
        <v>1</v>
      </c>
      <c r="L813" s="69">
        <f>STOCK[[#This Row],[Entradas]]-STOCK[[#This Row],[Salidas]]</f>
        <v>0</v>
      </c>
      <c r="M813" s="53">
        <f>STOCK[[#This Row],[Precio Final]]*10%</f>
        <v>2.5</v>
      </c>
      <c r="N813" s="53">
        <v>0</v>
      </c>
      <c r="O813" s="53">
        <v>0</v>
      </c>
      <c r="P813" s="53">
        <v>10.9</v>
      </c>
      <c r="Q813" s="69">
        <v>0</v>
      </c>
      <c r="R813" s="53">
        <v>0</v>
      </c>
      <c r="S813" s="53">
        <v>1.5</v>
      </c>
      <c r="T813" s="53">
        <f>STOCK[[#This Row],[Costo Unitario (USD)]]+STOCK[[#This Row],[Costo Envío (USD)]]+STOCK[[#This Row],[Comisión 10%]]</f>
        <v>14.9</v>
      </c>
      <c r="U813" s="53">
        <f>STOCK[[#This Row],[Costo total]]*1.5</f>
        <v>22.35</v>
      </c>
      <c r="V813" s="53">
        <v>25</v>
      </c>
      <c r="W813" s="53">
        <f>STOCK[[#This Row],[Precio Final]]-STOCK[[#This Row],[Costo total]]</f>
        <v>10.1</v>
      </c>
      <c r="X813" s="53">
        <f>STOCK[[#This Row],[Ganancia Unitaria]]*STOCK[[#This Row],[Salidas]]</f>
        <v>10.1</v>
      </c>
      <c r="Y813" s="53" t="s">
        <v>1604</v>
      </c>
      <c r="AA813" s="53">
        <f>STOCK[[#This Row],[Costo total]]*STOCK[[#This Row],[Entradas]]</f>
        <v>14.9</v>
      </c>
      <c r="AB813" s="53">
        <f>STOCK[[#This Row],[Stock Actual]]*STOCK[[#This Row],[Costo total]]</f>
        <v>0</v>
      </c>
    </row>
    <row r="814" spans="1:28" s="54" customFormat="1" ht="50" customHeight="1">
      <c r="A814" s="54" t="s">
        <v>1623</v>
      </c>
      <c r="B814" s="64"/>
      <c r="C814" s="54" t="s">
        <v>32</v>
      </c>
      <c r="D814" s="54" t="s">
        <v>1013</v>
      </c>
      <c r="E814" s="66" t="s">
        <v>1622</v>
      </c>
      <c r="F814" s="54" t="s">
        <v>88</v>
      </c>
      <c r="G814" s="54" t="s">
        <v>36</v>
      </c>
      <c r="H814" s="54">
        <f>STOCK[[#This Row],[Precio Final]]</f>
        <v>35</v>
      </c>
      <c r="I814" s="54">
        <f>STOCK[[#This Row],[Precio Venta Ideal (x1.5)]]</f>
        <v>23.85</v>
      </c>
      <c r="J814" s="70">
        <v>2</v>
      </c>
      <c r="K814" s="70">
        <f>SUMIFS(VENTAS[Cantidad],VENTAS[Código del producto Vendido],STOCK[[#This Row],[Code]])</f>
        <v>2</v>
      </c>
      <c r="L814" s="70">
        <f>STOCK[[#This Row],[Entradas]]-STOCK[[#This Row],[Salidas]]</f>
        <v>0</v>
      </c>
      <c r="M814" s="54">
        <f>STOCK[[#This Row],[Precio Final]]*10%</f>
        <v>3.5</v>
      </c>
      <c r="N814" s="54">
        <v>0</v>
      </c>
      <c r="O814" s="54">
        <v>0</v>
      </c>
      <c r="P814" s="54">
        <v>10.9</v>
      </c>
      <c r="Q814" s="70">
        <v>0</v>
      </c>
      <c r="R814" s="54">
        <v>0</v>
      </c>
      <c r="S814" s="54">
        <v>1.5</v>
      </c>
      <c r="T814" s="53">
        <f>STOCK[[#This Row],[Costo Unitario (USD)]]+STOCK[[#This Row],[Costo Envío (USD)]]+STOCK[[#This Row],[Comisión 10%]]</f>
        <v>15.9</v>
      </c>
      <c r="U814" s="54">
        <f>STOCK[[#This Row],[Costo total]]*1.5</f>
        <v>23.85</v>
      </c>
      <c r="V814" s="54">
        <v>35</v>
      </c>
      <c r="W814" s="54">
        <f>STOCK[[#This Row],[Precio Final]]-STOCK[[#This Row],[Costo total]]</f>
        <v>19.100000000000001</v>
      </c>
      <c r="X814" s="54">
        <f>STOCK[[#This Row],[Ganancia Unitaria]]*STOCK[[#This Row],[Salidas]]</f>
        <v>38.200000000000003</v>
      </c>
      <c r="Y814" s="54" t="s">
        <v>1604</v>
      </c>
      <c r="AA814" s="54">
        <f>STOCK[[#This Row],[Costo total]]*STOCK[[#This Row],[Entradas]]</f>
        <v>31.8</v>
      </c>
      <c r="AB814" s="54">
        <f>STOCK[[#This Row],[Stock Actual]]*STOCK[[#This Row],[Costo total]]</f>
        <v>0</v>
      </c>
    </row>
    <row r="815" spans="1:28" s="53" customFormat="1" ht="50" customHeight="1">
      <c r="A815" s="53" t="s">
        <v>1624</v>
      </c>
      <c r="B815" s="64"/>
      <c r="C815" s="53" t="s">
        <v>32</v>
      </c>
      <c r="D815" s="53" t="s">
        <v>44</v>
      </c>
      <c r="E815" s="65" t="s">
        <v>1622</v>
      </c>
      <c r="F815" s="53" t="s">
        <v>46</v>
      </c>
      <c r="G815" s="53" t="s">
        <v>36</v>
      </c>
      <c r="H815" s="53">
        <f>STOCK[[#This Row],[Precio Final]]</f>
        <v>25</v>
      </c>
      <c r="I815" s="53">
        <f>STOCK[[#This Row],[Precio Venta Ideal (x1.5)]]</f>
        <v>22.35</v>
      </c>
      <c r="J815" s="69">
        <v>1</v>
      </c>
      <c r="K815" s="69">
        <f>SUMIFS(VENTAS[Cantidad],VENTAS[Código del producto Vendido],STOCK[[#This Row],[Code]])</f>
        <v>1</v>
      </c>
      <c r="L815" s="69">
        <f>STOCK[[#This Row],[Entradas]]-STOCK[[#This Row],[Salidas]]</f>
        <v>0</v>
      </c>
      <c r="M815" s="53">
        <f>STOCK[[#This Row],[Precio Final]]*10%</f>
        <v>2.5</v>
      </c>
      <c r="N815" s="53">
        <v>0</v>
      </c>
      <c r="O815" s="53">
        <v>0</v>
      </c>
      <c r="P815" s="53">
        <v>10.9</v>
      </c>
      <c r="Q815" s="69">
        <v>0</v>
      </c>
      <c r="R815" s="53">
        <v>0</v>
      </c>
      <c r="S815" s="53">
        <v>1.5</v>
      </c>
      <c r="T815" s="53">
        <f>STOCK[[#This Row],[Costo Unitario (USD)]]+STOCK[[#This Row],[Costo Envío (USD)]]+STOCK[[#This Row],[Comisión 10%]]</f>
        <v>14.9</v>
      </c>
      <c r="U815" s="53">
        <f>STOCK[[#This Row],[Costo total]]*1.5</f>
        <v>22.35</v>
      </c>
      <c r="V815" s="53">
        <v>25</v>
      </c>
      <c r="W815" s="53">
        <f>STOCK[[#This Row],[Precio Final]]-STOCK[[#This Row],[Costo total]]</f>
        <v>10.1</v>
      </c>
      <c r="X815" s="53">
        <f>STOCK[[#This Row],[Ganancia Unitaria]]*STOCK[[#This Row],[Salidas]]</f>
        <v>10.1</v>
      </c>
      <c r="Y815" s="53" t="s">
        <v>1604</v>
      </c>
      <c r="AA815" s="53">
        <f>STOCK[[#This Row],[Costo total]]*STOCK[[#This Row],[Entradas]]</f>
        <v>14.9</v>
      </c>
      <c r="AB815" s="53">
        <f>STOCK[[#This Row],[Stock Actual]]*STOCK[[#This Row],[Costo total]]</f>
        <v>0</v>
      </c>
    </row>
    <row r="816" spans="1:28" s="54" customFormat="1" ht="50" customHeight="1">
      <c r="A816" s="54" t="s">
        <v>1625</v>
      </c>
      <c r="B816" s="64"/>
      <c r="C816" s="54" t="s">
        <v>32</v>
      </c>
      <c r="D816" s="53" t="s">
        <v>515</v>
      </c>
      <c r="E816" s="66" t="s">
        <v>1606</v>
      </c>
      <c r="F816" s="54" t="s">
        <v>540</v>
      </c>
      <c r="G816" s="54" t="s">
        <v>36</v>
      </c>
      <c r="H816" s="54">
        <f>STOCK[[#This Row],[Precio Final]]</f>
        <v>40</v>
      </c>
      <c r="I816" s="54">
        <f>STOCK[[#This Row],[Precio Venta Ideal (x1.5)]]</f>
        <v>37.29</v>
      </c>
      <c r="J816" s="70">
        <v>1</v>
      </c>
      <c r="K816" s="70">
        <f>SUMIFS(VENTAS[Cantidad],VENTAS[Código del producto Vendido],STOCK[[#This Row],[Code]])</f>
        <v>1</v>
      </c>
      <c r="L816" s="70">
        <f>STOCK[[#This Row],[Entradas]]-STOCK[[#This Row],[Salidas]]</f>
        <v>0</v>
      </c>
      <c r="M816" s="54">
        <f>STOCK[[#This Row],[Precio Final]]*10%</f>
        <v>4</v>
      </c>
      <c r="N816" s="54">
        <v>0</v>
      </c>
      <c r="O816" s="54">
        <v>0</v>
      </c>
      <c r="P816" s="54">
        <v>15.86</v>
      </c>
      <c r="Q816" s="70">
        <v>0</v>
      </c>
      <c r="R816" s="54">
        <v>0</v>
      </c>
      <c r="S816" s="54">
        <v>5</v>
      </c>
      <c r="T816" s="53">
        <f>STOCK[[#This Row],[Costo Unitario (USD)]]+STOCK[[#This Row],[Costo Envío (USD)]]+STOCK[[#This Row],[Comisión 10%]]</f>
        <v>24.86</v>
      </c>
      <c r="U816" s="54">
        <f>STOCK[[#This Row],[Costo total]]*1.5</f>
        <v>37.29</v>
      </c>
      <c r="V816" s="54">
        <v>40</v>
      </c>
      <c r="W816" s="54">
        <f>STOCK[[#This Row],[Precio Final]]-STOCK[[#This Row],[Costo total]]</f>
        <v>15.14</v>
      </c>
      <c r="X816" s="54">
        <f>STOCK[[#This Row],[Ganancia Unitaria]]*STOCK[[#This Row],[Salidas]]</f>
        <v>15.14</v>
      </c>
      <c r="Y816" s="54" t="s">
        <v>1604</v>
      </c>
      <c r="AA816" s="54">
        <f>STOCK[[#This Row],[Costo total]]*STOCK[[#This Row],[Entradas]]</f>
        <v>24.86</v>
      </c>
      <c r="AB816" s="54">
        <f>STOCK[[#This Row],[Stock Actual]]*STOCK[[#This Row],[Costo total]]</f>
        <v>0</v>
      </c>
    </row>
    <row r="817" spans="1:29" s="53" customFormat="1" ht="50" customHeight="1">
      <c r="A817" s="53" t="s">
        <v>1626</v>
      </c>
      <c r="B817" s="64"/>
      <c r="C817" s="53" t="s">
        <v>32</v>
      </c>
      <c r="D817" s="53" t="s">
        <v>44</v>
      </c>
      <c r="E817" s="65" t="s">
        <v>1627</v>
      </c>
      <c r="F817" s="53" t="s">
        <v>62</v>
      </c>
      <c r="G817" s="53" t="s">
        <v>36</v>
      </c>
      <c r="H817" s="53">
        <f>STOCK[[#This Row],[Precio Final]]</f>
        <v>27</v>
      </c>
      <c r="I817" s="53">
        <f>STOCK[[#This Row],[Precio Venta Ideal (x1.5)]]</f>
        <v>25.005000000000003</v>
      </c>
      <c r="J817" s="69">
        <v>2</v>
      </c>
      <c r="K817" s="69">
        <f>SUMIFS(VENTAS[Cantidad],VENTAS[Código del producto Vendido],STOCK[[#This Row],[Code]])</f>
        <v>2</v>
      </c>
      <c r="L817" s="69">
        <f>STOCK[[#This Row],[Entradas]]-STOCK[[#This Row],[Salidas]]</f>
        <v>0</v>
      </c>
      <c r="M817" s="53">
        <f>STOCK[[#This Row],[Precio Final]]*10%</f>
        <v>2.7</v>
      </c>
      <c r="N817" s="53">
        <v>0</v>
      </c>
      <c r="O817" s="53">
        <v>0</v>
      </c>
      <c r="P817" s="53">
        <v>12.47</v>
      </c>
      <c r="Q817" s="69">
        <v>0</v>
      </c>
      <c r="R817" s="53">
        <v>0</v>
      </c>
      <c r="S817" s="53">
        <v>1.5</v>
      </c>
      <c r="T817" s="53">
        <f>STOCK[[#This Row],[Costo Unitario (USD)]]+STOCK[[#This Row],[Costo Envío (USD)]]+STOCK[[#This Row],[Comisión 10%]]</f>
        <v>16.670000000000002</v>
      </c>
      <c r="U817" s="53">
        <f>STOCK[[#This Row],[Costo total]]*1.5</f>
        <v>25.005000000000003</v>
      </c>
      <c r="V817" s="53">
        <v>27</v>
      </c>
      <c r="W817" s="53">
        <f>STOCK[[#This Row],[Precio Final]]-STOCK[[#This Row],[Costo total]]</f>
        <v>10.329999999999998</v>
      </c>
      <c r="X817" s="53">
        <f>STOCK[[#This Row],[Ganancia Unitaria]]*STOCK[[#This Row],[Salidas]]</f>
        <v>20.659999999999997</v>
      </c>
      <c r="Y817" s="53" t="s">
        <v>1604</v>
      </c>
      <c r="AA817" s="53">
        <f>STOCK[[#This Row],[Costo total]]*STOCK[[#This Row],[Entradas]]</f>
        <v>33.340000000000003</v>
      </c>
      <c r="AB817" s="53">
        <f>STOCK[[#This Row],[Stock Actual]]*STOCK[[#This Row],[Costo total]]</f>
        <v>0</v>
      </c>
    </row>
    <row r="818" spans="1:29" s="54" customFormat="1" ht="50" customHeight="1">
      <c r="A818" s="54" t="s">
        <v>1628</v>
      </c>
      <c r="B818" s="64"/>
      <c r="C818" s="54" t="s">
        <v>32</v>
      </c>
      <c r="D818" s="54" t="s">
        <v>44</v>
      </c>
      <c r="E818" s="66" t="s">
        <v>1627</v>
      </c>
      <c r="F818" s="54" t="s">
        <v>211</v>
      </c>
      <c r="G818" s="54" t="s">
        <v>36</v>
      </c>
      <c r="H818" s="54">
        <f>STOCK[[#This Row],[Precio Final]]</f>
        <v>27</v>
      </c>
      <c r="I818" s="54">
        <f>STOCK[[#This Row],[Precio Venta Ideal (x1.5)]]</f>
        <v>25.005000000000003</v>
      </c>
      <c r="J818" s="70">
        <v>3</v>
      </c>
      <c r="K818" s="70">
        <f>SUMIFS(VENTAS[Cantidad],VENTAS[Código del producto Vendido],STOCK[[#This Row],[Code]])</f>
        <v>3</v>
      </c>
      <c r="L818" s="70">
        <f>STOCK[[#This Row],[Entradas]]-STOCK[[#This Row],[Salidas]]</f>
        <v>0</v>
      </c>
      <c r="M818" s="54">
        <f>STOCK[[#This Row],[Precio Final]]*10%</f>
        <v>2.7</v>
      </c>
      <c r="N818" s="54">
        <v>0</v>
      </c>
      <c r="O818" s="54">
        <v>0</v>
      </c>
      <c r="P818" s="54">
        <v>12.47</v>
      </c>
      <c r="Q818" s="70">
        <v>0</v>
      </c>
      <c r="R818" s="54">
        <v>0</v>
      </c>
      <c r="S818" s="54">
        <v>1.5</v>
      </c>
      <c r="T818" s="53">
        <f>STOCK[[#This Row],[Costo Unitario (USD)]]+STOCK[[#This Row],[Costo Envío (USD)]]+STOCK[[#This Row],[Comisión 10%]]</f>
        <v>16.670000000000002</v>
      </c>
      <c r="U818" s="54">
        <f>STOCK[[#This Row],[Costo total]]*1.5</f>
        <v>25.005000000000003</v>
      </c>
      <c r="V818" s="54">
        <v>27</v>
      </c>
      <c r="W818" s="54">
        <f>STOCK[[#This Row],[Precio Final]]-STOCK[[#This Row],[Costo total]]</f>
        <v>10.329999999999998</v>
      </c>
      <c r="X818" s="54">
        <f>STOCK[[#This Row],[Ganancia Unitaria]]*STOCK[[#This Row],[Salidas]]</f>
        <v>30.989999999999995</v>
      </c>
      <c r="Y818" s="54" t="s">
        <v>1604</v>
      </c>
      <c r="AA818" s="54">
        <f>STOCK[[#This Row],[Costo total]]*STOCK[[#This Row],[Entradas]]</f>
        <v>50.010000000000005</v>
      </c>
      <c r="AB818" s="54">
        <f>STOCK[[#This Row],[Stock Actual]]*STOCK[[#This Row],[Costo total]]</f>
        <v>0</v>
      </c>
    </row>
    <row r="819" spans="1:29" s="53" customFormat="1" ht="50" customHeight="1">
      <c r="A819" s="53" t="s">
        <v>1629</v>
      </c>
      <c r="B819" s="64"/>
      <c r="C819" s="53" t="s">
        <v>32</v>
      </c>
      <c r="D819" s="53" t="s">
        <v>44</v>
      </c>
      <c r="E819" s="65" t="s">
        <v>1627</v>
      </c>
      <c r="F819" s="53" t="s">
        <v>205</v>
      </c>
      <c r="G819" s="53" t="s">
        <v>36</v>
      </c>
      <c r="H819" s="53">
        <f>STOCK[[#This Row],[Precio Final]]</f>
        <v>27</v>
      </c>
      <c r="I819" s="53">
        <f>STOCK[[#This Row],[Precio Venta Ideal (x1.5)]]</f>
        <v>25.005000000000003</v>
      </c>
      <c r="J819" s="69">
        <v>1</v>
      </c>
      <c r="K819" s="69">
        <f>SUMIFS(VENTAS[Cantidad],VENTAS[Código del producto Vendido],STOCK[[#This Row],[Code]])</f>
        <v>1</v>
      </c>
      <c r="L819" s="69">
        <f>STOCK[[#This Row],[Entradas]]-STOCK[[#This Row],[Salidas]]</f>
        <v>0</v>
      </c>
      <c r="M819" s="53">
        <f>STOCK[[#This Row],[Precio Final]]*10%</f>
        <v>2.7</v>
      </c>
      <c r="N819" s="53">
        <v>0</v>
      </c>
      <c r="O819" s="53">
        <v>0</v>
      </c>
      <c r="P819" s="53">
        <v>12.47</v>
      </c>
      <c r="Q819" s="69">
        <v>0</v>
      </c>
      <c r="R819" s="53">
        <v>0</v>
      </c>
      <c r="S819" s="53">
        <v>1.5</v>
      </c>
      <c r="T819" s="53">
        <f>STOCK[[#This Row],[Costo Unitario (USD)]]+STOCK[[#This Row],[Costo Envío (USD)]]+STOCK[[#This Row],[Comisión 10%]]</f>
        <v>16.670000000000002</v>
      </c>
      <c r="U819" s="53">
        <f>STOCK[[#This Row],[Costo total]]*1.5</f>
        <v>25.005000000000003</v>
      </c>
      <c r="V819" s="53">
        <v>27</v>
      </c>
      <c r="W819" s="53">
        <f>STOCK[[#This Row],[Precio Final]]-STOCK[[#This Row],[Costo total]]</f>
        <v>10.329999999999998</v>
      </c>
      <c r="X819" s="53">
        <f>STOCK[[#This Row],[Ganancia Unitaria]]*STOCK[[#This Row],[Salidas]]</f>
        <v>10.329999999999998</v>
      </c>
      <c r="Y819" s="53" t="s">
        <v>1604</v>
      </c>
      <c r="AA819" s="53">
        <f>STOCK[[#This Row],[Costo total]]*STOCK[[#This Row],[Entradas]]</f>
        <v>16.670000000000002</v>
      </c>
      <c r="AB819" s="53">
        <f>STOCK[[#This Row],[Stock Actual]]*STOCK[[#This Row],[Costo total]]</f>
        <v>0</v>
      </c>
    </row>
    <row r="820" spans="1:29" s="54" customFormat="1" ht="50" customHeight="1">
      <c r="A820" s="54" t="s">
        <v>1630</v>
      </c>
      <c r="B820" s="64"/>
      <c r="C820" s="54" t="s">
        <v>32</v>
      </c>
      <c r="D820" s="54" t="s">
        <v>44</v>
      </c>
      <c r="E820" s="66" t="s">
        <v>1631</v>
      </c>
      <c r="F820" s="54" t="s">
        <v>1632</v>
      </c>
      <c r="G820" s="54" t="s">
        <v>36</v>
      </c>
      <c r="H820" s="54">
        <f>STOCK[[#This Row],[Precio Final]]</f>
        <v>30</v>
      </c>
      <c r="I820" s="54">
        <f>STOCK[[#This Row],[Precio Venta Ideal (x1.5)]]</f>
        <v>25.994999999999997</v>
      </c>
      <c r="J820" s="70">
        <v>1</v>
      </c>
      <c r="K820" s="70">
        <f>SUMIFS(VENTAS[Cantidad],VENTAS[Código del producto Vendido],STOCK[[#This Row],[Code]])</f>
        <v>1</v>
      </c>
      <c r="L820" s="70">
        <f>STOCK[[#This Row],[Entradas]]-STOCK[[#This Row],[Salidas]]</f>
        <v>0</v>
      </c>
      <c r="M820" s="54">
        <f>STOCK[[#This Row],[Precio Final]]*10%</f>
        <v>3</v>
      </c>
      <c r="N820" s="54">
        <v>0</v>
      </c>
      <c r="O820" s="54">
        <v>0</v>
      </c>
      <c r="P820" s="54">
        <v>12.83</v>
      </c>
      <c r="Q820" s="70">
        <v>0</v>
      </c>
      <c r="R820" s="54">
        <v>0</v>
      </c>
      <c r="S820" s="54">
        <v>1.5</v>
      </c>
      <c r="T820" s="53">
        <f>STOCK[[#This Row],[Costo Unitario (USD)]]+STOCK[[#This Row],[Costo Envío (USD)]]+STOCK[[#This Row],[Comisión 10%]]</f>
        <v>17.329999999999998</v>
      </c>
      <c r="U820" s="54">
        <f>STOCK[[#This Row],[Costo total]]*1.5</f>
        <v>25.994999999999997</v>
      </c>
      <c r="V820" s="54">
        <v>30</v>
      </c>
      <c r="W820" s="54">
        <f>STOCK[[#This Row],[Precio Final]]-STOCK[[#This Row],[Costo total]]</f>
        <v>12.670000000000002</v>
      </c>
      <c r="X820" s="54">
        <f>STOCK[[#This Row],[Ganancia Unitaria]]*STOCK[[#This Row],[Salidas]]</f>
        <v>12.670000000000002</v>
      </c>
      <c r="Y820" s="54" t="s">
        <v>1604</v>
      </c>
      <c r="AA820" s="54">
        <f>STOCK[[#This Row],[Costo total]]*STOCK[[#This Row],[Entradas]]</f>
        <v>17.329999999999998</v>
      </c>
      <c r="AB820" s="54">
        <f>STOCK[[#This Row],[Stock Actual]]*STOCK[[#This Row],[Costo total]]</f>
        <v>0</v>
      </c>
    </row>
    <row r="821" spans="1:29" s="53" customFormat="1" ht="50" customHeight="1">
      <c r="A821" s="53" t="s">
        <v>1633</v>
      </c>
      <c r="B821" s="64"/>
      <c r="C821" s="53" t="s">
        <v>32</v>
      </c>
      <c r="D821" s="53" t="s">
        <v>44</v>
      </c>
      <c r="E821" s="65" t="s">
        <v>1634</v>
      </c>
      <c r="F821" s="53" t="s">
        <v>62</v>
      </c>
      <c r="G821" s="53" t="s">
        <v>36</v>
      </c>
      <c r="H821" s="53">
        <f>STOCK[[#This Row],[Precio Final]]</f>
        <v>30</v>
      </c>
      <c r="I821" s="53">
        <f>STOCK[[#This Row],[Precio Venta Ideal (x1.5)]]</f>
        <v>25.994999999999997</v>
      </c>
      <c r="J821" s="69">
        <v>1</v>
      </c>
      <c r="K821" s="69">
        <f>SUMIFS(VENTAS[Cantidad],VENTAS[Código del producto Vendido],STOCK[[#This Row],[Code]])</f>
        <v>1</v>
      </c>
      <c r="L821" s="69">
        <f>STOCK[[#This Row],[Entradas]]-STOCK[[#This Row],[Salidas]]</f>
        <v>0</v>
      </c>
      <c r="M821" s="53">
        <f>STOCK[[#This Row],[Precio Final]]*10%</f>
        <v>3</v>
      </c>
      <c r="N821" s="53">
        <v>0</v>
      </c>
      <c r="O821" s="53">
        <v>0</v>
      </c>
      <c r="P821" s="53">
        <v>12.83</v>
      </c>
      <c r="Q821" s="69">
        <v>0</v>
      </c>
      <c r="R821" s="53">
        <v>0</v>
      </c>
      <c r="S821" s="53">
        <v>1.5</v>
      </c>
      <c r="T821" s="53">
        <f>STOCK[[#This Row],[Costo Unitario (USD)]]+STOCK[[#This Row],[Costo Envío (USD)]]+STOCK[[#This Row],[Comisión 10%]]</f>
        <v>17.329999999999998</v>
      </c>
      <c r="U821" s="53">
        <f>STOCK[[#This Row],[Costo total]]*1.5</f>
        <v>25.994999999999997</v>
      </c>
      <c r="V821" s="53">
        <v>30</v>
      </c>
      <c r="W821" s="53">
        <f>STOCK[[#This Row],[Precio Final]]-STOCK[[#This Row],[Costo total]]</f>
        <v>12.670000000000002</v>
      </c>
      <c r="X821" s="53">
        <f>STOCK[[#This Row],[Ganancia Unitaria]]*STOCK[[#This Row],[Salidas]]</f>
        <v>12.670000000000002</v>
      </c>
      <c r="Y821" s="53" t="s">
        <v>1604</v>
      </c>
      <c r="AA821" s="53">
        <f>STOCK[[#This Row],[Costo total]]*STOCK[[#This Row],[Entradas]]</f>
        <v>17.329999999999998</v>
      </c>
      <c r="AB821" s="53">
        <f>STOCK[[#This Row],[Stock Actual]]*STOCK[[#This Row],[Costo total]]</f>
        <v>0</v>
      </c>
    </row>
    <row r="822" spans="1:29" s="54" customFormat="1" ht="50" customHeight="1">
      <c r="A822" s="54" t="s">
        <v>1635</v>
      </c>
      <c r="B822" s="64"/>
      <c r="C822" s="54" t="s">
        <v>32</v>
      </c>
      <c r="D822" s="54" t="s">
        <v>44</v>
      </c>
      <c r="E822" s="66" t="s">
        <v>1636</v>
      </c>
      <c r="F822" s="54" t="s">
        <v>40</v>
      </c>
      <c r="G822" s="54" t="s">
        <v>36</v>
      </c>
      <c r="H822" s="54">
        <f>STOCK[[#This Row],[Precio Final]]</f>
        <v>25</v>
      </c>
      <c r="I822" s="54">
        <f>STOCK[[#This Row],[Precio Venta Ideal (x1.5)]]</f>
        <v>20.399999999999999</v>
      </c>
      <c r="J822" s="70">
        <v>1</v>
      </c>
      <c r="K822" s="70">
        <f>SUMIFS(VENTAS[Cantidad],VENTAS[Código del producto Vendido],STOCK[[#This Row],[Code]])</f>
        <v>1</v>
      </c>
      <c r="L822" s="70">
        <f>STOCK[[#This Row],[Entradas]]-STOCK[[#This Row],[Salidas]]</f>
        <v>0</v>
      </c>
      <c r="M822" s="54">
        <f>STOCK[[#This Row],[Precio Final]]*10%</f>
        <v>2.5</v>
      </c>
      <c r="N822" s="54">
        <v>0</v>
      </c>
      <c r="O822" s="54">
        <v>0</v>
      </c>
      <c r="P822" s="54">
        <v>9.6</v>
      </c>
      <c r="Q822" s="70">
        <v>0</v>
      </c>
      <c r="R822" s="54">
        <v>0</v>
      </c>
      <c r="S822" s="54">
        <v>1.5</v>
      </c>
      <c r="T822" s="53">
        <f>STOCK[[#This Row],[Costo Unitario (USD)]]+STOCK[[#This Row],[Costo Envío (USD)]]+STOCK[[#This Row],[Comisión 10%]]</f>
        <v>13.6</v>
      </c>
      <c r="U822" s="54">
        <f>STOCK[[#This Row],[Costo total]]*1.5</f>
        <v>20.399999999999999</v>
      </c>
      <c r="V822" s="54">
        <v>25</v>
      </c>
      <c r="W822" s="54">
        <f>STOCK[[#This Row],[Precio Final]]-STOCK[[#This Row],[Costo total]]</f>
        <v>11.4</v>
      </c>
      <c r="X822" s="54">
        <f>STOCK[[#This Row],[Ganancia Unitaria]]*STOCK[[#This Row],[Salidas]]</f>
        <v>11.4</v>
      </c>
      <c r="Y822" s="54" t="s">
        <v>1604</v>
      </c>
      <c r="AA822" s="54">
        <f>STOCK[[#This Row],[Costo total]]*STOCK[[#This Row],[Entradas]]</f>
        <v>13.6</v>
      </c>
      <c r="AB822" s="54">
        <f>STOCK[[#This Row],[Stock Actual]]*STOCK[[#This Row],[Costo total]]</f>
        <v>0</v>
      </c>
    </row>
    <row r="823" spans="1:29" s="53" customFormat="1" ht="50" customHeight="1">
      <c r="A823" s="53" t="s">
        <v>1637</v>
      </c>
      <c r="B823" s="64"/>
      <c r="C823" s="53" t="s">
        <v>32</v>
      </c>
      <c r="D823" s="53" t="s">
        <v>213</v>
      </c>
      <c r="E823" s="65" t="s">
        <v>1638</v>
      </c>
      <c r="F823" s="53" t="s">
        <v>205</v>
      </c>
      <c r="G823" s="53" t="s">
        <v>36</v>
      </c>
      <c r="H823" s="53">
        <f>STOCK[[#This Row],[Precio Final]]</f>
        <v>25</v>
      </c>
      <c r="I823" s="53">
        <f>STOCK[[#This Row],[Precio Venta Ideal (x1.5)]]</f>
        <v>20.399999999999999</v>
      </c>
      <c r="J823" s="69">
        <v>2</v>
      </c>
      <c r="K823" s="69">
        <f>SUMIFS(VENTAS[Cantidad],VENTAS[Código del producto Vendido],STOCK[[#This Row],[Code]])</f>
        <v>2</v>
      </c>
      <c r="L823" s="69">
        <f>STOCK[[#This Row],[Entradas]]-STOCK[[#This Row],[Salidas]]</f>
        <v>0</v>
      </c>
      <c r="M823" s="53">
        <f>STOCK[[#This Row],[Precio Final]]*10%</f>
        <v>2.5</v>
      </c>
      <c r="N823" s="53">
        <v>0</v>
      </c>
      <c r="O823" s="53">
        <v>0</v>
      </c>
      <c r="P823" s="53">
        <v>9.6</v>
      </c>
      <c r="Q823" s="69">
        <v>0</v>
      </c>
      <c r="R823" s="53">
        <v>0</v>
      </c>
      <c r="S823" s="53">
        <v>1.5</v>
      </c>
      <c r="T823" s="53">
        <f>STOCK[[#This Row],[Costo Unitario (USD)]]+STOCK[[#This Row],[Costo Envío (USD)]]+STOCK[[#This Row],[Comisión 10%]]</f>
        <v>13.6</v>
      </c>
      <c r="U823" s="53">
        <f>STOCK[[#This Row],[Costo total]]*1.5</f>
        <v>20.399999999999999</v>
      </c>
      <c r="V823" s="53">
        <v>25</v>
      </c>
      <c r="W823" s="53">
        <f>STOCK[[#This Row],[Precio Final]]-STOCK[[#This Row],[Costo total]]</f>
        <v>11.4</v>
      </c>
      <c r="X823" s="53">
        <f>STOCK[[#This Row],[Ganancia Unitaria]]*STOCK[[#This Row],[Salidas]]</f>
        <v>22.8</v>
      </c>
      <c r="Y823" s="53" t="s">
        <v>1604</v>
      </c>
      <c r="AA823" s="53">
        <f>STOCK[[#This Row],[Costo total]]*STOCK[[#This Row],[Entradas]]</f>
        <v>27.2</v>
      </c>
      <c r="AB823" s="53">
        <f>STOCK[[#This Row],[Stock Actual]]*STOCK[[#This Row],[Costo total]]</f>
        <v>0</v>
      </c>
    </row>
    <row r="824" spans="1:29" s="54" customFormat="1" ht="50" customHeight="1">
      <c r="A824" s="54" t="s">
        <v>1639</v>
      </c>
      <c r="B824" s="64"/>
      <c r="C824" s="54" t="s">
        <v>32</v>
      </c>
      <c r="D824" s="54" t="s">
        <v>44</v>
      </c>
      <c r="E824" s="66" t="s">
        <v>1636</v>
      </c>
      <c r="F824" s="54" t="s">
        <v>211</v>
      </c>
      <c r="G824" s="54" t="s">
        <v>36</v>
      </c>
      <c r="H824" s="54">
        <f>STOCK[[#This Row],[Precio Final]]</f>
        <v>25</v>
      </c>
      <c r="I824" s="54">
        <f>STOCK[[#This Row],[Precio Venta Ideal (x1.5)]]</f>
        <v>20.399999999999999</v>
      </c>
      <c r="J824" s="70">
        <v>1</v>
      </c>
      <c r="K824" s="70">
        <f>SUMIFS(VENTAS[Cantidad],VENTAS[Código del producto Vendido],STOCK[[#This Row],[Code]])</f>
        <v>1</v>
      </c>
      <c r="L824" s="70">
        <f>STOCK[[#This Row],[Entradas]]-STOCK[[#This Row],[Salidas]]</f>
        <v>0</v>
      </c>
      <c r="M824" s="54">
        <f>STOCK[[#This Row],[Precio Final]]*10%</f>
        <v>2.5</v>
      </c>
      <c r="N824" s="54">
        <v>0</v>
      </c>
      <c r="O824" s="54">
        <v>0</v>
      </c>
      <c r="P824" s="54">
        <v>9.6</v>
      </c>
      <c r="Q824" s="70">
        <v>0</v>
      </c>
      <c r="R824" s="54">
        <v>0</v>
      </c>
      <c r="S824" s="54">
        <v>1.5</v>
      </c>
      <c r="T824" s="53">
        <f>STOCK[[#This Row],[Costo Unitario (USD)]]+STOCK[[#This Row],[Costo Envío (USD)]]+STOCK[[#This Row],[Comisión 10%]]</f>
        <v>13.6</v>
      </c>
      <c r="U824" s="54">
        <f>STOCK[[#This Row],[Costo total]]*1.5</f>
        <v>20.399999999999999</v>
      </c>
      <c r="V824" s="54">
        <v>25</v>
      </c>
      <c r="W824" s="54">
        <f>STOCK[[#This Row],[Precio Final]]-STOCK[[#This Row],[Costo total]]</f>
        <v>11.4</v>
      </c>
      <c r="X824" s="54">
        <f>STOCK[[#This Row],[Ganancia Unitaria]]*STOCK[[#This Row],[Salidas]]</f>
        <v>11.4</v>
      </c>
      <c r="Y824" s="54" t="s">
        <v>1604</v>
      </c>
      <c r="AA824" s="54">
        <f>STOCK[[#This Row],[Costo total]]*STOCK[[#This Row],[Entradas]]</f>
        <v>13.6</v>
      </c>
      <c r="AB824" s="54">
        <f>STOCK[[#This Row],[Stock Actual]]*STOCK[[#This Row],[Costo total]]</f>
        <v>0</v>
      </c>
    </row>
    <row r="825" spans="1:29" s="53" customFormat="1" ht="50" customHeight="1">
      <c r="A825" s="53" t="s">
        <v>1640</v>
      </c>
      <c r="B825" s="64"/>
      <c r="C825" s="53" t="s">
        <v>32</v>
      </c>
      <c r="D825" s="53" t="s">
        <v>1013</v>
      </c>
      <c r="E825" s="65" t="s">
        <v>1641</v>
      </c>
      <c r="F825" s="53" t="s">
        <v>88</v>
      </c>
      <c r="G825" s="53" t="s">
        <v>36</v>
      </c>
      <c r="H825" s="53">
        <f>STOCK[[#This Row],[Precio Final]]</f>
        <v>30</v>
      </c>
      <c r="I825" s="53">
        <f>STOCK[[#This Row],[Precio Venta Ideal (x1.5)]]</f>
        <v>21.15</v>
      </c>
      <c r="J825" s="69">
        <v>1</v>
      </c>
      <c r="K825" s="69">
        <f>SUMIFS(VENTAS[Cantidad],VENTAS[Código del producto Vendido],STOCK[[#This Row],[Code]])</f>
        <v>1</v>
      </c>
      <c r="L825" s="69">
        <f>STOCK[[#This Row],[Entradas]]-STOCK[[#This Row],[Salidas]]</f>
        <v>0</v>
      </c>
      <c r="M825" s="53">
        <f>STOCK[[#This Row],[Precio Final]]*10%</f>
        <v>3</v>
      </c>
      <c r="N825" s="53">
        <v>0</v>
      </c>
      <c r="O825" s="53">
        <v>0</v>
      </c>
      <c r="P825" s="53">
        <v>9.6</v>
      </c>
      <c r="Q825" s="69">
        <v>0</v>
      </c>
      <c r="R825" s="53">
        <v>0</v>
      </c>
      <c r="S825" s="53">
        <v>1.5</v>
      </c>
      <c r="T825" s="53">
        <f>STOCK[[#This Row],[Costo Unitario (USD)]]+STOCK[[#This Row],[Costo Envío (USD)]]+STOCK[[#This Row],[Comisión 10%]]</f>
        <v>14.1</v>
      </c>
      <c r="U825" s="53">
        <f>STOCK[[#This Row],[Costo total]]*1.5</f>
        <v>21.15</v>
      </c>
      <c r="V825" s="53">
        <v>30</v>
      </c>
      <c r="W825" s="53">
        <f>STOCK[[#This Row],[Precio Final]]-STOCK[[#This Row],[Costo total]]</f>
        <v>15.9</v>
      </c>
      <c r="X825" s="53">
        <f>STOCK[[#This Row],[Ganancia Unitaria]]*STOCK[[#This Row],[Salidas]]</f>
        <v>15.9</v>
      </c>
      <c r="Y825" s="53" t="s">
        <v>1604</v>
      </c>
      <c r="AA825" s="53">
        <f>STOCK[[#This Row],[Costo total]]*STOCK[[#This Row],[Entradas]]</f>
        <v>14.1</v>
      </c>
      <c r="AB825" s="53">
        <f>STOCK[[#This Row],[Stock Actual]]*STOCK[[#This Row],[Costo total]]</f>
        <v>0</v>
      </c>
    </row>
    <row r="826" spans="1:29" s="54" customFormat="1" ht="50" customHeight="1">
      <c r="A826" s="54" t="s">
        <v>1642</v>
      </c>
      <c r="B826" s="64"/>
      <c r="C826" s="54" t="s">
        <v>32</v>
      </c>
      <c r="D826" s="54" t="s">
        <v>174</v>
      </c>
      <c r="E826" s="66" t="s">
        <v>1643</v>
      </c>
      <c r="F826" s="54" t="s">
        <v>46</v>
      </c>
      <c r="G826" s="54" t="s">
        <v>36</v>
      </c>
      <c r="H826" s="54">
        <f>STOCK[[#This Row],[Precio Final]]</f>
        <v>12</v>
      </c>
      <c r="I826" s="54">
        <f>STOCK[[#This Row],[Precio Venta Ideal (x1.5)]]</f>
        <v>10.350000000000001</v>
      </c>
      <c r="J826" s="70">
        <v>1</v>
      </c>
      <c r="K826" s="70">
        <f>SUMIFS(VENTAS[Cantidad],VENTAS[Código del producto Vendido],STOCK[[#This Row],[Code]])</f>
        <v>1</v>
      </c>
      <c r="L826" s="70">
        <f>STOCK[[#This Row],[Entradas]]-STOCK[[#This Row],[Salidas]]</f>
        <v>0</v>
      </c>
      <c r="M826" s="54">
        <f>STOCK[[#This Row],[Precio Final]]*10%</f>
        <v>1.2000000000000002</v>
      </c>
      <c r="N826" s="54">
        <v>0</v>
      </c>
      <c r="O826" s="54">
        <v>0</v>
      </c>
      <c r="P826" s="54">
        <v>4.2</v>
      </c>
      <c r="Q826" s="70">
        <v>0</v>
      </c>
      <c r="R826" s="54">
        <v>0</v>
      </c>
      <c r="S826" s="54">
        <v>1.5</v>
      </c>
      <c r="T826" s="53">
        <f>STOCK[[#This Row],[Costo Unitario (USD)]]+STOCK[[#This Row],[Costo Envío (USD)]]+STOCK[[#This Row],[Comisión 10%]]</f>
        <v>6.9</v>
      </c>
      <c r="U826" s="54">
        <f>STOCK[[#This Row],[Costo total]]*1.5</f>
        <v>10.350000000000001</v>
      </c>
      <c r="V826" s="54">
        <v>12</v>
      </c>
      <c r="W826" s="54">
        <f>STOCK[[#This Row],[Precio Final]]-STOCK[[#This Row],[Costo total]]</f>
        <v>5.0999999999999996</v>
      </c>
      <c r="X826" s="54">
        <f>STOCK[[#This Row],[Ganancia Unitaria]]*STOCK[[#This Row],[Salidas]]</f>
        <v>5.0999999999999996</v>
      </c>
      <c r="Y826" s="54" t="s">
        <v>1604</v>
      </c>
      <c r="AA826" s="54">
        <f>STOCK[[#This Row],[Costo total]]*STOCK[[#This Row],[Entradas]]</f>
        <v>6.9</v>
      </c>
      <c r="AB826" s="54">
        <f>STOCK[[#This Row],[Stock Actual]]*STOCK[[#This Row],[Costo total]]</f>
        <v>0</v>
      </c>
    </row>
    <row r="827" spans="1:29" s="53" customFormat="1" ht="50" customHeight="1">
      <c r="A827" s="53" t="s">
        <v>1644</v>
      </c>
      <c r="B827" s="64"/>
      <c r="C827" s="53" t="s">
        <v>32</v>
      </c>
      <c r="D827" s="53" t="s">
        <v>174</v>
      </c>
      <c r="E827" s="65" t="s">
        <v>1643</v>
      </c>
      <c r="F827" s="53" t="s">
        <v>62</v>
      </c>
      <c r="G827" s="53" t="s">
        <v>36</v>
      </c>
      <c r="H827" s="53">
        <f>STOCK[[#This Row],[Precio Final]]</f>
        <v>12</v>
      </c>
      <c r="I827" s="53">
        <f>STOCK[[#This Row],[Precio Venta Ideal (x1.5)]]</f>
        <v>10.350000000000001</v>
      </c>
      <c r="J827" s="69">
        <v>1</v>
      </c>
      <c r="K827" s="69">
        <f>SUMIFS(VENTAS[Cantidad],VENTAS[Código del producto Vendido],STOCK[[#This Row],[Code]])</f>
        <v>1</v>
      </c>
      <c r="L827" s="69">
        <f>STOCK[[#This Row],[Entradas]]-STOCK[[#This Row],[Salidas]]</f>
        <v>0</v>
      </c>
      <c r="M827" s="53">
        <f>STOCK[[#This Row],[Precio Final]]*10%</f>
        <v>1.2000000000000002</v>
      </c>
      <c r="N827" s="53">
        <v>0</v>
      </c>
      <c r="O827" s="53">
        <v>0</v>
      </c>
      <c r="P827" s="53">
        <v>4.2</v>
      </c>
      <c r="Q827" s="69">
        <v>0</v>
      </c>
      <c r="R827" s="53">
        <v>0</v>
      </c>
      <c r="S827" s="53">
        <v>1.5</v>
      </c>
      <c r="T827" s="53">
        <f>STOCK[[#This Row],[Costo Unitario (USD)]]+STOCK[[#This Row],[Costo Envío (USD)]]+STOCK[[#This Row],[Comisión 10%]]</f>
        <v>6.9</v>
      </c>
      <c r="U827" s="53">
        <f>STOCK[[#This Row],[Costo total]]*1.5</f>
        <v>10.350000000000001</v>
      </c>
      <c r="V827" s="53">
        <v>12</v>
      </c>
      <c r="W827" s="53">
        <f>STOCK[[#This Row],[Precio Final]]-STOCK[[#This Row],[Costo total]]</f>
        <v>5.0999999999999996</v>
      </c>
      <c r="X827" s="53">
        <f>STOCK[[#This Row],[Ganancia Unitaria]]*STOCK[[#This Row],[Salidas]]</f>
        <v>5.0999999999999996</v>
      </c>
      <c r="Y827" s="53" t="s">
        <v>1604</v>
      </c>
      <c r="AA827" s="53">
        <f>STOCK[[#This Row],[Costo total]]*STOCK[[#This Row],[Entradas]]</f>
        <v>6.9</v>
      </c>
      <c r="AB827" s="53">
        <f>STOCK[[#This Row],[Stock Actual]]*STOCK[[#This Row],[Costo total]]</f>
        <v>0</v>
      </c>
    </row>
    <row r="828" spans="1:29" s="54" customFormat="1" ht="50" customHeight="1">
      <c r="A828" s="54" t="s">
        <v>1645</v>
      </c>
      <c r="B828" s="64"/>
      <c r="C828" s="54" t="s">
        <v>32</v>
      </c>
      <c r="D828" s="54" t="s">
        <v>294</v>
      </c>
      <c r="E828" s="66" t="s">
        <v>1646</v>
      </c>
      <c r="F828" s="54" t="s">
        <v>46</v>
      </c>
      <c r="G828" s="54" t="s">
        <v>36</v>
      </c>
      <c r="H828" s="54">
        <f>STOCK[[#This Row],[Precio Final]]</f>
        <v>20</v>
      </c>
      <c r="I828" s="54">
        <f>STOCK[[#This Row],[Precio Venta Ideal (x1.5)]]</f>
        <v>15.99</v>
      </c>
      <c r="J828" s="70">
        <v>1</v>
      </c>
      <c r="K828" s="70">
        <f>SUMIFS(VENTAS[Cantidad],VENTAS[Código del producto Vendido],STOCK[[#This Row],[Code]])</f>
        <v>1</v>
      </c>
      <c r="L828" s="70">
        <f>STOCK[[#This Row],[Entradas]]-STOCK[[#This Row],[Salidas]]</f>
        <v>0</v>
      </c>
      <c r="M828" s="54">
        <f>STOCK[[#This Row],[Precio Final]]*10%</f>
        <v>2</v>
      </c>
      <c r="N828" s="54">
        <v>0</v>
      </c>
      <c r="O828" s="54">
        <v>0</v>
      </c>
      <c r="P828" s="54">
        <v>7.16</v>
      </c>
      <c r="Q828" s="70">
        <v>0</v>
      </c>
      <c r="R828" s="54">
        <v>0</v>
      </c>
      <c r="S828" s="54">
        <v>1.5</v>
      </c>
      <c r="T828" s="53">
        <f>STOCK[[#This Row],[Costo Unitario (USD)]]+STOCK[[#This Row],[Costo Envío (USD)]]+STOCK[[#This Row],[Comisión 10%]]</f>
        <v>10.66</v>
      </c>
      <c r="U828" s="54">
        <f>STOCK[[#This Row],[Costo total]]*1.5</f>
        <v>15.99</v>
      </c>
      <c r="V828" s="54">
        <v>20</v>
      </c>
      <c r="W828" s="54">
        <f>STOCK[[#This Row],[Precio Final]]-STOCK[[#This Row],[Costo total]]</f>
        <v>9.34</v>
      </c>
      <c r="X828" s="54">
        <f>STOCK[[#This Row],[Ganancia Unitaria]]*STOCK[[#This Row],[Salidas]]</f>
        <v>9.34</v>
      </c>
      <c r="Y828" s="54" t="s">
        <v>1604</v>
      </c>
      <c r="AA828" s="54">
        <f>STOCK[[#This Row],[Costo total]]*STOCK[[#This Row],[Entradas]]</f>
        <v>10.66</v>
      </c>
      <c r="AB828" s="54">
        <f>STOCK[[#This Row],[Stock Actual]]*STOCK[[#This Row],[Costo total]]</f>
        <v>0</v>
      </c>
      <c r="AC828" s="54">
        <v>15</v>
      </c>
    </row>
    <row r="829" spans="1:29" s="53" customFormat="1" ht="50" customHeight="1">
      <c r="A829" s="53" t="s">
        <v>1647</v>
      </c>
      <c r="B829" s="64"/>
      <c r="C829" s="53" t="s">
        <v>32</v>
      </c>
      <c r="D829" s="53" t="s">
        <v>294</v>
      </c>
      <c r="E829" s="65" t="s">
        <v>1648</v>
      </c>
      <c r="F829" s="53" t="s">
        <v>62</v>
      </c>
      <c r="G829" s="53" t="s">
        <v>36</v>
      </c>
      <c r="H829" s="53">
        <f>STOCK[[#This Row],[Precio Final]]</f>
        <v>20</v>
      </c>
      <c r="I829" s="53">
        <f>STOCK[[#This Row],[Precio Venta Ideal (x1.5)]]</f>
        <v>15.99</v>
      </c>
      <c r="J829" s="69">
        <v>1</v>
      </c>
      <c r="K829" s="69">
        <f>SUMIFS(VENTAS[Cantidad],VENTAS[Código del producto Vendido],STOCK[[#This Row],[Code]])</f>
        <v>0</v>
      </c>
      <c r="L829" s="69">
        <f>STOCK[[#This Row],[Entradas]]-STOCK[[#This Row],[Salidas]]</f>
        <v>1</v>
      </c>
      <c r="M829" s="53">
        <f>STOCK[[#This Row],[Precio Final]]*10%</f>
        <v>2</v>
      </c>
      <c r="N829" s="53">
        <v>0</v>
      </c>
      <c r="O829" s="53">
        <v>0</v>
      </c>
      <c r="P829" s="53">
        <v>7.16</v>
      </c>
      <c r="Q829" s="69">
        <v>0</v>
      </c>
      <c r="R829" s="53">
        <v>0</v>
      </c>
      <c r="S829" s="53">
        <v>1.5</v>
      </c>
      <c r="T829" s="53">
        <f>STOCK[[#This Row],[Costo Unitario (USD)]]+STOCK[[#This Row],[Costo Envío (USD)]]+STOCK[[#This Row],[Comisión 10%]]</f>
        <v>10.66</v>
      </c>
      <c r="U829" s="53">
        <f>STOCK[[#This Row],[Costo total]]*1.5</f>
        <v>15.99</v>
      </c>
      <c r="V829" s="53">
        <v>20</v>
      </c>
      <c r="W829" s="53">
        <f>STOCK[[#This Row],[Precio Final]]-STOCK[[#This Row],[Costo total]]</f>
        <v>9.34</v>
      </c>
      <c r="X829" s="53">
        <f>STOCK[[#This Row],[Ganancia Unitaria]]*STOCK[[#This Row],[Salidas]]</f>
        <v>0</v>
      </c>
      <c r="Y829" s="53" t="s">
        <v>1604</v>
      </c>
      <c r="AA829" s="53">
        <f>STOCK[[#This Row],[Costo total]]*STOCK[[#This Row],[Entradas]]</f>
        <v>10.66</v>
      </c>
      <c r="AB829" s="53">
        <f>STOCK[[#This Row],[Stock Actual]]*STOCK[[#This Row],[Costo total]]</f>
        <v>10.66</v>
      </c>
      <c r="AC829" s="53">
        <v>15</v>
      </c>
    </row>
    <row r="830" spans="1:29" s="54" customFormat="1" ht="50" customHeight="1">
      <c r="A830" s="54" t="s">
        <v>1649</v>
      </c>
      <c r="B830" s="64"/>
      <c r="C830" s="54" t="s">
        <v>32</v>
      </c>
      <c r="D830" s="54" t="s">
        <v>302</v>
      </c>
      <c r="E830" s="66" t="s">
        <v>1650</v>
      </c>
      <c r="F830" s="54" t="s">
        <v>211</v>
      </c>
      <c r="G830" s="54" t="s">
        <v>36</v>
      </c>
      <c r="H830" s="54">
        <f>STOCK[[#This Row],[Precio Final]]</f>
        <v>30</v>
      </c>
      <c r="I830" s="54">
        <f>STOCK[[#This Row],[Precio Venta Ideal (x1.5)]]</f>
        <v>31.305</v>
      </c>
      <c r="J830" s="70">
        <v>1</v>
      </c>
      <c r="K830" s="70">
        <f>SUMIFS(VENTAS[Cantidad],VENTAS[Código del producto Vendido],STOCK[[#This Row],[Code]])</f>
        <v>1</v>
      </c>
      <c r="L830" s="70">
        <f>STOCK[[#This Row],[Entradas]]-STOCK[[#This Row],[Salidas]]</f>
        <v>0</v>
      </c>
      <c r="M830" s="54">
        <f>STOCK[[#This Row],[Precio Final]]*10%</f>
        <v>3</v>
      </c>
      <c r="N830" s="54">
        <v>0</v>
      </c>
      <c r="O830" s="54">
        <v>0</v>
      </c>
      <c r="P830" s="54">
        <v>16.37</v>
      </c>
      <c r="Q830" s="70">
        <v>0</v>
      </c>
      <c r="R830" s="54">
        <v>0</v>
      </c>
      <c r="S830" s="54">
        <v>1.5</v>
      </c>
      <c r="T830" s="53">
        <f>STOCK[[#This Row],[Costo Unitario (USD)]]+STOCK[[#This Row],[Costo Envío (USD)]]+STOCK[[#This Row],[Comisión 10%]]</f>
        <v>20.87</v>
      </c>
      <c r="U830" s="54">
        <f>STOCK[[#This Row],[Costo total]]*1.5</f>
        <v>31.305</v>
      </c>
      <c r="V830" s="54">
        <v>30</v>
      </c>
      <c r="W830" s="54">
        <f>STOCK[[#This Row],[Precio Final]]-STOCK[[#This Row],[Costo total]]</f>
        <v>9.129999999999999</v>
      </c>
      <c r="X830" s="54">
        <f>STOCK[[#This Row],[Ganancia Unitaria]]*STOCK[[#This Row],[Salidas]]</f>
        <v>9.129999999999999</v>
      </c>
      <c r="Y830" s="54" t="s">
        <v>1604</v>
      </c>
      <c r="AA830" s="54">
        <f>STOCK[[#This Row],[Costo total]]*STOCK[[#This Row],[Entradas]]</f>
        <v>20.87</v>
      </c>
      <c r="AB830" s="54">
        <f>STOCK[[#This Row],[Stock Actual]]*STOCK[[#This Row],[Costo total]]</f>
        <v>0</v>
      </c>
    </row>
    <row r="831" spans="1:29" s="53" customFormat="1" ht="50" customHeight="1">
      <c r="A831" s="53" t="s">
        <v>1651</v>
      </c>
      <c r="B831" s="64"/>
      <c r="C831" s="53" t="s">
        <v>32</v>
      </c>
      <c r="D831" s="53" t="s">
        <v>302</v>
      </c>
      <c r="E831" s="65" t="s">
        <v>1650</v>
      </c>
      <c r="F831" s="53" t="s">
        <v>62</v>
      </c>
      <c r="G831" s="53" t="s">
        <v>36</v>
      </c>
      <c r="H831" s="53">
        <f>STOCK[[#This Row],[Precio Final]]</f>
        <v>30</v>
      </c>
      <c r="I831" s="53">
        <f>STOCK[[#This Row],[Precio Venta Ideal (x1.5)]]</f>
        <v>31.305</v>
      </c>
      <c r="J831" s="69">
        <v>1</v>
      </c>
      <c r="K831" s="69">
        <f>SUMIFS(VENTAS[Cantidad],VENTAS[Código del producto Vendido],STOCK[[#This Row],[Code]])</f>
        <v>1</v>
      </c>
      <c r="L831" s="69">
        <f>STOCK[[#This Row],[Entradas]]-STOCK[[#This Row],[Salidas]]</f>
        <v>0</v>
      </c>
      <c r="M831" s="53">
        <f>STOCK[[#This Row],[Precio Final]]*10%</f>
        <v>3</v>
      </c>
      <c r="N831" s="53">
        <v>0</v>
      </c>
      <c r="O831" s="53">
        <v>0</v>
      </c>
      <c r="P831" s="53">
        <v>16.37</v>
      </c>
      <c r="Q831" s="69">
        <v>0</v>
      </c>
      <c r="R831" s="53">
        <v>0</v>
      </c>
      <c r="S831" s="53">
        <v>1.5</v>
      </c>
      <c r="T831" s="53">
        <f>STOCK[[#This Row],[Costo Unitario (USD)]]+STOCK[[#This Row],[Costo Envío (USD)]]+STOCK[[#This Row],[Comisión 10%]]</f>
        <v>20.87</v>
      </c>
      <c r="U831" s="53">
        <f>STOCK[[#This Row],[Costo total]]*1.5</f>
        <v>31.305</v>
      </c>
      <c r="V831" s="53">
        <v>30</v>
      </c>
      <c r="W831" s="53">
        <f>STOCK[[#This Row],[Precio Final]]-STOCK[[#This Row],[Costo total]]</f>
        <v>9.129999999999999</v>
      </c>
      <c r="X831" s="53">
        <f>STOCK[[#This Row],[Ganancia Unitaria]]*STOCK[[#This Row],[Salidas]]</f>
        <v>9.129999999999999</v>
      </c>
      <c r="Y831" s="53" t="s">
        <v>1604</v>
      </c>
      <c r="AA831" s="53">
        <f>STOCK[[#This Row],[Costo total]]*STOCK[[#This Row],[Entradas]]</f>
        <v>20.87</v>
      </c>
      <c r="AB831" s="53">
        <f>STOCK[[#This Row],[Stock Actual]]*STOCK[[#This Row],[Costo total]]</f>
        <v>0</v>
      </c>
    </row>
    <row r="832" spans="1:29" s="54" customFormat="1" ht="50" customHeight="1">
      <c r="A832" s="54" t="s">
        <v>1652</v>
      </c>
      <c r="B832" s="64"/>
      <c r="C832" s="54" t="s">
        <v>32</v>
      </c>
      <c r="D832" s="54" t="s">
        <v>216</v>
      </c>
      <c r="E832" s="66" t="s">
        <v>1653</v>
      </c>
      <c r="F832" s="54" t="s">
        <v>1468</v>
      </c>
      <c r="G832" s="54" t="s">
        <v>1603</v>
      </c>
      <c r="H832" s="54">
        <f>STOCK[[#This Row],[Precio Final]]</f>
        <v>25</v>
      </c>
      <c r="I832" s="54">
        <f>STOCK[[#This Row],[Precio Venta Ideal (x1.5)]]</f>
        <v>21.09</v>
      </c>
      <c r="J832" s="70">
        <v>1</v>
      </c>
      <c r="K832" s="70">
        <f>SUMIFS(VENTAS[Cantidad],VENTAS[Código del producto Vendido],STOCK[[#This Row],[Code]])</f>
        <v>1</v>
      </c>
      <c r="L832" s="70">
        <f>STOCK[[#This Row],[Entradas]]-STOCK[[#This Row],[Salidas]]</f>
        <v>0</v>
      </c>
      <c r="M832" s="54">
        <f>STOCK[[#This Row],[Precio Final]]*10%</f>
        <v>2.5</v>
      </c>
      <c r="N832" s="54">
        <v>0</v>
      </c>
      <c r="O832" s="54">
        <v>0</v>
      </c>
      <c r="P832" s="54">
        <v>10.06</v>
      </c>
      <c r="Q832" s="70">
        <v>0</v>
      </c>
      <c r="R832" s="54">
        <v>0</v>
      </c>
      <c r="S832" s="54">
        <v>1.5</v>
      </c>
      <c r="T832" s="53">
        <f>STOCK[[#This Row],[Costo Unitario (USD)]]+STOCK[[#This Row],[Costo Envío (USD)]]+STOCK[[#This Row],[Comisión 10%]]</f>
        <v>14.06</v>
      </c>
      <c r="U832" s="54">
        <f>STOCK[[#This Row],[Costo total]]*1.5</f>
        <v>21.09</v>
      </c>
      <c r="V832" s="54">
        <v>25</v>
      </c>
      <c r="W832" s="54">
        <f>STOCK[[#This Row],[Precio Final]]-STOCK[[#This Row],[Costo total]]</f>
        <v>10.94</v>
      </c>
      <c r="X832" s="54">
        <f>STOCK[[#This Row],[Ganancia Unitaria]]*STOCK[[#This Row],[Salidas]]</f>
        <v>10.94</v>
      </c>
      <c r="Y832" s="54" t="s">
        <v>1604</v>
      </c>
      <c r="AA832" s="54">
        <f>STOCK[[#This Row],[Costo total]]*STOCK[[#This Row],[Entradas]]</f>
        <v>14.06</v>
      </c>
      <c r="AB832" s="54">
        <f>STOCK[[#This Row],[Stock Actual]]*STOCK[[#This Row],[Costo total]]</f>
        <v>0</v>
      </c>
      <c r="AC832" s="54">
        <v>20</v>
      </c>
    </row>
    <row r="833" spans="1:28" s="53" customFormat="1" ht="50" customHeight="1">
      <c r="A833" s="53" t="s">
        <v>1654</v>
      </c>
      <c r="B833" s="64"/>
      <c r="C833" s="53" t="s">
        <v>32</v>
      </c>
      <c r="D833" s="53" t="s">
        <v>44</v>
      </c>
      <c r="E833" s="65" t="s">
        <v>1655</v>
      </c>
      <c r="F833" s="53" t="s">
        <v>88</v>
      </c>
      <c r="G833" s="53" t="s">
        <v>1603</v>
      </c>
      <c r="H833" s="53">
        <f>STOCK[[#This Row],[Precio Final]]</f>
        <v>20</v>
      </c>
      <c r="I833" s="53">
        <f>STOCK[[#This Row],[Precio Venta Ideal (x1.5)]]</f>
        <v>20.34</v>
      </c>
      <c r="J833" s="69">
        <v>1</v>
      </c>
      <c r="K833" s="69">
        <f>SUMIFS(VENTAS[Cantidad],VENTAS[Código del producto Vendido],STOCK[[#This Row],[Code]])</f>
        <v>1</v>
      </c>
      <c r="L833" s="69">
        <f>STOCK[[#This Row],[Entradas]]-STOCK[[#This Row],[Salidas]]</f>
        <v>0</v>
      </c>
      <c r="M833" s="53">
        <f>STOCK[[#This Row],[Precio Final]]*10%</f>
        <v>2</v>
      </c>
      <c r="N833" s="53">
        <v>0</v>
      </c>
      <c r="O833" s="53">
        <v>0</v>
      </c>
      <c r="P833" s="53">
        <v>10.06</v>
      </c>
      <c r="Q833" s="69">
        <v>0</v>
      </c>
      <c r="R833" s="53">
        <v>0</v>
      </c>
      <c r="S833" s="53">
        <v>1.5</v>
      </c>
      <c r="T833" s="53">
        <f>STOCK[[#This Row],[Costo Unitario (USD)]]+STOCK[[#This Row],[Costo Envío (USD)]]+STOCK[[#This Row],[Comisión 10%]]</f>
        <v>13.56</v>
      </c>
      <c r="U833" s="53">
        <f>STOCK[[#This Row],[Costo total]]*1.5</f>
        <v>20.34</v>
      </c>
      <c r="V833" s="53">
        <v>20</v>
      </c>
      <c r="W833" s="53">
        <f>STOCK[[#This Row],[Precio Final]]-STOCK[[#This Row],[Costo total]]</f>
        <v>6.4399999999999995</v>
      </c>
      <c r="X833" s="53">
        <f>STOCK[[#This Row],[Ganancia Unitaria]]*STOCK[[#This Row],[Salidas]]</f>
        <v>6.4399999999999995</v>
      </c>
      <c r="Y833" s="53" t="s">
        <v>1604</v>
      </c>
      <c r="AA833" s="53">
        <f>STOCK[[#This Row],[Costo total]]*STOCK[[#This Row],[Entradas]]</f>
        <v>13.56</v>
      </c>
      <c r="AB833" s="53">
        <f>STOCK[[#This Row],[Stock Actual]]*STOCK[[#This Row],[Costo total]]</f>
        <v>0</v>
      </c>
    </row>
    <row r="834" spans="1:28" s="54" customFormat="1" ht="50" customHeight="1">
      <c r="A834" s="54" t="s">
        <v>1656</v>
      </c>
      <c r="B834" s="64"/>
      <c r="C834" s="54" t="s">
        <v>32</v>
      </c>
      <c r="D834" s="54" t="s">
        <v>44</v>
      </c>
      <c r="E834" s="66" t="s">
        <v>1657</v>
      </c>
      <c r="F834" s="54" t="s">
        <v>62</v>
      </c>
      <c r="G834" s="54" t="s">
        <v>1603</v>
      </c>
      <c r="H834" s="54">
        <f>STOCK[[#This Row],[Precio Final]]</f>
        <v>28</v>
      </c>
      <c r="I834" s="54">
        <f>STOCK[[#This Row],[Precio Venta Ideal (x1.5)]]</f>
        <v>26.775000000000002</v>
      </c>
      <c r="J834" s="70">
        <v>1</v>
      </c>
      <c r="K834" s="70">
        <f>SUMIFS(VENTAS[Cantidad],VENTAS[Código del producto Vendido],STOCK[[#This Row],[Code]])</f>
        <v>1</v>
      </c>
      <c r="L834" s="70">
        <f>STOCK[[#This Row],[Entradas]]-STOCK[[#This Row],[Salidas]]</f>
        <v>0</v>
      </c>
      <c r="M834" s="54">
        <f>STOCK[[#This Row],[Precio Final]]*10%</f>
        <v>2.8000000000000003</v>
      </c>
      <c r="N834" s="54">
        <v>0</v>
      </c>
      <c r="O834" s="54">
        <v>0</v>
      </c>
      <c r="P834" s="54">
        <v>13.55</v>
      </c>
      <c r="Q834" s="70">
        <v>0</v>
      </c>
      <c r="R834" s="54">
        <v>0</v>
      </c>
      <c r="S834" s="54">
        <v>1.5</v>
      </c>
      <c r="T834" s="53">
        <f>STOCK[[#This Row],[Costo Unitario (USD)]]+STOCK[[#This Row],[Costo Envío (USD)]]+STOCK[[#This Row],[Comisión 10%]]</f>
        <v>17.850000000000001</v>
      </c>
      <c r="U834" s="54">
        <f>STOCK[[#This Row],[Costo total]]*1.5</f>
        <v>26.775000000000002</v>
      </c>
      <c r="V834" s="54">
        <v>28</v>
      </c>
      <c r="W834" s="54">
        <f>STOCK[[#This Row],[Precio Final]]-STOCK[[#This Row],[Costo total]]</f>
        <v>10.149999999999999</v>
      </c>
      <c r="X834" s="54">
        <f>STOCK[[#This Row],[Ganancia Unitaria]]*STOCK[[#This Row],[Salidas]]</f>
        <v>10.149999999999999</v>
      </c>
      <c r="Y834" s="54" t="s">
        <v>1604</v>
      </c>
      <c r="AA834" s="54">
        <f>STOCK[[#This Row],[Costo total]]*STOCK[[#This Row],[Entradas]]</f>
        <v>17.850000000000001</v>
      </c>
      <c r="AB834" s="54">
        <f>STOCK[[#This Row],[Stock Actual]]*STOCK[[#This Row],[Costo total]]</f>
        <v>0</v>
      </c>
    </row>
    <row r="835" spans="1:28" s="53" customFormat="1" ht="50" customHeight="1">
      <c r="A835" s="53" t="s">
        <v>1658</v>
      </c>
      <c r="B835" s="64"/>
      <c r="C835" s="53" t="s">
        <v>32</v>
      </c>
      <c r="D835" s="53" t="s">
        <v>44</v>
      </c>
      <c r="E835" s="65" t="s">
        <v>1659</v>
      </c>
      <c r="F835" s="53" t="s">
        <v>211</v>
      </c>
      <c r="G835" s="53" t="s">
        <v>1603</v>
      </c>
      <c r="H835" s="53">
        <f>STOCK[[#This Row],[Precio Final]]</f>
        <v>28</v>
      </c>
      <c r="I835" s="53">
        <f>STOCK[[#This Row],[Precio Venta Ideal (x1.5)]]</f>
        <v>26.775000000000002</v>
      </c>
      <c r="J835" s="69">
        <v>1</v>
      </c>
      <c r="K835" s="69">
        <f>SUMIFS(VENTAS[Cantidad],VENTAS[Código del producto Vendido],STOCK[[#This Row],[Code]])</f>
        <v>1</v>
      </c>
      <c r="L835" s="69">
        <f>STOCK[[#This Row],[Entradas]]-STOCK[[#This Row],[Salidas]]</f>
        <v>0</v>
      </c>
      <c r="M835" s="53">
        <f>STOCK[[#This Row],[Precio Final]]*10%</f>
        <v>2.8000000000000003</v>
      </c>
      <c r="N835" s="53">
        <v>0</v>
      </c>
      <c r="O835" s="53">
        <v>0</v>
      </c>
      <c r="P835" s="53">
        <v>13.55</v>
      </c>
      <c r="Q835" s="69">
        <v>0</v>
      </c>
      <c r="R835" s="53">
        <v>0</v>
      </c>
      <c r="S835" s="53">
        <v>1.5</v>
      </c>
      <c r="T835" s="53">
        <f>STOCK[[#This Row],[Costo Unitario (USD)]]+STOCK[[#This Row],[Costo Envío (USD)]]+STOCK[[#This Row],[Comisión 10%]]</f>
        <v>17.850000000000001</v>
      </c>
      <c r="U835" s="53">
        <f>STOCK[[#This Row],[Costo total]]*1.5</f>
        <v>26.775000000000002</v>
      </c>
      <c r="V835" s="53">
        <v>28</v>
      </c>
      <c r="W835" s="53">
        <f>STOCK[[#This Row],[Precio Final]]-STOCK[[#This Row],[Costo total]]</f>
        <v>10.149999999999999</v>
      </c>
      <c r="X835" s="53">
        <f>STOCK[[#This Row],[Ganancia Unitaria]]*STOCK[[#This Row],[Salidas]]</f>
        <v>10.149999999999999</v>
      </c>
      <c r="Y835" s="53" t="s">
        <v>1604</v>
      </c>
      <c r="AA835" s="53">
        <f>STOCK[[#This Row],[Costo total]]*STOCK[[#This Row],[Entradas]]</f>
        <v>17.850000000000001</v>
      </c>
      <c r="AB835" s="53">
        <f>STOCK[[#This Row],[Stock Actual]]*STOCK[[#This Row],[Costo total]]</f>
        <v>0</v>
      </c>
    </row>
    <row r="836" spans="1:28" s="54" customFormat="1" ht="50" customHeight="1">
      <c r="A836" s="54" t="s">
        <v>1660</v>
      </c>
      <c r="B836" s="64"/>
      <c r="C836" s="54" t="s">
        <v>32</v>
      </c>
      <c r="D836" s="54" t="s">
        <v>174</v>
      </c>
      <c r="E836" s="66" t="s">
        <v>1661</v>
      </c>
      <c r="F836" s="54" t="s">
        <v>40</v>
      </c>
      <c r="G836" s="54" t="s">
        <v>1603</v>
      </c>
      <c r="H836" s="54">
        <f>STOCK[[#This Row],[Precio Final]]</f>
        <v>15</v>
      </c>
      <c r="I836" s="54">
        <f>STOCK[[#This Row],[Precio Venta Ideal (x1.5)]]</f>
        <v>10.92</v>
      </c>
      <c r="J836" s="70">
        <v>1</v>
      </c>
      <c r="K836" s="70">
        <f>SUMIFS(VENTAS[Cantidad],VENTAS[Código del producto Vendido],STOCK[[#This Row],[Code]])</f>
        <v>1</v>
      </c>
      <c r="L836" s="70">
        <f>STOCK[[#This Row],[Entradas]]-STOCK[[#This Row],[Salidas]]</f>
        <v>0</v>
      </c>
      <c r="M836" s="54">
        <f>STOCK[[#This Row],[Precio Final]]*10%</f>
        <v>1.5</v>
      </c>
      <c r="N836" s="54">
        <v>0</v>
      </c>
      <c r="O836" s="54">
        <v>0</v>
      </c>
      <c r="P836" s="54">
        <v>4.28</v>
      </c>
      <c r="Q836" s="70">
        <v>0</v>
      </c>
      <c r="R836" s="54">
        <v>0</v>
      </c>
      <c r="S836" s="54">
        <v>1.5</v>
      </c>
      <c r="T836" s="53">
        <f>STOCK[[#This Row],[Costo Unitario (USD)]]+STOCK[[#This Row],[Costo Envío (USD)]]+STOCK[[#This Row],[Comisión 10%]]</f>
        <v>7.28</v>
      </c>
      <c r="U836" s="54">
        <f>STOCK[[#This Row],[Costo total]]*1.5</f>
        <v>10.92</v>
      </c>
      <c r="V836" s="54">
        <v>15</v>
      </c>
      <c r="W836" s="54">
        <f>STOCK[[#This Row],[Precio Final]]-STOCK[[#This Row],[Costo total]]</f>
        <v>7.72</v>
      </c>
      <c r="X836" s="54">
        <f>STOCK[[#This Row],[Ganancia Unitaria]]*STOCK[[#This Row],[Salidas]]</f>
        <v>7.72</v>
      </c>
      <c r="Y836" s="54" t="s">
        <v>1604</v>
      </c>
      <c r="AA836" s="54">
        <f>STOCK[[#This Row],[Costo total]]*STOCK[[#This Row],[Entradas]]</f>
        <v>7.28</v>
      </c>
      <c r="AB836" s="54">
        <f>STOCK[[#This Row],[Stock Actual]]*STOCK[[#This Row],[Costo total]]</f>
        <v>0</v>
      </c>
    </row>
    <row r="837" spans="1:28" s="53" customFormat="1" ht="50" customHeight="1">
      <c r="A837" s="53" t="s">
        <v>1662</v>
      </c>
      <c r="B837" s="64"/>
      <c r="C837" s="53" t="s">
        <v>32</v>
      </c>
      <c r="D837" s="53" t="s">
        <v>174</v>
      </c>
      <c r="E837" s="65" t="s">
        <v>1661</v>
      </c>
      <c r="F837" s="53" t="s">
        <v>49</v>
      </c>
      <c r="G837" s="53" t="s">
        <v>1603</v>
      </c>
      <c r="H837" s="53">
        <f>STOCK[[#This Row],[Precio Final]]</f>
        <v>15</v>
      </c>
      <c r="I837" s="53">
        <f>STOCK[[#This Row],[Precio Venta Ideal (x1.5)]]</f>
        <v>10.92</v>
      </c>
      <c r="J837" s="69">
        <v>1</v>
      </c>
      <c r="K837" s="69">
        <f>SUMIFS(VENTAS[Cantidad],VENTAS[Código del producto Vendido],STOCK[[#This Row],[Code]])</f>
        <v>1</v>
      </c>
      <c r="L837" s="69">
        <f>STOCK[[#This Row],[Entradas]]-STOCK[[#This Row],[Salidas]]</f>
        <v>0</v>
      </c>
      <c r="M837" s="53">
        <f>STOCK[[#This Row],[Precio Final]]*10%</f>
        <v>1.5</v>
      </c>
      <c r="N837" s="53">
        <v>0</v>
      </c>
      <c r="O837" s="53">
        <v>0</v>
      </c>
      <c r="P837" s="53">
        <v>4.28</v>
      </c>
      <c r="Q837" s="69">
        <v>0</v>
      </c>
      <c r="R837" s="53">
        <v>0</v>
      </c>
      <c r="S837" s="53">
        <v>1.5</v>
      </c>
      <c r="T837" s="53">
        <f>STOCK[[#This Row],[Costo Unitario (USD)]]+STOCK[[#This Row],[Costo Envío (USD)]]+STOCK[[#This Row],[Comisión 10%]]</f>
        <v>7.28</v>
      </c>
      <c r="U837" s="53">
        <f>STOCK[[#This Row],[Costo total]]*1.5</f>
        <v>10.92</v>
      </c>
      <c r="V837" s="53">
        <v>15</v>
      </c>
      <c r="W837" s="53">
        <f>STOCK[[#This Row],[Precio Final]]-STOCK[[#This Row],[Costo total]]</f>
        <v>7.72</v>
      </c>
      <c r="X837" s="53">
        <f>STOCK[[#This Row],[Ganancia Unitaria]]*STOCK[[#This Row],[Salidas]]</f>
        <v>7.72</v>
      </c>
      <c r="Y837" s="53" t="s">
        <v>1604</v>
      </c>
      <c r="AA837" s="53">
        <f>STOCK[[#This Row],[Costo total]]*STOCK[[#This Row],[Entradas]]</f>
        <v>7.28</v>
      </c>
      <c r="AB837" s="53">
        <f>STOCK[[#This Row],[Stock Actual]]*STOCK[[#This Row],[Costo total]]</f>
        <v>0</v>
      </c>
    </row>
    <row r="838" spans="1:28" s="54" customFormat="1" ht="50" customHeight="1">
      <c r="A838" s="54" t="s">
        <v>1663</v>
      </c>
      <c r="B838" s="64"/>
      <c r="C838" s="54" t="s">
        <v>32</v>
      </c>
      <c r="D838" s="54" t="s">
        <v>174</v>
      </c>
      <c r="E838" s="66" t="s">
        <v>1661</v>
      </c>
      <c r="F838" s="54" t="s">
        <v>62</v>
      </c>
      <c r="G838" s="54" t="s">
        <v>1603</v>
      </c>
      <c r="H838" s="54">
        <f>STOCK[[#This Row],[Precio Final]]</f>
        <v>15</v>
      </c>
      <c r="I838" s="54">
        <f>STOCK[[#This Row],[Precio Venta Ideal (x1.5)]]</f>
        <v>10.92</v>
      </c>
      <c r="J838" s="70">
        <v>1</v>
      </c>
      <c r="K838" s="70">
        <f>SUMIFS(VENTAS[Cantidad],VENTAS[Código del producto Vendido],STOCK[[#This Row],[Code]])</f>
        <v>1</v>
      </c>
      <c r="L838" s="70">
        <f>STOCK[[#This Row],[Entradas]]-STOCK[[#This Row],[Salidas]]</f>
        <v>0</v>
      </c>
      <c r="M838" s="54">
        <f>STOCK[[#This Row],[Precio Final]]*10%</f>
        <v>1.5</v>
      </c>
      <c r="N838" s="54">
        <v>0</v>
      </c>
      <c r="O838" s="54">
        <v>0</v>
      </c>
      <c r="P838" s="54">
        <v>4.28</v>
      </c>
      <c r="Q838" s="70">
        <v>0</v>
      </c>
      <c r="R838" s="54">
        <v>0</v>
      </c>
      <c r="S838" s="54">
        <v>1.5</v>
      </c>
      <c r="T838" s="53">
        <f>STOCK[[#This Row],[Costo Unitario (USD)]]+STOCK[[#This Row],[Costo Envío (USD)]]+STOCK[[#This Row],[Comisión 10%]]</f>
        <v>7.28</v>
      </c>
      <c r="U838" s="54">
        <f>STOCK[[#This Row],[Costo total]]*1.5</f>
        <v>10.92</v>
      </c>
      <c r="V838" s="54">
        <v>15</v>
      </c>
      <c r="W838" s="54">
        <f>STOCK[[#This Row],[Precio Final]]-STOCK[[#This Row],[Costo total]]</f>
        <v>7.72</v>
      </c>
      <c r="X838" s="54">
        <f>STOCK[[#This Row],[Ganancia Unitaria]]*STOCK[[#This Row],[Salidas]]</f>
        <v>7.72</v>
      </c>
      <c r="Y838" s="54" t="s">
        <v>1604</v>
      </c>
      <c r="AA838" s="54">
        <f>STOCK[[#This Row],[Costo total]]*STOCK[[#This Row],[Entradas]]</f>
        <v>7.28</v>
      </c>
      <c r="AB838" s="54">
        <f>STOCK[[#This Row],[Stock Actual]]*STOCK[[#This Row],[Costo total]]</f>
        <v>0</v>
      </c>
    </row>
    <row r="839" spans="1:28" s="53" customFormat="1" ht="50" customHeight="1">
      <c r="A839" s="53" t="s">
        <v>1664</v>
      </c>
      <c r="B839" s="64"/>
      <c r="C839" s="53" t="s">
        <v>32</v>
      </c>
      <c r="D839" s="53" t="s">
        <v>174</v>
      </c>
      <c r="E839" s="65" t="s">
        <v>1665</v>
      </c>
      <c r="F839" s="53" t="s">
        <v>62</v>
      </c>
      <c r="G839" s="53" t="s">
        <v>1603</v>
      </c>
      <c r="H839" s="53">
        <f>STOCK[[#This Row],[Precio Final]]</f>
        <v>12</v>
      </c>
      <c r="I839" s="53">
        <f>STOCK[[#This Row],[Precio Venta Ideal (x1.5)]]</f>
        <v>11.355</v>
      </c>
      <c r="J839" s="69">
        <v>1</v>
      </c>
      <c r="K839" s="69">
        <f>SUMIFS(VENTAS[Cantidad],VENTAS[Código del producto Vendido],STOCK[[#This Row],[Code]])</f>
        <v>1</v>
      </c>
      <c r="L839" s="69">
        <f>STOCK[[#This Row],[Entradas]]-STOCK[[#This Row],[Salidas]]</f>
        <v>0</v>
      </c>
      <c r="M839" s="53">
        <f>STOCK[[#This Row],[Precio Final]]*10%</f>
        <v>1.2000000000000002</v>
      </c>
      <c r="N839" s="53">
        <v>0</v>
      </c>
      <c r="O839" s="53">
        <v>0</v>
      </c>
      <c r="P839" s="53">
        <v>4.87</v>
      </c>
      <c r="Q839" s="69">
        <v>0</v>
      </c>
      <c r="R839" s="53">
        <v>0</v>
      </c>
      <c r="S839" s="53">
        <v>1.5</v>
      </c>
      <c r="T839" s="53">
        <f>STOCK[[#This Row],[Costo Unitario (USD)]]+STOCK[[#This Row],[Costo Envío (USD)]]+STOCK[[#This Row],[Comisión 10%]]</f>
        <v>7.57</v>
      </c>
      <c r="U839" s="53">
        <f>STOCK[[#This Row],[Costo total]]*1.5</f>
        <v>11.355</v>
      </c>
      <c r="V839" s="53">
        <v>12</v>
      </c>
      <c r="W839" s="53">
        <f>STOCK[[#This Row],[Precio Final]]-STOCK[[#This Row],[Costo total]]</f>
        <v>4.43</v>
      </c>
      <c r="X839" s="53">
        <f>STOCK[[#This Row],[Ganancia Unitaria]]*STOCK[[#This Row],[Salidas]]</f>
        <v>4.43</v>
      </c>
      <c r="Y839" s="53" t="s">
        <v>1604</v>
      </c>
      <c r="AA839" s="53">
        <f>STOCK[[#This Row],[Costo total]]*STOCK[[#This Row],[Entradas]]</f>
        <v>7.57</v>
      </c>
      <c r="AB839" s="53">
        <f>STOCK[[#This Row],[Stock Actual]]*STOCK[[#This Row],[Costo total]]</f>
        <v>0</v>
      </c>
    </row>
    <row r="840" spans="1:28" s="54" customFormat="1" ht="50" customHeight="1">
      <c r="A840" s="54" t="s">
        <v>1666</v>
      </c>
      <c r="B840" s="64"/>
      <c r="C840" s="54" t="s">
        <v>32</v>
      </c>
      <c r="D840" s="54" t="s">
        <v>174</v>
      </c>
      <c r="E840" s="66" t="s">
        <v>1667</v>
      </c>
      <c r="F840" s="54" t="s">
        <v>49</v>
      </c>
      <c r="G840" s="54" t="s">
        <v>1603</v>
      </c>
      <c r="H840" s="54">
        <f>STOCK[[#This Row],[Precio Final]]</f>
        <v>12</v>
      </c>
      <c r="I840" s="54">
        <f>STOCK[[#This Row],[Precio Venta Ideal (x1.5)]]</f>
        <v>11.355</v>
      </c>
      <c r="J840" s="70">
        <v>1</v>
      </c>
      <c r="K840" s="70">
        <f>SUMIFS(VENTAS[Cantidad],VENTAS[Código del producto Vendido],STOCK[[#This Row],[Code]])</f>
        <v>1</v>
      </c>
      <c r="L840" s="70">
        <f>STOCK[[#This Row],[Entradas]]-STOCK[[#This Row],[Salidas]]</f>
        <v>0</v>
      </c>
      <c r="M840" s="54">
        <f>STOCK[[#This Row],[Precio Final]]*10%</f>
        <v>1.2000000000000002</v>
      </c>
      <c r="N840" s="54">
        <v>0</v>
      </c>
      <c r="O840" s="54">
        <v>0</v>
      </c>
      <c r="P840" s="54">
        <v>4.87</v>
      </c>
      <c r="Q840" s="70">
        <v>0</v>
      </c>
      <c r="R840" s="54">
        <v>0</v>
      </c>
      <c r="S840" s="54">
        <v>1.5</v>
      </c>
      <c r="T840" s="53">
        <f>STOCK[[#This Row],[Costo Unitario (USD)]]+STOCK[[#This Row],[Costo Envío (USD)]]+STOCK[[#This Row],[Comisión 10%]]</f>
        <v>7.57</v>
      </c>
      <c r="U840" s="54">
        <f>STOCK[[#This Row],[Costo total]]*1.5</f>
        <v>11.355</v>
      </c>
      <c r="V840" s="54">
        <v>12</v>
      </c>
      <c r="W840" s="54">
        <f>STOCK[[#This Row],[Precio Final]]-STOCK[[#This Row],[Costo total]]</f>
        <v>4.43</v>
      </c>
      <c r="X840" s="54">
        <f>STOCK[[#This Row],[Ganancia Unitaria]]*STOCK[[#This Row],[Salidas]]</f>
        <v>4.43</v>
      </c>
      <c r="Y840" s="54" t="s">
        <v>1604</v>
      </c>
      <c r="AA840" s="54">
        <f>STOCK[[#This Row],[Costo total]]*STOCK[[#This Row],[Entradas]]</f>
        <v>7.57</v>
      </c>
      <c r="AB840" s="54">
        <f>STOCK[[#This Row],[Stock Actual]]*STOCK[[#This Row],[Costo total]]</f>
        <v>0</v>
      </c>
    </row>
    <row r="841" spans="1:28" s="53" customFormat="1" ht="50" customHeight="1">
      <c r="A841" s="53" t="s">
        <v>1668</v>
      </c>
      <c r="B841" s="64"/>
      <c r="C841" s="53" t="s">
        <v>32</v>
      </c>
      <c r="D841" s="53" t="s">
        <v>302</v>
      </c>
      <c r="E841" s="65" t="s">
        <v>1669</v>
      </c>
      <c r="F841" s="53" t="s">
        <v>49</v>
      </c>
      <c r="G841" s="53" t="s">
        <v>1603</v>
      </c>
      <c r="H841" s="53">
        <f>STOCK[[#This Row],[Precio Final]]</f>
        <v>28</v>
      </c>
      <c r="I841" s="53">
        <f>STOCK[[#This Row],[Precio Venta Ideal (x1.5)]]</f>
        <v>32.25</v>
      </c>
      <c r="J841" s="69">
        <v>1</v>
      </c>
      <c r="K841" s="69">
        <f>SUMIFS(VENTAS[Cantidad],VENTAS[Código del producto Vendido],STOCK[[#This Row],[Code]])</f>
        <v>1</v>
      </c>
      <c r="L841" s="69">
        <f>STOCK[[#This Row],[Entradas]]-STOCK[[#This Row],[Salidas]]</f>
        <v>0</v>
      </c>
      <c r="M841" s="53">
        <f>STOCK[[#This Row],[Precio Final]]*10%</f>
        <v>2.8000000000000003</v>
      </c>
      <c r="N841" s="53">
        <v>0</v>
      </c>
      <c r="O841" s="53">
        <v>0</v>
      </c>
      <c r="P841" s="53">
        <v>17.2</v>
      </c>
      <c r="Q841" s="69">
        <v>0</v>
      </c>
      <c r="R841" s="53">
        <v>0</v>
      </c>
      <c r="S841" s="53">
        <v>1.5</v>
      </c>
      <c r="T841" s="53">
        <f>STOCK[[#This Row],[Costo Unitario (USD)]]+STOCK[[#This Row],[Costo Envío (USD)]]+STOCK[[#This Row],[Comisión 10%]]</f>
        <v>21.5</v>
      </c>
      <c r="U841" s="53">
        <f>STOCK[[#This Row],[Costo total]]*1.5</f>
        <v>32.25</v>
      </c>
      <c r="V841" s="53">
        <v>28</v>
      </c>
      <c r="W841" s="53">
        <f>STOCK[[#This Row],[Precio Final]]-STOCK[[#This Row],[Costo total]]</f>
        <v>6.5</v>
      </c>
      <c r="X841" s="53">
        <f>STOCK[[#This Row],[Ganancia Unitaria]]*STOCK[[#This Row],[Salidas]]</f>
        <v>6.5</v>
      </c>
      <c r="Y841" s="53" t="s">
        <v>1604</v>
      </c>
      <c r="AA841" s="53">
        <f>STOCK[[#This Row],[Costo total]]*STOCK[[#This Row],[Entradas]]</f>
        <v>21.5</v>
      </c>
      <c r="AB841" s="53">
        <f>STOCK[[#This Row],[Stock Actual]]*STOCK[[#This Row],[Costo total]]</f>
        <v>0</v>
      </c>
    </row>
    <row r="842" spans="1:28" s="54" customFormat="1" ht="50" customHeight="1">
      <c r="A842" s="54" t="s">
        <v>1670</v>
      </c>
      <c r="B842" s="64"/>
      <c r="C842" s="54" t="s">
        <v>32</v>
      </c>
      <c r="D842" s="54" t="s">
        <v>213</v>
      </c>
      <c r="E842" s="66" t="s">
        <v>1671</v>
      </c>
      <c r="F842" s="54" t="s">
        <v>42</v>
      </c>
      <c r="G842" s="54" t="s">
        <v>1603</v>
      </c>
      <c r="H842" s="54">
        <f>STOCK[[#This Row],[Precio Final]]</f>
        <v>23</v>
      </c>
      <c r="I842" s="54">
        <f>STOCK[[#This Row],[Precio Venta Ideal (x1.5)]]</f>
        <v>25.424999999999997</v>
      </c>
      <c r="J842" s="70">
        <v>1</v>
      </c>
      <c r="K842" s="70">
        <f>SUMIFS(VENTAS[Cantidad],VENTAS[Código del producto Vendido],STOCK[[#This Row],[Code]])</f>
        <v>1</v>
      </c>
      <c r="L842" s="70">
        <f>STOCK[[#This Row],[Entradas]]-STOCK[[#This Row],[Salidas]]</f>
        <v>0</v>
      </c>
      <c r="M842" s="54">
        <f>STOCK[[#This Row],[Precio Final]]*10%</f>
        <v>2.3000000000000003</v>
      </c>
      <c r="N842" s="54">
        <v>0</v>
      </c>
      <c r="O842" s="54">
        <v>0</v>
      </c>
      <c r="P842" s="54">
        <v>13.15</v>
      </c>
      <c r="Q842" s="70">
        <v>0</v>
      </c>
      <c r="R842" s="54">
        <v>0</v>
      </c>
      <c r="S842" s="54">
        <v>1.5</v>
      </c>
      <c r="T842" s="53">
        <f>STOCK[[#This Row],[Costo Unitario (USD)]]+STOCK[[#This Row],[Costo Envío (USD)]]+STOCK[[#This Row],[Comisión 10%]]</f>
        <v>16.95</v>
      </c>
      <c r="U842" s="54">
        <f>STOCK[[#This Row],[Costo total]]*1.5</f>
        <v>25.424999999999997</v>
      </c>
      <c r="V842" s="54">
        <v>23</v>
      </c>
      <c r="W842" s="54">
        <f>STOCK[[#This Row],[Precio Final]]-STOCK[[#This Row],[Costo total]]</f>
        <v>6.0500000000000007</v>
      </c>
      <c r="X842" s="54">
        <f>STOCK[[#This Row],[Ganancia Unitaria]]*STOCK[[#This Row],[Salidas]]</f>
        <v>6.0500000000000007</v>
      </c>
      <c r="Y842" s="54" t="s">
        <v>1604</v>
      </c>
      <c r="AA842" s="54">
        <f>STOCK[[#This Row],[Costo total]]*STOCK[[#This Row],[Entradas]]</f>
        <v>16.95</v>
      </c>
      <c r="AB842" s="54">
        <f>STOCK[[#This Row],[Stock Actual]]*STOCK[[#This Row],[Costo total]]</f>
        <v>0</v>
      </c>
    </row>
    <row r="843" spans="1:28" s="53" customFormat="1" ht="50" customHeight="1">
      <c r="A843" s="53" t="s">
        <v>1672</v>
      </c>
      <c r="B843" s="64"/>
      <c r="C843" s="53" t="s">
        <v>32</v>
      </c>
      <c r="D843" s="53" t="s">
        <v>288</v>
      </c>
      <c r="E843" s="65" t="s">
        <v>1673</v>
      </c>
      <c r="F843" s="53" t="s">
        <v>40</v>
      </c>
      <c r="G843" s="53" t="s">
        <v>1603</v>
      </c>
      <c r="H843" s="53">
        <f>STOCK[[#This Row],[Precio Final]]</f>
        <v>25</v>
      </c>
      <c r="I843" s="53">
        <f>STOCK[[#This Row],[Precio Venta Ideal (x1.5)]]</f>
        <v>24.704999999999998</v>
      </c>
      <c r="J843" s="69">
        <v>1</v>
      </c>
      <c r="K843" s="69">
        <f>SUMIFS(VENTAS[Cantidad],VENTAS[Código del producto Vendido],STOCK[[#This Row],[Code]])</f>
        <v>1</v>
      </c>
      <c r="L843" s="69">
        <f>STOCK[[#This Row],[Entradas]]-STOCK[[#This Row],[Salidas]]</f>
        <v>0</v>
      </c>
      <c r="M843" s="53">
        <f>STOCK[[#This Row],[Precio Final]]*10%</f>
        <v>2.5</v>
      </c>
      <c r="N843" s="53">
        <v>0</v>
      </c>
      <c r="O843" s="53">
        <v>0</v>
      </c>
      <c r="P843" s="53">
        <v>12.47</v>
      </c>
      <c r="Q843" s="69">
        <v>0</v>
      </c>
      <c r="R843" s="53">
        <v>0</v>
      </c>
      <c r="S843" s="53">
        <v>1.5</v>
      </c>
      <c r="T843" s="53">
        <f>STOCK[[#This Row],[Costo Unitario (USD)]]+STOCK[[#This Row],[Costo Envío (USD)]]+STOCK[[#This Row],[Comisión 10%]]</f>
        <v>16.47</v>
      </c>
      <c r="U843" s="53">
        <f>STOCK[[#This Row],[Costo total]]*1.5</f>
        <v>24.704999999999998</v>
      </c>
      <c r="V843" s="53">
        <v>25</v>
      </c>
      <c r="W843" s="53">
        <f>STOCK[[#This Row],[Precio Final]]-STOCK[[#This Row],[Costo total]]</f>
        <v>8.5300000000000011</v>
      </c>
      <c r="X843" s="53">
        <f>STOCK[[#This Row],[Ganancia Unitaria]]*STOCK[[#This Row],[Salidas]]</f>
        <v>8.5300000000000011</v>
      </c>
      <c r="Y843" s="53" t="s">
        <v>1604</v>
      </c>
      <c r="AA843" s="53">
        <f>STOCK[[#This Row],[Costo total]]*STOCK[[#This Row],[Entradas]]</f>
        <v>16.47</v>
      </c>
      <c r="AB843" s="53">
        <f>STOCK[[#This Row],[Stock Actual]]*STOCK[[#This Row],[Costo total]]</f>
        <v>0</v>
      </c>
    </row>
    <row r="844" spans="1:28" s="54" customFormat="1" ht="50" customHeight="1">
      <c r="A844" s="54" t="s">
        <v>1674</v>
      </c>
      <c r="B844" s="64"/>
      <c r="C844" s="54" t="s">
        <v>32</v>
      </c>
      <c r="D844" s="54" t="s">
        <v>288</v>
      </c>
      <c r="E844" s="66" t="s">
        <v>1673</v>
      </c>
      <c r="F844" s="54" t="s">
        <v>49</v>
      </c>
      <c r="G844" s="54" t="s">
        <v>1603</v>
      </c>
      <c r="H844" s="54">
        <f>STOCK[[#This Row],[Precio Final]]</f>
        <v>28</v>
      </c>
      <c r="I844" s="54">
        <f>STOCK[[#This Row],[Precio Venta Ideal (x1.5)]]</f>
        <v>25.155000000000001</v>
      </c>
      <c r="J844" s="70">
        <v>2</v>
      </c>
      <c r="K844" s="70">
        <f>SUMIFS(VENTAS[Cantidad],VENTAS[Código del producto Vendido],STOCK[[#This Row],[Code]])</f>
        <v>2</v>
      </c>
      <c r="L844" s="70">
        <f>STOCK[[#This Row],[Entradas]]-STOCK[[#This Row],[Salidas]]</f>
        <v>0</v>
      </c>
      <c r="M844" s="54">
        <f>STOCK[[#This Row],[Precio Final]]*10%</f>
        <v>2.8000000000000003</v>
      </c>
      <c r="N844" s="54">
        <v>0</v>
      </c>
      <c r="O844" s="54">
        <v>0</v>
      </c>
      <c r="P844" s="54">
        <v>12.47</v>
      </c>
      <c r="Q844" s="70">
        <v>0</v>
      </c>
      <c r="R844" s="54">
        <v>0</v>
      </c>
      <c r="S844" s="54">
        <v>1.5</v>
      </c>
      <c r="T844" s="53">
        <f>STOCK[[#This Row],[Costo Unitario (USD)]]+STOCK[[#This Row],[Costo Envío (USD)]]+STOCK[[#This Row],[Comisión 10%]]</f>
        <v>16.77</v>
      </c>
      <c r="U844" s="54">
        <f>STOCK[[#This Row],[Costo total]]*1.5</f>
        <v>25.155000000000001</v>
      </c>
      <c r="V844" s="54">
        <v>28</v>
      </c>
      <c r="W844" s="54">
        <f>STOCK[[#This Row],[Precio Final]]-STOCK[[#This Row],[Costo total]]</f>
        <v>11.23</v>
      </c>
      <c r="X844" s="54">
        <f>STOCK[[#This Row],[Ganancia Unitaria]]*STOCK[[#This Row],[Salidas]]</f>
        <v>22.46</v>
      </c>
      <c r="Y844" s="54" t="s">
        <v>1604</v>
      </c>
      <c r="AA844" s="54">
        <f>STOCK[[#This Row],[Costo total]]*STOCK[[#This Row],[Entradas]]</f>
        <v>33.54</v>
      </c>
      <c r="AB844" s="54">
        <f>STOCK[[#This Row],[Stock Actual]]*STOCK[[#This Row],[Costo total]]</f>
        <v>0</v>
      </c>
    </row>
    <row r="845" spans="1:28" s="53" customFormat="1" ht="50" customHeight="1">
      <c r="A845" s="53" t="s">
        <v>1675</v>
      </c>
      <c r="B845" s="64"/>
      <c r="C845" s="53" t="s">
        <v>32</v>
      </c>
      <c r="D845" s="53" t="s">
        <v>288</v>
      </c>
      <c r="E845" s="65" t="s">
        <v>1676</v>
      </c>
      <c r="F845" s="53" t="s">
        <v>187</v>
      </c>
      <c r="G845" s="53" t="s">
        <v>1603</v>
      </c>
      <c r="H845" s="53">
        <f>STOCK[[#This Row],[Precio Final]]</f>
        <v>28</v>
      </c>
      <c r="I845" s="53">
        <f>STOCK[[#This Row],[Precio Venta Ideal (x1.5)]]</f>
        <v>29.25</v>
      </c>
      <c r="J845" s="69">
        <v>1</v>
      </c>
      <c r="K845" s="69">
        <f>SUMIFS(VENTAS[Cantidad],VENTAS[Código del producto Vendido],STOCK[[#This Row],[Code]])</f>
        <v>1</v>
      </c>
      <c r="L845" s="69">
        <f>STOCK[[#This Row],[Entradas]]-STOCK[[#This Row],[Salidas]]</f>
        <v>0</v>
      </c>
      <c r="M845" s="53">
        <f>STOCK[[#This Row],[Precio Final]]*10%</f>
        <v>2.8000000000000003</v>
      </c>
      <c r="N845" s="53">
        <v>0</v>
      </c>
      <c r="O845" s="53">
        <v>0</v>
      </c>
      <c r="P845" s="53">
        <v>15.2</v>
      </c>
      <c r="Q845" s="69">
        <v>0</v>
      </c>
      <c r="R845" s="53">
        <v>0</v>
      </c>
      <c r="S845" s="53">
        <v>1.5</v>
      </c>
      <c r="T845" s="53">
        <f>STOCK[[#This Row],[Costo Unitario (USD)]]+STOCK[[#This Row],[Costo Envío (USD)]]+STOCK[[#This Row],[Comisión 10%]]</f>
        <v>19.5</v>
      </c>
      <c r="U845" s="53">
        <f>STOCK[[#This Row],[Costo total]]*1.5</f>
        <v>29.25</v>
      </c>
      <c r="V845" s="53">
        <v>28</v>
      </c>
      <c r="W845" s="53">
        <f>STOCK[[#This Row],[Precio Final]]-STOCK[[#This Row],[Costo total]]</f>
        <v>8.5</v>
      </c>
      <c r="X845" s="53">
        <f>STOCK[[#This Row],[Ganancia Unitaria]]*STOCK[[#This Row],[Salidas]]</f>
        <v>8.5</v>
      </c>
      <c r="Y845" s="53" t="s">
        <v>1604</v>
      </c>
      <c r="AA845" s="53">
        <f>STOCK[[#This Row],[Costo total]]*STOCK[[#This Row],[Entradas]]</f>
        <v>19.5</v>
      </c>
      <c r="AB845" s="53">
        <f>STOCK[[#This Row],[Stock Actual]]*STOCK[[#This Row],[Costo total]]</f>
        <v>0</v>
      </c>
    </row>
    <row r="846" spans="1:28" s="54" customFormat="1" ht="50" customHeight="1">
      <c r="A846" s="54" t="s">
        <v>1677</v>
      </c>
      <c r="B846" s="64"/>
      <c r="C846" s="54" t="s">
        <v>32</v>
      </c>
      <c r="D846" s="54" t="s">
        <v>288</v>
      </c>
      <c r="E846" s="66" t="s">
        <v>1678</v>
      </c>
      <c r="F846" s="54" t="s">
        <v>49</v>
      </c>
      <c r="G846" s="54" t="s">
        <v>1603</v>
      </c>
      <c r="H846" s="54">
        <f>STOCK[[#This Row],[Precio Final]]</f>
        <v>28</v>
      </c>
      <c r="I846" s="54">
        <f>STOCK[[#This Row],[Precio Venta Ideal (x1.5)]]</f>
        <v>29.25</v>
      </c>
      <c r="J846" s="70">
        <v>1</v>
      </c>
      <c r="K846" s="70">
        <f>SUMIFS(VENTAS[Cantidad],VENTAS[Código del producto Vendido],STOCK[[#This Row],[Code]])</f>
        <v>1</v>
      </c>
      <c r="L846" s="70">
        <f>STOCK[[#This Row],[Entradas]]-STOCK[[#This Row],[Salidas]]</f>
        <v>0</v>
      </c>
      <c r="M846" s="54">
        <f>STOCK[[#This Row],[Precio Final]]*10%</f>
        <v>2.8000000000000003</v>
      </c>
      <c r="N846" s="54">
        <v>0</v>
      </c>
      <c r="O846" s="54">
        <v>0</v>
      </c>
      <c r="P846" s="54">
        <v>15.2</v>
      </c>
      <c r="Q846" s="70">
        <v>0</v>
      </c>
      <c r="R846" s="54">
        <v>0</v>
      </c>
      <c r="S846" s="54">
        <v>1.5</v>
      </c>
      <c r="T846" s="53">
        <f>STOCK[[#This Row],[Costo Unitario (USD)]]+STOCK[[#This Row],[Costo Envío (USD)]]+STOCK[[#This Row],[Comisión 10%]]</f>
        <v>19.5</v>
      </c>
      <c r="U846" s="54">
        <f>STOCK[[#This Row],[Costo total]]*1.5</f>
        <v>29.25</v>
      </c>
      <c r="V846" s="54">
        <v>28</v>
      </c>
      <c r="W846" s="54">
        <f>STOCK[[#This Row],[Precio Final]]-STOCK[[#This Row],[Costo total]]</f>
        <v>8.5</v>
      </c>
      <c r="X846" s="54">
        <f>STOCK[[#This Row],[Ganancia Unitaria]]*STOCK[[#This Row],[Salidas]]</f>
        <v>8.5</v>
      </c>
      <c r="Y846" s="54" t="s">
        <v>1604</v>
      </c>
      <c r="AA846" s="54">
        <f>STOCK[[#This Row],[Costo total]]*STOCK[[#This Row],[Entradas]]</f>
        <v>19.5</v>
      </c>
      <c r="AB846" s="54">
        <f>STOCK[[#This Row],[Stock Actual]]*STOCK[[#This Row],[Costo total]]</f>
        <v>0</v>
      </c>
    </row>
    <row r="847" spans="1:28" s="53" customFormat="1" ht="50" customHeight="1">
      <c r="A847" s="53" t="s">
        <v>1679</v>
      </c>
      <c r="B847" s="64"/>
      <c r="C847" s="53" t="s">
        <v>32</v>
      </c>
      <c r="D847" s="53" t="s">
        <v>515</v>
      </c>
      <c r="E847" s="65" t="s">
        <v>1483</v>
      </c>
      <c r="F847" s="53" t="s">
        <v>1680</v>
      </c>
      <c r="G847" s="53" t="s">
        <v>1603</v>
      </c>
      <c r="H847" s="53">
        <f>STOCK[[#This Row],[Precio Final]]</f>
        <v>45</v>
      </c>
      <c r="I847" s="53">
        <f>STOCK[[#This Row],[Precio Venta Ideal (x1.5)]]</f>
        <v>40.380000000000003</v>
      </c>
      <c r="J847" s="69">
        <v>2</v>
      </c>
      <c r="K847" s="69">
        <f>SUMIFS(VENTAS[Cantidad],VENTAS[Código del producto Vendido],STOCK[[#This Row],[Code]])</f>
        <v>2</v>
      </c>
      <c r="L847" s="69">
        <f>STOCK[[#This Row],[Entradas]]-STOCK[[#This Row],[Salidas]]</f>
        <v>0</v>
      </c>
      <c r="M847" s="53">
        <f>STOCK[[#This Row],[Precio Final]]*10%</f>
        <v>4.5</v>
      </c>
      <c r="N847" s="53">
        <v>0</v>
      </c>
      <c r="O847" s="53">
        <v>0</v>
      </c>
      <c r="P847" s="53">
        <v>20.92</v>
      </c>
      <c r="Q847" s="69">
        <v>0</v>
      </c>
      <c r="R847" s="53">
        <v>0</v>
      </c>
      <c r="S847" s="53">
        <v>1.5</v>
      </c>
      <c r="T847" s="53">
        <f>STOCK[[#This Row],[Costo Unitario (USD)]]+STOCK[[#This Row],[Costo Envío (USD)]]+STOCK[[#This Row],[Comisión 10%]]</f>
        <v>26.92</v>
      </c>
      <c r="U847" s="53">
        <f>STOCK[[#This Row],[Costo total]]*1.5</f>
        <v>40.380000000000003</v>
      </c>
      <c r="V847" s="53">
        <v>45</v>
      </c>
      <c r="W847" s="53">
        <f>STOCK[[#This Row],[Precio Final]]-STOCK[[#This Row],[Costo total]]</f>
        <v>18.079999999999998</v>
      </c>
      <c r="X847" s="53">
        <f>STOCK[[#This Row],[Ganancia Unitaria]]*STOCK[[#This Row],[Salidas]]</f>
        <v>36.159999999999997</v>
      </c>
      <c r="Y847" s="53" t="s">
        <v>1604</v>
      </c>
      <c r="AA847" s="53">
        <f>STOCK[[#This Row],[Costo total]]*STOCK[[#This Row],[Entradas]]</f>
        <v>53.84</v>
      </c>
      <c r="AB847" s="53">
        <f>STOCK[[#This Row],[Stock Actual]]*STOCK[[#This Row],[Costo total]]</f>
        <v>0</v>
      </c>
    </row>
    <row r="848" spans="1:28" s="54" customFormat="1" ht="50" customHeight="1">
      <c r="A848" s="54" t="s">
        <v>1681</v>
      </c>
      <c r="B848" s="64"/>
      <c r="C848" s="54" t="s">
        <v>32</v>
      </c>
      <c r="D848" s="54" t="s">
        <v>515</v>
      </c>
      <c r="E848" s="66" t="s">
        <v>1483</v>
      </c>
      <c r="F848" s="54" t="s">
        <v>1682</v>
      </c>
      <c r="G848" s="54" t="s">
        <v>1603</v>
      </c>
      <c r="H848" s="54">
        <f>STOCK[[#This Row],[Precio Final]]</f>
        <v>45</v>
      </c>
      <c r="I848" s="54">
        <f>STOCK[[#This Row],[Precio Venta Ideal (x1.5)]]</f>
        <v>40.380000000000003</v>
      </c>
      <c r="J848" s="70">
        <v>2</v>
      </c>
      <c r="K848" s="70">
        <f>SUMIFS(VENTAS[Cantidad],VENTAS[Código del producto Vendido],STOCK[[#This Row],[Code]])</f>
        <v>2</v>
      </c>
      <c r="L848" s="70">
        <f>STOCK[[#This Row],[Entradas]]-STOCK[[#This Row],[Salidas]]</f>
        <v>0</v>
      </c>
      <c r="M848" s="54">
        <f>STOCK[[#This Row],[Precio Final]]*10%</f>
        <v>4.5</v>
      </c>
      <c r="N848" s="54">
        <v>0</v>
      </c>
      <c r="O848" s="54">
        <v>0</v>
      </c>
      <c r="P848" s="54">
        <v>20.92</v>
      </c>
      <c r="Q848" s="70">
        <v>0</v>
      </c>
      <c r="R848" s="54">
        <v>0</v>
      </c>
      <c r="S848" s="54">
        <v>1.5</v>
      </c>
      <c r="T848" s="53">
        <f>STOCK[[#This Row],[Costo Unitario (USD)]]+STOCK[[#This Row],[Costo Envío (USD)]]+STOCK[[#This Row],[Comisión 10%]]</f>
        <v>26.92</v>
      </c>
      <c r="U848" s="54">
        <f>STOCK[[#This Row],[Costo total]]*1.5</f>
        <v>40.380000000000003</v>
      </c>
      <c r="V848" s="54">
        <v>45</v>
      </c>
      <c r="W848" s="54">
        <f>STOCK[[#This Row],[Precio Final]]-STOCK[[#This Row],[Costo total]]</f>
        <v>18.079999999999998</v>
      </c>
      <c r="X848" s="54">
        <f>STOCK[[#This Row],[Ganancia Unitaria]]*STOCK[[#This Row],[Salidas]]</f>
        <v>36.159999999999997</v>
      </c>
      <c r="Y848" s="54" t="s">
        <v>1604</v>
      </c>
      <c r="AA848" s="54">
        <f>STOCK[[#This Row],[Costo total]]*STOCK[[#This Row],[Entradas]]</f>
        <v>53.84</v>
      </c>
      <c r="AB848" s="54">
        <f>STOCK[[#This Row],[Stock Actual]]*STOCK[[#This Row],[Costo total]]</f>
        <v>0</v>
      </c>
    </row>
    <row r="849" spans="1:28" s="53" customFormat="1" ht="50" customHeight="1">
      <c r="A849" s="53" t="s">
        <v>1683</v>
      </c>
      <c r="B849" s="64"/>
      <c r="C849" s="53" t="s">
        <v>32</v>
      </c>
      <c r="D849" s="53" t="s">
        <v>44</v>
      </c>
      <c r="E849" s="65" t="s">
        <v>1684</v>
      </c>
      <c r="F849" s="53" t="s">
        <v>1685</v>
      </c>
      <c r="G849" s="53" t="s">
        <v>1603</v>
      </c>
      <c r="H849" s="53">
        <f>STOCK[[#This Row],[Precio Final]]</f>
        <v>20</v>
      </c>
      <c r="I849" s="53">
        <f>STOCK[[#This Row],[Precio Venta Ideal (x1.5)]]</f>
        <v>20.34</v>
      </c>
      <c r="J849" s="69">
        <v>1</v>
      </c>
      <c r="K849" s="69">
        <f>SUMIFS(VENTAS[Cantidad],VENTAS[Código del producto Vendido],STOCK[[#This Row],[Code]])</f>
        <v>1</v>
      </c>
      <c r="L849" s="69">
        <f>STOCK[[#This Row],[Entradas]]-STOCK[[#This Row],[Salidas]]</f>
        <v>0</v>
      </c>
      <c r="M849" s="53">
        <f>STOCK[[#This Row],[Precio Final]]*10%</f>
        <v>2</v>
      </c>
      <c r="N849" s="53">
        <v>0</v>
      </c>
      <c r="O849" s="53">
        <v>0</v>
      </c>
      <c r="P849" s="53">
        <v>10.06</v>
      </c>
      <c r="Q849" s="69">
        <v>0</v>
      </c>
      <c r="R849" s="53">
        <v>0</v>
      </c>
      <c r="S849" s="53">
        <v>1.5</v>
      </c>
      <c r="T849" s="53">
        <f>STOCK[[#This Row],[Costo Unitario (USD)]]+STOCK[[#This Row],[Costo Envío (USD)]]+STOCK[[#This Row],[Comisión 10%]]</f>
        <v>13.56</v>
      </c>
      <c r="U849" s="53">
        <f>STOCK[[#This Row],[Costo total]]*1.5</f>
        <v>20.34</v>
      </c>
      <c r="V849" s="53">
        <v>20</v>
      </c>
      <c r="W849" s="53">
        <f>STOCK[[#This Row],[Precio Final]]-STOCK[[#This Row],[Costo total]]</f>
        <v>6.4399999999999995</v>
      </c>
      <c r="X849" s="53">
        <f>STOCK[[#This Row],[Ganancia Unitaria]]*STOCK[[#This Row],[Salidas]]</f>
        <v>6.4399999999999995</v>
      </c>
      <c r="AA849" s="53">
        <f>STOCK[[#This Row],[Costo total]]*STOCK[[#This Row],[Entradas]]</f>
        <v>13.56</v>
      </c>
      <c r="AB849" s="53">
        <f>STOCK[[#This Row],[Stock Actual]]*STOCK[[#This Row],[Costo total]]</f>
        <v>0</v>
      </c>
    </row>
    <row r="850" spans="1:28" s="54" customFormat="1" ht="50" customHeight="1">
      <c r="A850" s="54" t="s">
        <v>1686</v>
      </c>
      <c r="B850" s="64"/>
      <c r="C850" s="54" t="s">
        <v>32</v>
      </c>
      <c r="D850" s="54" t="s">
        <v>213</v>
      </c>
      <c r="E850" s="66" t="s">
        <v>1687</v>
      </c>
      <c r="F850" s="54" t="s">
        <v>42</v>
      </c>
      <c r="G850" s="54" t="s">
        <v>1603</v>
      </c>
      <c r="H850" s="54">
        <f>STOCK[[#This Row],[Precio Final]]</f>
        <v>28</v>
      </c>
      <c r="I850" s="54">
        <f>STOCK[[#This Row],[Precio Venta Ideal (x1.5)]]</f>
        <v>30.075000000000003</v>
      </c>
      <c r="J850" s="70">
        <v>2</v>
      </c>
      <c r="K850" s="70">
        <f>SUMIFS(VENTAS[Cantidad],VENTAS[Código del producto Vendido],STOCK[[#This Row],[Code]])</f>
        <v>2</v>
      </c>
      <c r="L850" s="70">
        <f>STOCK[[#This Row],[Entradas]]-STOCK[[#This Row],[Salidas]]</f>
        <v>0</v>
      </c>
      <c r="M850" s="54">
        <f>STOCK[[#This Row],[Precio Final]]*10%</f>
        <v>2.8000000000000003</v>
      </c>
      <c r="N850" s="54">
        <v>0</v>
      </c>
      <c r="O850" s="54">
        <v>0</v>
      </c>
      <c r="P850" s="54">
        <v>15.75</v>
      </c>
      <c r="Q850" s="70">
        <v>0</v>
      </c>
      <c r="R850" s="54">
        <v>0</v>
      </c>
      <c r="S850" s="54">
        <v>1.5</v>
      </c>
      <c r="T850" s="53">
        <f>STOCK[[#This Row],[Costo Unitario (USD)]]+STOCK[[#This Row],[Costo Envío (USD)]]+STOCK[[#This Row],[Comisión 10%]]</f>
        <v>20.05</v>
      </c>
      <c r="U850" s="54">
        <f>STOCK[[#This Row],[Costo total]]*1.5</f>
        <v>30.075000000000003</v>
      </c>
      <c r="V850" s="54">
        <v>28</v>
      </c>
      <c r="W850" s="54">
        <f>STOCK[[#This Row],[Precio Final]]-STOCK[[#This Row],[Costo total]]</f>
        <v>7.9499999999999993</v>
      </c>
      <c r="X850" s="54">
        <f>STOCK[[#This Row],[Ganancia Unitaria]]*STOCK[[#This Row],[Salidas]]</f>
        <v>15.899999999999999</v>
      </c>
      <c r="Y850" s="54" t="s">
        <v>1604</v>
      </c>
      <c r="AA850" s="54">
        <f>STOCK[[#This Row],[Costo total]]*STOCK[[#This Row],[Entradas]]</f>
        <v>40.1</v>
      </c>
      <c r="AB850" s="54">
        <f>STOCK[[#This Row],[Stock Actual]]*STOCK[[#This Row],[Costo total]]</f>
        <v>0</v>
      </c>
    </row>
    <row r="851" spans="1:28" s="53" customFormat="1" ht="50" customHeight="1">
      <c r="A851" s="53" t="s">
        <v>1688</v>
      </c>
      <c r="B851" s="64"/>
      <c r="C851" s="53" t="s">
        <v>32</v>
      </c>
      <c r="D851" s="53" t="s">
        <v>302</v>
      </c>
      <c r="E851" s="65" t="s">
        <v>1689</v>
      </c>
      <c r="F851" s="53" t="s">
        <v>62</v>
      </c>
      <c r="G851" s="53" t="s">
        <v>1603</v>
      </c>
      <c r="H851" s="53">
        <f>STOCK[[#This Row],[Precio Final]]</f>
        <v>30</v>
      </c>
      <c r="I851" s="53">
        <f>STOCK[[#This Row],[Precio Venta Ideal (x1.5)]]</f>
        <v>31.200000000000003</v>
      </c>
      <c r="J851" s="69">
        <v>1</v>
      </c>
      <c r="K851" s="69">
        <f>SUMIFS(VENTAS[Cantidad],VENTAS[Código del producto Vendido],STOCK[[#This Row],[Code]])</f>
        <v>1</v>
      </c>
      <c r="L851" s="69">
        <f>STOCK[[#This Row],[Entradas]]-STOCK[[#This Row],[Salidas]]</f>
        <v>0</v>
      </c>
      <c r="M851" s="53">
        <f>STOCK[[#This Row],[Precio Final]]*10%</f>
        <v>3</v>
      </c>
      <c r="N851" s="53">
        <v>0</v>
      </c>
      <c r="O851" s="53">
        <v>0</v>
      </c>
      <c r="P851" s="53">
        <v>16.3</v>
      </c>
      <c r="Q851" s="69">
        <v>0</v>
      </c>
      <c r="R851" s="53">
        <v>0</v>
      </c>
      <c r="S851" s="53">
        <v>1.5</v>
      </c>
      <c r="T851" s="53">
        <f>STOCK[[#This Row],[Costo Unitario (USD)]]+STOCK[[#This Row],[Costo Envío (USD)]]+STOCK[[#This Row],[Comisión 10%]]</f>
        <v>20.8</v>
      </c>
      <c r="U851" s="53">
        <f>STOCK[[#This Row],[Costo total]]*1.5</f>
        <v>31.200000000000003</v>
      </c>
      <c r="V851" s="53">
        <v>30</v>
      </c>
      <c r="W851" s="53">
        <f>STOCK[[#This Row],[Precio Final]]-STOCK[[#This Row],[Costo total]]</f>
        <v>9.1999999999999993</v>
      </c>
      <c r="X851" s="53">
        <f>STOCK[[#This Row],[Ganancia Unitaria]]*STOCK[[#This Row],[Salidas]]</f>
        <v>9.1999999999999993</v>
      </c>
      <c r="AA851" s="53">
        <f>STOCK[[#This Row],[Costo total]]*STOCK[[#This Row],[Entradas]]</f>
        <v>20.8</v>
      </c>
      <c r="AB851" s="53">
        <f>STOCK[[#This Row],[Stock Actual]]*STOCK[[#This Row],[Costo total]]</f>
        <v>0</v>
      </c>
    </row>
    <row r="852" spans="1:28" s="54" customFormat="1" ht="50" customHeight="1">
      <c r="A852" s="54" t="s">
        <v>1690</v>
      </c>
      <c r="B852" s="64"/>
      <c r="C852" s="54" t="s">
        <v>32</v>
      </c>
      <c r="D852" s="54" t="s">
        <v>1691</v>
      </c>
      <c r="E852" s="66" t="s">
        <v>1692</v>
      </c>
      <c r="F852" s="54" t="s">
        <v>1693</v>
      </c>
      <c r="G852" s="54" t="s">
        <v>36</v>
      </c>
      <c r="H852" s="54">
        <f>STOCK[[#This Row],[Precio Final]]</f>
        <v>30</v>
      </c>
      <c r="I852" s="54">
        <f>STOCK[[#This Row],[Precio Venta Ideal (x1.5)]]</f>
        <v>31.200000000000003</v>
      </c>
      <c r="J852" s="70">
        <v>1</v>
      </c>
      <c r="K852" s="70">
        <f>SUMIFS(VENTAS[Cantidad],VENTAS[Código del producto Vendido],STOCK[[#This Row],[Code]])</f>
        <v>1</v>
      </c>
      <c r="L852" s="70">
        <f>STOCK[[#This Row],[Entradas]]-STOCK[[#This Row],[Salidas]]</f>
        <v>0</v>
      </c>
      <c r="M852" s="54">
        <f>STOCK[[#This Row],[Precio Final]]*10%</f>
        <v>3</v>
      </c>
      <c r="N852" s="54">
        <v>0</v>
      </c>
      <c r="O852" s="54">
        <v>0</v>
      </c>
      <c r="P852" s="54">
        <v>16.3</v>
      </c>
      <c r="Q852" s="70">
        <v>0</v>
      </c>
      <c r="R852" s="54">
        <v>0</v>
      </c>
      <c r="S852" s="54">
        <v>1.5</v>
      </c>
      <c r="T852" s="53">
        <f>STOCK[[#This Row],[Costo Unitario (USD)]]+STOCK[[#This Row],[Costo Envío (USD)]]+STOCK[[#This Row],[Comisión 10%]]</f>
        <v>20.8</v>
      </c>
      <c r="U852" s="54">
        <f>STOCK[[#This Row],[Costo total]]*1.5</f>
        <v>31.200000000000003</v>
      </c>
      <c r="V852" s="54">
        <v>30</v>
      </c>
      <c r="W852" s="54">
        <f>STOCK[[#This Row],[Precio Final]]-STOCK[[#This Row],[Costo total]]</f>
        <v>9.1999999999999993</v>
      </c>
      <c r="X852" s="54">
        <f>STOCK[[#This Row],[Ganancia Unitaria]]*STOCK[[#This Row],[Salidas]]</f>
        <v>9.1999999999999993</v>
      </c>
      <c r="AA852" s="54">
        <f>STOCK[[#This Row],[Costo total]]*STOCK[[#This Row],[Entradas]]</f>
        <v>20.8</v>
      </c>
      <c r="AB852" s="54">
        <f>STOCK[[#This Row],[Stock Actual]]*STOCK[[#This Row],[Costo total]]</f>
        <v>0</v>
      </c>
    </row>
    <row r="853" spans="1:28" s="53" customFormat="1" ht="50" customHeight="1">
      <c r="A853" s="53" t="s">
        <v>1694</v>
      </c>
      <c r="B853" s="64"/>
      <c r="C853" s="53" t="s">
        <v>32</v>
      </c>
      <c r="D853" s="53" t="s">
        <v>779</v>
      </c>
      <c r="E853" s="65" t="s">
        <v>1695</v>
      </c>
      <c r="F853" s="53" t="s">
        <v>40</v>
      </c>
      <c r="G853" s="53" t="s">
        <v>704</v>
      </c>
      <c r="H853" s="53">
        <f>STOCK[[#This Row],[Precio Final]]</f>
        <v>12</v>
      </c>
      <c r="I853" s="53">
        <f>STOCK[[#This Row],[Precio Venta Ideal (x1.5)]]</f>
        <v>15.299999999999999</v>
      </c>
      <c r="J853" s="69">
        <v>4</v>
      </c>
      <c r="K853" s="69">
        <f>SUMIFS(VENTAS[Cantidad],VENTAS[Código del producto Vendido],STOCK[[#This Row],[Code]])</f>
        <v>0</v>
      </c>
      <c r="L853" s="69">
        <f>STOCK[[#This Row],[Entradas]]-STOCK[[#This Row],[Salidas]]</f>
        <v>4</v>
      </c>
      <c r="M853" s="53">
        <f>STOCK[[#This Row],[Precio Final]]*10%</f>
        <v>1.2000000000000002</v>
      </c>
      <c r="N853" s="53">
        <v>0</v>
      </c>
      <c r="O853" s="53">
        <v>0</v>
      </c>
      <c r="P853" s="53">
        <v>7.5</v>
      </c>
      <c r="Q853" s="69">
        <v>0</v>
      </c>
      <c r="R853" s="53">
        <v>0</v>
      </c>
      <c r="S853" s="53">
        <v>1.5</v>
      </c>
      <c r="T853" s="53">
        <f>STOCK[[#This Row],[Costo Unitario (USD)]]+STOCK[[#This Row],[Costo Envío (USD)]]+STOCK[[#This Row],[Comisión 10%]]</f>
        <v>10.199999999999999</v>
      </c>
      <c r="U853" s="53">
        <f>STOCK[[#This Row],[Costo total]]*1.5</f>
        <v>15.299999999999999</v>
      </c>
      <c r="V853" s="53">
        <v>12</v>
      </c>
      <c r="W853" s="53">
        <f>STOCK[[#This Row],[Precio Final]]-STOCK[[#This Row],[Costo total]]</f>
        <v>1.8000000000000007</v>
      </c>
      <c r="X853" s="53">
        <f>STOCK[[#This Row],[Ganancia Unitaria]]*STOCK[[#This Row],[Salidas]]</f>
        <v>0</v>
      </c>
      <c r="AA853" s="53">
        <f>STOCK[[#This Row],[Costo total]]*STOCK[[#This Row],[Entradas]]</f>
        <v>40.799999999999997</v>
      </c>
      <c r="AB853" s="53">
        <f>STOCK[[#This Row],[Stock Actual]]*STOCK[[#This Row],[Costo total]]</f>
        <v>40.799999999999997</v>
      </c>
    </row>
    <row r="854" spans="1:28" s="54" customFormat="1" ht="50" customHeight="1">
      <c r="A854" s="54" t="s">
        <v>1696</v>
      </c>
      <c r="B854" s="64"/>
      <c r="C854" s="54" t="s">
        <v>32</v>
      </c>
      <c r="D854" s="54" t="s">
        <v>174</v>
      </c>
      <c r="E854" s="66" t="s">
        <v>1697</v>
      </c>
      <c r="F854" s="54" t="s">
        <v>62</v>
      </c>
      <c r="G854" s="54" t="s">
        <v>1296</v>
      </c>
      <c r="H854" s="54">
        <f>STOCK[[#This Row],[Precio Final]]</f>
        <v>36</v>
      </c>
      <c r="I854" s="54">
        <f>STOCK[[#This Row],[Precio Venta Ideal (x1.5)]]</f>
        <v>41.400000000000006</v>
      </c>
      <c r="J854" s="70">
        <v>2</v>
      </c>
      <c r="K854" s="70">
        <f>SUMIFS(VENTAS[Cantidad],VENTAS[Código del producto Vendido],STOCK[[#This Row],[Code]])</f>
        <v>1</v>
      </c>
      <c r="L854" s="70">
        <f>STOCK[[#This Row],[Entradas]]-STOCK[[#This Row],[Salidas]]</f>
        <v>1</v>
      </c>
      <c r="M854" s="54">
        <f>STOCK[[#This Row],[Precio Final]]*10%</f>
        <v>3.6</v>
      </c>
      <c r="N854" s="54">
        <v>0</v>
      </c>
      <c r="O854" s="54">
        <v>0</v>
      </c>
      <c r="P854" s="54">
        <v>20</v>
      </c>
      <c r="Q854" s="70">
        <v>0</v>
      </c>
      <c r="R854" s="54">
        <v>0</v>
      </c>
      <c r="S854" s="54">
        <v>4</v>
      </c>
      <c r="T854" s="53">
        <f>STOCK[[#This Row],[Costo Unitario (USD)]]+STOCK[[#This Row],[Costo Envío (USD)]]+STOCK[[#This Row],[Comisión 10%]]</f>
        <v>27.6</v>
      </c>
      <c r="U854" s="54">
        <f>STOCK[[#This Row],[Costo total]]*1.5</f>
        <v>41.400000000000006</v>
      </c>
      <c r="V854" s="54">
        <v>36</v>
      </c>
      <c r="W854" s="54">
        <f>STOCK[[#This Row],[Precio Final]]-STOCK[[#This Row],[Costo total]]</f>
        <v>8.3999999999999986</v>
      </c>
      <c r="X854" s="54">
        <f>STOCK[[#This Row],[Ganancia Unitaria]]*STOCK[[#This Row],[Salidas]]</f>
        <v>8.3999999999999986</v>
      </c>
      <c r="AA854" s="54">
        <f>STOCK[[#This Row],[Costo total]]*STOCK[[#This Row],[Entradas]]</f>
        <v>55.2</v>
      </c>
      <c r="AB854" s="54">
        <f>STOCK[[#This Row],[Stock Actual]]*STOCK[[#This Row],[Costo total]]</f>
        <v>27.6</v>
      </c>
    </row>
    <row r="855" spans="1:28" s="53" customFormat="1" ht="50" customHeight="1">
      <c r="A855" s="53" t="s">
        <v>1698</v>
      </c>
      <c r="B855" s="64"/>
      <c r="C855" s="53" t="s">
        <v>32</v>
      </c>
      <c r="D855" s="53" t="s">
        <v>152</v>
      </c>
      <c r="E855" s="65" t="s">
        <v>1699</v>
      </c>
      <c r="F855" s="53" t="s">
        <v>49</v>
      </c>
      <c r="G855" s="53" t="s">
        <v>1296</v>
      </c>
      <c r="H855" s="53">
        <f>STOCK[[#This Row],[Precio Final]]</f>
        <v>30</v>
      </c>
      <c r="I855" s="53">
        <f>STOCK[[#This Row],[Precio Venta Ideal (x1.5)]]</f>
        <v>35.25</v>
      </c>
      <c r="J855" s="69">
        <v>3</v>
      </c>
      <c r="K855" s="69">
        <f>SUMIFS(VENTAS[Cantidad],VENTAS[Código del producto Vendido],STOCK[[#This Row],[Code]])</f>
        <v>3</v>
      </c>
      <c r="L855" s="69">
        <f>STOCK[[#This Row],[Entradas]]-STOCK[[#This Row],[Salidas]]</f>
        <v>0</v>
      </c>
      <c r="M855" s="53">
        <f>STOCK[[#This Row],[Precio Final]]*10%</f>
        <v>3</v>
      </c>
      <c r="N855" s="53">
        <v>0</v>
      </c>
      <c r="O855" s="53">
        <v>0</v>
      </c>
      <c r="P855" s="53">
        <v>15.5</v>
      </c>
      <c r="Q855" s="69">
        <v>0</v>
      </c>
      <c r="R855" s="53">
        <v>0</v>
      </c>
      <c r="S855" s="53">
        <v>5</v>
      </c>
      <c r="T855" s="53">
        <f>STOCK[[#This Row],[Costo Unitario (USD)]]+STOCK[[#This Row],[Costo Envío (USD)]]+STOCK[[#This Row],[Comisión 10%]]</f>
        <v>23.5</v>
      </c>
      <c r="U855" s="53">
        <f>STOCK[[#This Row],[Costo total]]*1.5</f>
        <v>35.25</v>
      </c>
      <c r="V855" s="53">
        <v>30</v>
      </c>
      <c r="W855" s="53">
        <f>STOCK[[#This Row],[Precio Final]]-STOCK[[#This Row],[Costo total]]</f>
        <v>6.5</v>
      </c>
      <c r="X855" s="53">
        <f>STOCK[[#This Row],[Ganancia Unitaria]]*STOCK[[#This Row],[Salidas]]</f>
        <v>19.5</v>
      </c>
      <c r="AA855" s="53">
        <f>STOCK[[#This Row],[Costo total]]*STOCK[[#This Row],[Entradas]]</f>
        <v>70.5</v>
      </c>
      <c r="AB855" s="53">
        <f>STOCK[[#This Row],[Stock Actual]]*STOCK[[#This Row],[Costo total]]</f>
        <v>0</v>
      </c>
    </row>
    <row r="856" spans="1:28" s="54" customFormat="1" ht="50" customHeight="1">
      <c r="A856" s="54" t="s">
        <v>1700</v>
      </c>
      <c r="B856" s="64"/>
      <c r="C856" s="54" t="s">
        <v>32</v>
      </c>
      <c r="D856" s="54" t="s">
        <v>152</v>
      </c>
      <c r="E856" s="66" t="s">
        <v>1699</v>
      </c>
      <c r="F856" s="54" t="s">
        <v>62</v>
      </c>
      <c r="G856" s="54" t="s">
        <v>1296</v>
      </c>
      <c r="H856" s="54">
        <f>STOCK[[#This Row],[Precio Final]]</f>
        <v>30</v>
      </c>
      <c r="I856" s="54">
        <f>STOCK[[#This Row],[Precio Venta Ideal (x1.5)]]</f>
        <v>35.25</v>
      </c>
      <c r="J856" s="70">
        <v>1</v>
      </c>
      <c r="K856" s="70">
        <f>SUMIFS(VENTAS[Cantidad],VENTAS[Código del producto Vendido],STOCK[[#This Row],[Code]])</f>
        <v>1</v>
      </c>
      <c r="L856" s="70">
        <f>STOCK[[#This Row],[Entradas]]-STOCK[[#This Row],[Salidas]]</f>
        <v>0</v>
      </c>
      <c r="M856" s="54">
        <f>STOCK[[#This Row],[Precio Final]]*10%</f>
        <v>3</v>
      </c>
      <c r="N856" s="54">
        <v>0</v>
      </c>
      <c r="O856" s="54">
        <v>0</v>
      </c>
      <c r="P856" s="54">
        <v>15.5</v>
      </c>
      <c r="Q856" s="70">
        <v>0</v>
      </c>
      <c r="R856" s="54">
        <v>0</v>
      </c>
      <c r="S856" s="54">
        <v>5</v>
      </c>
      <c r="T856" s="53">
        <f>STOCK[[#This Row],[Costo Unitario (USD)]]+STOCK[[#This Row],[Costo Envío (USD)]]+STOCK[[#This Row],[Comisión 10%]]</f>
        <v>23.5</v>
      </c>
      <c r="U856" s="54">
        <f>STOCK[[#This Row],[Costo total]]*1.5</f>
        <v>35.25</v>
      </c>
      <c r="V856" s="54">
        <v>30</v>
      </c>
      <c r="W856" s="54">
        <f>STOCK[[#This Row],[Precio Final]]-STOCK[[#This Row],[Costo total]]</f>
        <v>6.5</v>
      </c>
      <c r="X856" s="54">
        <f>STOCK[[#This Row],[Ganancia Unitaria]]*STOCK[[#This Row],[Salidas]]</f>
        <v>6.5</v>
      </c>
      <c r="AA856" s="54">
        <f>STOCK[[#This Row],[Costo total]]*STOCK[[#This Row],[Entradas]]</f>
        <v>23.5</v>
      </c>
      <c r="AB856" s="54">
        <f>STOCK[[#This Row],[Stock Actual]]*STOCK[[#This Row],[Costo total]]</f>
        <v>0</v>
      </c>
    </row>
    <row r="857" spans="1:28" s="53" customFormat="1" ht="50" customHeight="1">
      <c r="A857" s="53" t="s">
        <v>1701</v>
      </c>
      <c r="B857" s="64"/>
      <c r="C857" s="53" t="s">
        <v>32</v>
      </c>
      <c r="D857" s="53" t="s">
        <v>152</v>
      </c>
      <c r="E857" s="65" t="s">
        <v>1702</v>
      </c>
      <c r="F857" s="53" t="s">
        <v>49</v>
      </c>
      <c r="G857" s="53" t="s">
        <v>1296</v>
      </c>
      <c r="H857" s="53">
        <f>STOCK[[#This Row],[Precio Final]]</f>
        <v>20</v>
      </c>
      <c r="I857" s="53">
        <f>STOCK[[#This Row],[Precio Venta Ideal (x1.5)]]</f>
        <v>19.5</v>
      </c>
      <c r="J857" s="69">
        <v>3</v>
      </c>
      <c r="K857" s="69">
        <f>SUMIFS(VENTAS[Cantidad],VENTAS[Código del producto Vendido],STOCK[[#This Row],[Code]])</f>
        <v>0</v>
      </c>
      <c r="L857" s="69">
        <f>STOCK[[#This Row],[Entradas]]-STOCK[[#This Row],[Salidas]]</f>
        <v>3</v>
      </c>
      <c r="M857" s="53">
        <f>STOCK[[#This Row],[Precio Final]]*10%</f>
        <v>2</v>
      </c>
      <c r="N857" s="53">
        <v>0</v>
      </c>
      <c r="O857" s="53">
        <v>0</v>
      </c>
      <c r="P857" s="53">
        <v>6</v>
      </c>
      <c r="Q857" s="69">
        <v>0</v>
      </c>
      <c r="R857" s="53">
        <v>0</v>
      </c>
      <c r="S857" s="53">
        <v>5</v>
      </c>
      <c r="T857" s="53">
        <f>STOCK[[#This Row],[Costo Unitario (USD)]]+STOCK[[#This Row],[Costo Envío (USD)]]+STOCK[[#This Row],[Comisión 10%]]</f>
        <v>13</v>
      </c>
      <c r="U857" s="53">
        <f>STOCK[[#This Row],[Costo total]]*1.5</f>
        <v>19.5</v>
      </c>
      <c r="V857" s="53">
        <v>20</v>
      </c>
      <c r="W857" s="53">
        <f>STOCK[[#This Row],[Precio Final]]-STOCK[[#This Row],[Costo total]]</f>
        <v>7</v>
      </c>
      <c r="X857" s="53">
        <f>STOCK[[#This Row],[Ganancia Unitaria]]*STOCK[[#This Row],[Salidas]]</f>
        <v>0</v>
      </c>
      <c r="AA857" s="53">
        <f>STOCK[[#This Row],[Costo total]]*STOCK[[#This Row],[Entradas]]</f>
        <v>39</v>
      </c>
      <c r="AB857" s="53">
        <f>STOCK[[#This Row],[Stock Actual]]*STOCK[[#This Row],[Costo total]]</f>
        <v>39</v>
      </c>
    </row>
    <row r="858" spans="1:28" s="54" customFormat="1" ht="50" customHeight="1">
      <c r="A858" s="54" t="s">
        <v>1703</v>
      </c>
      <c r="B858" s="64"/>
      <c r="C858" s="54" t="s">
        <v>32</v>
      </c>
      <c r="D858" s="54" t="s">
        <v>44</v>
      </c>
      <c r="E858" s="66" t="s">
        <v>1704</v>
      </c>
      <c r="F858" s="54" t="s">
        <v>62</v>
      </c>
      <c r="G858" s="54" t="s">
        <v>36</v>
      </c>
      <c r="H858" s="54">
        <f>STOCK[[#This Row],[Precio Final]]</f>
        <v>25</v>
      </c>
      <c r="I858" s="54">
        <f>STOCK[[#This Row],[Precio Venta Ideal (x1.5)]]</f>
        <v>20.85</v>
      </c>
      <c r="J858" s="70">
        <v>1</v>
      </c>
      <c r="K858" s="70">
        <f>SUMIFS(VENTAS[Cantidad],VENTAS[Código del producto Vendido],STOCK[[#This Row],[Code]])</f>
        <v>1</v>
      </c>
      <c r="L858" s="70">
        <f>STOCK[[#This Row],[Entradas]]-STOCK[[#This Row],[Salidas]]</f>
        <v>0</v>
      </c>
      <c r="M858" s="54">
        <f>STOCK[[#This Row],[Precio Final]]*10%</f>
        <v>2.5</v>
      </c>
      <c r="N858" s="54">
        <v>0</v>
      </c>
      <c r="O858" s="54">
        <v>0</v>
      </c>
      <c r="P858" s="54">
        <v>9.9</v>
      </c>
      <c r="Q858" s="70">
        <v>0</v>
      </c>
      <c r="R858" s="54">
        <v>0</v>
      </c>
      <c r="S858" s="54">
        <v>1.5</v>
      </c>
      <c r="T858" s="53">
        <f>STOCK[[#This Row],[Costo Unitario (USD)]]+STOCK[[#This Row],[Costo Envío (USD)]]+STOCK[[#This Row],[Comisión 10%]]</f>
        <v>13.9</v>
      </c>
      <c r="U858" s="54">
        <f>STOCK[[#This Row],[Costo total]]*1.5</f>
        <v>20.85</v>
      </c>
      <c r="V858" s="54">
        <v>25</v>
      </c>
      <c r="W858" s="54">
        <f>STOCK[[#This Row],[Precio Final]]-STOCK[[#This Row],[Costo total]]</f>
        <v>11.1</v>
      </c>
      <c r="X858" s="54">
        <f>STOCK[[#This Row],[Ganancia Unitaria]]*STOCK[[#This Row],[Salidas]]</f>
        <v>11.1</v>
      </c>
      <c r="AA858" s="54">
        <f>STOCK[[#This Row],[Costo total]]*STOCK[[#This Row],[Entradas]]</f>
        <v>13.9</v>
      </c>
      <c r="AB858" s="54">
        <f>STOCK[[#This Row],[Stock Actual]]*STOCK[[#This Row],[Costo total]]</f>
        <v>0</v>
      </c>
    </row>
    <row r="859" spans="1:28" s="53" customFormat="1" ht="50" customHeight="1">
      <c r="A859" s="53" t="s">
        <v>1705</v>
      </c>
      <c r="B859" s="64"/>
      <c r="C859" s="53" t="s">
        <v>32</v>
      </c>
      <c r="D859" s="53" t="s">
        <v>44</v>
      </c>
      <c r="E859" s="65" t="s">
        <v>1704</v>
      </c>
      <c r="F859" s="53" t="s">
        <v>49</v>
      </c>
      <c r="G859" s="53" t="s">
        <v>36</v>
      </c>
      <c r="H859" s="53">
        <f>STOCK[[#This Row],[Precio Final]]</f>
        <v>30</v>
      </c>
      <c r="I859" s="53">
        <f>STOCK[[#This Row],[Precio Venta Ideal (x1.5)]]</f>
        <v>21.6</v>
      </c>
      <c r="J859" s="69">
        <v>2</v>
      </c>
      <c r="K859" s="69">
        <f>SUMIFS(VENTAS[Cantidad],VENTAS[Código del producto Vendido],STOCK[[#This Row],[Code]])</f>
        <v>2</v>
      </c>
      <c r="L859" s="69">
        <f>STOCK[[#This Row],[Entradas]]-STOCK[[#This Row],[Salidas]]</f>
        <v>0</v>
      </c>
      <c r="M859" s="53">
        <f>STOCK[[#This Row],[Precio Final]]*10%</f>
        <v>3</v>
      </c>
      <c r="N859" s="53">
        <v>0</v>
      </c>
      <c r="O859" s="53">
        <v>0</v>
      </c>
      <c r="P859" s="53">
        <v>9.9</v>
      </c>
      <c r="Q859" s="69">
        <v>0</v>
      </c>
      <c r="R859" s="53">
        <v>0</v>
      </c>
      <c r="S859" s="53">
        <v>1.5</v>
      </c>
      <c r="T859" s="53">
        <f>STOCK[[#This Row],[Costo Unitario (USD)]]+STOCK[[#This Row],[Costo Envío (USD)]]+STOCK[[#This Row],[Comisión 10%]]</f>
        <v>14.4</v>
      </c>
      <c r="U859" s="53">
        <f>STOCK[[#This Row],[Costo total]]*1.5</f>
        <v>21.6</v>
      </c>
      <c r="V859" s="53">
        <v>30</v>
      </c>
      <c r="W859" s="53">
        <f>STOCK[[#This Row],[Precio Final]]-STOCK[[#This Row],[Costo total]]</f>
        <v>15.6</v>
      </c>
      <c r="X859" s="53">
        <f>STOCK[[#This Row],[Ganancia Unitaria]]*STOCK[[#This Row],[Salidas]]</f>
        <v>31.2</v>
      </c>
      <c r="AA859" s="53">
        <f>STOCK[[#This Row],[Costo total]]*STOCK[[#This Row],[Entradas]]</f>
        <v>28.8</v>
      </c>
      <c r="AB859" s="53">
        <f>STOCK[[#This Row],[Stock Actual]]*STOCK[[#This Row],[Costo total]]</f>
        <v>0</v>
      </c>
    </row>
    <row r="860" spans="1:28" s="54" customFormat="1" ht="50" customHeight="1">
      <c r="A860" s="54" t="s">
        <v>1706</v>
      </c>
      <c r="B860" s="64"/>
      <c r="C860" s="54" t="s">
        <v>32</v>
      </c>
      <c r="D860" s="54" t="s">
        <v>203</v>
      </c>
      <c r="E860" s="66" t="s">
        <v>1704</v>
      </c>
      <c r="F860" s="54" t="s">
        <v>46</v>
      </c>
      <c r="G860" s="54" t="s">
        <v>36</v>
      </c>
      <c r="H860" s="54">
        <f>STOCK[[#This Row],[Precio Final]]</f>
        <v>30</v>
      </c>
      <c r="I860" s="54">
        <f>STOCK[[#This Row],[Precio Venta Ideal (x1.5)]]</f>
        <v>21.6</v>
      </c>
      <c r="J860" s="70">
        <v>1</v>
      </c>
      <c r="K860" s="70">
        <f>SUMIFS(VENTAS[Cantidad],VENTAS[Código del producto Vendido],STOCK[[#This Row],[Code]])</f>
        <v>0</v>
      </c>
      <c r="L860" s="70">
        <f>STOCK[[#This Row],[Entradas]]-STOCK[[#This Row],[Salidas]]</f>
        <v>1</v>
      </c>
      <c r="M860" s="54">
        <f>STOCK[[#This Row],[Precio Final]]*10%</f>
        <v>3</v>
      </c>
      <c r="N860" s="54">
        <v>0</v>
      </c>
      <c r="O860" s="54">
        <v>0</v>
      </c>
      <c r="P860" s="54">
        <v>9.9</v>
      </c>
      <c r="Q860" s="70">
        <v>0</v>
      </c>
      <c r="R860" s="54">
        <v>0</v>
      </c>
      <c r="S860" s="54">
        <v>1.5</v>
      </c>
      <c r="T860" s="53">
        <f>STOCK[[#This Row],[Costo Unitario (USD)]]+STOCK[[#This Row],[Costo Envío (USD)]]+STOCK[[#This Row],[Comisión 10%]]</f>
        <v>14.4</v>
      </c>
      <c r="U860" s="54">
        <f>STOCK[[#This Row],[Costo total]]*1.5</f>
        <v>21.6</v>
      </c>
      <c r="V860" s="54">
        <v>30</v>
      </c>
      <c r="W860" s="54">
        <f>STOCK[[#This Row],[Precio Final]]-STOCK[[#This Row],[Costo total]]</f>
        <v>15.6</v>
      </c>
      <c r="X860" s="54">
        <f>STOCK[[#This Row],[Ganancia Unitaria]]*STOCK[[#This Row],[Salidas]]</f>
        <v>0</v>
      </c>
      <c r="AA860" s="54">
        <f>STOCK[[#This Row],[Costo total]]*STOCK[[#This Row],[Entradas]]</f>
        <v>14.4</v>
      </c>
      <c r="AB860" s="54">
        <f>STOCK[[#This Row],[Stock Actual]]*STOCK[[#This Row],[Costo total]]</f>
        <v>14.4</v>
      </c>
    </row>
    <row r="861" spans="1:28" s="53" customFormat="1" ht="50" customHeight="1">
      <c r="A861" s="53" t="s">
        <v>1707</v>
      </c>
      <c r="B861" s="64"/>
      <c r="C861" s="53" t="s">
        <v>32</v>
      </c>
      <c r="D861" s="53" t="s">
        <v>44</v>
      </c>
      <c r="E861" s="65" t="s">
        <v>1708</v>
      </c>
      <c r="F861" s="53" t="s">
        <v>62</v>
      </c>
      <c r="G861" s="53" t="s">
        <v>36</v>
      </c>
      <c r="H861" s="53">
        <f>STOCK[[#This Row],[Precio Final]]</f>
        <v>20</v>
      </c>
      <c r="I861" s="53">
        <f>STOCK[[#This Row],[Precio Venta Ideal (x1.5)]]</f>
        <v>17.955000000000002</v>
      </c>
      <c r="J861" s="69">
        <v>2</v>
      </c>
      <c r="K861" s="69">
        <f>SUMIFS(VENTAS[Cantidad],VENTAS[Código del producto Vendido],STOCK[[#This Row],[Code]])</f>
        <v>2</v>
      </c>
      <c r="L861" s="69">
        <f>STOCK[[#This Row],[Entradas]]-STOCK[[#This Row],[Salidas]]</f>
        <v>0</v>
      </c>
      <c r="M861" s="53">
        <f>STOCK[[#This Row],[Precio Final]]*10%</f>
        <v>2</v>
      </c>
      <c r="N861" s="53">
        <v>0</v>
      </c>
      <c r="O861" s="53">
        <v>0</v>
      </c>
      <c r="P861" s="53">
        <v>8.4700000000000006</v>
      </c>
      <c r="Q861" s="69">
        <v>0</v>
      </c>
      <c r="R861" s="53">
        <v>0</v>
      </c>
      <c r="S861" s="53">
        <v>1.5</v>
      </c>
      <c r="T861" s="53">
        <f>STOCK[[#This Row],[Costo Unitario (USD)]]+STOCK[[#This Row],[Costo Envío (USD)]]+STOCK[[#This Row],[Comisión 10%]]</f>
        <v>11.97</v>
      </c>
      <c r="U861" s="53">
        <f>STOCK[[#This Row],[Costo total]]*1.5</f>
        <v>17.955000000000002</v>
      </c>
      <c r="V861" s="53">
        <v>20</v>
      </c>
      <c r="W861" s="53">
        <f>STOCK[[#This Row],[Precio Final]]-STOCK[[#This Row],[Costo total]]</f>
        <v>8.0299999999999994</v>
      </c>
      <c r="X861" s="53">
        <f>STOCK[[#This Row],[Ganancia Unitaria]]*STOCK[[#This Row],[Salidas]]</f>
        <v>16.059999999999999</v>
      </c>
      <c r="AA861" s="53">
        <f>STOCK[[#This Row],[Costo total]]*STOCK[[#This Row],[Entradas]]</f>
        <v>23.94</v>
      </c>
      <c r="AB861" s="53">
        <f>STOCK[[#This Row],[Stock Actual]]*STOCK[[#This Row],[Costo total]]</f>
        <v>0</v>
      </c>
    </row>
    <row r="862" spans="1:28" s="54" customFormat="1" ht="50" customHeight="1">
      <c r="A862" s="54" t="s">
        <v>1709</v>
      </c>
      <c r="B862" s="64"/>
      <c r="C862" s="54" t="s">
        <v>32</v>
      </c>
      <c r="D862" s="54" t="s">
        <v>44</v>
      </c>
      <c r="E862" s="66" t="s">
        <v>1708</v>
      </c>
      <c r="F862" s="54" t="s">
        <v>49</v>
      </c>
      <c r="G862" s="54" t="s">
        <v>36</v>
      </c>
      <c r="H862" s="54">
        <f>STOCK[[#This Row],[Precio Final]]</f>
        <v>20</v>
      </c>
      <c r="I862" s="54">
        <f>STOCK[[#This Row],[Precio Venta Ideal (x1.5)]]</f>
        <v>17.955000000000002</v>
      </c>
      <c r="J862" s="70">
        <v>2</v>
      </c>
      <c r="K862" s="70">
        <f>SUMIFS(VENTAS[Cantidad],VENTAS[Código del producto Vendido],STOCK[[#This Row],[Code]])</f>
        <v>2</v>
      </c>
      <c r="L862" s="70">
        <f>STOCK[[#This Row],[Entradas]]-STOCK[[#This Row],[Salidas]]</f>
        <v>0</v>
      </c>
      <c r="M862" s="54">
        <f>STOCK[[#This Row],[Precio Final]]*10%</f>
        <v>2</v>
      </c>
      <c r="N862" s="54">
        <v>0</v>
      </c>
      <c r="O862" s="54">
        <v>0</v>
      </c>
      <c r="P862" s="54">
        <v>8.4700000000000006</v>
      </c>
      <c r="Q862" s="70">
        <v>0</v>
      </c>
      <c r="R862" s="54">
        <v>0</v>
      </c>
      <c r="S862" s="54">
        <v>1.5</v>
      </c>
      <c r="T862" s="53">
        <f>STOCK[[#This Row],[Costo Unitario (USD)]]+STOCK[[#This Row],[Costo Envío (USD)]]+STOCK[[#This Row],[Comisión 10%]]</f>
        <v>11.97</v>
      </c>
      <c r="U862" s="54">
        <f>STOCK[[#This Row],[Costo total]]*1.5</f>
        <v>17.955000000000002</v>
      </c>
      <c r="V862" s="54">
        <v>20</v>
      </c>
      <c r="W862" s="54">
        <f>STOCK[[#This Row],[Precio Final]]-STOCK[[#This Row],[Costo total]]</f>
        <v>8.0299999999999994</v>
      </c>
      <c r="X862" s="54">
        <f>STOCK[[#This Row],[Ganancia Unitaria]]*STOCK[[#This Row],[Salidas]]</f>
        <v>16.059999999999999</v>
      </c>
      <c r="AA862" s="54">
        <f>STOCK[[#This Row],[Costo total]]*STOCK[[#This Row],[Entradas]]</f>
        <v>23.94</v>
      </c>
      <c r="AB862" s="54">
        <f>STOCK[[#This Row],[Stock Actual]]*STOCK[[#This Row],[Costo total]]</f>
        <v>0</v>
      </c>
    </row>
    <row r="863" spans="1:28" s="53" customFormat="1" ht="50" customHeight="1">
      <c r="A863" s="53" t="s">
        <v>1710</v>
      </c>
      <c r="B863" s="64"/>
      <c r="C863" s="53" t="s">
        <v>32</v>
      </c>
      <c r="D863" s="53" t="s">
        <v>1013</v>
      </c>
      <c r="E863" s="65" t="s">
        <v>1711</v>
      </c>
      <c r="F863" s="53" t="s">
        <v>1712</v>
      </c>
      <c r="G863" s="53" t="s">
        <v>36</v>
      </c>
      <c r="H863" s="53">
        <f>STOCK[[#This Row],[Precio Final]]</f>
        <v>25</v>
      </c>
      <c r="I863" s="53">
        <f>STOCK[[#This Row],[Precio Venta Ideal (x1.5)]]</f>
        <v>30.900000000000002</v>
      </c>
      <c r="J863" s="69">
        <v>3</v>
      </c>
      <c r="K863" s="69">
        <f>SUMIFS(VENTAS[Cantidad],VENTAS[Código del producto Vendido],STOCK[[#This Row],[Code]])</f>
        <v>3</v>
      </c>
      <c r="L863" s="69">
        <f>STOCK[[#This Row],[Entradas]]-STOCK[[#This Row],[Salidas]]</f>
        <v>0</v>
      </c>
      <c r="M863" s="53">
        <f>STOCK[[#This Row],[Precio Final]]*10%</f>
        <v>2.5</v>
      </c>
      <c r="N863" s="53">
        <v>0</v>
      </c>
      <c r="O863" s="53">
        <v>0</v>
      </c>
      <c r="P863" s="53">
        <v>16.600000000000001</v>
      </c>
      <c r="Q863" s="69">
        <v>0</v>
      </c>
      <c r="R863" s="53">
        <v>0</v>
      </c>
      <c r="S863" s="53">
        <v>1.5</v>
      </c>
      <c r="T863" s="53">
        <f>STOCK[[#This Row],[Costo Unitario (USD)]]+STOCK[[#This Row],[Costo Envío (USD)]]+STOCK[[#This Row],[Comisión 10%]]</f>
        <v>20.6</v>
      </c>
      <c r="U863" s="53">
        <f>STOCK[[#This Row],[Costo total]]*1.5</f>
        <v>30.900000000000002</v>
      </c>
      <c r="V863" s="53">
        <v>25</v>
      </c>
      <c r="W863" s="53">
        <f>STOCK[[#This Row],[Precio Final]]-STOCK[[#This Row],[Costo total]]</f>
        <v>4.3999999999999986</v>
      </c>
      <c r="X863" s="53">
        <f>STOCK[[#This Row],[Ganancia Unitaria]]*STOCK[[#This Row],[Salidas]]</f>
        <v>13.199999999999996</v>
      </c>
      <c r="AA863" s="53">
        <f>STOCK[[#This Row],[Costo total]]*STOCK[[#This Row],[Entradas]]</f>
        <v>61.800000000000004</v>
      </c>
      <c r="AB863" s="53">
        <f>STOCK[[#This Row],[Stock Actual]]*STOCK[[#This Row],[Costo total]]</f>
        <v>0</v>
      </c>
    </row>
    <row r="864" spans="1:28" s="54" customFormat="1" ht="50" customHeight="1">
      <c r="A864" s="54" t="s">
        <v>1713</v>
      </c>
      <c r="B864" s="64"/>
      <c r="C864" s="54" t="s">
        <v>32</v>
      </c>
      <c r="D864" s="54" t="s">
        <v>1013</v>
      </c>
      <c r="E864" s="66" t="s">
        <v>1714</v>
      </c>
      <c r="F864" s="54" t="s">
        <v>1715</v>
      </c>
      <c r="G864" s="54" t="s">
        <v>36</v>
      </c>
      <c r="H864" s="54">
        <f>STOCK[[#This Row],[Precio Final]]</f>
        <v>13</v>
      </c>
      <c r="I864" s="54">
        <f>STOCK[[#This Row],[Precio Venta Ideal (x1.5)]]</f>
        <v>19.950000000000003</v>
      </c>
      <c r="J864" s="70">
        <v>3</v>
      </c>
      <c r="K864" s="70">
        <f>SUMIFS(VENTAS[Cantidad],VENTAS[Código del producto Vendido],STOCK[[#This Row],[Code]])</f>
        <v>3</v>
      </c>
      <c r="L864" s="70">
        <f>STOCK[[#This Row],[Entradas]]-STOCK[[#This Row],[Salidas]]</f>
        <v>0</v>
      </c>
      <c r="M864" s="54">
        <f>STOCK[[#This Row],[Precio Final]]*10%</f>
        <v>1.3</v>
      </c>
      <c r="N864" s="54">
        <v>0</v>
      </c>
      <c r="O864" s="54">
        <v>0</v>
      </c>
      <c r="P864" s="54">
        <v>10</v>
      </c>
      <c r="Q864" s="70">
        <v>0</v>
      </c>
      <c r="R864" s="54">
        <v>0</v>
      </c>
      <c r="S864" s="54">
        <v>2</v>
      </c>
      <c r="T864" s="53">
        <f>STOCK[[#This Row],[Costo Unitario (USD)]]+STOCK[[#This Row],[Costo Envío (USD)]]+STOCK[[#This Row],[Comisión 10%]]</f>
        <v>13.3</v>
      </c>
      <c r="U864" s="54">
        <f>STOCK[[#This Row],[Costo total]]*1.5</f>
        <v>19.950000000000003</v>
      </c>
      <c r="V864" s="54">
        <v>13</v>
      </c>
      <c r="W864" s="54">
        <f>STOCK[[#This Row],[Precio Final]]-STOCK[[#This Row],[Costo total]]</f>
        <v>-0.30000000000000071</v>
      </c>
      <c r="X864" s="54">
        <f>STOCK[[#This Row],[Ganancia Unitaria]]*STOCK[[#This Row],[Salidas]]</f>
        <v>-0.90000000000000213</v>
      </c>
      <c r="AA864" s="54">
        <f>STOCK[[#This Row],[Costo total]]*STOCK[[#This Row],[Entradas]]</f>
        <v>39.900000000000006</v>
      </c>
      <c r="AB864" s="54">
        <f>STOCK[[#This Row],[Stock Actual]]*STOCK[[#This Row],[Costo total]]</f>
        <v>0</v>
      </c>
    </row>
    <row r="865" spans="1:28" s="53" customFormat="1" ht="50" customHeight="1">
      <c r="A865" s="53" t="s">
        <v>1716</v>
      </c>
      <c r="B865" s="64"/>
      <c r="C865" s="53" t="s">
        <v>32</v>
      </c>
      <c r="D865" s="53" t="s">
        <v>1013</v>
      </c>
      <c r="E865" s="65" t="s">
        <v>1714</v>
      </c>
      <c r="F865" s="53" t="s">
        <v>1276</v>
      </c>
      <c r="G865" s="53" t="s">
        <v>36</v>
      </c>
      <c r="H865" s="53">
        <f>STOCK[[#This Row],[Precio Final]]</f>
        <v>13</v>
      </c>
      <c r="I865" s="53">
        <f>STOCK[[#This Row],[Precio Venta Ideal (x1.5)]]</f>
        <v>19.950000000000003</v>
      </c>
      <c r="J865" s="69">
        <v>3</v>
      </c>
      <c r="K865" s="69">
        <f>SUMIFS(VENTAS[Cantidad],VENTAS[Código del producto Vendido],STOCK[[#This Row],[Code]])</f>
        <v>3</v>
      </c>
      <c r="L865" s="69">
        <f>STOCK[[#This Row],[Entradas]]-STOCK[[#This Row],[Salidas]]</f>
        <v>0</v>
      </c>
      <c r="M865" s="53">
        <f>STOCK[[#This Row],[Precio Final]]*10%</f>
        <v>1.3</v>
      </c>
      <c r="N865" s="53">
        <v>0</v>
      </c>
      <c r="O865" s="53">
        <v>0</v>
      </c>
      <c r="P865" s="53">
        <v>10</v>
      </c>
      <c r="Q865" s="69">
        <v>0</v>
      </c>
      <c r="R865" s="53">
        <v>0</v>
      </c>
      <c r="S865" s="53">
        <v>2</v>
      </c>
      <c r="T865" s="53">
        <f>STOCK[[#This Row],[Costo Unitario (USD)]]+STOCK[[#This Row],[Costo Envío (USD)]]+STOCK[[#This Row],[Comisión 10%]]</f>
        <v>13.3</v>
      </c>
      <c r="U865" s="53">
        <f>STOCK[[#This Row],[Costo total]]*1.5</f>
        <v>19.950000000000003</v>
      </c>
      <c r="V865" s="53">
        <v>13</v>
      </c>
      <c r="W865" s="53">
        <f>STOCK[[#This Row],[Precio Final]]-STOCK[[#This Row],[Costo total]]</f>
        <v>-0.30000000000000071</v>
      </c>
      <c r="X865" s="53">
        <f>STOCK[[#This Row],[Ganancia Unitaria]]*STOCK[[#This Row],[Salidas]]</f>
        <v>-0.90000000000000213</v>
      </c>
      <c r="AA865" s="53">
        <f>STOCK[[#This Row],[Costo total]]*STOCK[[#This Row],[Entradas]]</f>
        <v>39.900000000000006</v>
      </c>
      <c r="AB865" s="53">
        <f>STOCK[[#This Row],[Stock Actual]]*STOCK[[#This Row],[Costo total]]</f>
        <v>0</v>
      </c>
    </row>
    <row r="866" spans="1:28" s="54" customFormat="1" ht="50" customHeight="1">
      <c r="A866" s="54" t="s">
        <v>1717</v>
      </c>
      <c r="B866" s="64"/>
      <c r="C866" s="54" t="s">
        <v>32</v>
      </c>
      <c r="D866" s="54" t="s">
        <v>1718</v>
      </c>
      <c r="E866" s="66" t="s">
        <v>1719</v>
      </c>
      <c r="F866" s="54" t="s">
        <v>49</v>
      </c>
      <c r="G866" s="54" t="s">
        <v>704</v>
      </c>
      <c r="H866" s="54">
        <f>STOCK[[#This Row],[Precio Final]]</f>
        <v>30</v>
      </c>
      <c r="I866" s="54">
        <f>STOCK[[#This Row],[Precio Venta Ideal (x1.5)]]</f>
        <v>24</v>
      </c>
      <c r="J866" s="70">
        <v>1</v>
      </c>
      <c r="K866" s="70">
        <f>SUMIFS(VENTAS[Cantidad],VENTAS[Código del producto Vendido],STOCK[[#This Row],[Code]])</f>
        <v>0</v>
      </c>
      <c r="L866" s="70">
        <f>STOCK[[#This Row],[Entradas]]-STOCK[[#This Row],[Salidas]]</f>
        <v>1</v>
      </c>
      <c r="M866" s="54">
        <f>STOCK[[#This Row],[Precio Final]]*10%</f>
        <v>3</v>
      </c>
      <c r="N866" s="54">
        <v>0</v>
      </c>
      <c r="O866" s="54">
        <v>0</v>
      </c>
      <c r="P866" s="54">
        <v>10</v>
      </c>
      <c r="Q866" s="70">
        <v>0</v>
      </c>
      <c r="R866" s="54">
        <v>0</v>
      </c>
      <c r="S866" s="54">
        <v>3</v>
      </c>
      <c r="T866" s="53">
        <f>STOCK[[#This Row],[Costo Unitario (USD)]]+STOCK[[#This Row],[Costo Envío (USD)]]+STOCK[[#This Row],[Comisión 10%]]</f>
        <v>16</v>
      </c>
      <c r="U866" s="54">
        <f>STOCK[[#This Row],[Costo total]]*1.5</f>
        <v>24</v>
      </c>
      <c r="V866" s="54">
        <v>30</v>
      </c>
      <c r="W866" s="54">
        <f>STOCK[[#This Row],[Precio Final]]-STOCK[[#This Row],[Costo total]]</f>
        <v>14</v>
      </c>
      <c r="X866" s="54">
        <f>STOCK[[#This Row],[Ganancia Unitaria]]*STOCK[[#This Row],[Salidas]]</f>
        <v>0</v>
      </c>
      <c r="AA866" s="54">
        <f>STOCK[[#This Row],[Costo total]]*STOCK[[#This Row],[Entradas]]</f>
        <v>16</v>
      </c>
      <c r="AB866" s="54">
        <f>STOCK[[#This Row],[Stock Actual]]*STOCK[[#This Row],[Costo total]]</f>
        <v>16</v>
      </c>
    </row>
    <row r="867" spans="1:28" s="53" customFormat="1" ht="50" customHeight="1">
      <c r="A867" s="53" t="s">
        <v>1720</v>
      </c>
      <c r="B867" s="64"/>
      <c r="C867" s="53" t="s">
        <v>32</v>
      </c>
      <c r="D867" s="53" t="s">
        <v>44</v>
      </c>
      <c r="E867" s="65" t="s">
        <v>1721</v>
      </c>
      <c r="F867" s="53" t="s">
        <v>720</v>
      </c>
      <c r="G867" s="53" t="s">
        <v>704</v>
      </c>
      <c r="H867" s="53">
        <f>STOCK[[#This Row],[Precio Final]]</f>
        <v>28</v>
      </c>
      <c r="I867" s="53">
        <f>STOCK[[#This Row],[Precio Venta Ideal (x1.5)]]</f>
        <v>31.200000000000003</v>
      </c>
      <c r="J867" s="69">
        <v>1</v>
      </c>
      <c r="K867" s="69">
        <f>SUMIFS(VENTAS[Cantidad],VENTAS[Código del producto Vendido],STOCK[[#This Row],[Code]])</f>
        <v>1</v>
      </c>
      <c r="L867" s="69">
        <f>STOCK[[#This Row],[Entradas]]-STOCK[[#This Row],[Salidas]]</f>
        <v>0</v>
      </c>
      <c r="M867" s="53">
        <f>STOCK[[#This Row],[Precio Final]]*10%</f>
        <v>2.8000000000000003</v>
      </c>
      <c r="N867" s="53">
        <v>0</v>
      </c>
      <c r="O867" s="53">
        <v>0</v>
      </c>
      <c r="P867" s="53">
        <v>15</v>
      </c>
      <c r="Q867" s="69">
        <v>0</v>
      </c>
      <c r="R867" s="53">
        <v>0</v>
      </c>
      <c r="S867" s="53">
        <v>3</v>
      </c>
      <c r="T867" s="53">
        <f>STOCK[[#This Row],[Costo Unitario (USD)]]+STOCK[[#This Row],[Costo Envío (USD)]]+STOCK[[#This Row],[Comisión 10%]]</f>
        <v>20.8</v>
      </c>
      <c r="U867" s="53">
        <f>STOCK[[#This Row],[Costo total]]*1.5</f>
        <v>31.200000000000003</v>
      </c>
      <c r="V867" s="53">
        <v>28</v>
      </c>
      <c r="W867" s="53">
        <f>STOCK[[#This Row],[Precio Final]]-STOCK[[#This Row],[Costo total]]</f>
        <v>7.1999999999999993</v>
      </c>
      <c r="X867" s="53">
        <f>STOCK[[#This Row],[Ganancia Unitaria]]*STOCK[[#This Row],[Salidas]]</f>
        <v>7.1999999999999993</v>
      </c>
      <c r="AA867" s="53">
        <f>STOCK[[#This Row],[Costo total]]*STOCK[[#This Row],[Entradas]]</f>
        <v>20.8</v>
      </c>
      <c r="AB867" s="53">
        <f>STOCK[[#This Row],[Stock Actual]]*STOCK[[#This Row],[Costo total]]</f>
        <v>0</v>
      </c>
    </row>
    <row r="868" spans="1:28" s="54" customFormat="1" ht="50" customHeight="1">
      <c r="A868" s="54" t="s">
        <v>1722</v>
      </c>
      <c r="B868" s="64"/>
      <c r="C868" s="54" t="s">
        <v>32</v>
      </c>
      <c r="D868" s="54" t="s">
        <v>1718</v>
      </c>
      <c r="E868" s="66" t="s">
        <v>1723</v>
      </c>
      <c r="F868" s="54" t="s">
        <v>444</v>
      </c>
      <c r="G868" s="54" t="s">
        <v>704</v>
      </c>
      <c r="H868" s="54">
        <f>STOCK[[#This Row],[Precio Final]]</f>
        <v>25</v>
      </c>
      <c r="I868" s="54">
        <f>STOCK[[#This Row],[Precio Venta Ideal (x1.5)]]</f>
        <v>23.25</v>
      </c>
      <c r="J868" s="70">
        <v>1</v>
      </c>
      <c r="K868" s="70">
        <f>SUMIFS(VENTAS[Cantidad],VENTAS[Código del producto Vendido],STOCK[[#This Row],[Code]])</f>
        <v>0</v>
      </c>
      <c r="L868" s="70">
        <f>STOCK[[#This Row],[Entradas]]-STOCK[[#This Row],[Salidas]]</f>
        <v>1</v>
      </c>
      <c r="M868" s="54">
        <f>STOCK[[#This Row],[Precio Final]]*10%</f>
        <v>2.5</v>
      </c>
      <c r="N868" s="54">
        <v>0</v>
      </c>
      <c r="O868" s="54">
        <v>0</v>
      </c>
      <c r="P868" s="54">
        <v>10</v>
      </c>
      <c r="Q868" s="70">
        <v>0</v>
      </c>
      <c r="R868" s="54">
        <v>0</v>
      </c>
      <c r="S868" s="54">
        <v>3</v>
      </c>
      <c r="T868" s="53">
        <f>STOCK[[#This Row],[Costo Unitario (USD)]]+STOCK[[#This Row],[Costo Envío (USD)]]+STOCK[[#This Row],[Comisión 10%]]</f>
        <v>15.5</v>
      </c>
      <c r="U868" s="54">
        <f>STOCK[[#This Row],[Costo total]]*1.5</f>
        <v>23.25</v>
      </c>
      <c r="V868" s="54">
        <v>25</v>
      </c>
      <c r="W868" s="54">
        <f>STOCK[[#This Row],[Precio Final]]-STOCK[[#This Row],[Costo total]]</f>
        <v>9.5</v>
      </c>
      <c r="X868" s="54">
        <f>STOCK[[#This Row],[Ganancia Unitaria]]*STOCK[[#This Row],[Salidas]]</f>
        <v>0</v>
      </c>
      <c r="AA868" s="54">
        <f>STOCK[[#This Row],[Costo total]]*STOCK[[#This Row],[Entradas]]</f>
        <v>15.5</v>
      </c>
      <c r="AB868" s="54">
        <f>STOCK[[#This Row],[Stock Actual]]*STOCK[[#This Row],[Costo total]]</f>
        <v>15.5</v>
      </c>
    </row>
    <row r="869" spans="1:28" s="53" customFormat="1" ht="50" customHeight="1">
      <c r="A869" s="53" t="s">
        <v>1724</v>
      </c>
      <c r="B869" s="64"/>
      <c r="C869" s="53" t="s">
        <v>32</v>
      </c>
      <c r="D869" s="53" t="s">
        <v>1718</v>
      </c>
      <c r="E869" s="65" t="s">
        <v>1725</v>
      </c>
      <c r="F869" s="53" t="s">
        <v>444</v>
      </c>
      <c r="G869" s="53" t="s">
        <v>704</v>
      </c>
      <c r="H869" s="53">
        <f>STOCK[[#This Row],[Precio Final]]</f>
        <v>25</v>
      </c>
      <c r="I869" s="53">
        <f>STOCK[[#This Row],[Precio Venta Ideal (x1.5)]]</f>
        <v>23.25</v>
      </c>
      <c r="J869" s="69">
        <v>2</v>
      </c>
      <c r="K869" s="69">
        <f>SUMIFS(VENTAS[Cantidad],VENTAS[Código del producto Vendido],STOCK[[#This Row],[Code]])</f>
        <v>1</v>
      </c>
      <c r="L869" s="69">
        <f>STOCK[[#This Row],[Entradas]]-STOCK[[#This Row],[Salidas]]</f>
        <v>1</v>
      </c>
      <c r="M869" s="53">
        <f>STOCK[[#This Row],[Precio Final]]*10%</f>
        <v>2.5</v>
      </c>
      <c r="N869" s="53">
        <v>0</v>
      </c>
      <c r="O869" s="53">
        <v>0</v>
      </c>
      <c r="P869" s="53">
        <v>10</v>
      </c>
      <c r="Q869" s="69">
        <v>0</v>
      </c>
      <c r="R869" s="53">
        <v>0</v>
      </c>
      <c r="S869" s="53">
        <v>3</v>
      </c>
      <c r="T869" s="53">
        <f>STOCK[[#This Row],[Costo Unitario (USD)]]+STOCK[[#This Row],[Costo Envío (USD)]]+STOCK[[#This Row],[Comisión 10%]]</f>
        <v>15.5</v>
      </c>
      <c r="U869" s="53">
        <f>STOCK[[#This Row],[Costo total]]*1.5</f>
        <v>23.25</v>
      </c>
      <c r="V869" s="53">
        <v>25</v>
      </c>
      <c r="W869" s="53">
        <f>STOCK[[#This Row],[Precio Final]]-STOCK[[#This Row],[Costo total]]</f>
        <v>9.5</v>
      </c>
      <c r="X869" s="53">
        <f>STOCK[[#This Row],[Ganancia Unitaria]]*STOCK[[#This Row],[Salidas]]</f>
        <v>9.5</v>
      </c>
      <c r="AA869" s="53">
        <f>STOCK[[#This Row],[Costo total]]*STOCK[[#This Row],[Entradas]]</f>
        <v>31</v>
      </c>
      <c r="AB869" s="53">
        <f>STOCK[[#This Row],[Stock Actual]]*STOCK[[#This Row],[Costo total]]</f>
        <v>15.5</v>
      </c>
    </row>
    <row r="870" spans="1:28" s="54" customFormat="1" ht="50" customHeight="1">
      <c r="A870" s="54" t="s">
        <v>1726</v>
      </c>
      <c r="B870" s="64"/>
      <c r="C870" s="54" t="s">
        <v>32</v>
      </c>
      <c r="D870" s="54" t="s">
        <v>44</v>
      </c>
      <c r="E870" s="66" t="s">
        <v>1727</v>
      </c>
      <c r="F870" s="54" t="s">
        <v>49</v>
      </c>
      <c r="G870" s="54" t="s">
        <v>1296</v>
      </c>
      <c r="H870" s="54">
        <f>STOCK[[#This Row],[Precio Final]]</f>
        <v>19</v>
      </c>
      <c r="I870" s="54">
        <f>STOCK[[#This Row],[Precio Venta Ideal (x1.5)]]</f>
        <v>19.350000000000001</v>
      </c>
      <c r="J870" s="70">
        <v>1</v>
      </c>
      <c r="K870" s="70">
        <f>SUMIFS(VENTAS[Cantidad],VENTAS[Código del producto Vendido],STOCK[[#This Row],[Code]])</f>
        <v>1</v>
      </c>
      <c r="L870" s="70">
        <f>STOCK[[#This Row],[Entradas]]-STOCK[[#This Row],[Salidas]]</f>
        <v>0</v>
      </c>
      <c r="M870" s="54">
        <f>STOCK[[#This Row],[Precio Final]]*10%</f>
        <v>1.9000000000000001</v>
      </c>
      <c r="N870" s="54">
        <v>0</v>
      </c>
      <c r="O870" s="54">
        <v>0</v>
      </c>
      <c r="P870" s="54">
        <v>8</v>
      </c>
      <c r="Q870" s="70">
        <v>0</v>
      </c>
      <c r="R870" s="54">
        <v>0</v>
      </c>
      <c r="S870" s="54">
        <v>3</v>
      </c>
      <c r="T870" s="53">
        <f>STOCK[[#This Row],[Costo Unitario (USD)]]+STOCK[[#This Row],[Costo Envío (USD)]]+STOCK[[#This Row],[Comisión 10%]]</f>
        <v>12.9</v>
      </c>
      <c r="U870" s="54">
        <f>STOCK[[#This Row],[Costo total]]*1.5</f>
        <v>19.350000000000001</v>
      </c>
      <c r="V870" s="54">
        <v>19</v>
      </c>
      <c r="W870" s="54">
        <f>STOCK[[#This Row],[Precio Final]]-STOCK[[#This Row],[Costo total]]</f>
        <v>6.1</v>
      </c>
      <c r="X870" s="54">
        <f>STOCK[[#This Row],[Ganancia Unitaria]]*STOCK[[#This Row],[Salidas]]</f>
        <v>6.1</v>
      </c>
      <c r="AA870" s="54">
        <f>STOCK[[#This Row],[Costo total]]*STOCK[[#This Row],[Entradas]]</f>
        <v>12.9</v>
      </c>
      <c r="AB870" s="54">
        <f>STOCK[[#This Row],[Stock Actual]]*STOCK[[#This Row],[Costo total]]</f>
        <v>0</v>
      </c>
    </row>
    <row r="871" spans="1:28" s="53" customFormat="1" ht="50" customHeight="1">
      <c r="A871" s="53" t="s">
        <v>1728</v>
      </c>
      <c r="B871" s="64"/>
      <c r="C871" s="53" t="s">
        <v>32</v>
      </c>
      <c r="D871" s="53" t="s">
        <v>216</v>
      </c>
      <c r="E871" s="65" t="s">
        <v>1729</v>
      </c>
      <c r="F871" s="53" t="s">
        <v>49</v>
      </c>
      <c r="G871" s="53" t="s">
        <v>36</v>
      </c>
      <c r="H871" s="53">
        <f>STOCK[[#This Row],[Precio Final]]</f>
        <v>18</v>
      </c>
      <c r="I871" s="53">
        <f>STOCK[[#This Row],[Precio Venta Ideal (x1.5)]]</f>
        <v>19.200000000000003</v>
      </c>
      <c r="J871" s="69">
        <v>1</v>
      </c>
      <c r="K871" s="69">
        <f>SUMIFS(VENTAS[Cantidad],VENTAS[Código del producto Vendido],STOCK[[#This Row],[Code]])</f>
        <v>0</v>
      </c>
      <c r="L871" s="69">
        <f>STOCK[[#This Row],[Entradas]]-STOCK[[#This Row],[Salidas]]</f>
        <v>1</v>
      </c>
      <c r="M871" s="53">
        <f>STOCK[[#This Row],[Precio Final]]*10%</f>
        <v>1.8</v>
      </c>
      <c r="N871" s="53">
        <v>0</v>
      </c>
      <c r="O871" s="53">
        <v>0</v>
      </c>
      <c r="P871" s="53">
        <v>6</v>
      </c>
      <c r="Q871" s="69">
        <v>0</v>
      </c>
      <c r="R871" s="53">
        <v>0</v>
      </c>
      <c r="S871" s="53">
        <v>5</v>
      </c>
      <c r="T871" s="53">
        <f>STOCK[[#This Row],[Costo Unitario (USD)]]+STOCK[[#This Row],[Costo Envío (USD)]]+STOCK[[#This Row],[Comisión 10%]]</f>
        <v>12.8</v>
      </c>
      <c r="U871" s="53">
        <f>STOCK[[#This Row],[Costo total]]*1.5</f>
        <v>19.200000000000003</v>
      </c>
      <c r="V871" s="53">
        <v>18</v>
      </c>
      <c r="W871" s="53">
        <f>STOCK[[#This Row],[Precio Final]]-STOCK[[#This Row],[Costo total]]</f>
        <v>5.1999999999999993</v>
      </c>
      <c r="X871" s="53">
        <f>STOCK[[#This Row],[Ganancia Unitaria]]*STOCK[[#This Row],[Salidas]]</f>
        <v>0</v>
      </c>
      <c r="AA871" s="53">
        <f>STOCK[[#This Row],[Costo total]]*STOCK[[#This Row],[Entradas]]</f>
        <v>12.8</v>
      </c>
      <c r="AB871" s="53">
        <f>STOCK[[#This Row],[Stock Actual]]*STOCK[[#This Row],[Costo total]]</f>
        <v>12.8</v>
      </c>
    </row>
    <row r="872" spans="1:28" s="54" customFormat="1" ht="50" customHeight="1">
      <c r="A872" s="54" t="s">
        <v>1730</v>
      </c>
      <c r="B872" s="64"/>
      <c r="C872" s="54" t="s">
        <v>32</v>
      </c>
      <c r="D872" s="53" t="s">
        <v>515</v>
      </c>
      <c r="E872" s="66" t="s">
        <v>1525</v>
      </c>
      <c r="F872" s="54" t="s">
        <v>1442</v>
      </c>
      <c r="G872" s="54" t="s">
        <v>36</v>
      </c>
      <c r="H872" s="54">
        <f>STOCK[[#This Row],[Precio Final]]</f>
        <v>40</v>
      </c>
      <c r="I872" s="54">
        <f>STOCK[[#This Row],[Precio Venta Ideal (x1.5)]]</f>
        <v>47.25</v>
      </c>
      <c r="J872" s="70">
        <v>1</v>
      </c>
      <c r="K872" s="70">
        <f>SUMIFS(VENTAS[Cantidad],VENTAS[Código del producto Vendido],STOCK[[#This Row],[Code]])</f>
        <v>1</v>
      </c>
      <c r="L872" s="70">
        <f>STOCK[[#This Row],[Entradas]]-STOCK[[#This Row],[Salidas]]</f>
        <v>0</v>
      </c>
      <c r="M872" s="54">
        <f>STOCK[[#This Row],[Precio Final]]*10%</f>
        <v>4</v>
      </c>
      <c r="N872" s="54">
        <v>0</v>
      </c>
      <c r="O872" s="54">
        <v>0</v>
      </c>
      <c r="P872" s="54">
        <v>26</v>
      </c>
      <c r="Q872" s="70">
        <v>0</v>
      </c>
      <c r="R872" s="54">
        <v>0</v>
      </c>
      <c r="S872" s="54">
        <v>1.5</v>
      </c>
      <c r="T872" s="53">
        <f>STOCK[[#This Row],[Costo Unitario (USD)]]+STOCK[[#This Row],[Costo Envío (USD)]]+STOCK[[#This Row],[Comisión 10%]]</f>
        <v>31.5</v>
      </c>
      <c r="U872" s="54">
        <f>STOCK[[#This Row],[Costo total]]*1.5</f>
        <v>47.25</v>
      </c>
      <c r="V872" s="54">
        <v>40</v>
      </c>
      <c r="W872" s="54">
        <f>STOCK[[#This Row],[Precio Final]]-STOCK[[#This Row],[Costo total]]</f>
        <v>8.5</v>
      </c>
      <c r="X872" s="54">
        <f>STOCK[[#This Row],[Ganancia Unitaria]]*STOCK[[#This Row],[Salidas]]</f>
        <v>8.5</v>
      </c>
      <c r="Y872" s="54" t="s">
        <v>1472</v>
      </c>
      <c r="AA872" s="54">
        <f>STOCK[[#This Row],[Costo total]]*STOCK[[#This Row],[Entradas]]</f>
        <v>31.5</v>
      </c>
      <c r="AB872" s="54">
        <f>STOCK[[#This Row],[Stock Actual]]*STOCK[[#This Row],[Costo total]]</f>
        <v>0</v>
      </c>
    </row>
    <row r="873" spans="1:28" s="53" customFormat="1" ht="50" customHeight="1">
      <c r="A873" s="53" t="s">
        <v>1731</v>
      </c>
      <c r="B873" s="64"/>
      <c r="C873" s="53" t="s">
        <v>32</v>
      </c>
      <c r="D873" s="53" t="s">
        <v>1732</v>
      </c>
      <c r="E873" s="65" t="s">
        <v>1733</v>
      </c>
      <c r="F873" s="53" t="s">
        <v>1712</v>
      </c>
      <c r="G873" s="53" t="s">
        <v>36</v>
      </c>
      <c r="H873" s="53">
        <f>STOCK[[#This Row],[Precio Final]]</f>
        <v>25</v>
      </c>
      <c r="I873" s="53">
        <f>STOCK[[#This Row],[Precio Venta Ideal (x1.5)]]</f>
        <v>30.661764705882298</v>
      </c>
      <c r="J873" s="69">
        <v>2</v>
      </c>
      <c r="K873" s="69">
        <f>SUMIFS(VENTAS[Cantidad],VENTAS[Código del producto Vendido],STOCK[[#This Row],[Code]])</f>
        <v>2</v>
      </c>
      <c r="L873" s="69">
        <f>STOCK[[#This Row],[Entradas]]-STOCK[[#This Row],[Salidas]]</f>
        <v>0</v>
      </c>
      <c r="M873" s="53">
        <f>STOCK[[#This Row],[Precio Final]]*10%</f>
        <v>2.5</v>
      </c>
      <c r="N873" s="53">
        <v>237</v>
      </c>
      <c r="O873" s="53">
        <v>17</v>
      </c>
      <c r="P873" s="53">
        <v>13.9411764705882</v>
      </c>
      <c r="Q873" s="69">
        <v>0</v>
      </c>
      <c r="R873" s="53">
        <v>0</v>
      </c>
      <c r="S873" s="53">
        <v>4</v>
      </c>
      <c r="T873" s="53">
        <f>STOCK[[#This Row],[Costo Unitario (USD)]]+STOCK[[#This Row],[Costo Envío (USD)]]+STOCK[[#This Row],[Comisión 10%]]</f>
        <v>20.4411764705882</v>
      </c>
      <c r="U873" s="53">
        <f>STOCK[[#This Row],[Costo total]]*1.5</f>
        <v>30.661764705882298</v>
      </c>
      <c r="V873" s="53">
        <v>25</v>
      </c>
      <c r="W873" s="53">
        <f>STOCK[[#This Row],[Precio Final]]-STOCK[[#This Row],[Costo total]]</f>
        <v>4.5588235294118</v>
      </c>
      <c r="X873" s="53">
        <f>STOCK[[#This Row],[Ganancia Unitaria]]*STOCK[[#This Row],[Salidas]]</f>
        <v>9.1176470588236</v>
      </c>
      <c r="Y873" s="53" t="s">
        <v>1734</v>
      </c>
      <c r="Z873" s="53">
        <f>STOCK[[#This Row],[Costo Envío (USD)]]*STOCK[[#This Row],[Entradas]]</f>
        <v>8</v>
      </c>
      <c r="AA873" s="53">
        <f>STOCK[[#This Row],[Costo total]]*STOCK[[#This Row],[Entradas]]</f>
        <v>40.8823529411764</v>
      </c>
      <c r="AB873" s="53">
        <f>STOCK[[#This Row],[Stock Actual]]*STOCK[[#This Row],[Costo total]]</f>
        <v>0</v>
      </c>
    </row>
    <row r="874" spans="1:28" s="54" customFormat="1" ht="50" customHeight="1">
      <c r="A874" s="54" t="s">
        <v>1735</v>
      </c>
      <c r="B874" s="64"/>
      <c r="C874" s="54" t="s">
        <v>32</v>
      </c>
      <c r="D874" s="54" t="s">
        <v>1732</v>
      </c>
      <c r="E874" s="66" t="s">
        <v>1733</v>
      </c>
      <c r="F874" s="54" t="s">
        <v>1736</v>
      </c>
      <c r="G874" s="54" t="s">
        <v>36</v>
      </c>
      <c r="H874" s="54">
        <f>STOCK[[#This Row],[Precio Final]]</f>
        <v>25</v>
      </c>
      <c r="I874" s="54">
        <f>STOCK[[#This Row],[Precio Venta Ideal (x1.5)]]</f>
        <v>30.661764705882298</v>
      </c>
      <c r="J874" s="70">
        <v>2</v>
      </c>
      <c r="K874" s="70">
        <f>SUMIFS(VENTAS[Cantidad],VENTAS[Código del producto Vendido],STOCK[[#This Row],[Code]])</f>
        <v>2</v>
      </c>
      <c r="L874" s="70">
        <f>STOCK[[#This Row],[Entradas]]-STOCK[[#This Row],[Salidas]]</f>
        <v>0</v>
      </c>
      <c r="M874" s="54">
        <f>STOCK[[#This Row],[Precio Final]]*10%</f>
        <v>2.5</v>
      </c>
      <c r="N874" s="54">
        <v>237</v>
      </c>
      <c r="O874" s="54">
        <v>17</v>
      </c>
      <c r="P874" s="54">
        <v>13.9411764705882</v>
      </c>
      <c r="Q874" s="70">
        <v>0</v>
      </c>
      <c r="R874" s="54">
        <v>0</v>
      </c>
      <c r="S874" s="54">
        <v>4</v>
      </c>
      <c r="T874" s="53">
        <f>STOCK[[#This Row],[Costo Unitario (USD)]]+STOCK[[#This Row],[Costo Envío (USD)]]+STOCK[[#This Row],[Comisión 10%]]</f>
        <v>20.4411764705882</v>
      </c>
      <c r="U874" s="54">
        <f>STOCK[[#This Row],[Costo total]]*1.5</f>
        <v>30.661764705882298</v>
      </c>
      <c r="V874" s="54">
        <v>25</v>
      </c>
      <c r="W874" s="54">
        <f>STOCK[[#This Row],[Precio Final]]-STOCK[[#This Row],[Costo total]]</f>
        <v>4.5588235294118</v>
      </c>
      <c r="X874" s="54">
        <f>STOCK[[#This Row],[Ganancia Unitaria]]*STOCK[[#This Row],[Salidas]]</f>
        <v>9.1176470588236</v>
      </c>
      <c r="Y874" s="54" t="s">
        <v>1734</v>
      </c>
      <c r="Z874" s="54">
        <f>STOCK[[#This Row],[Costo Envío (USD)]]*STOCK[[#This Row],[Entradas]]</f>
        <v>8</v>
      </c>
      <c r="AA874" s="54">
        <f>STOCK[[#This Row],[Costo total]]*STOCK[[#This Row],[Entradas]]</f>
        <v>40.8823529411764</v>
      </c>
      <c r="AB874" s="54">
        <f>STOCK[[#This Row],[Stock Actual]]*STOCK[[#This Row],[Costo total]]</f>
        <v>0</v>
      </c>
    </row>
    <row r="875" spans="1:28" s="53" customFormat="1" ht="50" customHeight="1">
      <c r="A875" s="53" t="s">
        <v>1737</v>
      </c>
      <c r="B875" s="64"/>
      <c r="C875" s="53" t="s">
        <v>32</v>
      </c>
      <c r="D875" s="53" t="s">
        <v>1732</v>
      </c>
      <c r="E875" s="65" t="s">
        <v>1738</v>
      </c>
      <c r="F875" s="53" t="s">
        <v>62</v>
      </c>
      <c r="G875" s="53" t="s">
        <v>36</v>
      </c>
      <c r="H875" s="53">
        <f>STOCK[[#This Row],[Precio Final]]</f>
        <v>25</v>
      </c>
      <c r="I875" s="53">
        <f>STOCK[[#This Row],[Precio Venta Ideal (x1.5)]]</f>
        <v>30.661764705882298</v>
      </c>
      <c r="J875" s="69">
        <v>3</v>
      </c>
      <c r="K875" s="69">
        <f>SUMIFS(VENTAS[Cantidad],VENTAS[Código del producto Vendido],STOCK[[#This Row],[Code]])</f>
        <v>3</v>
      </c>
      <c r="L875" s="69">
        <f>STOCK[[#This Row],[Entradas]]-STOCK[[#This Row],[Salidas]]</f>
        <v>0</v>
      </c>
      <c r="M875" s="53">
        <f>STOCK[[#This Row],[Precio Final]]*10%</f>
        <v>2.5</v>
      </c>
      <c r="N875" s="53">
        <v>237</v>
      </c>
      <c r="O875" s="53">
        <v>17</v>
      </c>
      <c r="P875" s="53">
        <v>13.9411764705882</v>
      </c>
      <c r="Q875" s="69">
        <v>0</v>
      </c>
      <c r="R875" s="53">
        <v>0</v>
      </c>
      <c r="S875" s="53">
        <v>4</v>
      </c>
      <c r="T875" s="53">
        <f>STOCK[[#This Row],[Costo Unitario (USD)]]+STOCK[[#This Row],[Costo Envío (USD)]]+STOCK[[#This Row],[Comisión 10%]]</f>
        <v>20.4411764705882</v>
      </c>
      <c r="U875" s="53">
        <f>STOCK[[#This Row],[Costo total]]*1.5</f>
        <v>30.661764705882298</v>
      </c>
      <c r="V875" s="53">
        <v>25</v>
      </c>
      <c r="W875" s="53">
        <f>STOCK[[#This Row],[Precio Final]]-STOCK[[#This Row],[Costo total]]</f>
        <v>4.5588235294118</v>
      </c>
      <c r="X875" s="53">
        <f>STOCK[[#This Row],[Ganancia Unitaria]]*STOCK[[#This Row],[Salidas]]</f>
        <v>13.6764705882354</v>
      </c>
      <c r="Y875" s="53" t="s">
        <v>1734</v>
      </c>
      <c r="Z875" s="53">
        <f>STOCK[[#This Row],[Costo Envío (USD)]]*STOCK[[#This Row],[Entradas]]</f>
        <v>12</v>
      </c>
      <c r="AA875" s="53">
        <f>STOCK[[#This Row],[Costo total]]*STOCK[[#This Row],[Entradas]]</f>
        <v>61.323529411764596</v>
      </c>
      <c r="AB875" s="53">
        <f>STOCK[[#This Row],[Stock Actual]]*STOCK[[#This Row],[Costo total]]</f>
        <v>0</v>
      </c>
    </row>
    <row r="876" spans="1:28" s="54" customFormat="1" ht="50" customHeight="1">
      <c r="A876" s="54" t="s">
        <v>1739</v>
      </c>
      <c r="B876" s="64"/>
      <c r="C876" s="54" t="s">
        <v>32</v>
      </c>
      <c r="D876" s="54" t="s">
        <v>1732</v>
      </c>
      <c r="E876" s="66" t="s">
        <v>1738</v>
      </c>
      <c r="F876" s="54" t="s">
        <v>49</v>
      </c>
      <c r="G876" s="54" t="s">
        <v>36</v>
      </c>
      <c r="H876" s="54">
        <f>STOCK[[#This Row],[Precio Final]]</f>
        <v>25</v>
      </c>
      <c r="I876" s="54">
        <f>STOCK[[#This Row],[Precio Venta Ideal (x1.5)]]</f>
        <v>30.661764705882298</v>
      </c>
      <c r="J876" s="70">
        <v>2</v>
      </c>
      <c r="K876" s="70">
        <f>SUMIFS(VENTAS[Cantidad],VENTAS[Código del producto Vendido],STOCK[[#This Row],[Code]])</f>
        <v>2</v>
      </c>
      <c r="L876" s="70">
        <f>STOCK[[#This Row],[Entradas]]-STOCK[[#This Row],[Salidas]]</f>
        <v>0</v>
      </c>
      <c r="M876" s="54">
        <f>STOCK[[#This Row],[Precio Final]]*10%</f>
        <v>2.5</v>
      </c>
      <c r="N876" s="54">
        <v>237</v>
      </c>
      <c r="O876" s="54">
        <v>17</v>
      </c>
      <c r="P876" s="54">
        <v>13.9411764705882</v>
      </c>
      <c r="Q876" s="70">
        <v>0</v>
      </c>
      <c r="R876" s="54">
        <v>0</v>
      </c>
      <c r="S876" s="54">
        <v>4</v>
      </c>
      <c r="T876" s="53">
        <f>STOCK[[#This Row],[Costo Unitario (USD)]]+STOCK[[#This Row],[Costo Envío (USD)]]+STOCK[[#This Row],[Comisión 10%]]</f>
        <v>20.4411764705882</v>
      </c>
      <c r="U876" s="54">
        <f>STOCK[[#This Row],[Costo total]]*1.5</f>
        <v>30.661764705882298</v>
      </c>
      <c r="V876" s="54">
        <v>25</v>
      </c>
      <c r="W876" s="54">
        <f>STOCK[[#This Row],[Precio Final]]-STOCK[[#This Row],[Costo total]]</f>
        <v>4.5588235294118</v>
      </c>
      <c r="X876" s="54">
        <f>STOCK[[#This Row],[Ganancia Unitaria]]*STOCK[[#This Row],[Salidas]]</f>
        <v>9.1176470588236</v>
      </c>
      <c r="Y876" s="54" t="s">
        <v>1734</v>
      </c>
      <c r="Z876" s="54">
        <f>STOCK[[#This Row],[Costo Envío (USD)]]*STOCK[[#This Row],[Entradas]]</f>
        <v>8</v>
      </c>
      <c r="AA876" s="54">
        <f>STOCK[[#This Row],[Costo total]]*STOCK[[#This Row],[Entradas]]</f>
        <v>40.8823529411764</v>
      </c>
      <c r="AB876" s="54">
        <f>STOCK[[#This Row],[Stock Actual]]*STOCK[[#This Row],[Costo total]]</f>
        <v>0</v>
      </c>
    </row>
    <row r="877" spans="1:28" s="53" customFormat="1" ht="50" customHeight="1">
      <c r="A877" s="53" t="s">
        <v>1740</v>
      </c>
      <c r="B877" s="64"/>
      <c r="C877" s="53" t="s">
        <v>32</v>
      </c>
      <c r="D877" s="53" t="s">
        <v>1732</v>
      </c>
      <c r="E877" s="65" t="s">
        <v>1741</v>
      </c>
      <c r="F877" s="53" t="s">
        <v>62</v>
      </c>
      <c r="G877" s="53" t="s">
        <v>36</v>
      </c>
      <c r="H877" s="53">
        <f>STOCK[[#This Row],[Precio Final]]</f>
        <v>25</v>
      </c>
      <c r="I877" s="53">
        <f>STOCK[[#This Row],[Precio Venta Ideal (x1.5)]]</f>
        <v>30.661764705882298</v>
      </c>
      <c r="J877" s="69">
        <v>2</v>
      </c>
      <c r="K877" s="69">
        <f>SUMIFS(VENTAS[Cantidad],VENTAS[Código del producto Vendido],STOCK[[#This Row],[Code]])</f>
        <v>2</v>
      </c>
      <c r="L877" s="69">
        <f>STOCK[[#This Row],[Entradas]]-STOCK[[#This Row],[Salidas]]</f>
        <v>0</v>
      </c>
      <c r="M877" s="53">
        <f>STOCK[[#This Row],[Precio Final]]*10%</f>
        <v>2.5</v>
      </c>
      <c r="N877" s="53">
        <v>237</v>
      </c>
      <c r="O877" s="53">
        <v>17</v>
      </c>
      <c r="P877" s="53">
        <v>13.9411764705882</v>
      </c>
      <c r="Q877" s="69">
        <v>0</v>
      </c>
      <c r="R877" s="53">
        <v>0</v>
      </c>
      <c r="S877" s="53">
        <v>4</v>
      </c>
      <c r="T877" s="53">
        <f>STOCK[[#This Row],[Costo Unitario (USD)]]+STOCK[[#This Row],[Costo Envío (USD)]]+STOCK[[#This Row],[Comisión 10%]]</f>
        <v>20.4411764705882</v>
      </c>
      <c r="U877" s="53">
        <f>STOCK[[#This Row],[Costo total]]*1.5</f>
        <v>30.661764705882298</v>
      </c>
      <c r="V877" s="53">
        <v>25</v>
      </c>
      <c r="W877" s="53">
        <f>STOCK[[#This Row],[Precio Final]]-STOCK[[#This Row],[Costo total]]</f>
        <v>4.5588235294118</v>
      </c>
      <c r="X877" s="53">
        <f>STOCK[[#This Row],[Ganancia Unitaria]]*STOCK[[#This Row],[Salidas]]</f>
        <v>9.1176470588236</v>
      </c>
      <c r="Y877" s="53" t="s">
        <v>1734</v>
      </c>
      <c r="Z877" s="53">
        <f>STOCK[[#This Row],[Costo Envío (USD)]]*STOCK[[#This Row],[Entradas]]</f>
        <v>8</v>
      </c>
      <c r="AA877" s="53">
        <f>STOCK[[#This Row],[Costo total]]*STOCK[[#This Row],[Entradas]]</f>
        <v>40.8823529411764</v>
      </c>
      <c r="AB877" s="53">
        <f>STOCK[[#This Row],[Stock Actual]]*STOCK[[#This Row],[Costo total]]</f>
        <v>0</v>
      </c>
    </row>
    <row r="878" spans="1:28" s="54" customFormat="1" ht="50" customHeight="1">
      <c r="A878" s="54" t="s">
        <v>1742</v>
      </c>
      <c r="B878" s="64"/>
      <c r="C878" s="54" t="s">
        <v>32</v>
      </c>
      <c r="D878" s="54" t="s">
        <v>1743</v>
      </c>
      <c r="E878" s="66" t="s">
        <v>1741</v>
      </c>
      <c r="F878" s="54" t="s">
        <v>258</v>
      </c>
      <c r="G878" s="54" t="s">
        <v>36</v>
      </c>
      <c r="H878" s="54">
        <f>STOCK[[#This Row],[Precio Final]]</f>
        <v>25</v>
      </c>
      <c r="I878" s="54">
        <f>STOCK[[#This Row],[Precio Venta Ideal (x1.5)]]</f>
        <v>30.661764705882298</v>
      </c>
      <c r="J878" s="70">
        <v>2</v>
      </c>
      <c r="K878" s="70">
        <f>SUMIFS(VENTAS[Cantidad],VENTAS[Código del producto Vendido],STOCK[[#This Row],[Code]])</f>
        <v>2</v>
      </c>
      <c r="L878" s="70">
        <f>STOCK[[#This Row],[Entradas]]-STOCK[[#This Row],[Salidas]]</f>
        <v>0</v>
      </c>
      <c r="M878" s="54">
        <f>STOCK[[#This Row],[Precio Final]]*10%</f>
        <v>2.5</v>
      </c>
      <c r="N878" s="54">
        <v>237</v>
      </c>
      <c r="O878" s="54">
        <v>17</v>
      </c>
      <c r="P878" s="54">
        <v>13.9411764705882</v>
      </c>
      <c r="Q878" s="70">
        <v>0</v>
      </c>
      <c r="R878" s="54">
        <v>0</v>
      </c>
      <c r="S878" s="54">
        <v>4</v>
      </c>
      <c r="T878" s="53">
        <f>STOCK[[#This Row],[Costo Unitario (USD)]]+STOCK[[#This Row],[Costo Envío (USD)]]+STOCK[[#This Row],[Comisión 10%]]</f>
        <v>20.4411764705882</v>
      </c>
      <c r="U878" s="54">
        <f>STOCK[[#This Row],[Costo total]]*1.5</f>
        <v>30.661764705882298</v>
      </c>
      <c r="V878" s="54">
        <v>25</v>
      </c>
      <c r="W878" s="54">
        <f>STOCK[[#This Row],[Precio Final]]-STOCK[[#This Row],[Costo total]]</f>
        <v>4.5588235294118</v>
      </c>
      <c r="X878" s="54">
        <f>STOCK[[#This Row],[Ganancia Unitaria]]*STOCK[[#This Row],[Salidas]]</f>
        <v>9.1176470588236</v>
      </c>
      <c r="Y878" s="54" t="s">
        <v>1734</v>
      </c>
      <c r="Z878" s="54">
        <f>STOCK[[#This Row],[Costo Envío (USD)]]*STOCK[[#This Row],[Entradas]]</f>
        <v>8</v>
      </c>
      <c r="AA878" s="54">
        <f>STOCK[[#This Row],[Costo total]]*STOCK[[#This Row],[Entradas]]</f>
        <v>40.8823529411764</v>
      </c>
      <c r="AB878" s="54">
        <f>STOCK[[#This Row],[Stock Actual]]*STOCK[[#This Row],[Costo total]]</f>
        <v>0</v>
      </c>
    </row>
    <row r="879" spans="1:28" s="53" customFormat="1" ht="50" customHeight="1">
      <c r="A879" s="53" t="s">
        <v>1744</v>
      </c>
      <c r="B879" s="64"/>
      <c r="C879" s="53" t="s">
        <v>32</v>
      </c>
      <c r="D879" s="53" t="s">
        <v>1745</v>
      </c>
      <c r="E879" s="65" t="s">
        <v>1746</v>
      </c>
      <c r="F879" s="53" t="s">
        <v>62</v>
      </c>
      <c r="G879" s="53" t="s">
        <v>1603</v>
      </c>
      <c r="H879" s="53">
        <f>STOCK[[#This Row],[Precio Final]]</f>
        <v>22</v>
      </c>
      <c r="I879" s="53">
        <f>STOCK[[#This Row],[Precio Venta Ideal (x1.5)]]</f>
        <v>23.329411764705885</v>
      </c>
      <c r="J879" s="69">
        <v>4</v>
      </c>
      <c r="K879" s="69">
        <f>SUMIFS(VENTAS[Cantidad],VENTAS[Código del producto Vendido],STOCK[[#This Row],[Code]])</f>
        <v>2</v>
      </c>
      <c r="L879" s="69">
        <f>STOCK[[#This Row],[Entradas]]-STOCK[[#This Row],[Salidas]]</f>
        <v>2</v>
      </c>
      <c r="M879" s="53">
        <f>STOCK[[#This Row],[Precio Final]]*10%</f>
        <v>2.2000000000000002</v>
      </c>
      <c r="N879" s="53">
        <v>159</v>
      </c>
      <c r="O879" s="53">
        <v>17</v>
      </c>
      <c r="P879" s="53">
        <v>9.3529411764705905</v>
      </c>
      <c r="Q879" s="69">
        <v>0</v>
      </c>
      <c r="R879" s="53">
        <v>0</v>
      </c>
      <c r="S879" s="53">
        <v>4</v>
      </c>
      <c r="T879" s="53">
        <f>STOCK[[#This Row],[Costo Unitario (USD)]]+STOCK[[#This Row],[Costo Envío (USD)]]+STOCK[[#This Row],[Comisión 10%]]</f>
        <v>15.55294117647059</v>
      </c>
      <c r="U879" s="53">
        <f>STOCK[[#This Row],[Costo total]]*1.5</f>
        <v>23.329411764705885</v>
      </c>
      <c r="V879" s="53">
        <v>22</v>
      </c>
      <c r="W879" s="53">
        <f>STOCK[[#This Row],[Precio Final]]-STOCK[[#This Row],[Costo total]]</f>
        <v>6.4470588235294102</v>
      </c>
      <c r="X879" s="53">
        <f>STOCK[[#This Row],[Ganancia Unitaria]]*STOCK[[#This Row],[Salidas]]</f>
        <v>12.89411764705882</v>
      </c>
      <c r="Y879" s="53" t="s">
        <v>1734</v>
      </c>
      <c r="Z879" s="53">
        <f>STOCK[[#This Row],[Costo Envío (USD)]]*STOCK[[#This Row],[Entradas]]</f>
        <v>16</v>
      </c>
      <c r="AA879" s="53">
        <f>STOCK[[#This Row],[Costo total]]*STOCK[[#This Row],[Entradas]]</f>
        <v>62.211764705882359</v>
      </c>
      <c r="AB879" s="53">
        <f>STOCK[[#This Row],[Stock Actual]]*STOCK[[#This Row],[Costo total]]</f>
        <v>31.10588235294118</v>
      </c>
    </row>
    <row r="880" spans="1:28" s="54" customFormat="1" ht="50" customHeight="1">
      <c r="A880" s="54" t="s">
        <v>1747</v>
      </c>
      <c r="B880" s="64"/>
      <c r="C880" s="54" t="s">
        <v>32</v>
      </c>
      <c r="D880" s="54" t="s">
        <v>1745</v>
      </c>
      <c r="E880" s="66" t="s">
        <v>1746</v>
      </c>
      <c r="F880" s="54" t="s">
        <v>211</v>
      </c>
      <c r="G880" s="54" t="s">
        <v>36</v>
      </c>
      <c r="H880" s="54">
        <f>STOCK[[#This Row],[Precio Final]]</f>
        <v>22</v>
      </c>
      <c r="I880" s="54">
        <f>STOCK[[#This Row],[Precio Venta Ideal (x1.5)]]</f>
        <v>23.329411764705885</v>
      </c>
      <c r="J880" s="70">
        <v>2</v>
      </c>
      <c r="K880" s="70">
        <f>SUMIFS(VENTAS[Cantidad],VENTAS[Código del producto Vendido],STOCK[[#This Row],[Code]])</f>
        <v>2</v>
      </c>
      <c r="L880" s="70">
        <f>STOCK[[#This Row],[Entradas]]-STOCK[[#This Row],[Salidas]]</f>
        <v>0</v>
      </c>
      <c r="M880" s="54">
        <f>STOCK[[#This Row],[Precio Final]]*10%</f>
        <v>2.2000000000000002</v>
      </c>
      <c r="N880" s="54">
        <v>159</v>
      </c>
      <c r="O880" s="54">
        <v>17</v>
      </c>
      <c r="P880" s="54">
        <v>9.3529411764705905</v>
      </c>
      <c r="Q880" s="70">
        <v>0</v>
      </c>
      <c r="R880" s="54">
        <v>0</v>
      </c>
      <c r="S880" s="54">
        <v>4</v>
      </c>
      <c r="T880" s="53">
        <f>STOCK[[#This Row],[Costo Unitario (USD)]]+STOCK[[#This Row],[Costo Envío (USD)]]+STOCK[[#This Row],[Comisión 10%]]</f>
        <v>15.55294117647059</v>
      </c>
      <c r="U880" s="54">
        <f>STOCK[[#This Row],[Costo total]]*1.5</f>
        <v>23.329411764705885</v>
      </c>
      <c r="V880" s="54">
        <v>22</v>
      </c>
      <c r="W880" s="54">
        <f>STOCK[[#This Row],[Precio Final]]-STOCK[[#This Row],[Costo total]]</f>
        <v>6.4470588235294102</v>
      </c>
      <c r="X880" s="54">
        <f>STOCK[[#This Row],[Ganancia Unitaria]]*STOCK[[#This Row],[Salidas]]</f>
        <v>12.89411764705882</v>
      </c>
      <c r="Y880" s="54" t="s">
        <v>1734</v>
      </c>
      <c r="Z880" s="54">
        <f>STOCK[[#This Row],[Costo Envío (USD)]]*STOCK[[#This Row],[Entradas]]</f>
        <v>8</v>
      </c>
      <c r="AA880" s="54">
        <f>STOCK[[#This Row],[Costo total]]*STOCK[[#This Row],[Entradas]]</f>
        <v>31.10588235294118</v>
      </c>
      <c r="AB880" s="54">
        <f>STOCK[[#This Row],[Stock Actual]]*STOCK[[#This Row],[Costo total]]</f>
        <v>0</v>
      </c>
    </row>
    <row r="881" spans="1:28" s="53" customFormat="1" ht="50" customHeight="1">
      <c r="A881" s="53" t="s">
        <v>1748</v>
      </c>
      <c r="B881" s="64"/>
      <c r="C881" s="53" t="s">
        <v>32</v>
      </c>
      <c r="D881" s="54" t="s">
        <v>38</v>
      </c>
      <c r="E881" s="65" t="s">
        <v>1749</v>
      </c>
      <c r="F881" s="53" t="s">
        <v>1046</v>
      </c>
      <c r="G881" s="53" t="s">
        <v>36</v>
      </c>
      <c r="H881" s="53">
        <f>STOCK[[#This Row],[Precio Final]]</f>
        <v>20</v>
      </c>
      <c r="I881" s="53">
        <f>STOCK[[#This Row],[Precio Venta Ideal (x1.5)]]</f>
        <v>17.382352941176475</v>
      </c>
      <c r="J881" s="69">
        <v>1</v>
      </c>
      <c r="K881" s="69">
        <f>SUMIFS(VENTAS[Cantidad],VENTAS[Código del producto Vendido],STOCK[[#This Row],[Code]])</f>
        <v>1</v>
      </c>
      <c r="L881" s="69">
        <f>STOCK[[#This Row],[Entradas]]-STOCK[[#This Row],[Salidas]]</f>
        <v>0</v>
      </c>
      <c r="M881" s="53">
        <f>STOCK[[#This Row],[Precio Final]]*10%</f>
        <v>2</v>
      </c>
      <c r="N881" s="53">
        <v>112</v>
      </c>
      <c r="O881" s="53">
        <v>17</v>
      </c>
      <c r="P881" s="53">
        <v>6.5882352941176503</v>
      </c>
      <c r="Q881" s="69">
        <v>0</v>
      </c>
      <c r="R881" s="53">
        <v>0</v>
      </c>
      <c r="S881" s="53">
        <v>3</v>
      </c>
      <c r="T881" s="53">
        <f>STOCK[[#This Row],[Costo Unitario (USD)]]+STOCK[[#This Row],[Costo Envío (USD)]]+STOCK[[#This Row],[Comisión 10%]]</f>
        <v>11.58823529411765</v>
      </c>
      <c r="U881" s="53">
        <f>STOCK[[#This Row],[Costo total]]*1.5</f>
        <v>17.382352941176475</v>
      </c>
      <c r="V881" s="53">
        <v>20</v>
      </c>
      <c r="W881" s="53">
        <f>STOCK[[#This Row],[Precio Final]]-STOCK[[#This Row],[Costo total]]</f>
        <v>8.4117647058823497</v>
      </c>
      <c r="X881" s="53">
        <f>STOCK[[#This Row],[Ganancia Unitaria]]*STOCK[[#This Row],[Salidas]]</f>
        <v>8.4117647058823497</v>
      </c>
      <c r="Y881" s="53" t="s">
        <v>1734</v>
      </c>
      <c r="Z881" s="53">
        <f>STOCK[[#This Row],[Costo Envío (USD)]]*STOCK[[#This Row],[Entradas]]</f>
        <v>3</v>
      </c>
      <c r="AA881" s="53">
        <f>STOCK[[#This Row],[Costo total]]*STOCK[[#This Row],[Entradas]]</f>
        <v>11.58823529411765</v>
      </c>
      <c r="AB881" s="53">
        <f>STOCK[[#This Row],[Stock Actual]]*STOCK[[#This Row],[Costo total]]</f>
        <v>0</v>
      </c>
    </row>
    <row r="882" spans="1:28" s="54" customFormat="1" ht="50" customHeight="1">
      <c r="A882" s="54" t="s">
        <v>1750</v>
      </c>
      <c r="B882" s="64"/>
      <c r="C882" s="54" t="s">
        <v>32</v>
      </c>
      <c r="D882" s="54" t="s">
        <v>975</v>
      </c>
      <c r="E882" s="66" t="s">
        <v>1751</v>
      </c>
      <c r="F882" s="54" t="s">
        <v>42</v>
      </c>
      <c r="G882" s="54" t="s">
        <v>704</v>
      </c>
      <c r="H882" s="54">
        <f>STOCK[[#This Row],[Precio Final]]</f>
        <v>35</v>
      </c>
      <c r="I882" s="54">
        <f>STOCK[[#This Row],[Precio Venta Ideal (x1.5)]]</f>
        <v>48.75</v>
      </c>
      <c r="J882" s="70">
        <v>1</v>
      </c>
      <c r="K882" s="70">
        <f>SUMIFS(VENTAS[Cantidad],VENTAS[Código del producto Vendido],STOCK[[#This Row],[Code]])</f>
        <v>1</v>
      </c>
      <c r="L882" s="70">
        <f>STOCK[[#This Row],[Entradas]]-STOCK[[#This Row],[Salidas]]</f>
        <v>0</v>
      </c>
      <c r="M882" s="54">
        <f>STOCK[[#This Row],[Precio Final]]*10%</f>
        <v>3.5</v>
      </c>
      <c r="N882" s="54">
        <v>159</v>
      </c>
      <c r="O882" s="54">
        <v>17</v>
      </c>
      <c r="P882" s="54">
        <v>25</v>
      </c>
      <c r="Q882" s="70">
        <v>0</v>
      </c>
      <c r="R882" s="54">
        <v>0</v>
      </c>
      <c r="S882" s="54">
        <v>4</v>
      </c>
      <c r="T882" s="53">
        <f>STOCK[[#This Row],[Costo Unitario (USD)]]+STOCK[[#This Row],[Costo Envío (USD)]]+STOCK[[#This Row],[Comisión 10%]]</f>
        <v>32.5</v>
      </c>
      <c r="U882" s="54">
        <f>STOCK[[#This Row],[Costo total]]*1.5</f>
        <v>48.75</v>
      </c>
      <c r="V882" s="54">
        <v>35</v>
      </c>
      <c r="W882" s="54">
        <f>STOCK[[#This Row],[Precio Final]]-STOCK[[#This Row],[Costo total]]</f>
        <v>2.5</v>
      </c>
      <c r="X882" s="54">
        <f>STOCK[[#This Row],[Ganancia Unitaria]]*STOCK[[#This Row],[Salidas]]</f>
        <v>2.5</v>
      </c>
      <c r="Y882" s="54" t="s">
        <v>1734</v>
      </c>
      <c r="Z882" s="54">
        <v>0</v>
      </c>
      <c r="AA882" s="54">
        <f>STOCK[[#This Row],[Costo total]]*STOCK[[#This Row],[Entradas]]</f>
        <v>32.5</v>
      </c>
      <c r="AB882" s="54">
        <f>STOCK[[#This Row],[Stock Actual]]*STOCK[[#This Row],[Costo total]]</f>
        <v>0</v>
      </c>
    </row>
    <row r="883" spans="1:28" s="53" customFormat="1" ht="50" customHeight="1">
      <c r="A883" s="53" t="s">
        <v>1752</v>
      </c>
      <c r="B883" s="64"/>
      <c r="C883" s="53" t="s">
        <v>32</v>
      </c>
      <c r="D883" s="53" t="s">
        <v>1753</v>
      </c>
      <c r="E883" s="65" t="s">
        <v>1754</v>
      </c>
      <c r="F883" s="53" t="s">
        <v>1755</v>
      </c>
      <c r="G883" s="53" t="s">
        <v>1603</v>
      </c>
      <c r="H883" s="53">
        <f>STOCK[[#This Row],[Precio Final]]</f>
        <v>25</v>
      </c>
      <c r="I883" s="53">
        <f>STOCK[[#This Row],[Precio Venta Ideal (x1.5)]]</f>
        <v>22.3676470588236</v>
      </c>
      <c r="J883" s="69">
        <v>4</v>
      </c>
      <c r="K883" s="69">
        <f>SUMIFS(VENTAS[Cantidad],VENTAS[Código del producto Vendido],STOCK[[#This Row],[Code]])</f>
        <v>4</v>
      </c>
      <c r="L883" s="69">
        <f>STOCK[[#This Row],[Entradas]]-STOCK[[#This Row],[Salidas]]</f>
        <v>0</v>
      </c>
      <c r="M883" s="53">
        <f>STOCK[[#This Row],[Precio Final]]*10%</f>
        <v>2.5</v>
      </c>
      <c r="N883" s="53">
        <v>211</v>
      </c>
      <c r="O883" s="53">
        <v>17</v>
      </c>
      <c r="P883" s="53">
        <v>12.411764705882399</v>
      </c>
      <c r="Q883" s="69">
        <v>0</v>
      </c>
      <c r="R883" s="53">
        <v>0</v>
      </c>
      <c r="S883" s="53">
        <v>0</v>
      </c>
      <c r="T883" s="53">
        <f>STOCK[[#This Row],[Costo Unitario (USD)]]+STOCK[[#This Row],[Costo Envío (USD)]]+STOCK[[#This Row],[Comisión 10%]]</f>
        <v>14.911764705882399</v>
      </c>
      <c r="U883" s="53">
        <f>STOCK[[#This Row],[Costo total]]*1.5</f>
        <v>22.3676470588236</v>
      </c>
      <c r="V883" s="53">
        <v>25</v>
      </c>
      <c r="W883" s="53">
        <f>STOCK[[#This Row],[Precio Final]]-STOCK[[#This Row],[Costo total]]</f>
        <v>10.088235294117601</v>
      </c>
      <c r="X883" s="53">
        <f>STOCK[[#This Row],[Ganancia Unitaria]]*STOCK[[#This Row],[Salidas]]</f>
        <v>40.352941176470402</v>
      </c>
      <c r="Y883" s="53" t="s">
        <v>1734</v>
      </c>
      <c r="Z883" s="53">
        <f>STOCK[[#This Row],[Costo Envío (USD)]]*STOCK[[#This Row],[Entradas]]</f>
        <v>0</v>
      </c>
      <c r="AA883" s="53">
        <f>STOCK[[#This Row],[Costo total]]*STOCK[[#This Row],[Entradas]]</f>
        <v>59.647058823529598</v>
      </c>
      <c r="AB883" s="53">
        <f>STOCK[[#This Row],[Stock Actual]]*STOCK[[#This Row],[Costo total]]</f>
        <v>0</v>
      </c>
    </row>
    <row r="884" spans="1:28" s="54" customFormat="1" ht="50" customHeight="1">
      <c r="A884" s="54" t="s">
        <v>1756</v>
      </c>
      <c r="B884" s="64"/>
      <c r="C884" s="54" t="s">
        <v>32</v>
      </c>
      <c r="D884" s="54" t="s">
        <v>1757</v>
      </c>
      <c r="E884" s="66" t="s">
        <v>1746</v>
      </c>
      <c r="F884" s="54" t="s">
        <v>42</v>
      </c>
      <c r="G884" s="54" t="s">
        <v>36</v>
      </c>
      <c r="H884" s="54">
        <f>STOCK[[#This Row],[Precio Final]]</f>
        <v>22</v>
      </c>
      <c r="I884" s="54">
        <f>STOCK[[#This Row],[Precio Venta Ideal (x1.5)]]</f>
        <v>23.329411764705885</v>
      </c>
      <c r="J884" s="70">
        <v>3</v>
      </c>
      <c r="K884" s="70">
        <f>SUMIFS(VENTAS[Cantidad],VENTAS[Código del producto Vendido],STOCK[[#This Row],[Code]])</f>
        <v>1</v>
      </c>
      <c r="L884" s="70">
        <f>STOCK[[#This Row],[Entradas]]-STOCK[[#This Row],[Salidas]]</f>
        <v>2</v>
      </c>
      <c r="M884" s="54">
        <f>STOCK[[#This Row],[Precio Final]]*10%</f>
        <v>2.2000000000000002</v>
      </c>
      <c r="N884" s="54">
        <v>159</v>
      </c>
      <c r="O884" s="54">
        <v>17</v>
      </c>
      <c r="P884" s="54">
        <v>9.3529411764705905</v>
      </c>
      <c r="Q884" s="70">
        <v>0</v>
      </c>
      <c r="R884" s="54">
        <v>0</v>
      </c>
      <c r="S884" s="54">
        <v>4</v>
      </c>
      <c r="T884" s="53">
        <f>STOCK[[#This Row],[Costo Unitario (USD)]]+STOCK[[#This Row],[Costo Envío (USD)]]+STOCK[[#This Row],[Comisión 10%]]</f>
        <v>15.55294117647059</v>
      </c>
      <c r="U884" s="54">
        <f>STOCK[[#This Row],[Costo total]]*1.5</f>
        <v>23.329411764705885</v>
      </c>
      <c r="V884" s="54">
        <v>22</v>
      </c>
      <c r="W884" s="54">
        <f>STOCK[[#This Row],[Precio Final]]-STOCK[[#This Row],[Costo total]]</f>
        <v>6.4470588235294102</v>
      </c>
      <c r="X884" s="54">
        <f>STOCK[[#This Row],[Ganancia Unitaria]]*STOCK[[#This Row],[Salidas]]</f>
        <v>6.4470588235294102</v>
      </c>
      <c r="Y884" s="54" t="s">
        <v>1734</v>
      </c>
      <c r="Z884" s="54">
        <f>STOCK[[#This Row],[Costo Envío (USD)]]*STOCK[[#This Row],[Entradas]]</f>
        <v>12</v>
      </c>
      <c r="AA884" s="54">
        <f>STOCK[[#This Row],[Costo total]]*STOCK[[#This Row],[Entradas]]</f>
        <v>46.658823529411769</v>
      </c>
      <c r="AB884" s="54">
        <f>STOCK[[#This Row],[Stock Actual]]*STOCK[[#This Row],[Costo total]]</f>
        <v>31.10588235294118</v>
      </c>
    </row>
    <row r="885" spans="1:28" s="53" customFormat="1" ht="50" customHeight="1">
      <c r="A885" s="53" t="s">
        <v>1758</v>
      </c>
      <c r="B885" s="64"/>
      <c r="C885" s="53" t="s">
        <v>32</v>
      </c>
      <c r="D885" s="53" t="s">
        <v>1482</v>
      </c>
      <c r="E885" s="65" t="s">
        <v>1759</v>
      </c>
      <c r="F885" s="53" t="s">
        <v>1760</v>
      </c>
      <c r="G885" s="53" t="s">
        <v>36</v>
      </c>
      <c r="H885" s="53">
        <f>STOCK[[#This Row],[Precio Final]]</f>
        <v>30</v>
      </c>
      <c r="I885" s="53">
        <f>STOCK[[#This Row],[Precio Venta Ideal (x1.5)]]</f>
        <v>41.205882352941153</v>
      </c>
      <c r="J885" s="69">
        <v>3</v>
      </c>
      <c r="K885" s="69">
        <f>SUMIFS(VENTAS[Cantidad],VENTAS[Código del producto Vendido],STOCK[[#This Row],[Code]])</f>
        <v>3</v>
      </c>
      <c r="L885" s="69">
        <f>STOCK[[#This Row],[Entradas]]-STOCK[[#This Row],[Salidas]]</f>
        <v>0</v>
      </c>
      <c r="M885" s="53">
        <f>STOCK[[#This Row],[Precio Final]]*10%</f>
        <v>3</v>
      </c>
      <c r="N885" s="53">
        <v>348</v>
      </c>
      <c r="O885" s="53">
        <v>17</v>
      </c>
      <c r="P885" s="53">
        <v>20.470588235294102</v>
      </c>
      <c r="Q885" s="69">
        <v>0</v>
      </c>
      <c r="R885" s="53">
        <v>0</v>
      </c>
      <c r="S885" s="53">
        <v>4</v>
      </c>
      <c r="T885" s="53">
        <f>STOCK[[#This Row],[Costo Unitario (USD)]]+STOCK[[#This Row],[Costo Envío (USD)]]+STOCK[[#This Row],[Comisión 10%]]</f>
        <v>27.470588235294102</v>
      </c>
      <c r="U885" s="53">
        <f>STOCK[[#This Row],[Costo total]]*1.5</f>
        <v>41.205882352941153</v>
      </c>
      <c r="V885" s="53">
        <v>30</v>
      </c>
      <c r="W885" s="53">
        <f>STOCK[[#This Row],[Precio Final]]-STOCK[[#This Row],[Costo total]]</f>
        <v>2.5294117647058982</v>
      </c>
      <c r="X885" s="53">
        <f>STOCK[[#This Row],[Ganancia Unitaria]]*STOCK[[#This Row],[Salidas]]</f>
        <v>7.5882352941176947</v>
      </c>
      <c r="Y885" s="53" t="s">
        <v>1734</v>
      </c>
      <c r="Z885" s="53">
        <f>STOCK[[#This Row],[Costo Envío (USD)]]*STOCK[[#This Row],[Entradas]]</f>
        <v>12</v>
      </c>
      <c r="AA885" s="53">
        <f>STOCK[[#This Row],[Costo total]]*STOCK[[#This Row],[Entradas]]</f>
        <v>82.411764705882305</v>
      </c>
      <c r="AB885" s="53">
        <f>STOCK[[#This Row],[Stock Actual]]*STOCK[[#This Row],[Costo total]]</f>
        <v>0</v>
      </c>
    </row>
    <row r="886" spans="1:28" s="54" customFormat="1" ht="50" customHeight="1">
      <c r="A886" s="54" t="s">
        <v>1761</v>
      </c>
      <c r="B886" s="64"/>
      <c r="C886" s="54" t="s">
        <v>32</v>
      </c>
      <c r="D886" s="54" t="s">
        <v>1482</v>
      </c>
      <c r="E886" s="66" t="s">
        <v>1759</v>
      </c>
      <c r="F886" s="54" t="s">
        <v>1762</v>
      </c>
      <c r="G886" s="54" t="s">
        <v>1603</v>
      </c>
      <c r="H886" s="54">
        <f>STOCK[[#This Row],[Precio Final]]</f>
        <v>30</v>
      </c>
      <c r="I886" s="54">
        <f>STOCK[[#This Row],[Precio Venta Ideal (x1.5)]]</f>
        <v>42.705882352941153</v>
      </c>
      <c r="J886" s="70">
        <v>3</v>
      </c>
      <c r="K886" s="70">
        <f>SUMIFS(VENTAS[Cantidad],VENTAS[Código del producto Vendido],STOCK[[#This Row],[Code]])</f>
        <v>3</v>
      </c>
      <c r="L886" s="70">
        <f>STOCK[[#This Row],[Entradas]]-STOCK[[#This Row],[Salidas]]</f>
        <v>0</v>
      </c>
      <c r="M886" s="54">
        <f>STOCK[[#This Row],[Precio Final]]*10%</f>
        <v>3</v>
      </c>
      <c r="N886" s="54">
        <v>348</v>
      </c>
      <c r="O886" s="54">
        <v>17</v>
      </c>
      <c r="P886" s="54">
        <v>20.470588235294102</v>
      </c>
      <c r="Q886" s="70">
        <v>0</v>
      </c>
      <c r="R886" s="54">
        <v>0</v>
      </c>
      <c r="S886" s="54">
        <v>5</v>
      </c>
      <c r="T886" s="53">
        <f>STOCK[[#This Row],[Costo Unitario (USD)]]+STOCK[[#This Row],[Costo Envío (USD)]]+STOCK[[#This Row],[Comisión 10%]]</f>
        <v>28.470588235294102</v>
      </c>
      <c r="U886" s="54">
        <f>STOCK[[#This Row],[Costo total]]*1.5</f>
        <v>42.705882352941153</v>
      </c>
      <c r="V886" s="54">
        <v>30</v>
      </c>
      <c r="W886" s="54">
        <f>STOCK[[#This Row],[Precio Final]]-STOCK[[#This Row],[Costo total]]</f>
        <v>1.5294117647058982</v>
      </c>
      <c r="X886" s="54">
        <f>STOCK[[#This Row],[Ganancia Unitaria]]*STOCK[[#This Row],[Salidas]]</f>
        <v>4.5882352941176947</v>
      </c>
      <c r="Y886" s="54" t="s">
        <v>1734</v>
      </c>
      <c r="Z886" s="54">
        <f>STOCK[[#This Row],[Costo Envío (USD)]]*STOCK[[#This Row],[Entradas]]</f>
        <v>15</v>
      </c>
      <c r="AA886" s="54">
        <f>STOCK[[#This Row],[Costo total]]*STOCK[[#This Row],[Entradas]]</f>
        <v>85.411764705882305</v>
      </c>
      <c r="AB886" s="54">
        <f>STOCK[[#This Row],[Stock Actual]]*STOCK[[#This Row],[Costo total]]</f>
        <v>0</v>
      </c>
    </row>
    <row r="887" spans="1:28" s="53" customFormat="1" ht="50" customHeight="1">
      <c r="A887" s="53" t="s">
        <v>1763</v>
      </c>
      <c r="B887" s="64"/>
      <c r="C887" s="53" t="s">
        <v>32</v>
      </c>
      <c r="D887" s="53" t="s">
        <v>1482</v>
      </c>
      <c r="E887" s="65" t="s">
        <v>1759</v>
      </c>
      <c r="F887" s="53" t="s">
        <v>1102</v>
      </c>
      <c r="G887" s="53" t="s">
        <v>1603</v>
      </c>
      <c r="H887" s="53">
        <f>STOCK[[#This Row],[Precio Final]]</f>
        <v>32</v>
      </c>
      <c r="I887" s="53">
        <f>STOCK[[#This Row],[Precio Venta Ideal (x1.5)]]</f>
        <v>43.00588235294115</v>
      </c>
      <c r="J887" s="69">
        <v>4</v>
      </c>
      <c r="K887" s="69">
        <f>SUMIFS(VENTAS[Cantidad],VENTAS[Código del producto Vendido],STOCK[[#This Row],[Code]])</f>
        <v>4</v>
      </c>
      <c r="L887" s="69">
        <f>STOCK[[#This Row],[Entradas]]-STOCK[[#This Row],[Salidas]]</f>
        <v>0</v>
      </c>
      <c r="M887" s="53">
        <f>STOCK[[#This Row],[Precio Final]]*10%</f>
        <v>3.2</v>
      </c>
      <c r="N887" s="53">
        <v>348</v>
      </c>
      <c r="O887" s="53">
        <v>17</v>
      </c>
      <c r="P887" s="53">
        <v>20.470588235294102</v>
      </c>
      <c r="Q887" s="69">
        <v>0</v>
      </c>
      <c r="R887" s="53">
        <v>0</v>
      </c>
      <c r="S887" s="53">
        <v>5</v>
      </c>
      <c r="T887" s="53">
        <f>STOCK[[#This Row],[Costo Unitario (USD)]]+STOCK[[#This Row],[Costo Envío (USD)]]+STOCK[[#This Row],[Comisión 10%]]</f>
        <v>28.670588235294101</v>
      </c>
      <c r="U887" s="53">
        <f>STOCK[[#This Row],[Costo total]]*1.5</f>
        <v>43.00588235294115</v>
      </c>
      <c r="V887" s="53">
        <v>32</v>
      </c>
      <c r="W887" s="53">
        <f>STOCK[[#This Row],[Precio Final]]-STOCK[[#This Row],[Costo total]]</f>
        <v>3.3294117647058989</v>
      </c>
      <c r="X887" s="53">
        <f>STOCK[[#This Row],[Ganancia Unitaria]]*STOCK[[#This Row],[Salidas]]</f>
        <v>13.317647058823596</v>
      </c>
      <c r="Y887" s="53" t="s">
        <v>1734</v>
      </c>
      <c r="Z887" s="53">
        <f>STOCK[[#This Row],[Costo Envío (USD)]]*STOCK[[#This Row],[Entradas]]</f>
        <v>20</v>
      </c>
      <c r="AA887" s="53">
        <f>STOCK[[#This Row],[Costo total]]*STOCK[[#This Row],[Entradas]]</f>
        <v>114.6823529411764</v>
      </c>
      <c r="AB887" s="53">
        <f>STOCK[[#This Row],[Stock Actual]]*STOCK[[#This Row],[Costo total]]</f>
        <v>0</v>
      </c>
    </row>
    <row r="888" spans="1:28" s="54" customFormat="1" ht="50" customHeight="1">
      <c r="A888" s="54" t="s">
        <v>1764</v>
      </c>
      <c r="B888" s="64"/>
      <c r="C888" s="54" t="s">
        <v>32</v>
      </c>
      <c r="D888" s="54" t="s">
        <v>1482</v>
      </c>
      <c r="E888" s="66" t="s">
        <v>1759</v>
      </c>
      <c r="F888" s="54" t="s">
        <v>1680</v>
      </c>
      <c r="G888" s="54" t="s">
        <v>1603</v>
      </c>
      <c r="H888" s="54">
        <f>STOCK[[#This Row],[Precio Final]]</f>
        <v>30</v>
      </c>
      <c r="I888" s="54">
        <f>STOCK[[#This Row],[Precio Venta Ideal (x1.5)]]</f>
        <v>42.705882352941153</v>
      </c>
      <c r="J888" s="70">
        <v>3</v>
      </c>
      <c r="K888" s="70">
        <f>SUMIFS(VENTAS[Cantidad],VENTAS[Código del producto Vendido],STOCK[[#This Row],[Code]])</f>
        <v>3</v>
      </c>
      <c r="L888" s="70">
        <f>STOCK[[#This Row],[Entradas]]-STOCK[[#This Row],[Salidas]]</f>
        <v>0</v>
      </c>
      <c r="M888" s="54">
        <f>STOCK[[#This Row],[Precio Final]]*10%</f>
        <v>3</v>
      </c>
      <c r="N888" s="54">
        <v>348</v>
      </c>
      <c r="O888" s="54">
        <v>17</v>
      </c>
      <c r="P888" s="54">
        <v>20.470588235294102</v>
      </c>
      <c r="Q888" s="70">
        <v>0</v>
      </c>
      <c r="R888" s="54">
        <v>0</v>
      </c>
      <c r="S888" s="54">
        <v>5</v>
      </c>
      <c r="T888" s="53">
        <f>STOCK[[#This Row],[Costo Unitario (USD)]]+STOCK[[#This Row],[Costo Envío (USD)]]+STOCK[[#This Row],[Comisión 10%]]</f>
        <v>28.470588235294102</v>
      </c>
      <c r="U888" s="54">
        <f>STOCK[[#This Row],[Costo total]]*1.5</f>
        <v>42.705882352941153</v>
      </c>
      <c r="V888" s="54">
        <v>30</v>
      </c>
      <c r="W888" s="54">
        <f>STOCK[[#This Row],[Precio Final]]-STOCK[[#This Row],[Costo total]]</f>
        <v>1.5294117647058982</v>
      </c>
      <c r="X888" s="54">
        <f>STOCK[[#This Row],[Ganancia Unitaria]]*STOCK[[#This Row],[Salidas]]</f>
        <v>4.5882352941176947</v>
      </c>
      <c r="Y888" s="54" t="s">
        <v>1734</v>
      </c>
      <c r="Z888" s="54">
        <f>STOCK[[#This Row],[Costo Envío (USD)]]*STOCK[[#This Row],[Entradas]]</f>
        <v>15</v>
      </c>
      <c r="AA888" s="54">
        <f>STOCK[[#This Row],[Costo total]]*STOCK[[#This Row],[Entradas]]</f>
        <v>85.411764705882305</v>
      </c>
      <c r="AB888" s="54">
        <f>STOCK[[#This Row],[Stock Actual]]*STOCK[[#This Row],[Costo total]]</f>
        <v>0</v>
      </c>
    </row>
    <row r="889" spans="1:28" s="53" customFormat="1" ht="50" customHeight="1">
      <c r="A889" s="53" t="s">
        <v>1765</v>
      </c>
      <c r="B889" s="64"/>
      <c r="C889" s="53" t="s">
        <v>32</v>
      </c>
      <c r="D889" s="53" t="s">
        <v>1766</v>
      </c>
      <c r="E889" s="65" t="s">
        <v>1767</v>
      </c>
      <c r="F889" s="53" t="s">
        <v>525</v>
      </c>
      <c r="G889" s="53" t="s">
        <v>1603</v>
      </c>
      <c r="H889" s="53">
        <f>STOCK[[#This Row],[Precio Final]]</f>
        <v>1.2</v>
      </c>
      <c r="I889" s="53">
        <f>STOCK[[#This Row],[Precio Venta Ideal (x1.5)]]</f>
        <v>0.63441176470588201</v>
      </c>
      <c r="J889" s="69">
        <v>10</v>
      </c>
      <c r="K889" s="69">
        <f>SUMIFS(VENTAS[Cantidad],VENTAS[Código del producto Vendido],STOCK[[#This Row],[Code]])</f>
        <v>0</v>
      </c>
      <c r="L889" s="69">
        <f>STOCK[[#This Row],[Entradas]]-STOCK[[#This Row],[Salidas]]</f>
        <v>10</v>
      </c>
      <c r="M889" s="53">
        <f>STOCK[[#This Row],[Precio Final]]*10%</f>
        <v>0.12</v>
      </c>
      <c r="N889" s="53">
        <v>4.3</v>
      </c>
      <c r="O889" s="53">
        <v>17</v>
      </c>
      <c r="P889" s="53">
        <v>0.252941176470588</v>
      </c>
      <c r="Q889" s="69">
        <v>0</v>
      </c>
      <c r="R889" s="53">
        <v>0</v>
      </c>
      <c r="S889" s="53">
        <v>0.05</v>
      </c>
      <c r="T889" s="53">
        <f>STOCK[[#This Row],[Costo Unitario (USD)]]+STOCK[[#This Row],[Costo Envío (USD)]]+STOCK[[#This Row],[Comisión 10%]]</f>
        <v>0.42294117647058799</v>
      </c>
      <c r="U889" s="53">
        <f>STOCK[[#This Row],[Costo total]]*1.5</f>
        <v>0.63441176470588201</v>
      </c>
      <c r="V889" s="53">
        <v>1.2</v>
      </c>
      <c r="W889" s="53">
        <f>STOCK[[#This Row],[Precio Final]]-STOCK[[#This Row],[Costo total]]</f>
        <v>0.77705882352941202</v>
      </c>
      <c r="X889" s="53">
        <f>STOCK[[#This Row],[Ganancia Unitaria]]*STOCK[[#This Row],[Salidas]]</f>
        <v>0</v>
      </c>
      <c r="Y889" s="53" t="s">
        <v>1734</v>
      </c>
      <c r="Z889" s="53">
        <f>STOCK[[#This Row],[Costo Envío (USD)]]*STOCK[[#This Row],[Entradas]]</f>
        <v>0.5</v>
      </c>
      <c r="AA889" s="53">
        <f>STOCK[[#This Row],[Costo total]]*STOCK[[#This Row],[Entradas]]</f>
        <v>4.2294117647058798</v>
      </c>
      <c r="AB889" s="53">
        <f>STOCK[[#This Row],[Stock Actual]]*STOCK[[#This Row],[Costo total]]</f>
        <v>4.2294117647058798</v>
      </c>
    </row>
    <row r="890" spans="1:28" s="54" customFormat="1" ht="50" customHeight="1">
      <c r="A890" s="54" t="s">
        <v>1768</v>
      </c>
      <c r="B890" s="64"/>
      <c r="C890" s="54" t="s">
        <v>32</v>
      </c>
      <c r="D890" s="54" t="s">
        <v>1766</v>
      </c>
      <c r="E890" s="66" t="s">
        <v>1769</v>
      </c>
      <c r="F890" s="54" t="s">
        <v>525</v>
      </c>
      <c r="G890" s="54" t="s">
        <v>1603</v>
      </c>
      <c r="H890" s="54">
        <f>STOCK[[#This Row],[Precio Final]]</f>
        <v>1.2</v>
      </c>
      <c r="I890" s="54">
        <f>STOCK[[#This Row],[Precio Venta Ideal (x1.5)]]</f>
        <v>0.63441176470588201</v>
      </c>
      <c r="J890" s="70">
        <v>10</v>
      </c>
      <c r="K890" s="70">
        <f>SUMIFS(VENTAS[Cantidad],VENTAS[Código del producto Vendido],STOCK[[#This Row],[Code]])</f>
        <v>0</v>
      </c>
      <c r="L890" s="70">
        <f>STOCK[[#This Row],[Entradas]]-STOCK[[#This Row],[Salidas]]</f>
        <v>10</v>
      </c>
      <c r="M890" s="54">
        <f>STOCK[[#This Row],[Precio Final]]*10%</f>
        <v>0.12</v>
      </c>
      <c r="N890" s="54">
        <v>4.3</v>
      </c>
      <c r="O890" s="54">
        <v>17</v>
      </c>
      <c r="P890" s="54">
        <v>0.252941176470588</v>
      </c>
      <c r="Q890" s="70">
        <v>0</v>
      </c>
      <c r="R890" s="54">
        <v>0</v>
      </c>
      <c r="S890" s="54">
        <v>0.05</v>
      </c>
      <c r="T890" s="53">
        <f>STOCK[[#This Row],[Costo Unitario (USD)]]+STOCK[[#This Row],[Costo Envío (USD)]]+STOCK[[#This Row],[Comisión 10%]]</f>
        <v>0.42294117647058799</v>
      </c>
      <c r="U890" s="54">
        <f>STOCK[[#This Row],[Costo total]]*1.5</f>
        <v>0.63441176470588201</v>
      </c>
      <c r="V890" s="54">
        <v>1.2</v>
      </c>
      <c r="W890" s="54">
        <f>STOCK[[#This Row],[Precio Final]]-STOCK[[#This Row],[Costo total]]</f>
        <v>0.77705882352941202</v>
      </c>
      <c r="X890" s="54">
        <f>STOCK[[#This Row],[Ganancia Unitaria]]*STOCK[[#This Row],[Salidas]]</f>
        <v>0</v>
      </c>
      <c r="Y890" s="54" t="s">
        <v>1734</v>
      </c>
      <c r="Z890" s="54">
        <f>STOCK[[#This Row],[Costo Envío (USD)]]*STOCK[[#This Row],[Entradas]]</f>
        <v>0.5</v>
      </c>
      <c r="AA890" s="54">
        <f>STOCK[[#This Row],[Costo total]]*STOCK[[#This Row],[Entradas]]</f>
        <v>4.2294117647058798</v>
      </c>
      <c r="AB890" s="54">
        <f>STOCK[[#This Row],[Stock Actual]]*STOCK[[#This Row],[Costo total]]</f>
        <v>4.2294117647058798</v>
      </c>
    </row>
    <row r="891" spans="1:28" s="53" customFormat="1" ht="50" customHeight="1">
      <c r="A891" s="53" t="s">
        <v>1770</v>
      </c>
      <c r="B891" s="64"/>
      <c r="C891" s="53" t="s">
        <v>32</v>
      </c>
      <c r="D891" s="53" t="s">
        <v>1771</v>
      </c>
      <c r="E891" s="65" t="s">
        <v>1772</v>
      </c>
      <c r="F891" s="53" t="s">
        <v>525</v>
      </c>
      <c r="G891" s="53" t="s">
        <v>1603</v>
      </c>
      <c r="H891" s="53">
        <f>STOCK[[#This Row],[Precio Final]]</f>
        <v>1</v>
      </c>
      <c r="I891" s="53">
        <f>STOCK[[#This Row],[Precio Venta Ideal (x1.5)]]</f>
        <v>0.79411764705882304</v>
      </c>
      <c r="J891" s="69">
        <v>20</v>
      </c>
      <c r="K891" s="69">
        <f>SUMIFS(VENTAS[Cantidad],VENTAS[Código del producto Vendido],STOCK[[#This Row],[Code]])</f>
        <v>20</v>
      </c>
      <c r="L891" s="69">
        <f>STOCK[[#This Row],[Entradas]]-STOCK[[#This Row],[Salidas]]</f>
        <v>0</v>
      </c>
      <c r="M891" s="53">
        <f>STOCK[[#This Row],[Precio Final]]*10%</f>
        <v>0.1</v>
      </c>
      <c r="N891" s="53">
        <v>6.45</v>
      </c>
      <c r="O891" s="53">
        <v>17</v>
      </c>
      <c r="P891" s="53">
        <v>0.379411764705882</v>
      </c>
      <c r="Q891" s="69">
        <v>0</v>
      </c>
      <c r="R891" s="53">
        <v>0</v>
      </c>
      <c r="S891" s="53">
        <v>0.05</v>
      </c>
      <c r="T891" s="53">
        <f>STOCK[[#This Row],[Costo Unitario (USD)]]+STOCK[[#This Row],[Costo Envío (USD)]]+STOCK[[#This Row],[Comisión 10%]]</f>
        <v>0.52941176470588203</v>
      </c>
      <c r="U891" s="53">
        <f>STOCK[[#This Row],[Costo total]]*1.5</f>
        <v>0.79411764705882304</v>
      </c>
      <c r="V891" s="53">
        <v>1</v>
      </c>
      <c r="W891" s="53">
        <f>STOCK[[#This Row],[Precio Final]]-STOCK[[#This Row],[Costo total]]</f>
        <v>0.47058823529411797</v>
      </c>
      <c r="X891" s="53">
        <f>STOCK[[#This Row],[Ganancia Unitaria]]*STOCK[[#This Row],[Salidas]]</f>
        <v>9.4117647058823586</v>
      </c>
      <c r="Y891" s="53" t="s">
        <v>1734</v>
      </c>
      <c r="Z891" s="53">
        <f>STOCK[[#This Row],[Costo Envío (USD)]]*STOCK[[#This Row],[Entradas]]</f>
        <v>1</v>
      </c>
      <c r="AA891" s="53">
        <f>STOCK[[#This Row],[Costo total]]*STOCK[[#This Row],[Entradas]]</f>
        <v>10.588235294117641</v>
      </c>
      <c r="AB891" s="53">
        <f>STOCK[[#This Row],[Stock Actual]]*STOCK[[#This Row],[Costo total]]</f>
        <v>0</v>
      </c>
    </row>
    <row r="892" spans="1:28" s="54" customFormat="1" ht="50" customHeight="1">
      <c r="A892" s="54" t="s">
        <v>1773</v>
      </c>
      <c r="B892" s="64"/>
      <c r="C892" s="54" t="s">
        <v>32</v>
      </c>
      <c r="D892" s="54" t="s">
        <v>1774</v>
      </c>
      <c r="E892" s="66" t="s">
        <v>1746</v>
      </c>
      <c r="F892" s="54" t="s">
        <v>46</v>
      </c>
      <c r="G892" s="54" t="s">
        <v>1603</v>
      </c>
      <c r="H892" s="54">
        <f>STOCK[[#This Row],[Precio Final]]</f>
        <v>22</v>
      </c>
      <c r="I892" s="54">
        <f>STOCK[[#This Row],[Precio Venta Ideal (x1.5)]]</f>
        <v>23.329411764705885</v>
      </c>
      <c r="J892" s="70">
        <v>3</v>
      </c>
      <c r="K892" s="70">
        <f>SUMIFS(VENTAS[Cantidad],VENTAS[Código del producto Vendido],STOCK[[#This Row],[Code]])</f>
        <v>2</v>
      </c>
      <c r="L892" s="70">
        <f>STOCK[[#This Row],[Entradas]]-STOCK[[#This Row],[Salidas]]</f>
        <v>1</v>
      </c>
      <c r="M892" s="54">
        <f>STOCK[[#This Row],[Precio Final]]*10%</f>
        <v>2.2000000000000002</v>
      </c>
      <c r="N892" s="54">
        <v>159</v>
      </c>
      <c r="O892" s="54">
        <v>17</v>
      </c>
      <c r="P892" s="54">
        <v>9.3529411764705905</v>
      </c>
      <c r="Q892" s="70">
        <v>0</v>
      </c>
      <c r="R892" s="54">
        <v>0</v>
      </c>
      <c r="S892" s="54">
        <v>4</v>
      </c>
      <c r="T892" s="53">
        <f>STOCK[[#This Row],[Costo Unitario (USD)]]+STOCK[[#This Row],[Costo Envío (USD)]]+STOCK[[#This Row],[Comisión 10%]]</f>
        <v>15.55294117647059</v>
      </c>
      <c r="U892" s="54">
        <f>STOCK[[#This Row],[Costo total]]*1.5</f>
        <v>23.329411764705885</v>
      </c>
      <c r="V892" s="54">
        <v>22</v>
      </c>
      <c r="W892" s="54">
        <f>STOCK[[#This Row],[Precio Final]]-STOCK[[#This Row],[Costo total]]</f>
        <v>6.4470588235294102</v>
      </c>
      <c r="X892" s="54">
        <f>STOCK[[#This Row],[Ganancia Unitaria]]*STOCK[[#This Row],[Salidas]]</f>
        <v>12.89411764705882</v>
      </c>
      <c r="Y892" s="54" t="s">
        <v>1734</v>
      </c>
      <c r="Z892" s="54">
        <f>STOCK[[#This Row],[Costo Envío (USD)]]*STOCK[[#This Row],[Entradas]]</f>
        <v>12</v>
      </c>
      <c r="AA892" s="54">
        <f>STOCK[[#This Row],[Costo total]]*STOCK[[#This Row],[Entradas]]</f>
        <v>46.658823529411769</v>
      </c>
      <c r="AB892" s="54">
        <f>STOCK[[#This Row],[Stock Actual]]*STOCK[[#This Row],[Costo total]]</f>
        <v>15.55294117647059</v>
      </c>
    </row>
    <row r="893" spans="1:28" s="53" customFormat="1" ht="50" customHeight="1">
      <c r="A893" s="53" t="s">
        <v>1775</v>
      </c>
      <c r="B893" s="64"/>
      <c r="C893" s="53" t="s">
        <v>32</v>
      </c>
      <c r="D893" s="53" t="s">
        <v>38</v>
      </c>
      <c r="E893" s="65" t="s">
        <v>1776</v>
      </c>
      <c r="F893" s="53" t="s">
        <v>40</v>
      </c>
      <c r="G893" s="53" t="s">
        <v>1603</v>
      </c>
      <c r="H893" s="53">
        <f>STOCK[[#This Row],[Precio Final]]</f>
        <v>20</v>
      </c>
      <c r="I893" s="53">
        <f>STOCK[[#This Row],[Precio Venta Ideal (x1.5)]]</f>
        <v>21.529411764705884</v>
      </c>
      <c r="J893" s="69">
        <v>1</v>
      </c>
      <c r="K893" s="69">
        <f>SUMIFS(VENTAS[Cantidad],VENTAS[Código del producto Vendido],STOCK[[#This Row],[Code]])</f>
        <v>0</v>
      </c>
      <c r="L893" s="69">
        <f>STOCK[[#This Row],[Entradas]]-STOCK[[#This Row],[Salidas]]</f>
        <v>1</v>
      </c>
      <c r="M893" s="53">
        <f>STOCK[[#This Row],[Precio Final]]*10%</f>
        <v>2</v>
      </c>
      <c r="N893" s="53">
        <v>142</v>
      </c>
      <c r="O893" s="53">
        <v>17</v>
      </c>
      <c r="P893" s="53">
        <v>8.3529411764705905</v>
      </c>
      <c r="Q893" s="69">
        <v>0</v>
      </c>
      <c r="R893" s="53">
        <v>0</v>
      </c>
      <c r="S893" s="53">
        <v>4</v>
      </c>
      <c r="T893" s="53">
        <f>STOCK[[#This Row],[Costo Unitario (USD)]]+STOCK[[#This Row],[Costo Envío (USD)]]+STOCK[[#This Row],[Comisión 10%]]</f>
        <v>14.352941176470591</v>
      </c>
      <c r="U893" s="53">
        <f>STOCK[[#This Row],[Costo total]]*1.5</f>
        <v>21.529411764705884</v>
      </c>
      <c r="V893" s="53">
        <v>20</v>
      </c>
      <c r="W893" s="53">
        <f>STOCK[[#This Row],[Precio Final]]-STOCK[[#This Row],[Costo total]]</f>
        <v>5.6470588235294095</v>
      </c>
      <c r="X893" s="53">
        <f>STOCK[[#This Row],[Ganancia Unitaria]]*STOCK[[#This Row],[Salidas]]</f>
        <v>0</v>
      </c>
      <c r="Y893" s="53" t="s">
        <v>1734</v>
      </c>
      <c r="Z893" s="53">
        <f>STOCK[[#This Row],[Costo Envío (USD)]]*STOCK[[#This Row],[Entradas]]</f>
        <v>4</v>
      </c>
      <c r="AA893" s="53">
        <f>STOCK[[#This Row],[Costo total]]*STOCK[[#This Row],[Entradas]]</f>
        <v>14.352941176470591</v>
      </c>
      <c r="AB893" s="53">
        <f>STOCK[[#This Row],[Stock Actual]]*STOCK[[#This Row],[Costo total]]</f>
        <v>14.352941176470591</v>
      </c>
    </row>
    <row r="894" spans="1:28" s="54" customFormat="1" ht="50" customHeight="1">
      <c r="A894" s="54" t="s">
        <v>1777</v>
      </c>
      <c r="B894" s="64"/>
      <c r="C894" s="54" t="s">
        <v>32</v>
      </c>
      <c r="D894" s="53" t="s">
        <v>38</v>
      </c>
      <c r="E894" s="65" t="s">
        <v>1776</v>
      </c>
      <c r="F894" s="54" t="s">
        <v>62</v>
      </c>
      <c r="G894" s="54" t="s">
        <v>1603</v>
      </c>
      <c r="H894" s="54">
        <f>STOCK[[#This Row],[Precio Final]]</f>
        <v>20</v>
      </c>
      <c r="I894" s="54">
        <f>STOCK[[#This Row],[Precio Venta Ideal (x1.5)]]</f>
        <v>21.529411764705884</v>
      </c>
      <c r="J894" s="70">
        <v>1</v>
      </c>
      <c r="K894" s="70">
        <f>SUMIFS(VENTAS[Cantidad],VENTAS[Código del producto Vendido],STOCK[[#This Row],[Code]])</f>
        <v>0</v>
      </c>
      <c r="L894" s="70">
        <f>STOCK[[#This Row],[Entradas]]-STOCK[[#This Row],[Salidas]]</f>
        <v>1</v>
      </c>
      <c r="M894" s="54">
        <f>STOCK[[#This Row],[Precio Final]]*10%</f>
        <v>2</v>
      </c>
      <c r="N894" s="54">
        <v>142</v>
      </c>
      <c r="O894" s="54">
        <v>17</v>
      </c>
      <c r="P894" s="54">
        <v>8.3529411764705905</v>
      </c>
      <c r="Q894" s="70">
        <v>0</v>
      </c>
      <c r="R894" s="54">
        <v>0</v>
      </c>
      <c r="S894" s="54">
        <v>4</v>
      </c>
      <c r="T894" s="53">
        <f>STOCK[[#This Row],[Costo Unitario (USD)]]+STOCK[[#This Row],[Costo Envío (USD)]]+STOCK[[#This Row],[Comisión 10%]]</f>
        <v>14.352941176470591</v>
      </c>
      <c r="U894" s="54">
        <f>STOCK[[#This Row],[Costo total]]*1.5</f>
        <v>21.529411764705884</v>
      </c>
      <c r="V894" s="54">
        <v>20</v>
      </c>
      <c r="W894" s="54">
        <f>STOCK[[#This Row],[Precio Final]]-STOCK[[#This Row],[Costo total]]</f>
        <v>5.6470588235294095</v>
      </c>
      <c r="X894" s="54">
        <f>STOCK[[#This Row],[Ganancia Unitaria]]*STOCK[[#This Row],[Salidas]]</f>
        <v>0</v>
      </c>
      <c r="Y894" s="54" t="s">
        <v>1734</v>
      </c>
      <c r="Z894" s="54">
        <f>STOCK[[#This Row],[Costo Envío (USD)]]*STOCK[[#This Row],[Entradas]]</f>
        <v>4</v>
      </c>
      <c r="AA894" s="54">
        <f>STOCK[[#This Row],[Costo total]]*STOCK[[#This Row],[Entradas]]</f>
        <v>14.352941176470591</v>
      </c>
      <c r="AB894" s="54">
        <f>STOCK[[#This Row],[Stock Actual]]*STOCK[[#This Row],[Costo total]]</f>
        <v>14.352941176470591</v>
      </c>
    </row>
    <row r="895" spans="1:28" s="53" customFormat="1" ht="50" customHeight="1">
      <c r="A895" s="53" t="s">
        <v>1778</v>
      </c>
      <c r="B895" s="64"/>
      <c r="C895" s="53" t="s">
        <v>32</v>
      </c>
      <c r="D895" s="53" t="s">
        <v>975</v>
      </c>
      <c r="E895" s="65" t="s">
        <v>1776</v>
      </c>
      <c r="F895" s="53" t="s">
        <v>49</v>
      </c>
      <c r="G895" s="53" t="s">
        <v>1603</v>
      </c>
      <c r="H895" s="53">
        <f>STOCK[[#This Row],[Precio Final]]</f>
        <v>20</v>
      </c>
      <c r="I895" s="53">
        <f>STOCK[[#This Row],[Precio Venta Ideal (x1.5)]]</f>
        <v>21.529411764705884</v>
      </c>
      <c r="J895" s="69">
        <v>1</v>
      </c>
      <c r="K895" s="69">
        <f>SUMIFS(VENTAS[Cantidad],VENTAS[Código del producto Vendido],STOCK[[#This Row],[Code]])</f>
        <v>0</v>
      </c>
      <c r="L895" s="69">
        <f>STOCK[[#This Row],[Entradas]]-STOCK[[#This Row],[Salidas]]</f>
        <v>1</v>
      </c>
      <c r="M895" s="53">
        <f>STOCK[[#This Row],[Precio Final]]*10%</f>
        <v>2</v>
      </c>
      <c r="N895" s="53">
        <v>142</v>
      </c>
      <c r="O895" s="53">
        <v>17</v>
      </c>
      <c r="P895" s="53">
        <v>8.3529411764705905</v>
      </c>
      <c r="Q895" s="69">
        <v>0</v>
      </c>
      <c r="R895" s="53">
        <v>0</v>
      </c>
      <c r="S895" s="53">
        <v>4</v>
      </c>
      <c r="T895" s="53">
        <f>STOCK[[#This Row],[Costo Unitario (USD)]]+STOCK[[#This Row],[Costo Envío (USD)]]+STOCK[[#This Row],[Comisión 10%]]</f>
        <v>14.352941176470591</v>
      </c>
      <c r="U895" s="53">
        <f>STOCK[[#This Row],[Costo total]]*1.5</f>
        <v>21.529411764705884</v>
      </c>
      <c r="V895" s="53">
        <v>20</v>
      </c>
      <c r="W895" s="53">
        <f>STOCK[[#This Row],[Precio Final]]-STOCK[[#This Row],[Costo total]]</f>
        <v>5.6470588235294095</v>
      </c>
      <c r="X895" s="53">
        <f>STOCK[[#This Row],[Ganancia Unitaria]]*STOCK[[#This Row],[Salidas]]</f>
        <v>0</v>
      </c>
      <c r="Y895" s="53" t="s">
        <v>1734</v>
      </c>
      <c r="Z895" s="53">
        <f>STOCK[[#This Row],[Costo Envío (USD)]]*STOCK[[#This Row],[Entradas]]</f>
        <v>4</v>
      </c>
      <c r="AA895" s="53">
        <f>STOCK[[#This Row],[Costo total]]*STOCK[[#This Row],[Entradas]]</f>
        <v>14.352941176470591</v>
      </c>
      <c r="AB895" s="53">
        <f>STOCK[[#This Row],[Stock Actual]]*STOCK[[#This Row],[Costo total]]</f>
        <v>14.352941176470591</v>
      </c>
    </row>
    <row r="896" spans="1:28" s="54" customFormat="1" ht="50" customHeight="1">
      <c r="A896" s="54" t="s">
        <v>1779</v>
      </c>
      <c r="B896" s="64"/>
      <c r="C896" s="54" t="s">
        <v>32</v>
      </c>
      <c r="D896" s="54" t="s">
        <v>975</v>
      </c>
      <c r="E896" s="66" t="s">
        <v>1780</v>
      </c>
      <c r="F896" s="54" t="s">
        <v>205</v>
      </c>
      <c r="G896" s="54" t="s">
        <v>1603</v>
      </c>
      <c r="H896" s="54">
        <f>STOCK[[#This Row],[Precio Final]]</f>
        <v>20</v>
      </c>
      <c r="I896" s="54">
        <f>STOCK[[#This Row],[Precio Venta Ideal (x1.5)]]</f>
        <v>21.529411764705884</v>
      </c>
      <c r="J896" s="70">
        <v>1</v>
      </c>
      <c r="K896" s="70">
        <f>SUMIFS(VENTAS[Cantidad],VENTAS[Código del producto Vendido],STOCK[[#This Row],[Code]])</f>
        <v>1</v>
      </c>
      <c r="L896" s="70">
        <f>STOCK[[#This Row],[Entradas]]-STOCK[[#This Row],[Salidas]]</f>
        <v>0</v>
      </c>
      <c r="M896" s="54">
        <f>STOCK[[#This Row],[Precio Final]]*10%</f>
        <v>2</v>
      </c>
      <c r="N896" s="54">
        <v>142</v>
      </c>
      <c r="O896" s="54">
        <v>17</v>
      </c>
      <c r="P896" s="54">
        <v>8.3529411764705905</v>
      </c>
      <c r="Q896" s="70">
        <v>0</v>
      </c>
      <c r="R896" s="54">
        <v>0</v>
      </c>
      <c r="S896" s="54">
        <v>4</v>
      </c>
      <c r="T896" s="53">
        <f>STOCK[[#This Row],[Costo Unitario (USD)]]+STOCK[[#This Row],[Costo Envío (USD)]]+STOCK[[#This Row],[Comisión 10%]]</f>
        <v>14.352941176470591</v>
      </c>
      <c r="U896" s="54">
        <f>STOCK[[#This Row],[Costo total]]*1.5</f>
        <v>21.529411764705884</v>
      </c>
      <c r="V896" s="54">
        <v>20</v>
      </c>
      <c r="W896" s="54">
        <f>STOCK[[#This Row],[Precio Final]]-STOCK[[#This Row],[Costo total]]</f>
        <v>5.6470588235294095</v>
      </c>
      <c r="X896" s="54">
        <f>STOCK[[#This Row],[Ganancia Unitaria]]*STOCK[[#This Row],[Salidas]]</f>
        <v>5.6470588235294095</v>
      </c>
      <c r="Y896" s="54" t="s">
        <v>1734</v>
      </c>
      <c r="Z896" s="54">
        <f>STOCK[[#This Row],[Costo Envío (USD)]]*STOCK[[#This Row],[Entradas]]</f>
        <v>4</v>
      </c>
      <c r="AA896" s="54">
        <f>STOCK[[#This Row],[Costo total]]*STOCK[[#This Row],[Entradas]]</f>
        <v>14.352941176470591</v>
      </c>
      <c r="AB896" s="54">
        <f>STOCK[[#This Row],[Stock Actual]]*STOCK[[#This Row],[Costo total]]</f>
        <v>0</v>
      </c>
    </row>
    <row r="897" spans="1:28" s="53" customFormat="1" ht="50" customHeight="1">
      <c r="A897" s="53" t="s">
        <v>1781</v>
      </c>
      <c r="B897" s="64"/>
      <c r="C897" s="53" t="s">
        <v>32</v>
      </c>
      <c r="D897" s="54" t="s">
        <v>38</v>
      </c>
      <c r="E897" s="65" t="s">
        <v>1782</v>
      </c>
      <c r="F897" s="53" t="s">
        <v>211</v>
      </c>
      <c r="G897" s="53" t="s">
        <v>1603</v>
      </c>
      <c r="H897" s="53">
        <f>STOCK[[#This Row],[Precio Final]]</f>
        <v>20</v>
      </c>
      <c r="I897" s="53">
        <f>STOCK[[#This Row],[Precio Venta Ideal (x1.5)]]</f>
        <v>21.529411764705884</v>
      </c>
      <c r="J897" s="69">
        <v>2</v>
      </c>
      <c r="K897" s="69">
        <f>SUMIFS(VENTAS[Cantidad],VENTAS[Código del producto Vendido],STOCK[[#This Row],[Code]])</f>
        <v>2</v>
      </c>
      <c r="L897" s="69">
        <f>STOCK[[#This Row],[Entradas]]-STOCK[[#This Row],[Salidas]]</f>
        <v>0</v>
      </c>
      <c r="M897" s="53">
        <f>STOCK[[#This Row],[Precio Final]]*10%</f>
        <v>2</v>
      </c>
      <c r="N897" s="53">
        <v>142</v>
      </c>
      <c r="O897" s="53">
        <v>17</v>
      </c>
      <c r="P897" s="53">
        <v>8.3529411764705905</v>
      </c>
      <c r="Q897" s="69">
        <v>0</v>
      </c>
      <c r="R897" s="53">
        <v>0</v>
      </c>
      <c r="S897" s="53">
        <v>4</v>
      </c>
      <c r="T897" s="53">
        <f>STOCK[[#This Row],[Costo Unitario (USD)]]+STOCK[[#This Row],[Costo Envío (USD)]]+STOCK[[#This Row],[Comisión 10%]]</f>
        <v>14.352941176470591</v>
      </c>
      <c r="U897" s="53">
        <f>STOCK[[#This Row],[Costo total]]*1.5</f>
        <v>21.529411764705884</v>
      </c>
      <c r="V897" s="53">
        <v>20</v>
      </c>
      <c r="W897" s="53">
        <f>STOCK[[#This Row],[Precio Final]]-STOCK[[#This Row],[Costo total]]</f>
        <v>5.6470588235294095</v>
      </c>
      <c r="X897" s="53">
        <f>STOCK[[#This Row],[Ganancia Unitaria]]*STOCK[[#This Row],[Salidas]]</f>
        <v>11.294117647058819</v>
      </c>
      <c r="Y897" s="53" t="s">
        <v>1734</v>
      </c>
      <c r="Z897" s="53">
        <f>STOCK[[#This Row],[Costo Envío (USD)]]*STOCK[[#This Row],[Entradas]]</f>
        <v>8</v>
      </c>
      <c r="AA897" s="53">
        <f>STOCK[[#This Row],[Costo total]]*STOCK[[#This Row],[Entradas]]</f>
        <v>28.705882352941181</v>
      </c>
      <c r="AB897" s="53">
        <f>STOCK[[#This Row],[Stock Actual]]*STOCK[[#This Row],[Costo total]]</f>
        <v>0</v>
      </c>
    </row>
    <row r="898" spans="1:28" s="54" customFormat="1" ht="50" customHeight="1">
      <c r="A898" s="54" t="s">
        <v>1783</v>
      </c>
      <c r="B898" s="64"/>
      <c r="C898" s="54" t="s">
        <v>32</v>
      </c>
      <c r="D898" s="54" t="s">
        <v>975</v>
      </c>
      <c r="E898" s="66" t="s">
        <v>1782</v>
      </c>
      <c r="F898" s="54" t="s">
        <v>49</v>
      </c>
      <c r="G898" s="54" t="s">
        <v>1603</v>
      </c>
      <c r="H898" s="54">
        <f>STOCK[[#This Row],[Precio Final]]</f>
        <v>20</v>
      </c>
      <c r="I898" s="54">
        <f>STOCK[[#This Row],[Precio Venta Ideal (x1.5)]]</f>
        <v>21.529411764705884</v>
      </c>
      <c r="J898" s="70">
        <v>2</v>
      </c>
      <c r="K898" s="70">
        <f>SUMIFS(VENTAS[Cantidad],VENTAS[Código del producto Vendido],STOCK[[#This Row],[Code]])</f>
        <v>1</v>
      </c>
      <c r="L898" s="70">
        <f>STOCK[[#This Row],[Entradas]]-STOCK[[#This Row],[Salidas]]</f>
        <v>1</v>
      </c>
      <c r="M898" s="54">
        <f>STOCK[[#This Row],[Precio Final]]*10%</f>
        <v>2</v>
      </c>
      <c r="N898" s="54">
        <v>142</v>
      </c>
      <c r="O898" s="54">
        <v>17</v>
      </c>
      <c r="P898" s="54">
        <v>8.3529411764705905</v>
      </c>
      <c r="Q898" s="70">
        <v>0</v>
      </c>
      <c r="R898" s="54">
        <v>0</v>
      </c>
      <c r="S898" s="54">
        <v>4</v>
      </c>
      <c r="T898" s="53">
        <f>STOCK[[#This Row],[Costo Unitario (USD)]]+STOCK[[#This Row],[Costo Envío (USD)]]+STOCK[[#This Row],[Comisión 10%]]</f>
        <v>14.352941176470591</v>
      </c>
      <c r="U898" s="54">
        <f>STOCK[[#This Row],[Costo total]]*1.5</f>
        <v>21.529411764705884</v>
      </c>
      <c r="V898" s="54">
        <v>20</v>
      </c>
      <c r="W898" s="54">
        <f>STOCK[[#This Row],[Precio Final]]-STOCK[[#This Row],[Costo total]]</f>
        <v>5.6470588235294095</v>
      </c>
      <c r="X898" s="54">
        <f>STOCK[[#This Row],[Ganancia Unitaria]]*STOCK[[#This Row],[Salidas]]</f>
        <v>5.6470588235294095</v>
      </c>
      <c r="Y898" s="54" t="s">
        <v>1734</v>
      </c>
      <c r="Z898" s="54">
        <f>STOCK[[#This Row],[Costo Envío (USD)]]*STOCK[[#This Row],[Entradas]]</f>
        <v>8</v>
      </c>
      <c r="AA898" s="54">
        <f>STOCK[[#This Row],[Costo total]]*STOCK[[#This Row],[Entradas]]</f>
        <v>28.705882352941181</v>
      </c>
      <c r="AB898" s="54">
        <f>STOCK[[#This Row],[Stock Actual]]*STOCK[[#This Row],[Costo total]]</f>
        <v>14.352941176470591</v>
      </c>
    </row>
    <row r="899" spans="1:28" s="53" customFormat="1" ht="50" customHeight="1">
      <c r="A899" s="53" t="s">
        <v>1784</v>
      </c>
      <c r="B899" s="64"/>
      <c r="C899" s="53" t="s">
        <v>32</v>
      </c>
      <c r="D899" s="53" t="s">
        <v>1785</v>
      </c>
      <c r="E899" s="65" t="s">
        <v>1786</v>
      </c>
      <c r="F899" s="53" t="s">
        <v>525</v>
      </c>
      <c r="G899" s="53" t="s">
        <v>36</v>
      </c>
      <c r="H899" s="53">
        <f>STOCK[[#This Row],[Precio Final]]</f>
        <v>10</v>
      </c>
      <c r="I899" s="53">
        <f>STOCK[[#This Row],[Precio Venta Ideal (x1.5)]]</f>
        <v>7.2352941176470651</v>
      </c>
      <c r="J899" s="69">
        <v>2</v>
      </c>
      <c r="K899" s="69">
        <f>SUMIFS(VENTAS[Cantidad],VENTAS[Código del producto Vendido],STOCK[[#This Row],[Code]])</f>
        <v>2</v>
      </c>
      <c r="L899" s="69">
        <f>STOCK[[#This Row],[Entradas]]-STOCK[[#This Row],[Salidas]]</f>
        <v>0</v>
      </c>
      <c r="M899" s="53">
        <f>STOCK[[#This Row],[Precio Final]]*10%</f>
        <v>1</v>
      </c>
      <c r="N899" s="53">
        <v>48</v>
      </c>
      <c r="O899" s="53">
        <v>17</v>
      </c>
      <c r="P899" s="53">
        <v>2.8235294117647101</v>
      </c>
      <c r="Q899" s="69">
        <v>0</v>
      </c>
      <c r="R899" s="53">
        <v>0</v>
      </c>
      <c r="S899" s="53">
        <v>1</v>
      </c>
      <c r="T899" s="53">
        <f>STOCK[[#This Row],[Costo Unitario (USD)]]+STOCK[[#This Row],[Costo Envío (USD)]]+STOCK[[#This Row],[Comisión 10%]]</f>
        <v>4.8235294117647101</v>
      </c>
      <c r="U899" s="53">
        <f>STOCK[[#This Row],[Costo total]]*1.5</f>
        <v>7.2352941176470651</v>
      </c>
      <c r="V899" s="53">
        <v>10</v>
      </c>
      <c r="W899" s="53">
        <f>STOCK[[#This Row],[Precio Final]]-STOCK[[#This Row],[Costo total]]</f>
        <v>5.1764705882352899</v>
      </c>
      <c r="X899" s="53">
        <f>STOCK[[#This Row],[Ganancia Unitaria]]*STOCK[[#This Row],[Salidas]]</f>
        <v>10.35294117647058</v>
      </c>
      <c r="Y899" s="53" t="s">
        <v>1734</v>
      </c>
      <c r="Z899" s="53">
        <f>STOCK[[#This Row],[Costo Envío (USD)]]*STOCK[[#This Row],[Entradas]]</f>
        <v>2</v>
      </c>
      <c r="AA899" s="53">
        <f>STOCK[[#This Row],[Costo total]]*STOCK[[#This Row],[Entradas]]</f>
        <v>9.6470588235294201</v>
      </c>
      <c r="AB899" s="53">
        <f>STOCK[[#This Row],[Stock Actual]]*STOCK[[#This Row],[Costo total]]</f>
        <v>0</v>
      </c>
    </row>
    <row r="900" spans="1:28" s="54" customFormat="1" ht="50" customHeight="1">
      <c r="A900" s="54" t="s">
        <v>1787</v>
      </c>
      <c r="B900" s="64"/>
      <c r="C900" s="54" t="s">
        <v>32</v>
      </c>
      <c r="D900" s="54" t="s">
        <v>38</v>
      </c>
      <c r="E900" s="66" t="s">
        <v>1749</v>
      </c>
      <c r="F900" s="54" t="s">
        <v>49</v>
      </c>
      <c r="G900" s="54" t="s">
        <v>36</v>
      </c>
      <c r="H900" s="54">
        <f>STOCK[[#This Row],[Precio Final]]</f>
        <v>20</v>
      </c>
      <c r="I900" s="54">
        <f>STOCK[[#This Row],[Precio Venta Ideal (x1.5)]]</f>
        <v>17.382352941176475</v>
      </c>
      <c r="J900" s="70">
        <v>1</v>
      </c>
      <c r="K900" s="70">
        <f>SUMIFS(VENTAS[Cantidad],VENTAS[Código del producto Vendido],STOCK[[#This Row],[Code]])</f>
        <v>1</v>
      </c>
      <c r="L900" s="70">
        <f>STOCK[[#This Row],[Entradas]]-STOCK[[#This Row],[Salidas]]</f>
        <v>0</v>
      </c>
      <c r="M900" s="54">
        <f>STOCK[[#This Row],[Precio Final]]*10%</f>
        <v>2</v>
      </c>
      <c r="N900" s="54">
        <v>112</v>
      </c>
      <c r="O900" s="54">
        <v>17</v>
      </c>
      <c r="P900" s="54">
        <v>6.5882352941176503</v>
      </c>
      <c r="Q900" s="70">
        <v>0</v>
      </c>
      <c r="R900" s="54">
        <v>0</v>
      </c>
      <c r="S900" s="54">
        <v>3</v>
      </c>
      <c r="T900" s="53">
        <f>STOCK[[#This Row],[Costo Unitario (USD)]]+STOCK[[#This Row],[Costo Envío (USD)]]+STOCK[[#This Row],[Comisión 10%]]</f>
        <v>11.58823529411765</v>
      </c>
      <c r="U900" s="54">
        <f>STOCK[[#This Row],[Costo total]]*1.5</f>
        <v>17.382352941176475</v>
      </c>
      <c r="V900" s="54">
        <v>20</v>
      </c>
      <c r="W900" s="54">
        <f>STOCK[[#This Row],[Precio Final]]-STOCK[[#This Row],[Costo total]]</f>
        <v>8.4117647058823497</v>
      </c>
      <c r="X900" s="54">
        <f>STOCK[[#This Row],[Ganancia Unitaria]]*STOCK[[#This Row],[Salidas]]</f>
        <v>8.4117647058823497</v>
      </c>
      <c r="Y900" s="54" t="s">
        <v>1734</v>
      </c>
      <c r="Z900" s="54">
        <f>STOCK[[#This Row],[Costo Envío (USD)]]*STOCK[[#This Row],[Entradas]]</f>
        <v>3</v>
      </c>
      <c r="AA900" s="54">
        <f>STOCK[[#This Row],[Costo total]]*STOCK[[#This Row],[Entradas]]</f>
        <v>11.58823529411765</v>
      </c>
      <c r="AB900" s="54">
        <f>STOCK[[#This Row],[Stock Actual]]*STOCK[[#This Row],[Costo total]]</f>
        <v>0</v>
      </c>
    </row>
    <row r="901" spans="1:28" s="53" customFormat="1" ht="50" customHeight="1">
      <c r="A901" s="53" t="s">
        <v>1788</v>
      </c>
      <c r="B901" s="64"/>
      <c r="C901" s="53" t="s">
        <v>32</v>
      </c>
      <c r="D901" s="53" t="s">
        <v>975</v>
      </c>
      <c r="E901" s="65" t="s">
        <v>1789</v>
      </c>
      <c r="F901" s="53" t="s">
        <v>46</v>
      </c>
      <c r="G901" s="53" t="s">
        <v>36</v>
      </c>
      <c r="H901" s="53">
        <f>STOCK[[#This Row],[Precio Final]]</f>
        <v>20</v>
      </c>
      <c r="I901" s="53">
        <f>STOCK[[#This Row],[Precio Venta Ideal (x1.5)]]</f>
        <v>17.382352941176475</v>
      </c>
      <c r="J901" s="69">
        <v>1</v>
      </c>
      <c r="K901" s="69">
        <f>SUMIFS(VENTAS[Cantidad],VENTAS[Código del producto Vendido],STOCK[[#This Row],[Code]])</f>
        <v>1</v>
      </c>
      <c r="L901" s="69">
        <f>STOCK[[#This Row],[Entradas]]-STOCK[[#This Row],[Salidas]]</f>
        <v>0</v>
      </c>
      <c r="M901" s="53">
        <f>STOCK[[#This Row],[Precio Final]]*10%</f>
        <v>2</v>
      </c>
      <c r="N901" s="53">
        <v>112</v>
      </c>
      <c r="O901" s="53">
        <v>17</v>
      </c>
      <c r="P901" s="53">
        <v>6.5882352941176503</v>
      </c>
      <c r="Q901" s="69">
        <v>0</v>
      </c>
      <c r="R901" s="53">
        <v>0</v>
      </c>
      <c r="S901" s="53">
        <v>3</v>
      </c>
      <c r="T901" s="53">
        <f>STOCK[[#This Row],[Costo Unitario (USD)]]+STOCK[[#This Row],[Costo Envío (USD)]]+STOCK[[#This Row],[Comisión 10%]]</f>
        <v>11.58823529411765</v>
      </c>
      <c r="U901" s="53">
        <f>STOCK[[#This Row],[Costo total]]*1.5</f>
        <v>17.382352941176475</v>
      </c>
      <c r="V901" s="53">
        <v>20</v>
      </c>
      <c r="W901" s="53">
        <f>STOCK[[#This Row],[Precio Final]]-STOCK[[#This Row],[Costo total]]</f>
        <v>8.4117647058823497</v>
      </c>
      <c r="X901" s="53">
        <f>STOCK[[#This Row],[Ganancia Unitaria]]*STOCK[[#This Row],[Salidas]]</f>
        <v>8.4117647058823497</v>
      </c>
      <c r="Y901" s="53" t="s">
        <v>1734</v>
      </c>
      <c r="Z901" s="53">
        <f>STOCK[[#This Row],[Costo Envío (USD)]]*STOCK[[#This Row],[Entradas]]</f>
        <v>3</v>
      </c>
      <c r="AA901" s="53">
        <f>STOCK[[#This Row],[Costo total]]*STOCK[[#This Row],[Entradas]]</f>
        <v>11.58823529411765</v>
      </c>
      <c r="AB901" s="53">
        <f>STOCK[[#This Row],[Stock Actual]]*STOCK[[#This Row],[Costo total]]</f>
        <v>0</v>
      </c>
    </row>
    <row r="902" spans="1:28" s="54" customFormat="1" ht="50" customHeight="1">
      <c r="A902" s="54" t="s">
        <v>1790</v>
      </c>
      <c r="B902" s="64"/>
      <c r="C902" s="54" t="s">
        <v>32</v>
      </c>
      <c r="D902" s="54" t="s">
        <v>1791</v>
      </c>
      <c r="E902" s="66" t="s">
        <v>1792</v>
      </c>
      <c r="F902" s="54" t="s">
        <v>1793</v>
      </c>
      <c r="G902" s="54" t="s">
        <v>36</v>
      </c>
      <c r="H902" s="54">
        <f>STOCK[[#This Row],[Precio Final]]</f>
        <v>8</v>
      </c>
      <c r="I902" s="54">
        <f>STOCK[[#This Row],[Precio Venta Ideal (x1.5)]]</f>
        <v>7.5529411764705898</v>
      </c>
      <c r="J902" s="70">
        <v>2</v>
      </c>
      <c r="K902" s="70">
        <f>SUMIFS(VENTAS[Cantidad],VENTAS[Código del producto Vendido],STOCK[[#This Row],[Code]])</f>
        <v>2</v>
      </c>
      <c r="L902" s="70">
        <f>STOCK[[#This Row],[Entradas]]-STOCK[[#This Row],[Salidas]]</f>
        <v>0</v>
      </c>
      <c r="M902" s="54">
        <f>STOCK[[#This Row],[Precio Final]]*10%</f>
        <v>0.8</v>
      </c>
      <c r="N902" s="54">
        <v>55</v>
      </c>
      <c r="O902" s="54">
        <v>17</v>
      </c>
      <c r="P902" s="54">
        <v>3.2352941176470602</v>
      </c>
      <c r="Q902" s="70">
        <v>0</v>
      </c>
      <c r="R902" s="54">
        <v>0</v>
      </c>
      <c r="S902" s="54">
        <v>1</v>
      </c>
      <c r="T902" s="53">
        <f>STOCK[[#This Row],[Costo Unitario (USD)]]+STOCK[[#This Row],[Costo Envío (USD)]]+STOCK[[#This Row],[Comisión 10%]]</f>
        <v>5.0352941176470596</v>
      </c>
      <c r="U902" s="54">
        <f>STOCK[[#This Row],[Costo total]]*1.5</f>
        <v>7.5529411764705898</v>
      </c>
      <c r="V902" s="54">
        <v>8</v>
      </c>
      <c r="W902" s="54">
        <f>STOCK[[#This Row],[Precio Final]]-STOCK[[#This Row],[Costo total]]</f>
        <v>2.9647058823529404</v>
      </c>
      <c r="X902" s="54">
        <f>STOCK[[#This Row],[Ganancia Unitaria]]*STOCK[[#This Row],[Salidas]]</f>
        <v>5.9294117647058808</v>
      </c>
      <c r="Y902" s="54" t="s">
        <v>1734</v>
      </c>
      <c r="Z902" s="54">
        <f>STOCK[[#This Row],[Costo Envío (USD)]]*STOCK[[#This Row],[Entradas]]</f>
        <v>2</v>
      </c>
      <c r="AA902" s="54">
        <f>STOCK[[#This Row],[Costo total]]*STOCK[[#This Row],[Entradas]]</f>
        <v>10.070588235294119</v>
      </c>
      <c r="AB902" s="54">
        <f>STOCK[[#This Row],[Stock Actual]]*STOCK[[#This Row],[Costo total]]</f>
        <v>0</v>
      </c>
    </row>
    <row r="903" spans="1:28" s="53" customFormat="1" ht="50" customHeight="1">
      <c r="A903" s="53" t="s">
        <v>1794</v>
      </c>
      <c r="B903" s="64"/>
      <c r="C903" s="53" t="s">
        <v>32</v>
      </c>
      <c r="D903" s="53" t="s">
        <v>1785</v>
      </c>
      <c r="E903" s="65" t="s">
        <v>1795</v>
      </c>
      <c r="F903" s="53" t="s">
        <v>525</v>
      </c>
      <c r="G903" s="53" t="s">
        <v>36</v>
      </c>
      <c r="H903" s="53">
        <f>STOCK[[#This Row],[Precio Final]]</f>
        <v>8</v>
      </c>
      <c r="I903" s="53">
        <f>STOCK[[#This Row],[Precio Venta Ideal (x1.5)]]</f>
        <v>6.8470588235294105</v>
      </c>
      <c r="J903" s="69">
        <v>1</v>
      </c>
      <c r="K903" s="69">
        <f>SUMIFS(VENTAS[Cantidad],VENTAS[Código del producto Vendido],STOCK[[#This Row],[Code]])</f>
        <v>1</v>
      </c>
      <c r="L903" s="69">
        <f>STOCK[[#This Row],[Entradas]]-STOCK[[#This Row],[Salidas]]</f>
        <v>0</v>
      </c>
      <c r="M903" s="53">
        <f>STOCK[[#This Row],[Precio Final]]*10%</f>
        <v>0.8</v>
      </c>
      <c r="N903" s="53">
        <v>47</v>
      </c>
      <c r="O903" s="53">
        <v>17</v>
      </c>
      <c r="P903" s="53">
        <v>2.7647058823529398</v>
      </c>
      <c r="Q903" s="69">
        <v>0</v>
      </c>
      <c r="R903" s="53">
        <v>0</v>
      </c>
      <c r="S903" s="53">
        <v>1</v>
      </c>
      <c r="T903" s="53">
        <f>STOCK[[#This Row],[Costo Unitario (USD)]]+STOCK[[#This Row],[Costo Envío (USD)]]+STOCK[[#This Row],[Comisión 10%]]</f>
        <v>4.5647058823529401</v>
      </c>
      <c r="U903" s="53">
        <f>STOCK[[#This Row],[Costo total]]*1.5</f>
        <v>6.8470588235294105</v>
      </c>
      <c r="V903" s="53">
        <v>8</v>
      </c>
      <c r="W903" s="53">
        <f>STOCK[[#This Row],[Precio Final]]-STOCK[[#This Row],[Costo total]]</f>
        <v>3.4352941176470599</v>
      </c>
      <c r="X903" s="53">
        <f>STOCK[[#This Row],[Ganancia Unitaria]]*STOCK[[#This Row],[Salidas]]</f>
        <v>3.4352941176470599</v>
      </c>
      <c r="Y903" s="53" t="s">
        <v>1734</v>
      </c>
      <c r="Z903" s="53">
        <f>STOCK[[#This Row],[Costo Envío (USD)]]*STOCK[[#This Row],[Entradas]]</f>
        <v>1</v>
      </c>
      <c r="AA903" s="53">
        <f>STOCK[[#This Row],[Costo total]]*STOCK[[#This Row],[Entradas]]</f>
        <v>4.5647058823529401</v>
      </c>
      <c r="AB903" s="53">
        <f>STOCK[[#This Row],[Stock Actual]]*STOCK[[#This Row],[Costo total]]</f>
        <v>0</v>
      </c>
    </row>
    <row r="904" spans="1:28" s="54" customFormat="1" ht="50" customHeight="1">
      <c r="A904" s="54" t="s">
        <v>1595</v>
      </c>
      <c r="B904" s="73"/>
      <c r="C904" s="54" t="s">
        <v>32</v>
      </c>
      <c r="D904" s="54" t="s">
        <v>1796</v>
      </c>
      <c r="E904" s="66" t="s">
        <v>1797</v>
      </c>
      <c r="F904" s="54" t="s">
        <v>1798</v>
      </c>
      <c r="G904" s="54" t="s">
        <v>36</v>
      </c>
      <c r="H904" s="54">
        <f>STOCK[[#This Row],[Precio Final]]</f>
        <v>2</v>
      </c>
      <c r="I904" s="54">
        <f>STOCK[[#This Row],[Precio Venta Ideal (x1.5)]]</f>
        <v>2.3867647058823525</v>
      </c>
      <c r="J904" s="70">
        <v>3</v>
      </c>
      <c r="K904" s="70">
        <f>SUMIFS(VENTAS[Cantidad],VENTAS[Código del producto Vendido],STOCK[[#This Row],[Code]])</f>
        <v>3</v>
      </c>
      <c r="L904" s="70">
        <f>STOCK[[#This Row],[Entradas]]-STOCK[[#This Row],[Salidas]]</f>
        <v>0</v>
      </c>
      <c r="M904" s="54">
        <f>STOCK[[#This Row],[Precio Final]]*10%</f>
        <v>0.2</v>
      </c>
      <c r="N904" s="54">
        <v>16</v>
      </c>
      <c r="O904" s="54">
        <v>17</v>
      </c>
      <c r="P904" s="54">
        <v>0.94117647058823495</v>
      </c>
      <c r="Q904" s="70">
        <v>0</v>
      </c>
      <c r="R904" s="54">
        <v>0</v>
      </c>
      <c r="S904" s="54">
        <v>0.45</v>
      </c>
      <c r="T904" s="53">
        <f>STOCK[[#This Row],[Costo Unitario (USD)]]+STOCK[[#This Row],[Costo Envío (USD)]]+STOCK[[#This Row],[Comisión 10%]]</f>
        <v>1.591176470588235</v>
      </c>
      <c r="U904" s="54">
        <f>STOCK[[#This Row],[Costo total]]*1.5</f>
        <v>2.3867647058823525</v>
      </c>
      <c r="V904" s="54">
        <v>2</v>
      </c>
      <c r="W904" s="54">
        <f>STOCK[[#This Row],[Precio Final]]-STOCK[[#This Row],[Costo total]]</f>
        <v>0.40882352941176503</v>
      </c>
      <c r="X904" s="54">
        <f>STOCK[[#This Row],[Ganancia Unitaria]]*STOCK[[#This Row],[Salidas]]</f>
        <v>1.2264705882352951</v>
      </c>
      <c r="Y904" s="54" t="s">
        <v>1734</v>
      </c>
      <c r="Z904" s="54">
        <f>STOCK[[#This Row],[Costo Envío (USD)]]*STOCK[[#This Row],[Entradas]]</f>
        <v>1.35</v>
      </c>
      <c r="AA904" s="54">
        <f>STOCK[[#This Row],[Costo total]]*STOCK[[#This Row],[Entradas]]</f>
        <v>4.7735294117647049</v>
      </c>
      <c r="AB904" s="54">
        <f>STOCK[[#This Row],[Stock Actual]]*STOCK[[#This Row],[Costo total]]</f>
        <v>0</v>
      </c>
    </row>
    <row r="905" spans="1:28" s="53" customFormat="1" ht="50" customHeight="1">
      <c r="A905" s="53" t="s">
        <v>1799</v>
      </c>
      <c r="B905" s="64"/>
      <c r="C905" s="53" t="s">
        <v>32</v>
      </c>
      <c r="D905" s="53" t="s">
        <v>1800</v>
      </c>
      <c r="E905" s="65" t="s">
        <v>1797</v>
      </c>
      <c r="F905" s="53" t="s">
        <v>525</v>
      </c>
      <c r="G905" s="53" t="s">
        <v>36</v>
      </c>
      <c r="H905" s="53">
        <f>STOCK[[#This Row],[Precio Final]]</f>
        <v>2</v>
      </c>
      <c r="I905" s="53">
        <f>STOCK[[#This Row],[Precio Venta Ideal (x1.5)]]</f>
        <v>2.3867647058823525</v>
      </c>
      <c r="J905" s="69">
        <v>3</v>
      </c>
      <c r="K905" s="69">
        <f>SUMIFS(VENTAS[Cantidad],VENTAS[Código del producto Vendido],STOCK[[#This Row],[Code]])</f>
        <v>2</v>
      </c>
      <c r="L905" s="69">
        <f>STOCK[[#This Row],[Entradas]]-STOCK[[#This Row],[Salidas]]</f>
        <v>1</v>
      </c>
      <c r="M905" s="53">
        <f>STOCK[[#This Row],[Precio Final]]*10%</f>
        <v>0.2</v>
      </c>
      <c r="N905" s="53">
        <v>16</v>
      </c>
      <c r="O905" s="53">
        <v>17</v>
      </c>
      <c r="P905" s="53">
        <v>0.94117647058823495</v>
      </c>
      <c r="Q905" s="69">
        <v>0</v>
      </c>
      <c r="R905" s="53">
        <v>0</v>
      </c>
      <c r="S905" s="53">
        <v>0.45</v>
      </c>
      <c r="T905" s="53">
        <f>STOCK[[#This Row],[Costo Unitario (USD)]]+STOCK[[#This Row],[Costo Envío (USD)]]+STOCK[[#This Row],[Comisión 10%]]</f>
        <v>1.591176470588235</v>
      </c>
      <c r="U905" s="53">
        <f>STOCK[[#This Row],[Costo total]]*1.5</f>
        <v>2.3867647058823525</v>
      </c>
      <c r="V905" s="53">
        <v>2</v>
      </c>
      <c r="W905" s="53">
        <f>STOCK[[#This Row],[Precio Final]]-STOCK[[#This Row],[Costo total]]</f>
        <v>0.40882352941176503</v>
      </c>
      <c r="X905" s="53">
        <f>STOCK[[#This Row],[Ganancia Unitaria]]*STOCK[[#This Row],[Salidas]]</f>
        <v>0.81764705882353006</v>
      </c>
      <c r="Y905" s="53" t="s">
        <v>1734</v>
      </c>
      <c r="Z905" s="53">
        <f>STOCK[[#This Row],[Costo Envío (USD)]]*STOCK[[#This Row],[Entradas]]</f>
        <v>1.35</v>
      </c>
      <c r="AA905" s="53">
        <f>STOCK[[#This Row],[Costo total]]*STOCK[[#This Row],[Entradas]]</f>
        <v>4.7735294117647049</v>
      </c>
      <c r="AB905" s="53">
        <f>STOCK[[#This Row],[Stock Actual]]*STOCK[[#This Row],[Costo total]]</f>
        <v>1.591176470588235</v>
      </c>
    </row>
    <row r="906" spans="1:28" s="54" customFormat="1" ht="50" customHeight="1">
      <c r="A906" s="54" t="s">
        <v>1801</v>
      </c>
      <c r="B906" s="64"/>
      <c r="C906" s="54" t="s">
        <v>32</v>
      </c>
      <c r="D906" s="54" t="s">
        <v>1796</v>
      </c>
      <c r="E906" s="66" t="s">
        <v>1797</v>
      </c>
      <c r="F906" s="54" t="s">
        <v>1802</v>
      </c>
      <c r="G906" s="54" t="s">
        <v>36</v>
      </c>
      <c r="H906" s="54">
        <f>STOCK[[#This Row],[Precio Final]]</f>
        <v>2</v>
      </c>
      <c r="I906" s="54">
        <f>STOCK[[#This Row],[Precio Venta Ideal (x1.5)]]</f>
        <v>2.3867647058823525</v>
      </c>
      <c r="J906" s="70">
        <v>3</v>
      </c>
      <c r="K906" s="70">
        <f>SUMIFS(VENTAS[Cantidad],VENTAS[Código del producto Vendido],STOCK[[#This Row],[Code]])</f>
        <v>3</v>
      </c>
      <c r="L906" s="70">
        <f>STOCK[[#This Row],[Entradas]]-STOCK[[#This Row],[Salidas]]</f>
        <v>0</v>
      </c>
      <c r="M906" s="54">
        <f>STOCK[[#This Row],[Precio Final]]*10%</f>
        <v>0.2</v>
      </c>
      <c r="N906" s="54">
        <v>16</v>
      </c>
      <c r="O906" s="54">
        <v>17</v>
      </c>
      <c r="P906" s="54">
        <v>0.94117647058823495</v>
      </c>
      <c r="Q906" s="70">
        <v>0</v>
      </c>
      <c r="R906" s="54">
        <v>0</v>
      </c>
      <c r="S906" s="54">
        <v>0.45</v>
      </c>
      <c r="T906" s="53">
        <f>STOCK[[#This Row],[Costo Unitario (USD)]]+STOCK[[#This Row],[Costo Envío (USD)]]+STOCK[[#This Row],[Comisión 10%]]</f>
        <v>1.591176470588235</v>
      </c>
      <c r="U906" s="54">
        <f>STOCK[[#This Row],[Costo total]]*1.5</f>
        <v>2.3867647058823525</v>
      </c>
      <c r="V906" s="54">
        <v>2</v>
      </c>
      <c r="W906" s="54">
        <f>STOCK[[#This Row],[Precio Final]]-STOCK[[#This Row],[Costo total]]</f>
        <v>0.40882352941176503</v>
      </c>
      <c r="X906" s="54">
        <f>STOCK[[#This Row],[Ganancia Unitaria]]*STOCK[[#This Row],[Salidas]]</f>
        <v>1.2264705882352951</v>
      </c>
      <c r="Y906" s="54" t="s">
        <v>1734</v>
      </c>
      <c r="Z906" s="54">
        <f>STOCK[[#This Row],[Costo Envío (USD)]]*STOCK[[#This Row],[Entradas]]</f>
        <v>1.35</v>
      </c>
      <c r="AA906" s="54">
        <f>STOCK[[#This Row],[Costo total]]*STOCK[[#This Row],[Entradas]]</f>
        <v>4.7735294117647049</v>
      </c>
      <c r="AB906" s="54">
        <f>STOCK[[#This Row],[Stock Actual]]*STOCK[[#This Row],[Costo total]]</f>
        <v>0</v>
      </c>
    </row>
    <row r="907" spans="1:28" s="53" customFormat="1" ht="50" customHeight="1">
      <c r="A907" s="53" t="s">
        <v>1803</v>
      </c>
      <c r="B907" s="64"/>
      <c r="C907" s="53" t="s">
        <v>32</v>
      </c>
      <c r="D907" s="53" t="s">
        <v>1757</v>
      </c>
      <c r="E907" s="65" t="s">
        <v>1804</v>
      </c>
      <c r="F907" s="53" t="s">
        <v>62</v>
      </c>
      <c r="G907" s="53" t="s">
        <v>36</v>
      </c>
      <c r="H907" s="53">
        <f>STOCK[[#This Row],[Precio Final]]</f>
        <v>25</v>
      </c>
      <c r="I907" s="53">
        <f>STOCK[[#This Row],[Precio Venta Ideal (x1.5)]]</f>
        <v>23.161764705882362</v>
      </c>
      <c r="J907" s="69">
        <v>2</v>
      </c>
      <c r="K907" s="69">
        <f>SUMIFS(VENTAS[Cantidad],VENTAS[Código del producto Vendido],STOCK[[#This Row],[Code]])</f>
        <v>3</v>
      </c>
      <c r="L907" s="69">
        <f>STOCK[[#This Row],[Entradas]]-STOCK[[#This Row],[Salidas]]</f>
        <v>-1</v>
      </c>
      <c r="M907" s="53">
        <f>STOCK[[#This Row],[Precio Final]]*10%</f>
        <v>2.5</v>
      </c>
      <c r="N907" s="53">
        <v>169</v>
      </c>
      <c r="O907" s="53">
        <v>17</v>
      </c>
      <c r="P907" s="53">
        <v>9.9411764705882408</v>
      </c>
      <c r="Q907" s="69">
        <v>0</v>
      </c>
      <c r="R907" s="53">
        <v>0</v>
      </c>
      <c r="S907" s="53">
        <v>3</v>
      </c>
      <c r="T907" s="53">
        <f>STOCK[[#This Row],[Costo Unitario (USD)]]+STOCK[[#This Row],[Costo Envío (USD)]]+STOCK[[#This Row],[Comisión 10%]]</f>
        <v>15.441176470588241</v>
      </c>
      <c r="U907" s="53">
        <f>STOCK[[#This Row],[Costo total]]*1.5</f>
        <v>23.161764705882362</v>
      </c>
      <c r="V907" s="53">
        <v>25</v>
      </c>
      <c r="W907" s="53">
        <f>STOCK[[#This Row],[Precio Final]]-STOCK[[#This Row],[Costo total]]</f>
        <v>9.5588235294117592</v>
      </c>
      <c r="X907" s="53">
        <f>STOCK[[#This Row],[Ganancia Unitaria]]*STOCK[[#This Row],[Salidas]]</f>
        <v>28.676470588235276</v>
      </c>
      <c r="Y907" s="53" t="s">
        <v>1734</v>
      </c>
      <c r="Z907" s="53">
        <f>STOCK[[#This Row],[Costo Envío (USD)]]*STOCK[[#This Row],[Entradas]]</f>
        <v>6</v>
      </c>
      <c r="AA907" s="53">
        <f>STOCK[[#This Row],[Costo total]]*STOCK[[#This Row],[Entradas]]</f>
        <v>30.882352941176482</v>
      </c>
      <c r="AB907" s="53">
        <f>STOCK[[#This Row],[Stock Actual]]*STOCK[[#This Row],[Costo total]]</f>
        <v>-15.441176470588241</v>
      </c>
    </row>
    <row r="908" spans="1:28" s="54" customFormat="1" ht="50" customHeight="1">
      <c r="A908" s="54" t="s">
        <v>1805</v>
      </c>
      <c r="B908" s="64"/>
      <c r="C908" s="54" t="s">
        <v>32</v>
      </c>
      <c r="D908" s="54" t="s">
        <v>203</v>
      </c>
      <c r="E908" s="66" t="s">
        <v>1806</v>
      </c>
      <c r="F908" s="54" t="s">
        <v>1807</v>
      </c>
      <c r="G908" s="54" t="s">
        <v>36</v>
      </c>
      <c r="H908" s="54">
        <f>STOCK[[#This Row],[Precio Final]]</f>
        <v>35</v>
      </c>
      <c r="I908" s="54">
        <f>STOCK[[#This Row],[Precio Venta Ideal (x1.5)]]</f>
        <v>36.044117647058847</v>
      </c>
      <c r="J908" s="70">
        <v>1</v>
      </c>
      <c r="K908" s="70">
        <f>SUMIFS(VENTAS[Cantidad],VENTAS[Código del producto Vendido],STOCK[[#This Row],[Code]])</f>
        <v>0</v>
      </c>
      <c r="L908" s="70">
        <f>STOCK[[#This Row],[Entradas]]-STOCK[[#This Row],[Salidas]]</f>
        <v>1</v>
      </c>
      <c r="M908" s="54">
        <f>STOCK[[#This Row],[Precio Final]]*10%</f>
        <v>3.5</v>
      </c>
      <c r="N908" s="54">
        <v>264</v>
      </c>
      <c r="O908" s="54">
        <v>17</v>
      </c>
      <c r="P908" s="54">
        <v>15.5294117647059</v>
      </c>
      <c r="Q908" s="70">
        <v>0</v>
      </c>
      <c r="R908" s="54">
        <v>0</v>
      </c>
      <c r="S908" s="54">
        <v>5</v>
      </c>
      <c r="T908" s="53">
        <f>STOCK[[#This Row],[Costo Unitario (USD)]]+STOCK[[#This Row],[Costo Envío (USD)]]+STOCK[[#This Row],[Comisión 10%]]</f>
        <v>24.029411764705898</v>
      </c>
      <c r="U908" s="54">
        <f>STOCK[[#This Row],[Costo total]]*1.5</f>
        <v>36.044117647058847</v>
      </c>
      <c r="V908" s="54">
        <v>35</v>
      </c>
      <c r="W908" s="54">
        <f>STOCK[[#This Row],[Precio Final]]-STOCK[[#This Row],[Costo total]]</f>
        <v>10.970588235294102</v>
      </c>
      <c r="X908" s="54">
        <f>STOCK[[#This Row],[Ganancia Unitaria]]*STOCK[[#This Row],[Salidas]]</f>
        <v>0</v>
      </c>
      <c r="Y908" s="54" t="s">
        <v>1734</v>
      </c>
      <c r="Z908" s="54">
        <f>STOCK[[#This Row],[Costo Envío (USD)]]*STOCK[[#This Row],[Entradas]]</f>
        <v>5</v>
      </c>
      <c r="AA908" s="54">
        <f>STOCK[[#This Row],[Costo total]]*STOCK[[#This Row],[Entradas]]</f>
        <v>24.029411764705898</v>
      </c>
      <c r="AB908" s="54">
        <f>STOCK[[#This Row],[Stock Actual]]*STOCK[[#This Row],[Costo total]]</f>
        <v>24.029411764705898</v>
      </c>
    </row>
    <row r="909" spans="1:28" s="53" customFormat="1" ht="50" customHeight="1">
      <c r="A909" s="53" t="s">
        <v>1808</v>
      </c>
      <c r="B909" s="74"/>
      <c r="C909" s="53" t="s">
        <v>32</v>
      </c>
      <c r="D909" s="53" t="s">
        <v>1809</v>
      </c>
      <c r="E909" s="65" t="s">
        <v>1810</v>
      </c>
      <c r="F909" s="53" t="s">
        <v>529</v>
      </c>
      <c r="G909" s="53" t="s">
        <v>36</v>
      </c>
      <c r="H909" s="53">
        <f>STOCK[[#This Row],[Precio Final]]</f>
        <v>3</v>
      </c>
      <c r="I909" s="53">
        <f>STOCK[[#This Row],[Precio Venta Ideal (x1.5)]]</f>
        <v>3.0529411764705898</v>
      </c>
      <c r="J909" s="69">
        <v>3</v>
      </c>
      <c r="K909" s="69">
        <f>SUMIFS(VENTAS[Cantidad],VENTAS[Código del producto Vendido],STOCK[[#This Row],[Code]])</f>
        <v>3</v>
      </c>
      <c r="L909" s="69">
        <f>STOCK[[#This Row],[Entradas]]-STOCK[[#This Row],[Salidas]]</f>
        <v>0</v>
      </c>
      <c r="M909" s="53">
        <f>STOCK[[#This Row],[Precio Final]]*10%</f>
        <v>0.30000000000000004</v>
      </c>
      <c r="N909" s="53">
        <v>21</v>
      </c>
      <c r="O909" s="53">
        <v>17</v>
      </c>
      <c r="P909" s="53">
        <v>1.23529411764706</v>
      </c>
      <c r="Q909" s="69">
        <v>0</v>
      </c>
      <c r="R909" s="53">
        <v>0</v>
      </c>
      <c r="S909" s="53">
        <v>0.5</v>
      </c>
      <c r="T909" s="53">
        <f>STOCK[[#This Row],[Costo Unitario (USD)]]+STOCK[[#This Row],[Costo Envío (USD)]]+STOCK[[#This Row],[Comisión 10%]]</f>
        <v>2.03529411764706</v>
      </c>
      <c r="U909" s="53">
        <f>STOCK[[#This Row],[Costo total]]*1.5</f>
        <v>3.0529411764705898</v>
      </c>
      <c r="V909" s="53">
        <v>3</v>
      </c>
      <c r="W909" s="53">
        <f>STOCK[[#This Row],[Precio Final]]-STOCK[[#This Row],[Costo total]]</f>
        <v>0.96470588235293997</v>
      </c>
      <c r="X909" s="53">
        <f>STOCK[[#This Row],[Ganancia Unitaria]]*STOCK[[#This Row],[Salidas]]</f>
        <v>2.8941176470588199</v>
      </c>
      <c r="Y909" s="53" t="s">
        <v>1734</v>
      </c>
      <c r="Z909" s="53">
        <f>STOCK[[#This Row],[Costo Envío (USD)]]*STOCK[[#This Row],[Entradas]]</f>
        <v>1.5</v>
      </c>
      <c r="AA909" s="53">
        <f>STOCK[[#This Row],[Costo total]]*STOCK[[#This Row],[Entradas]]</f>
        <v>6.1058823529411796</v>
      </c>
      <c r="AB909" s="53">
        <f>STOCK[[#This Row],[Stock Actual]]*STOCK[[#This Row],[Costo total]]</f>
        <v>0</v>
      </c>
    </row>
    <row r="910" spans="1:28" s="54" customFormat="1" ht="50" customHeight="1">
      <c r="A910" s="54" t="s">
        <v>1811</v>
      </c>
      <c r="B910" s="64"/>
      <c r="C910" s="54" t="s">
        <v>32</v>
      </c>
      <c r="D910" s="54" t="s">
        <v>1809</v>
      </c>
      <c r="E910" s="66" t="s">
        <v>1812</v>
      </c>
      <c r="F910" s="54" t="s">
        <v>529</v>
      </c>
      <c r="G910" s="54" t="s">
        <v>1813</v>
      </c>
      <c r="H910" s="54">
        <f>STOCK[[#This Row],[Precio Final]]</f>
        <v>3</v>
      </c>
      <c r="I910" s="54">
        <f>STOCK[[#This Row],[Precio Venta Ideal (x1.5)]]</f>
        <v>3.3176470588235247</v>
      </c>
      <c r="J910" s="70">
        <v>1</v>
      </c>
      <c r="K910" s="70">
        <f>SUMIFS(VENTAS[Cantidad],VENTAS[Código del producto Vendido],STOCK[[#This Row],[Code]])</f>
        <v>1</v>
      </c>
      <c r="L910" s="70">
        <f>STOCK[[#This Row],[Entradas]]-STOCK[[#This Row],[Salidas]]</f>
        <v>0</v>
      </c>
      <c r="M910" s="54">
        <f>STOCK[[#This Row],[Precio Final]]*10%</f>
        <v>0.30000000000000004</v>
      </c>
      <c r="N910" s="54">
        <v>24</v>
      </c>
      <c r="O910" s="54">
        <v>17</v>
      </c>
      <c r="P910" s="54">
        <v>1.4117647058823499</v>
      </c>
      <c r="Q910" s="70">
        <v>0</v>
      </c>
      <c r="R910" s="54">
        <v>0</v>
      </c>
      <c r="S910" s="54">
        <v>0.5</v>
      </c>
      <c r="T910" s="53">
        <f>STOCK[[#This Row],[Costo Unitario (USD)]]+STOCK[[#This Row],[Costo Envío (USD)]]+STOCK[[#This Row],[Comisión 10%]]</f>
        <v>2.21176470588235</v>
      </c>
      <c r="U910" s="54">
        <f>STOCK[[#This Row],[Costo total]]*1.5</f>
        <v>3.3176470588235247</v>
      </c>
      <c r="V910" s="54">
        <v>3</v>
      </c>
      <c r="W910" s="54">
        <f>STOCK[[#This Row],[Precio Final]]-STOCK[[#This Row],[Costo total]]</f>
        <v>0.78823529411765003</v>
      </c>
      <c r="X910" s="54">
        <f>STOCK[[#This Row],[Ganancia Unitaria]]*STOCK[[#This Row],[Salidas]]</f>
        <v>0.78823529411765003</v>
      </c>
      <c r="Y910" s="54" t="s">
        <v>1734</v>
      </c>
      <c r="Z910" s="54">
        <f>STOCK[[#This Row],[Costo Envío (USD)]]*STOCK[[#This Row],[Entradas]]</f>
        <v>0.5</v>
      </c>
      <c r="AA910" s="54">
        <f>STOCK[[#This Row],[Costo total]]*STOCK[[#This Row],[Entradas]]</f>
        <v>2.21176470588235</v>
      </c>
      <c r="AB910" s="54">
        <f>STOCK[[#This Row],[Stock Actual]]*STOCK[[#This Row],[Costo total]]</f>
        <v>0</v>
      </c>
    </row>
    <row r="911" spans="1:28" s="53" customFormat="1" ht="50" customHeight="1">
      <c r="A911" s="53" t="s">
        <v>1814</v>
      </c>
      <c r="B911" s="64"/>
      <c r="C911" s="53" t="s">
        <v>32</v>
      </c>
      <c r="D911" s="53" t="s">
        <v>44</v>
      </c>
      <c r="E911" s="65" t="s">
        <v>1815</v>
      </c>
      <c r="F911" s="53" t="s">
        <v>1715</v>
      </c>
      <c r="G911" s="53" t="s">
        <v>36</v>
      </c>
      <c r="H911" s="53">
        <f>STOCK[[#This Row],[Precio Final]]</f>
        <v>40</v>
      </c>
      <c r="I911" s="53">
        <f>STOCK[[#This Row],[Precio Venta Ideal (x1.5)]]</f>
        <v>40.411764705882298</v>
      </c>
      <c r="J911" s="69">
        <v>2</v>
      </c>
      <c r="K911" s="69">
        <f>SUMIFS(VENTAS[Cantidad],VENTAS[Código del producto Vendido],STOCK[[#This Row],[Code]])</f>
        <v>2</v>
      </c>
      <c r="L911" s="69">
        <f>STOCK[[#This Row],[Entradas]]-STOCK[[#This Row],[Salidas]]</f>
        <v>0</v>
      </c>
      <c r="M911" s="53">
        <f>STOCK[[#This Row],[Precio Final]]*10%</f>
        <v>4</v>
      </c>
      <c r="N911" s="53">
        <v>305</v>
      </c>
      <c r="O911" s="53">
        <v>17</v>
      </c>
      <c r="P911" s="53">
        <v>17.9411764705882</v>
      </c>
      <c r="Q911" s="69">
        <v>0</v>
      </c>
      <c r="R911" s="53">
        <v>0</v>
      </c>
      <c r="S911" s="53">
        <v>5</v>
      </c>
      <c r="T911" s="53">
        <f>STOCK[[#This Row],[Costo Unitario (USD)]]+STOCK[[#This Row],[Costo Envío (USD)]]+STOCK[[#This Row],[Comisión 10%]]</f>
        <v>26.9411764705882</v>
      </c>
      <c r="U911" s="53">
        <f>STOCK[[#This Row],[Costo total]]*1.5</f>
        <v>40.411764705882298</v>
      </c>
      <c r="V911" s="53">
        <v>40</v>
      </c>
      <c r="W911" s="53">
        <f>STOCK[[#This Row],[Precio Final]]-STOCK[[#This Row],[Costo total]]</f>
        <v>13.0588235294118</v>
      </c>
      <c r="X911" s="53">
        <f>STOCK[[#This Row],[Ganancia Unitaria]]*STOCK[[#This Row],[Salidas]]</f>
        <v>26.1176470588236</v>
      </c>
      <c r="Y911" s="53" t="s">
        <v>1734</v>
      </c>
      <c r="Z911" s="53">
        <f>STOCK[[#This Row],[Costo Envío (USD)]]*STOCK[[#This Row],[Entradas]]</f>
        <v>10</v>
      </c>
      <c r="AA911" s="53">
        <f>STOCK[[#This Row],[Costo total]]*STOCK[[#This Row],[Entradas]]</f>
        <v>53.8823529411764</v>
      </c>
      <c r="AB911" s="53">
        <f>STOCK[[#This Row],[Stock Actual]]*STOCK[[#This Row],[Costo total]]</f>
        <v>0</v>
      </c>
    </row>
    <row r="912" spans="1:28" s="54" customFormat="1" ht="50" customHeight="1">
      <c r="A912" s="54" t="s">
        <v>1816</v>
      </c>
      <c r="B912" s="64"/>
      <c r="C912" s="54" t="s">
        <v>32</v>
      </c>
      <c r="D912" s="54" t="s">
        <v>1817</v>
      </c>
      <c r="E912" s="66" t="s">
        <v>1818</v>
      </c>
      <c r="F912" s="54" t="s">
        <v>49</v>
      </c>
      <c r="G912" s="54" t="s">
        <v>36</v>
      </c>
      <c r="H912" s="54">
        <f>STOCK[[#This Row],[Precio Final]]</f>
        <v>25</v>
      </c>
      <c r="I912" s="54">
        <f>STOCK[[#This Row],[Precio Venta Ideal (x1.5)]]</f>
        <v>13.897058823529409</v>
      </c>
      <c r="J912" s="70">
        <v>1</v>
      </c>
      <c r="K912" s="70">
        <f>SUMIFS(VENTAS[Cantidad],VENTAS[Código del producto Vendido],STOCK[[#This Row],[Code]])</f>
        <v>0</v>
      </c>
      <c r="L912" s="70">
        <f>STOCK[[#This Row],[Entradas]]-STOCK[[#This Row],[Salidas]]</f>
        <v>1</v>
      </c>
      <c r="M912" s="54">
        <f>STOCK[[#This Row],[Precio Final]]*10%</f>
        <v>2.5</v>
      </c>
      <c r="N912" s="54">
        <v>115</v>
      </c>
      <c r="O912" s="54">
        <v>17</v>
      </c>
      <c r="P912" s="54">
        <v>6.7647058823529402</v>
      </c>
      <c r="Q912" s="70">
        <v>0</v>
      </c>
      <c r="R912" s="54">
        <v>0</v>
      </c>
      <c r="S912" s="54">
        <v>0</v>
      </c>
      <c r="T912" s="53">
        <f>STOCK[[#This Row],[Costo Unitario (USD)]]+STOCK[[#This Row],[Costo Envío (USD)]]+STOCK[[#This Row],[Comisión 10%]]</f>
        <v>9.2647058823529402</v>
      </c>
      <c r="U912" s="54">
        <f>STOCK[[#This Row],[Costo total]]*1.5</f>
        <v>13.897058823529409</v>
      </c>
      <c r="V912" s="54">
        <v>25</v>
      </c>
      <c r="W912" s="54">
        <f>STOCK[[#This Row],[Precio Final]]-STOCK[[#This Row],[Costo total]]</f>
        <v>15.73529411764706</v>
      </c>
      <c r="X912" s="54">
        <f>STOCK[[#This Row],[Ganancia Unitaria]]*STOCK[[#This Row],[Salidas]]</f>
        <v>0</v>
      </c>
      <c r="AA912" s="54">
        <f>STOCK[[#This Row],[Costo total]]*STOCK[[#This Row],[Entradas]]</f>
        <v>9.2647058823529402</v>
      </c>
      <c r="AB912" s="54">
        <f>STOCK[[#This Row],[Stock Actual]]*STOCK[[#This Row],[Costo total]]</f>
        <v>9.2647058823529402</v>
      </c>
    </row>
    <row r="913" spans="1:28" s="53" customFormat="1" ht="50" customHeight="1">
      <c r="A913" s="53" t="s">
        <v>1819</v>
      </c>
      <c r="B913" s="64"/>
      <c r="C913" s="53" t="s">
        <v>32</v>
      </c>
      <c r="D913" s="53" t="s">
        <v>1820</v>
      </c>
      <c r="E913" s="65" t="s">
        <v>1821</v>
      </c>
      <c r="F913" s="53" t="s">
        <v>1822</v>
      </c>
      <c r="G913" s="53" t="s">
        <v>1296</v>
      </c>
      <c r="H913" s="53">
        <f>STOCK[[#This Row],[Precio Final]]</f>
        <v>22</v>
      </c>
      <c r="I913" s="53">
        <f>STOCK[[#This Row],[Precio Venta Ideal (x1.5)]]</f>
        <v>19.485000000000003</v>
      </c>
      <c r="J913" s="69">
        <v>4</v>
      </c>
      <c r="K913" s="69">
        <f>SUMIFS(VENTAS[Cantidad],VENTAS[Código del producto Vendido],STOCK[[#This Row],[Code]])</f>
        <v>4</v>
      </c>
      <c r="L913" s="69">
        <f>STOCK[[#This Row],[Entradas]]-STOCK[[#This Row],[Salidas]]</f>
        <v>0</v>
      </c>
      <c r="M913" s="53">
        <f>STOCK[[#This Row],[Precio Final]]*10%</f>
        <v>2.2000000000000002</v>
      </c>
      <c r="N913" s="53">
        <v>0</v>
      </c>
      <c r="O913" s="53">
        <v>0</v>
      </c>
      <c r="P913" s="53">
        <v>8.99</v>
      </c>
      <c r="Q913" s="69">
        <v>0</v>
      </c>
      <c r="R913" s="53">
        <v>0</v>
      </c>
      <c r="S913" s="53">
        <v>1.8</v>
      </c>
      <c r="T913" s="53">
        <f>STOCK[[#This Row],[Costo Unitario (USD)]]+STOCK[[#This Row],[Costo Envío (USD)]]+STOCK[[#This Row],[Comisión 10%]]</f>
        <v>12.990000000000002</v>
      </c>
      <c r="U913" s="53">
        <f>STOCK[[#This Row],[Costo total]]*1.5</f>
        <v>19.485000000000003</v>
      </c>
      <c r="V913" s="53">
        <v>22</v>
      </c>
      <c r="W913" s="53">
        <f>STOCK[[#This Row],[Precio Final]]-STOCK[[#This Row],[Costo total]]</f>
        <v>9.009999999999998</v>
      </c>
      <c r="X913" s="53">
        <f>STOCK[[#This Row],[Ganancia Unitaria]]*STOCK[[#This Row],[Salidas]]</f>
        <v>36.039999999999992</v>
      </c>
      <c r="Y913" s="53" t="s">
        <v>1823</v>
      </c>
      <c r="AA913" s="53">
        <f>STOCK[[#This Row],[Costo total]]*STOCK[[#This Row],[Entradas]]</f>
        <v>51.960000000000008</v>
      </c>
      <c r="AB913" s="53">
        <f>STOCK[[#This Row],[Stock Actual]]*STOCK[[#This Row],[Costo total]]</f>
        <v>0</v>
      </c>
    </row>
    <row r="914" spans="1:28" s="54" customFormat="1" ht="50" customHeight="1">
      <c r="A914" s="54" t="s">
        <v>1824</v>
      </c>
      <c r="B914" s="64"/>
      <c r="C914" s="54" t="s">
        <v>32</v>
      </c>
      <c r="D914" s="54" t="s">
        <v>1820</v>
      </c>
      <c r="E914" s="66" t="s">
        <v>1821</v>
      </c>
      <c r="F914" s="54" t="s">
        <v>1825</v>
      </c>
      <c r="G914" s="54" t="s">
        <v>1296</v>
      </c>
      <c r="H914" s="54">
        <f>STOCK[[#This Row],[Precio Final]]</f>
        <v>22</v>
      </c>
      <c r="I914" s="54">
        <f>STOCK[[#This Row],[Precio Venta Ideal (x1.5)]]</f>
        <v>19.485000000000003</v>
      </c>
      <c r="J914" s="70">
        <v>1</v>
      </c>
      <c r="K914" s="70">
        <f>SUMIFS(VENTAS[Cantidad],VENTAS[Código del producto Vendido],STOCK[[#This Row],[Code]])</f>
        <v>1</v>
      </c>
      <c r="L914" s="70">
        <f>STOCK[[#This Row],[Entradas]]-STOCK[[#This Row],[Salidas]]</f>
        <v>0</v>
      </c>
      <c r="M914" s="54">
        <f>STOCK[[#This Row],[Precio Final]]*10%</f>
        <v>2.2000000000000002</v>
      </c>
      <c r="N914" s="54">
        <v>0</v>
      </c>
      <c r="O914" s="54">
        <v>0</v>
      </c>
      <c r="P914" s="54">
        <v>8.99</v>
      </c>
      <c r="Q914" s="70">
        <v>0</v>
      </c>
      <c r="R914" s="54">
        <v>0</v>
      </c>
      <c r="S914" s="54">
        <v>1.8</v>
      </c>
      <c r="T914" s="53">
        <f>STOCK[[#This Row],[Costo Unitario (USD)]]+STOCK[[#This Row],[Costo Envío (USD)]]+STOCK[[#This Row],[Comisión 10%]]</f>
        <v>12.990000000000002</v>
      </c>
      <c r="U914" s="54">
        <f>STOCK[[#This Row],[Costo total]]*1.5</f>
        <v>19.485000000000003</v>
      </c>
      <c r="V914" s="54">
        <v>22</v>
      </c>
      <c r="W914" s="54">
        <f>STOCK[[#This Row],[Precio Final]]-STOCK[[#This Row],[Costo total]]</f>
        <v>9.009999999999998</v>
      </c>
      <c r="X914" s="54">
        <f>STOCK[[#This Row],[Ganancia Unitaria]]*STOCK[[#This Row],[Salidas]]</f>
        <v>9.009999999999998</v>
      </c>
      <c r="Y914" s="54" t="s">
        <v>1823</v>
      </c>
      <c r="AA914" s="54">
        <f>STOCK[[#This Row],[Costo total]]*STOCK[[#This Row],[Entradas]]</f>
        <v>12.990000000000002</v>
      </c>
      <c r="AB914" s="54">
        <f>STOCK[[#This Row],[Stock Actual]]*STOCK[[#This Row],[Costo total]]</f>
        <v>0</v>
      </c>
    </row>
    <row r="915" spans="1:28" s="53" customFormat="1" ht="50" customHeight="1">
      <c r="A915" s="53" t="s">
        <v>1826</v>
      </c>
      <c r="B915" s="64"/>
      <c r="C915" s="53" t="s">
        <v>32</v>
      </c>
      <c r="D915" s="53" t="s">
        <v>44</v>
      </c>
      <c r="E915" s="65" t="s">
        <v>1821</v>
      </c>
      <c r="F915" s="53" t="s">
        <v>1827</v>
      </c>
      <c r="G915" s="53" t="s">
        <v>1296</v>
      </c>
      <c r="H915" s="53">
        <f>STOCK[[#This Row],[Precio Final]]</f>
        <v>22</v>
      </c>
      <c r="I915" s="53">
        <f>STOCK[[#This Row],[Precio Venta Ideal (x1.5)]]</f>
        <v>19.485000000000003</v>
      </c>
      <c r="J915" s="69">
        <v>2</v>
      </c>
      <c r="K915" s="69">
        <f>SUMIFS(VENTAS[Cantidad],VENTAS[Código del producto Vendido],STOCK[[#This Row],[Code]])</f>
        <v>2</v>
      </c>
      <c r="L915" s="69">
        <f>STOCK[[#This Row],[Entradas]]-STOCK[[#This Row],[Salidas]]</f>
        <v>0</v>
      </c>
      <c r="M915" s="53">
        <f>STOCK[[#This Row],[Precio Final]]*10%</f>
        <v>2.2000000000000002</v>
      </c>
      <c r="N915" s="53">
        <v>0</v>
      </c>
      <c r="O915" s="53">
        <v>0</v>
      </c>
      <c r="P915" s="53">
        <v>8.99</v>
      </c>
      <c r="Q915" s="69">
        <v>0</v>
      </c>
      <c r="R915" s="53">
        <v>0</v>
      </c>
      <c r="S915" s="53">
        <v>1.8</v>
      </c>
      <c r="T915" s="53">
        <f>STOCK[[#This Row],[Costo Unitario (USD)]]+STOCK[[#This Row],[Costo Envío (USD)]]+STOCK[[#This Row],[Comisión 10%]]</f>
        <v>12.990000000000002</v>
      </c>
      <c r="U915" s="53">
        <f>STOCK[[#This Row],[Costo total]]*1.5</f>
        <v>19.485000000000003</v>
      </c>
      <c r="V915" s="53">
        <v>22</v>
      </c>
      <c r="W915" s="53">
        <f>STOCK[[#This Row],[Precio Final]]-STOCK[[#This Row],[Costo total]]</f>
        <v>9.009999999999998</v>
      </c>
      <c r="X915" s="53">
        <f>STOCK[[#This Row],[Ganancia Unitaria]]*STOCK[[#This Row],[Salidas]]</f>
        <v>18.019999999999996</v>
      </c>
      <c r="Y915" s="53" t="s">
        <v>1823</v>
      </c>
      <c r="AA915" s="53">
        <f>STOCK[[#This Row],[Costo total]]*STOCK[[#This Row],[Entradas]]</f>
        <v>25.980000000000004</v>
      </c>
      <c r="AB915" s="53">
        <f>STOCK[[#This Row],[Stock Actual]]*STOCK[[#This Row],[Costo total]]</f>
        <v>0</v>
      </c>
    </row>
    <row r="916" spans="1:28" s="54" customFormat="1" ht="50" customHeight="1">
      <c r="A916" s="54" t="s">
        <v>1828</v>
      </c>
      <c r="B916" s="64"/>
      <c r="C916" s="54" t="s">
        <v>32</v>
      </c>
      <c r="D916" s="54" t="s">
        <v>488</v>
      </c>
      <c r="E916" s="66" t="s">
        <v>1829</v>
      </c>
      <c r="F916" s="54" t="s">
        <v>525</v>
      </c>
      <c r="G916" s="54" t="s">
        <v>1296</v>
      </c>
      <c r="H916" s="54">
        <f>STOCK[[#This Row],[Precio Final]]</f>
        <v>25</v>
      </c>
      <c r="I916" s="54">
        <f>STOCK[[#This Row],[Precio Venta Ideal (x1.5)]]</f>
        <v>21.435000000000002</v>
      </c>
      <c r="J916" s="70">
        <v>2</v>
      </c>
      <c r="K916" s="70">
        <f>SUMIFS(VENTAS[Cantidad],VENTAS[Código del producto Vendido],STOCK[[#This Row],[Code]])</f>
        <v>2</v>
      </c>
      <c r="L916" s="70">
        <f>STOCK[[#This Row],[Entradas]]-STOCK[[#This Row],[Salidas]]</f>
        <v>0</v>
      </c>
      <c r="M916" s="54">
        <f>STOCK[[#This Row],[Precio Final]]*10%</f>
        <v>2.5</v>
      </c>
      <c r="N916" s="54">
        <v>0</v>
      </c>
      <c r="O916" s="54">
        <v>0</v>
      </c>
      <c r="P916" s="54">
        <v>9.99</v>
      </c>
      <c r="Q916" s="70">
        <v>0</v>
      </c>
      <c r="R916" s="54">
        <v>0</v>
      </c>
      <c r="S916" s="54">
        <v>1.8</v>
      </c>
      <c r="T916" s="53">
        <f>STOCK[[#This Row],[Costo Unitario (USD)]]+STOCK[[#This Row],[Costo Envío (USD)]]+STOCK[[#This Row],[Comisión 10%]]</f>
        <v>14.290000000000001</v>
      </c>
      <c r="U916" s="54">
        <f>STOCK[[#This Row],[Costo total]]*1.5</f>
        <v>21.435000000000002</v>
      </c>
      <c r="V916" s="54">
        <v>25</v>
      </c>
      <c r="W916" s="54">
        <f>STOCK[[#This Row],[Precio Final]]-STOCK[[#This Row],[Costo total]]</f>
        <v>10.709999999999999</v>
      </c>
      <c r="X916" s="54">
        <f>STOCK[[#This Row],[Ganancia Unitaria]]*STOCK[[#This Row],[Salidas]]</f>
        <v>21.419999999999998</v>
      </c>
      <c r="Y916" s="54" t="s">
        <v>1823</v>
      </c>
      <c r="AA916" s="54">
        <f>STOCK[[#This Row],[Costo total]]*STOCK[[#This Row],[Entradas]]</f>
        <v>28.580000000000002</v>
      </c>
      <c r="AB916" s="54">
        <f>STOCK[[#This Row],[Stock Actual]]*STOCK[[#This Row],[Costo total]]</f>
        <v>0</v>
      </c>
    </row>
    <row r="917" spans="1:28" s="53" customFormat="1" ht="50" customHeight="1">
      <c r="A917" s="53" t="s">
        <v>1830</v>
      </c>
      <c r="B917" s="64"/>
      <c r="C917" s="53" t="s">
        <v>32</v>
      </c>
      <c r="D917" s="53" t="s">
        <v>1831</v>
      </c>
      <c r="E917" s="65" t="s">
        <v>1832</v>
      </c>
      <c r="F917" s="53" t="s">
        <v>46</v>
      </c>
      <c r="G917" s="53" t="s">
        <v>1296</v>
      </c>
      <c r="H917" s="53">
        <f>STOCK[[#This Row],[Precio Final]]</f>
        <v>30</v>
      </c>
      <c r="I917" s="53">
        <f>STOCK[[#This Row],[Precio Venta Ideal (x1.5)]]</f>
        <v>29.684999999999999</v>
      </c>
      <c r="J917" s="69">
        <v>2</v>
      </c>
      <c r="K917" s="69">
        <f>SUMIFS(VENTAS[Cantidad],VENTAS[Código del producto Vendido],STOCK[[#This Row],[Code]])</f>
        <v>1</v>
      </c>
      <c r="L917" s="69">
        <f>STOCK[[#This Row],[Entradas]]-STOCK[[#This Row],[Salidas]]</f>
        <v>1</v>
      </c>
      <c r="M917" s="53">
        <f>STOCK[[#This Row],[Precio Final]]*10%</f>
        <v>3</v>
      </c>
      <c r="N917" s="53">
        <v>0</v>
      </c>
      <c r="O917" s="53">
        <v>0</v>
      </c>
      <c r="P917" s="53">
        <v>14.99</v>
      </c>
      <c r="Q917" s="69">
        <v>0</v>
      </c>
      <c r="R917" s="53">
        <v>0</v>
      </c>
      <c r="S917" s="53">
        <v>1.8</v>
      </c>
      <c r="T917" s="53">
        <f>STOCK[[#This Row],[Costo Unitario (USD)]]+STOCK[[#This Row],[Costo Envío (USD)]]+STOCK[[#This Row],[Comisión 10%]]</f>
        <v>19.79</v>
      </c>
      <c r="U917" s="53">
        <f>STOCK[[#This Row],[Costo total]]*1.5</f>
        <v>29.684999999999999</v>
      </c>
      <c r="V917" s="53">
        <v>30</v>
      </c>
      <c r="W917" s="53">
        <f>STOCK[[#This Row],[Precio Final]]-STOCK[[#This Row],[Costo total]]</f>
        <v>10.210000000000001</v>
      </c>
      <c r="X917" s="53">
        <f>STOCK[[#This Row],[Ganancia Unitaria]]*STOCK[[#This Row],[Salidas]]</f>
        <v>10.210000000000001</v>
      </c>
      <c r="Y917" s="53" t="s">
        <v>1823</v>
      </c>
      <c r="AA917" s="53">
        <f>STOCK[[#This Row],[Costo total]]*STOCK[[#This Row],[Entradas]]</f>
        <v>39.58</v>
      </c>
      <c r="AB917" s="53">
        <f>STOCK[[#This Row],[Stock Actual]]*STOCK[[#This Row],[Costo total]]</f>
        <v>19.79</v>
      </c>
    </row>
    <row r="918" spans="1:28" s="54" customFormat="1" ht="50" customHeight="1">
      <c r="A918" s="54" t="s">
        <v>1833</v>
      </c>
      <c r="B918" s="64"/>
      <c r="C918" s="54" t="s">
        <v>32</v>
      </c>
      <c r="D918" s="54" t="s">
        <v>1831</v>
      </c>
      <c r="E918" s="66" t="s">
        <v>1834</v>
      </c>
      <c r="F918" s="54" t="s">
        <v>62</v>
      </c>
      <c r="G918" s="54" t="s">
        <v>1296</v>
      </c>
      <c r="H918" s="54">
        <f>STOCK[[#This Row],[Precio Final]]</f>
        <v>25</v>
      </c>
      <c r="I918" s="54">
        <f>STOCK[[#This Row],[Precio Venta Ideal (x1.5)]]</f>
        <v>21.435000000000002</v>
      </c>
      <c r="J918" s="70">
        <v>1</v>
      </c>
      <c r="K918" s="70">
        <f>SUMIFS(VENTAS[Cantidad],VENTAS[Código del producto Vendido],STOCK[[#This Row],[Code]])</f>
        <v>1</v>
      </c>
      <c r="L918" s="70">
        <f>STOCK[[#This Row],[Entradas]]-STOCK[[#This Row],[Salidas]]</f>
        <v>0</v>
      </c>
      <c r="M918" s="54">
        <f>STOCK[[#This Row],[Precio Final]]*10%</f>
        <v>2.5</v>
      </c>
      <c r="N918" s="54">
        <v>0</v>
      </c>
      <c r="O918" s="54">
        <v>0</v>
      </c>
      <c r="P918" s="54">
        <v>9.99</v>
      </c>
      <c r="Q918" s="70">
        <v>0</v>
      </c>
      <c r="R918" s="54">
        <v>0</v>
      </c>
      <c r="S918" s="54">
        <v>1.8</v>
      </c>
      <c r="T918" s="53">
        <f>STOCK[[#This Row],[Costo Unitario (USD)]]+STOCK[[#This Row],[Costo Envío (USD)]]+STOCK[[#This Row],[Comisión 10%]]</f>
        <v>14.290000000000001</v>
      </c>
      <c r="U918" s="54">
        <f>STOCK[[#This Row],[Costo total]]*1.5</f>
        <v>21.435000000000002</v>
      </c>
      <c r="V918" s="54">
        <v>25</v>
      </c>
      <c r="W918" s="54">
        <f>STOCK[[#This Row],[Precio Final]]-STOCK[[#This Row],[Costo total]]</f>
        <v>10.709999999999999</v>
      </c>
      <c r="X918" s="54">
        <f>STOCK[[#This Row],[Ganancia Unitaria]]*STOCK[[#This Row],[Salidas]]</f>
        <v>10.709999999999999</v>
      </c>
      <c r="Y918" s="54" t="s">
        <v>1823</v>
      </c>
      <c r="AA918" s="54">
        <f>STOCK[[#This Row],[Costo total]]*STOCK[[#This Row],[Entradas]]</f>
        <v>14.290000000000001</v>
      </c>
      <c r="AB918" s="54">
        <f>STOCK[[#This Row],[Stock Actual]]*STOCK[[#This Row],[Costo total]]</f>
        <v>0</v>
      </c>
    </row>
    <row r="919" spans="1:28" s="53" customFormat="1" ht="50" customHeight="1">
      <c r="A919" s="53" t="s">
        <v>1835</v>
      </c>
      <c r="B919" s="64"/>
      <c r="C919" s="53" t="s">
        <v>32</v>
      </c>
      <c r="D919" s="53" t="s">
        <v>1831</v>
      </c>
      <c r="E919" s="65" t="s">
        <v>1834</v>
      </c>
      <c r="F919" s="53" t="s">
        <v>49</v>
      </c>
      <c r="G919" s="53" t="s">
        <v>1296</v>
      </c>
      <c r="H919" s="53">
        <f>STOCK[[#This Row],[Precio Final]]</f>
        <v>25</v>
      </c>
      <c r="I919" s="53">
        <f>STOCK[[#This Row],[Precio Venta Ideal (x1.5)]]</f>
        <v>21.435000000000002</v>
      </c>
      <c r="J919" s="69">
        <v>1</v>
      </c>
      <c r="K919" s="69">
        <f>SUMIFS(VENTAS[Cantidad],VENTAS[Código del producto Vendido],STOCK[[#This Row],[Code]])</f>
        <v>1</v>
      </c>
      <c r="L919" s="69">
        <f>STOCK[[#This Row],[Entradas]]-STOCK[[#This Row],[Salidas]]</f>
        <v>0</v>
      </c>
      <c r="M919" s="53">
        <f>STOCK[[#This Row],[Precio Final]]*10%</f>
        <v>2.5</v>
      </c>
      <c r="N919" s="53">
        <v>0</v>
      </c>
      <c r="O919" s="53">
        <v>0</v>
      </c>
      <c r="P919" s="53">
        <v>9.99</v>
      </c>
      <c r="Q919" s="69">
        <v>0</v>
      </c>
      <c r="R919" s="53">
        <v>0</v>
      </c>
      <c r="S919" s="53">
        <v>1.8</v>
      </c>
      <c r="T919" s="53">
        <f>STOCK[[#This Row],[Costo Unitario (USD)]]+STOCK[[#This Row],[Costo Envío (USD)]]+STOCK[[#This Row],[Comisión 10%]]</f>
        <v>14.290000000000001</v>
      </c>
      <c r="U919" s="53">
        <f>STOCK[[#This Row],[Costo total]]*1.5</f>
        <v>21.435000000000002</v>
      </c>
      <c r="V919" s="53">
        <v>25</v>
      </c>
      <c r="W919" s="53">
        <f>STOCK[[#This Row],[Precio Final]]-STOCK[[#This Row],[Costo total]]</f>
        <v>10.709999999999999</v>
      </c>
      <c r="X919" s="53">
        <f>STOCK[[#This Row],[Ganancia Unitaria]]*STOCK[[#This Row],[Salidas]]</f>
        <v>10.709999999999999</v>
      </c>
      <c r="Y919" s="53" t="s">
        <v>1823</v>
      </c>
      <c r="AA919" s="53">
        <f>STOCK[[#This Row],[Costo total]]*STOCK[[#This Row],[Entradas]]</f>
        <v>14.290000000000001</v>
      </c>
      <c r="AB919" s="53">
        <f>STOCK[[#This Row],[Stock Actual]]*STOCK[[#This Row],[Costo total]]</f>
        <v>0</v>
      </c>
    </row>
    <row r="920" spans="1:28" s="54" customFormat="1" ht="50" customHeight="1">
      <c r="A920" s="54" t="s">
        <v>1836</v>
      </c>
      <c r="B920" s="64"/>
      <c r="C920" s="54" t="s">
        <v>32</v>
      </c>
      <c r="D920" s="54" t="s">
        <v>1831</v>
      </c>
      <c r="E920" s="66" t="s">
        <v>1837</v>
      </c>
      <c r="F920" s="54" t="s">
        <v>1838</v>
      </c>
      <c r="G920" s="54" t="s">
        <v>1296</v>
      </c>
      <c r="H920" s="54">
        <f>STOCK[[#This Row],[Precio Final]]</f>
        <v>30</v>
      </c>
      <c r="I920" s="54">
        <f>STOCK[[#This Row],[Precio Venta Ideal (x1.5)]]</f>
        <v>22.185000000000002</v>
      </c>
      <c r="J920" s="70">
        <v>3</v>
      </c>
      <c r="K920" s="70">
        <f>SUMIFS(VENTAS[Cantidad],VENTAS[Código del producto Vendido],STOCK[[#This Row],[Code]])</f>
        <v>1</v>
      </c>
      <c r="L920" s="70">
        <f>STOCK[[#This Row],[Entradas]]-STOCK[[#This Row],[Salidas]]</f>
        <v>2</v>
      </c>
      <c r="M920" s="54">
        <f>STOCK[[#This Row],[Precio Final]]*10%</f>
        <v>3</v>
      </c>
      <c r="N920" s="54">
        <v>0</v>
      </c>
      <c r="O920" s="54">
        <v>0</v>
      </c>
      <c r="P920" s="54">
        <v>9.99</v>
      </c>
      <c r="Q920" s="70">
        <v>0</v>
      </c>
      <c r="R920" s="54">
        <v>0</v>
      </c>
      <c r="S920" s="54">
        <v>1.8</v>
      </c>
      <c r="T920" s="53">
        <f>STOCK[[#This Row],[Costo Unitario (USD)]]+STOCK[[#This Row],[Costo Envío (USD)]]+STOCK[[#This Row],[Comisión 10%]]</f>
        <v>14.790000000000001</v>
      </c>
      <c r="U920" s="54">
        <f>STOCK[[#This Row],[Costo total]]*1.5</f>
        <v>22.185000000000002</v>
      </c>
      <c r="V920" s="54">
        <v>30</v>
      </c>
      <c r="W920" s="54">
        <f>STOCK[[#This Row],[Precio Final]]-STOCK[[#This Row],[Costo total]]</f>
        <v>15.209999999999999</v>
      </c>
      <c r="X920" s="54">
        <f>STOCK[[#This Row],[Ganancia Unitaria]]*STOCK[[#This Row],[Salidas]]</f>
        <v>15.209999999999999</v>
      </c>
      <c r="Y920" s="54" t="s">
        <v>1823</v>
      </c>
      <c r="AA920" s="54">
        <f>STOCK[[#This Row],[Costo total]]*STOCK[[#This Row],[Entradas]]</f>
        <v>44.370000000000005</v>
      </c>
      <c r="AB920" s="54">
        <f>STOCK[[#This Row],[Stock Actual]]*STOCK[[#This Row],[Costo total]]</f>
        <v>29.580000000000002</v>
      </c>
    </row>
    <row r="921" spans="1:28" s="53" customFormat="1" ht="50" customHeight="1">
      <c r="A921" s="53" t="s">
        <v>1839</v>
      </c>
      <c r="B921" s="64"/>
      <c r="C921" s="53" t="s">
        <v>32</v>
      </c>
      <c r="D921" s="53" t="s">
        <v>1820</v>
      </c>
      <c r="E921" s="65" t="s">
        <v>1840</v>
      </c>
      <c r="F921" s="53" t="s">
        <v>1841</v>
      </c>
      <c r="G921" s="53" t="s">
        <v>1296</v>
      </c>
      <c r="H921" s="53">
        <f>STOCK[[#This Row],[Precio Final]]</f>
        <v>20</v>
      </c>
      <c r="I921" s="53">
        <f>STOCK[[#This Row],[Precio Venta Ideal (x1.5)]]</f>
        <v>20.685000000000002</v>
      </c>
      <c r="J921" s="69">
        <v>2</v>
      </c>
      <c r="K921" s="69">
        <f>SUMIFS(VENTAS[Cantidad],VENTAS[Código del producto Vendido],STOCK[[#This Row],[Code]])</f>
        <v>2</v>
      </c>
      <c r="L921" s="69">
        <f>STOCK[[#This Row],[Entradas]]-STOCK[[#This Row],[Salidas]]</f>
        <v>0</v>
      </c>
      <c r="M921" s="53">
        <f>STOCK[[#This Row],[Precio Final]]*10%</f>
        <v>2</v>
      </c>
      <c r="N921" s="53">
        <v>0</v>
      </c>
      <c r="O921" s="53">
        <v>0</v>
      </c>
      <c r="P921" s="53">
        <v>9.99</v>
      </c>
      <c r="Q921" s="69">
        <v>0</v>
      </c>
      <c r="R921" s="53">
        <v>0</v>
      </c>
      <c r="S921" s="53">
        <v>1.8</v>
      </c>
      <c r="T921" s="53">
        <f>STOCK[[#This Row],[Costo Unitario (USD)]]+STOCK[[#This Row],[Costo Envío (USD)]]+STOCK[[#This Row],[Comisión 10%]]</f>
        <v>13.790000000000001</v>
      </c>
      <c r="U921" s="53">
        <f>STOCK[[#This Row],[Costo total]]*1.5</f>
        <v>20.685000000000002</v>
      </c>
      <c r="V921" s="53">
        <v>20</v>
      </c>
      <c r="W921" s="53">
        <f>STOCK[[#This Row],[Precio Final]]-STOCK[[#This Row],[Costo total]]</f>
        <v>6.2099999999999991</v>
      </c>
      <c r="X921" s="53">
        <f>STOCK[[#This Row],[Ganancia Unitaria]]*STOCK[[#This Row],[Salidas]]</f>
        <v>12.419999999999998</v>
      </c>
      <c r="Y921" s="53" t="s">
        <v>1823</v>
      </c>
      <c r="AA921" s="53">
        <f>STOCK[[#This Row],[Costo total]]*STOCK[[#This Row],[Entradas]]</f>
        <v>27.580000000000002</v>
      </c>
      <c r="AB921" s="53">
        <f>STOCK[[#This Row],[Stock Actual]]*STOCK[[#This Row],[Costo total]]</f>
        <v>0</v>
      </c>
    </row>
    <row r="922" spans="1:28" s="54" customFormat="1" ht="50" customHeight="1">
      <c r="A922" s="54" t="s">
        <v>1842</v>
      </c>
      <c r="B922" s="64"/>
      <c r="C922" s="54" t="s">
        <v>32</v>
      </c>
      <c r="D922" s="54" t="s">
        <v>1820</v>
      </c>
      <c r="E922" s="66" t="s">
        <v>1840</v>
      </c>
      <c r="F922" s="54" t="s">
        <v>1843</v>
      </c>
      <c r="G922" s="54" t="s">
        <v>1296</v>
      </c>
      <c r="H922" s="54">
        <f>STOCK[[#This Row],[Precio Final]]</f>
        <v>20</v>
      </c>
      <c r="I922" s="54">
        <f>STOCK[[#This Row],[Precio Venta Ideal (x1.5)]]</f>
        <v>20.685000000000002</v>
      </c>
      <c r="J922" s="70">
        <v>2</v>
      </c>
      <c r="K922" s="70">
        <f>SUMIFS(VENTAS[Cantidad],VENTAS[Código del producto Vendido],STOCK[[#This Row],[Code]])</f>
        <v>2</v>
      </c>
      <c r="L922" s="70">
        <f>STOCK[[#This Row],[Entradas]]-STOCK[[#This Row],[Salidas]]</f>
        <v>0</v>
      </c>
      <c r="M922" s="54">
        <f>STOCK[[#This Row],[Precio Final]]*10%</f>
        <v>2</v>
      </c>
      <c r="N922" s="54">
        <v>0</v>
      </c>
      <c r="O922" s="54">
        <v>0</v>
      </c>
      <c r="P922" s="54">
        <v>9.99</v>
      </c>
      <c r="Q922" s="70">
        <v>0</v>
      </c>
      <c r="R922" s="54">
        <v>0</v>
      </c>
      <c r="S922" s="54">
        <v>1.8</v>
      </c>
      <c r="T922" s="53">
        <f>STOCK[[#This Row],[Costo Unitario (USD)]]+STOCK[[#This Row],[Costo Envío (USD)]]+STOCK[[#This Row],[Comisión 10%]]</f>
        <v>13.790000000000001</v>
      </c>
      <c r="U922" s="54">
        <f>STOCK[[#This Row],[Costo total]]*1.5</f>
        <v>20.685000000000002</v>
      </c>
      <c r="V922" s="54">
        <v>20</v>
      </c>
      <c r="W922" s="54">
        <f>STOCK[[#This Row],[Precio Final]]-STOCK[[#This Row],[Costo total]]</f>
        <v>6.2099999999999991</v>
      </c>
      <c r="X922" s="54">
        <f>STOCK[[#This Row],[Ganancia Unitaria]]*STOCK[[#This Row],[Salidas]]</f>
        <v>12.419999999999998</v>
      </c>
      <c r="Y922" s="54" t="s">
        <v>1823</v>
      </c>
      <c r="AA922" s="54">
        <f>STOCK[[#This Row],[Costo total]]*STOCK[[#This Row],[Entradas]]</f>
        <v>27.580000000000002</v>
      </c>
      <c r="AB922" s="54">
        <f>STOCK[[#This Row],[Stock Actual]]*STOCK[[#This Row],[Costo total]]</f>
        <v>0</v>
      </c>
    </row>
    <row r="923" spans="1:28" s="53" customFormat="1" ht="50" customHeight="1">
      <c r="A923" s="53" t="s">
        <v>1844</v>
      </c>
      <c r="B923" s="64"/>
      <c r="C923" s="53" t="s">
        <v>32</v>
      </c>
      <c r="D923" s="53" t="s">
        <v>1820</v>
      </c>
      <c r="E923" s="65" t="s">
        <v>1840</v>
      </c>
      <c r="F923" s="53" t="s">
        <v>1845</v>
      </c>
      <c r="G923" s="53" t="s">
        <v>1296</v>
      </c>
      <c r="H923" s="53">
        <f>STOCK[[#This Row],[Precio Final]]</f>
        <v>20</v>
      </c>
      <c r="I923" s="53">
        <f>STOCK[[#This Row],[Precio Venta Ideal (x1.5)]]</f>
        <v>20.685000000000002</v>
      </c>
      <c r="J923" s="69">
        <v>1</v>
      </c>
      <c r="K923" s="69">
        <f>SUMIFS(VENTAS[Cantidad],VENTAS[Código del producto Vendido],STOCK[[#This Row],[Code]])</f>
        <v>1</v>
      </c>
      <c r="L923" s="69">
        <f>STOCK[[#This Row],[Entradas]]-STOCK[[#This Row],[Salidas]]</f>
        <v>0</v>
      </c>
      <c r="M923" s="53">
        <f>STOCK[[#This Row],[Precio Final]]*10%</f>
        <v>2</v>
      </c>
      <c r="N923" s="53">
        <v>0</v>
      </c>
      <c r="O923" s="53">
        <v>0</v>
      </c>
      <c r="P923" s="53">
        <v>9.99</v>
      </c>
      <c r="Q923" s="69">
        <v>0</v>
      </c>
      <c r="R923" s="53">
        <v>0</v>
      </c>
      <c r="S923" s="53">
        <v>1.8</v>
      </c>
      <c r="T923" s="53">
        <f>STOCK[[#This Row],[Costo Unitario (USD)]]+STOCK[[#This Row],[Costo Envío (USD)]]+STOCK[[#This Row],[Comisión 10%]]</f>
        <v>13.790000000000001</v>
      </c>
      <c r="U923" s="53">
        <f>STOCK[[#This Row],[Costo total]]*1.5</f>
        <v>20.685000000000002</v>
      </c>
      <c r="V923" s="53">
        <v>20</v>
      </c>
      <c r="W923" s="53">
        <f>STOCK[[#This Row],[Precio Final]]-STOCK[[#This Row],[Costo total]]</f>
        <v>6.2099999999999991</v>
      </c>
      <c r="X923" s="53">
        <f>STOCK[[#This Row],[Ganancia Unitaria]]*STOCK[[#This Row],[Salidas]]</f>
        <v>6.2099999999999991</v>
      </c>
      <c r="Y923" s="53" t="s">
        <v>1823</v>
      </c>
      <c r="AA923" s="53">
        <f>STOCK[[#This Row],[Costo total]]*STOCK[[#This Row],[Entradas]]</f>
        <v>13.790000000000001</v>
      </c>
      <c r="AB923" s="53">
        <f>STOCK[[#This Row],[Stock Actual]]*STOCK[[#This Row],[Costo total]]</f>
        <v>0</v>
      </c>
    </row>
    <row r="924" spans="1:28" s="54" customFormat="1" ht="50" customHeight="1">
      <c r="A924" s="54" t="s">
        <v>1846</v>
      </c>
      <c r="B924" s="64"/>
      <c r="C924" s="54" t="s">
        <v>32</v>
      </c>
      <c r="D924" s="54" t="s">
        <v>1820</v>
      </c>
      <c r="E924" s="66" t="s">
        <v>1847</v>
      </c>
      <c r="F924" s="54" t="s">
        <v>49</v>
      </c>
      <c r="G924" s="54" t="s">
        <v>1296</v>
      </c>
      <c r="H924" s="54">
        <f>STOCK[[#This Row],[Precio Final]]</f>
        <v>30</v>
      </c>
      <c r="I924" s="54">
        <f>STOCK[[#This Row],[Precio Venta Ideal (x1.5)]]</f>
        <v>25.934999999999999</v>
      </c>
      <c r="J924" s="70">
        <v>1</v>
      </c>
      <c r="K924" s="70">
        <f>SUMIFS(VENTAS[Cantidad],VENTAS[Código del producto Vendido],STOCK[[#This Row],[Code]])</f>
        <v>0</v>
      </c>
      <c r="L924" s="70">
        <f>STOCK[[#This Row],[Entradas]]-STOCK[[#This Row],[Salidas]]</f>
        <v>1</v>
      </c>
      <c r="M924" s="54">
        <f>STOCK[[#This Row],[Precio Final]]*10%</f>
        <v>3</v>
      </c>
      <c r="N924" s="54">
        <v>0</v>
      </c>
      <c r="O924" s="54">
        <v>0</v>
      </c>
      <c r="P924" s="54">
        <v>12.49</v>
      </c>
      <c r="Q924" s="70">
        <v>0</v>
      </c>
      <c r="R924" s="54">
        <v>0</v>
      </c>
      <c r="S924" s="54">
        <v>1.8</v>
      </c>
      <c r="T924" s="53">
        <f>STOCK[[#This Row],[Costo Unitario (USD)]]+STOCK[[#This Row],[Costo Envío (USD)]]+STOCK[[#This Row],[Comisión 10%]]</f>
        <v>17.29</v>
      </c>
      <c r="U924" s="54">
        <f>STOCK[[#This Row],[Costo total]]*1.5</f>
        <v>25.934999999999999</v>
      </c>
      <c r="V924" s="54">
        <v>30</v>
      </c>
      <c r="W924" s="54">
        <f>STOCK[[#This Row],[Precio Final]]-STOCK[[#This Row],[Costo total]]</f>
        <v>12.71</v>
      </c>
      <c r="X924" s="54">
        <f>STOCK[[#This Row],[Ganancia Unitaria]]*STOCK[[#This Row],[Salidas]]</f>
        <v>0</v>
      </c>
      <c r="Y924" s="54" t="s">
        <v>1823</v>
      </c>
      <c r="AA924" s="54">
        <f>STOCK[[#This Row],[Costo total]]*STOCK[[#This Row],[Entradas]]</f>
        <v>17.29</v>
      </c>
      <c r="AB924" s="54">
        <f>STOCK[[#This Row],[Stock Actual]]*STOCK[[#This Row],[Costo total]]</f>
        <v>17.29</v>
      </c>
    </row>
    <row r="925" spans="1:28" s="53" customFormat="1" ht="50" customHeight="1">
      <c r="A925" s="53" t="s">
        <v>1848</v>
      </c>
      <c r="B925" s="64"/>
      <c r="C925" s="53" t="s">
        <v>32</v>
      </c>
      <c r="D925" s="53" t="s">
        <v>488</v>
      </c>
      <c r="E925" s="65" t="s">
        <v>1849</v>
      </c>
      <c r="F925" s="53" t="s">
        <v>525</v>
      </c>
      <c r="G925" s="53" t="s">
        <v>1296</v>
      </c>
      <c r="H925" s="53">
        <f>STOCK[[#This Row],[Precio Final]]</f>
        <v>25</v>
      </c>
      <c r="I925" s="53">
        <f>STOCK[[#This Row],[Precio Venta Ideal (x1.5)]]</f>
        <v>23.685000000000002</v>
      </c>
      <c r="J925" s="69">
        <v>2</v>
      </c>
      <c r="K925" s="69">
        <f>SUMIFS(VENTAS[Cantidad],VENTAS[Código del producto Vendido],STOCK[[#This Row],[Code]])</f>
        <v>2</v>
      </c>
      <c r="L925" s="69">
        <f>STOCK[[#This Row],[Entradas]]-STOCK[[#This Row],[Salidas]]</f>
        <v>0</v>
      </c>
      <c r="M925" s="53">
        <f>STOCK[[#This Row],[Precio Final]]*10%</f>
        <v>2.5</v>
      </c>
      <c r="N925" s="53">
        <v>0</v>
      </c>
      <c r="O925" s="53">
        <v>0</v>
      </c>
      <c r="P925" s="53">
        <v>11.49</v>
      </c>
      <c r="Q925" s="69">
        <v>0</v>
      </c>
      <c r="R925" s="53">
        <v>0</v>
      </c>
      <c r="S925" s="53">
        <v>1.8</v>
      </c>
      <c r="T925" s="53">
        <f>STOCK[[#This Row],[Costo Unitario (USD)]]+STOCK[[#This Row],[Costo Envío (USD)]]+STOCK[[#This Row],[Comisión 10%]]</f>
        <v>15.790000000000001</v>
      </c>
      <c r="U925" s="53">
        <f>STOCK[[#This Row],[Costo total]]*1.5</f>
        <v>23.685000000000002</v>
      </c>
      <c r="V925" s="53">
        <v>25</v>
      </c>
      <c r="W925" s="53">
        <f>STOCK[[#This Row],[Precio Final]]-STOCK[[#This Row],[Costo total]]</f>
        <v>9.2099999999999991</v>
      </c>
      <c r="X925" s="53">
        <f>STOCK[[#This Row],[Ganancia Unitaria]]*STOCK[[#This Row],[Salidas]]</f>
        <v>18.419999999999998</v>
      </c>
      <c r="Y925" s="53" t="s">
        <v>1823</v>
      </c>
      <c r="AA925" s="53">
        <f>STOCK[[#This Row],[Costo total]]*STOCK[[#This Row],[Entradas]]</f>
        <v>31.580000000000002</v>
      </c>
      <c r="AB925" s="53">
        <f>STOCK[[#This Row],[Stock Actual]]*STOCK[[#This Row],[Costo total]]</f>
        <v>0</v>
      </c>
    </row>
    <row r="926" spans="1:28" s="54" customFormat="1" ht="50" customHeight="1">
      <c r="A926" s="54" t="s">
        <v>1850</v>
      </c>
      <c r="B926" s="64"/>
      <c r="C926" s="54" t="s">
        <v>32</v>
      </c>
      <c r="D926" s="54" t="s">
        <v>488</v>
      </c>
      <c r="E926" s="66" t="s">
        <v>1851</v>
      </c>
      <c r="F926" s="54" t="s">
        <v>525</v>
      </c>
      <c r="G926" s="54" t="s">
        <v>1296</v>
      </c>
      <c r="H926" s="54">
        <f>STOCK[[#This Row],[Precio Final]]</f>
        <v>18</v>
      </c>
      <c r="I926" s="54">
        <f>STOCK[[#This Row],[Precio Venta Ideal (x1.5)]]</f>
        <v>18.885000000000002</v>
      </c>
      <c r="J926" s="70">
        <v>2</v>
      </c>
      <c r="K926" s="70">
        <f>SUMIFS(VENTAS[Cantidad],VENTAS[Código del producto Vendido],STOCK[[#This Row],[Code]])</f>
        <v>1</v>
      </c>
      <c r="L926" s="70">
        <f>STOCK[[#This Row],[Entradas]]-STOCK[[#This Row],[Salidas]]</f>
        <v>1</v>
      </c>
      <c r="M926" s="54">
        <f>STOCK[[#This Row],[Precio Final]]*10%</f>
        <v>1.8</v>
      </c>
      <c r="N926" s="54">
        <v>0</v>
      </c>
      <c r="O926" s="54">
        <v>0</v>
      </c>
      <c r="P926" s="54">
        <v>8.99</v>
      </c>
      <c r="Q926" s="70">
        <v>0</v>
      </c>
      <c r="R926" s="54">
        <v>0</v>
      </c>
      <c r="S926" s="54">
        <v>1.8</v>
      </c>
      <c r="T926" s="53">
        <f>STOCK[[#This Row],[Costo Unitario (USD)]]+STOCK[[#This Row],[Costo Envío (USD)]]+STOCK[[#This Row],[Comisión 10%]]</f>
        <v>12.590000000000002</v>
      </c>
      <c r="U926" s="54">
        <f>STOCK[[#This Row],[Costo total]]*1.5</f>
        <v>18.885000000000002</v>
      </c>
      <c r="V926" s="54">
        <v>18</v>
      </c>
      <c r="W926" s="54">
        <f>STOCK[[#This Row],[Precio Final]]-STOCK[[#This Row],[Costo total]]</f>
        <v>5.4099999999999984</v>
      </c>
      <c r="X926" s="54">
        <f>STOCK[[#This Row],[Ganancia Unitaria]]*STOCK[[#This Row],[Salidas]]</f>
        <v>5.4099999999999984</v>
      </c>
      <c r="Y926" s="54" t="s">
        <v>1823</v>
      </c>
      <c r="AA926" s="54">
        <f>STOCK[[#This Row],[Costo total]]*STOCK[[#This Row],[Entradas]]</f>
        <v>25.180000000000003</v>
      </c>
      <c r="AB926" s="54">
        <f>STOCK[[#This Row],[Stock Actual]]*STOCK[[#This Row],[Costo total]]</f>
        <v>12.590000000000002</v>
      </c>
    </row>
    <row r="927" spans="1:28" s="53" customFormat="1" ht="50" customHeight="1">
      <c r="A927" s="53" t="s">
        <v>1852</v>
      </c>
      <c r="B927" s="64"/>
      <c r="C927" s="53" t="s">
        <v>32</v>
      </c>
      <c r="D927" s="53" t="s">
        <v>488</v>
      </c>
      <c r="E927" s="65" t="s">
        <v>1853</v>
      </c>
      <c r="F927" s="53" t="s">
        <v>525</v>
      </c>
      <c r="G927" s="53" t="s">
        <v>1296</v>
      </c>
      <c r="H927" s="53">
        <f>STOCK[[#This Row],[Precio Final]]</f>
        <v>18</v>
      </c>
      <c r="I927" s="53">
        <f>STOCK[[#This Row],[Precio Venta Ideal (x1.5)]]</f>
        <v>20.385000000000002</v>
      </c>
      <c r="J927" s="69">
        <v>2</v>
      </c>
      <c r="K927" s="69">
        <f>SUMIFS(VENTAS[Cantidad],VENTAS[Código del producto Vendido],STOCK[[#This Row],[Code]])</f>
        <v>0</v>
      </c>
      <c r="L927" s="69">
        <f>STOCK[[#This Row],[Entradas]]-STOCK[[#This Row],[Salidas]]</f>
        <v>2</v>
      </c>
      <c r="M927" s="53">
        <f>STOCK[[#This Row],[Precio Final]]*10%</f>
        <v>1.8</v>
      </c>
      <c r="N927" s="53">
        <v>0</v>
      </c>
      <c r="O927" s="53">
        <v>0</v>
      </c>
      <c r="P927" s="53">
        <v>9.99</v>
      </c>
      <c r="Q927" s="69">
        <v>0</v>
      </c>
      <c r="R927" s="53">
        <v>0</v>
      </c>
      <c r="S927" s="53">
        <v>1.8</v>
      </c>
      <c r="T927" s="53">
        <f>STOCK[[#This Row],[Costo Unitario (USD)]]+STOCK[[#This Row],[Costo Envío (USD)]]+STOCK[[#This Row],[Comisión 10%]]</f>
        <v>13.590000000000002</v>
      </c>
      <c r="U927" s="53">
        <f>STOCK[[#This Row],[Costo total]]*1.5</f>
        <v>20.385000000000002</v>
      </c>
      <c r="V927" s="53">
        <v>18</v>
      </c>
      <c r="W927" s="53">
        <f>STOCK[[#This Row],[Precio Final]]-STOCK[[#This Row],[Costo total]]</f>
        <v>4.4099999999999984</v>
      </c>
      <c r="X927" s="53">
        <f>STOCK[[#This Row],[Ganancia Unitaria]]*STOCK[[#This Row],[Salidas]]</f>
        <v>0</v>
      </c>
      <c r="Y927" s="53" t="s">
        <v>1823</v>
      </c>
      <c r="AA927" s="53">
        <f>STOCK[[#This Row],[Costo total]]*STOCK[[#This Row],[Entradas]]</f>
        <v>27.180000000000003</v>
      </c>
      <c r="AB927" s="53">
        <f>STOCK[[#This Row],[Stock Actual]]*STOCK[[#This Row],[Costo total]]</f>
        <v>27.180000000000003</v>
      </c>
    </row>
    <row r="928" spans="1:28" s="54" customFormat="1" ht="50" customHeight="1">
      <c r="A928" s="54" t="s">
        <v>1854</v>
      </c>
      <c r="B928" s="64"/>
      <c r="C928" s="54" t="s">
        <v>32</v>
      </c>
      <c r="D928" s="54" t="s">
        <v>488</v>
      </c>
      <c r="E928" s="66" t="s">
        <v>1855</v>
      </c>
      <c r="F928" s="54" t="s">
        <v>1856</v>
      </c>
      <c r="G928" s="54" t="s">
        <v>1296</v>
      </c>
      <c r="H928" s="54">
        <f>STOCK[[#This Row],[Precio Final]]</f>
        <v>20</v>
      </c>
      <c r="I928" s="54">
        <f>STOCK[[#This Row],[Precio Venta Ideal (x1.5)]]</f>
        <v>19.185000000000002</v>
      </c>
      <c r="J928" s="70">
        <v>2</v>
      </c>
      <c r="K928" s="70">
        <f>SUMIFS(VENTAS[Cantidad],VENTAS[Código del producto Vendido],STOCK[[#This Row],[Code]])</f>
        <v>2</v>
      </c>
      <c r="L928" s="70">
        <f>STOCK[[#This Row],[Entradas]]-STOCK[[#This Row],[Salidas]]</f>
        <v>0</v>
      </c>
      <c r="M928" s="54">
        <f>STOCK[[#This Row],[Precio Final]]*10%</f>
        <v>2</v>
      </c>
      <c r="N928" s="54">
        <v>0</v>
      </c>
      <c r="O928" s="54">
        <v>0</v>
      </c>
      <c r="P928" s="54">
        <v>8.99</v>
      </c>
      <c r="Q928" s="70">
        <v>0</v>
      </c>
      <c r="R928" s="54">
        <v>0</v>
      </c>
      <c r="S928" s="54">
        <v>1.8</v>
      </c>
      <c r="T928" s="53">
        <f>STOCK[[#This Row],[Costo Unitario (USD)]]+STOCK[[#This Row],[Costo Envío (USD)]]+STOCK[[#This Row],[Comisión 10%]]</f>
        <v>12.790000000000001</v>
      </c>
      <c r="U928" s="54">
        <f>STOCK[[#This Row],[Costo total]]*1.5</f>
        <v>19.185000000000002</v>
      </c>
      <c r="V928" s="54">
        <v>20</v>
      </c>
      <c r="W928" s="54">
        <f>STOCK[[#This Row],[Precio Final]]-STOCK[[#This Row],[Costo total]]</f>
        <v>7.2099999999999991</v>
      </c>
      <c r="X928" s="54">
        <f>STOCK[[#This Row],[Ganancia Unitaria]]*STOCK[[#This Row],[Salidas]]</f>
        <v>14.419999999999998</v>
      </c>
      <c r="Y928" s="54" t="s">
        <v>1823</v>
      </c>
      <c r="AA928" s="54">
        <f>STOCK[[#This Row],[Costo total]]*STOCK[[#This Row],[Entradas]]</f>
        <v>25.580000000000002</v>
      </c>
      <c r="AB928" s="54">
        <f>STOCK[[#This Row],[Stock Actual]]*STOCK[[#This Row],[Costo total]]</f>
        <v>0</v>
      </c>
    </row>
    <row r="929" spans="1:28" s="53" customFormat="1" ht="50" customHeight="1">
      <c r="A929" s="53" t="s">
        <v>1857</v>
      </c>
      <c r="B929" s="64"/>
      <c r="C929" s="53" t="s">
        <v>32</v>
      </c>
      <c r="D929" s="53" t="s">
        <v>488</v>
      </c>
      <c r="E929" s="65" t="s">
        <v>1858</v>
      </c>
      <c r="F929" s="53" t="s">
        <v>1856</v>
      </c>
      <c r="G929" s="53" t="s">
        <v>1296</v>
      </c>
      <c r="H929" s="53">
        <f>STOCK[[#This Row],[Precio Final]]</f>
        <v>20</v>
      </c>
      <c r="I929" s="53">
        <f>STOCK[[#This Row],[Precio Venta Ideal (x1.5)]]</f>
        <v>19.185000000000002</v>
      </c>
      <c r="J929" s="69">
        <v>2</v>
      </c>
      <c r="K929" s="69">
        <f>SUMIFS(VENTAS[Cantidad],VENTAS[Código del producto Vendido],STOCK[[#This Row],[Code]])</f>
        <v>2</v>
      </c>
      <c r="L929" s="69">
        <f>STOCK[[#This Row],[Entradas]]-STOCK[[#This Row],[Salidas]]</f>
        <v>0</v>
      </c>
      <c r="M929" s="53">
        <f>STOCK[[#This Row],[Precio Final]]*10%</f>
        <v>2</v>
      </c>
      <c r="N929" s="53">
        <v>0</v>
      </c>
      <c r="O929" s="53">
        <v>0</v>
      </c>
      <c r="P929" s="53">
        <v>8.99</v>
      </c>
      <c r="Q929" s="69">
        <v>0</v>
      </c>
      <c r="R929" s="53">
        <v>0</v>
      </c>
      <c r="S929" s="53">
        <v>1.8</v>
      </c>
      <c r="T929" s="53">
        <f>STOCK[[#This Row],[Costo Unitario (USD)]]+STOCK[[#This Row],[Costo Envío (USD)]]+STOCK[[#This Row],[Comisión 10%]]</f>
        <v>12.790000000000001</v>
      </c>
      <c r="U929" s="53">
        <f>STOCK[[#This Row],[Costo total]]*1.5</f>
        <v>19.185000000000002</v>
      </c>
      <c r="V929" s="53">
        <v>20</v>
      </c>
      <c r="W929" s="53">
        <f>STOCK[[#This Row],[Precio Final]]-STOCK[[#This Row],[Costo total]]</f>
        <v>7.2099999999999991</v>
      </c>
      <c r="X929" s="53">
        <f>STOCK[[#This Row],[Ganancia Unitaria]]*STOCK[[#This Row],[Salidas]]</f>
        <v>14.419999999999998</v>
      </c>
      <c r="Y929" s="53" t="s">
        <v>1823</v>
      </c>
      <c r="AA929" s="53">
        <f>STOCK[[#This Row],[Costo total]]*STOCK[[#This Row],[Entradas]]</f>
        <v>25.580000000000002</v>
      </c>
      <c r="AB929" s="53">
        <f>STOCK[[#This Row],[Stock Actual]]*STOCK[[#This Row],[Costo total]]</f>
        <v>0</v>
      </c>
    </row>
    <row r="930" spans="1:28" s="54" customFormat="1" ht="50" customHeight="1">
      <c r="A930" s="54" t="s">
        <v>1859</v>
      </c>
      <c r="B930" s="64"/>
      <c r="C930" s="54" t="s">
        <v>32</v>
      </c>
      <c r="D930" s="54" t="s">
        <v>488</v>
      </c>
      <c r="E930" s="66" t="s">
        <v>1860</v>
      </c>
      <c r="F930" s="54" t="s">
        <v>525</v>
      </c>
      <c r="G930" s="54" t="s">
        <v>1296</v>
      </c>
      <c r="H930" s="54">
        <f>STOCK[[#This Row],[Precio Final]]</f>
        <v>20</v>
      </c>
      <c r="I930" s="54">
        <f>STOCK[[#This Row],[Precio Venta Ideal (x1.5)]]</f>
        <v>20.685000000000002</v>
      </c>
      <c r="J930" s="70">
        <v>2</v>
      </c>
      <c r="K930" s="70">
        <f>SUMIFS(VENTAS[Cantidad],VENTAS[Código del producto Vendido],STOCK[[#This Row],[Code]])</f>
        <v>1</v>
      </c>
      <c r="L930" s="70">
        <f>STOCK[[#This Row],[Entradas]]-STOCK[[#This Row],[Salidas]]</f>
        <v>1</v>
      </c>
      <c r="M930" s="54">
        <f>STOCK[[#This Row],[Precio Final]]*10%</f>
        <v>2</v>
      </c>
      <c r="N930" s="54">
        <v>0</v>
      </c>
      <c r="O930" s="54">
        <v>0</v>
      </c>
      <c r="P930" s="54">
        <v>9.99</v>
      </c>
      <c r="Q930" s="70">
        <v>0</v>
      </c>
      <c r="R930" s="54">
        <v>0</v>
      </c>
      <c r="S930" s="54">
        <v>1.8</v>
      </c>
      <c r="T930" s="53">
        <f>STOCK[[#This Row],[Costo Unitario (USD)]]+STOCK[[#This Row],[Costo Envío (USD)]]+STOCK[[#This Row],[Comisión 10%]]</f>
        <v>13.790000000000001</v>
      </c>
      <c r="U930" s="54">
        <f>STOCK[[#This Row],[Costo total]]*1.5</f>
        <v>20.685000000000002</v>
      </c>
      <c r="V930" s="54">
        <v>20</v>
      </c>
      <c r="W930" s="54">
        <f>STOCK[[#This Row],[Precio Final]]-STOCK[[#This Row],[Costo total]]</f>
        <v>6.2099999999999991</v>
      </c>
      <c r="X930" s="54">
        <f>STOCK[[#This Row],[Ganancia Unitaria]]*STOCK[[#This Row],[Salidas]]</f>
        <v>6.2099999999999991</v>
      </c>
      <c r="Y930" s="54" t="s">
        <v>1823</v>
      </c>
      <c r="AA930" s="54">
        <f>STOCK[[#This Row],[Costo total]]*STOCK[[#This Row],[Entradas]]</f>
        <v>27.580000000000002</v>
      </c>
      <c r="AB930" s="54">
        <f>STOCK[[#This Row],[Stock Actual]]*STOCK[[#This Row],[Costo total]]</f>
        <v>13.790000000000001</v>
      </c>
    </row>
    <row r="931" spans="1:28" s="53" customFormat="1" ht="50" customHeight="1">
      <c r="A931" s="53" t="s">
        <v>1861</v>
      </c>
      <c r="B931" s="64"/>
      <c r="C931" s="53" t="s">
        <v>32</v>
      </c>
      <c r="D931" s="53" t="s">
        <v>488</v>
      </c>
      <c r="E931" s="65" t="s">
        <v>1862</v>
      </c>
      <c r="F931" s="53" t="s">
        <v>1856</v>
      </c>
      <c r="G931" s="53" t="s">
        <v>1296</v>
      </c>
      <c r="H931" s="53">
        <f>STOCK[[#This Row],[Precio Final]]</f>
        <v>25</v>
      </c>
      <c r="I931" s="53">
        <f>STOCK[[#This Row],[Precio Venta Ideal (x1.5)]]</f>
        <v>27.434999999999999</v>
      </c>
      <c r="J931" s="69">
        <v>2</v>
      </c>
      <c r="K931" s="69">
        <f>SUMIFS(VENTAS[Cantidad],VENTAS[Código del producto Vendido],STOCK[[#This Row],[Code]])</f>
        <v>2</v>
      </c>
      <c r="L931" s="69">
        <f>STOCK[[#This Row],[Entradas]]-STOCK[[#This Row],[Salidas]]</f>
        <v>0</v>
      </c>
      <c r="M931" s="53">
        <f>STOCK[[#This Row],[Precio Final]]*10%</f>
        <v>2.5</v>
      </c>
      <c r="N931" s="53">
        <v>0</v>
      </c>
      <c r="O931" s="53">
        <v>0</v>
      </c>
      <c r="P931" s="53">
        <v>13.99</v>
      </c>
      <c r="Q931" s="69">
        <v>0</v>
      </c>
      <c r="R931" s="53">
        <v>0</v>
      </c>
      <c r="S931" s="53">
        <v>1.8</v>
      </c>
      <c r="T931" s="53">
        <f>STOCK[[#This Row],[Costo Unitario (USD)]]+STOCK[[#This Row],[Costo Envío (USD)]]+STOCK[[#This Row],[Comisión 10%]]</f>
        <v>18.29</v>
      </c>
      <c r="U931" s="53">
        <f>STOCK[[#This Row],[Costo total]]*1.5</f>
        <v>27.434999999999999</v>
      </c>
      <c r="V931" s="53">
        <v>25</v>
      </c>
      <c r="W931" s="53">
        <f>STOCK[[#This Row],[Precio Final]]-STOCK[[#This Row],[Costo total]]</f>
        <v>6.7100000000000009</v>
      </c>
      <c r="X931" s="53">
        <f>STOCK[[#This Row],[Ganancia Unitaria]]*STOCK[[#This Row],[Salidas]]</f>
        <v>13.420000000000002</v>
      </c>
      <c r="Y931" s="53" t="s">
        <v>1823</v>
      </c>
      <c r="AA931" s="53">
        <f>STOCK[[#This Row],[Costo total]]*STOCK[[#This Row],[Entradas]]</f>
        <v>36.58</v>
      </c>
      <c r="AB931" s="53">
        <f>STOCK[[#This Row],[Stock Actual]]*STOCK[[#This Row],[Costo total]]</f>
        <v>0</v>
      </c>
    </row>
    <row r="932" spans="1:28" s="54" customFormat="1" ht="50" customHeight="1">
      <c r="A932" s="54" t="s">
        <v>1863</v>
      </c>
      <c r="B932" s="64"/>
      <c r="C932" s="54" t="s">
        <v>32</v>
      </c>
      <c r="D932" s="54" t="s">
        <v>488</v>
      </c>
      <c r="E932" s="66" t="s">
        <v>1864</v>
      </c>
      <c r="F932" s="54" t="s">
        <v>1856</v>
      </c>
      <c r="G932" s="54" t="s">
        <v>1296</v>
      </c>
      <c r="H932" s="54">
        <f>STOCK[[#This Row],[Precio Final]]</f>
        <v>25</v>
      </c>
      <c r="I932" s="54">
        <f>STOCK[[#This Row],[Precio Venta Ideal (x1.5)]]</f>
        <v>27.434999999999999</v>
      </c>
      <c r="J932" s="70">
        <v>2</v>
      </c>
      <c r="K932" s="70">
        <f>SUMIFS(VENTAS[Cantidad],VENTAS[Código del producto Vendido],STOCK[[#This Row],[Code]])</f>
        <v>2</v>
      </c>
      <c r="L932" s="70">
        <f>STOCK[[#This Row],[Entradas]]-STOCK[[#This Row],[Salidas]]</f>
        <v>0</v>
      </c>
      <c r="M932" s="54">
        <f>STOCK[[#This Row],[Precio Final]]*10%</f>
        <v>2.5</v>
      </c>
      <c r="N932" s="54">
        <v>0</v>
      </c>
      <c r="O932" s="54">
        <v>0</v>
      </c>
      <c r="P932" s="54">
        <v>13.99</v>
      </c>
      <c r="Q932" s="70">
        <v>0</v>
      </c>
      <c r="R932" s="54">
        <v>0</v>
      </c>
      <c r="S932" s="54">
        <v>1.8</v>
      </c>
      <c r="T932" s="53">
        <f>STOCK[[#This Row],[Costo Unitario (USD)]]+STOCK[[#This Row],[Costo Envío (USD)]]+STOCK[[#This Row],[Comisión 10%]]</f>
        <v>18.29</v>
      </c>
      <c r="U932" s="54">
        <f>STOCK[[#This Row],[Costo total]]*1.5</f>
        <v>27.434999999999999</v>
      </c>
      <c r="V932" s="54">
        <v>25</v>
      </c>
      <c r="W932" s="54">
        <f>STOCK[[#This Row],[Precio Final]]-STOCK[[#This Row],[Costo total]]</f>
        <v>6.7100000000000009</v>
      </c>
      <c r="X932" s="54">
        <f>STOCK[[#This Row],[Ganancia Unitaria]]*STOCK[[#This Row],[Salidas]]</f>
        <v>13.420000000000002</v>
      </c>
      <c r="Y932" s="54" t="s">
        <v>1823</v>
      </c>
      <c r="AA932" s="54">
        <f>STOCK[[#This Row],[Costo total]]*STOCK[[#This Row],[Entradas]]</f>
        <v>36.58</v>
      </c>
      <c r="AB932" s="54">
        <f>STOCK[[#This Row],[Stock Actual]]*STOCK[[#This Row],[Costo total]]</f>
        <v>0</v>
      </c>
    </row>
    <row r="933" spans="1:28" s="53" customFormat="1" ht="50" customHeight="1">
      <c r="A933" s="53" t="s">
        <v>1865</v>
      </c>
      <c r="B933" s="64"/>
      <c r="C933" s="53" t="s">
        <v>32</v>
      </c>
      <c r="D933" s="53" t="s">
        <v>488</v>
      </c>
      <c r="E933" s="65" t="s">
        <v>1866</v>
      </c>
      <c r="F933" s="53" t="s">
        <v>525</v>
      </c>
      <c r="G933" s="53" t="s">
        <v>1296</v>
      </c>
      <c r="H933" s="53">
        <f>STOCK[[#This Row],[Precio Final]]</f>
        <v>20</v>
      </c>
      <c r="I933" s="53">
        <f>STOCK[[#This Row],[Precio Venta Ideal (x1.5)]]</f>
        <v>20.685000000000002</v>
      </c>
      <c r="J933" s="69">
        <v>2</v>
      </c>
      <c r="K933" s="69">
        <f>SUMIFS(VENTAS[Cantidad],VENTAS[Código del producto Vendido],STOCK[[#This Row],[Code]])</f>
        <v>0</v>
      </c>
      <c r="L933" s="69">
        <f>STOCK[[#This Row],[Entradas]]-STOCK[[#This Row],[Salidas]]</f>
        <v>2</v>
      </c>
      <c r="M933" s="53">
        <f>STOCK[[#This Row],[Precio Final]]*10%</f>
        <v>2</v>
      </c>
      <c r="N933" s="53">
        <v>0</v>
      </c>
      <c r="O933" s="53">
        <v>0</v>
      </c>
      <c r="P933" s="53">
        <v>9.99</v>
      </c>
      <c r="Q933" s="69">
        <v>0</v>
      </c>
      <c r="R933" s="53">
        <v>0</v>
      </c>
      <c r="S933" s="53">
        <v>1.8</v>
      </c>
      <c r="T933" s="53">
        <f>STOCK[[#This Row],[Costo Unitario (USD)]]+STOCK[[#This Row],[Costo Envío (USD)]]+STOCK[[#This Row],[Comisión 10%]]</f>
        <v>13.790000000000001</v>
      </c>
      <c r="U933" s="53">
        <f>STOCK[[#This Row],[Costo total]]*1.5</f>
        <v>20.685000000000002</v>
      </c>
      <c r="V933" s="53">
        <v>20</v>
      </c>
      <c r="W933" s="53">
        <f>STOCK[[#This Row],[Precio Final]]-STOCK[[#This Row],[Costo total]]</f>
        <v>6.2099999999999991</v>
      </c>
      <c r="X933" s="53">
        <f>STOCK[[#This Row],[Ganancia Unitaria]]*STOCK[[#This Row],[Salidas]]</f>
        <v>0</v>
      </c>
      <c r="Y933" s="53" t="s">
        <v>1823</v>
      </c>
      <c r="AA933" s="53">
        <f>STOCK[[#This Row],[Costo total]]*STOCK[[#This Row],[Entradas]]</f>
        <v>27.580000000000002</v>
      </c>
      <c r="AB933" s="53">
        <f>STOCK[[#This Row],[Stock Actual]]*STOCK[[#This Row],[Costo total]]</f>
        <v>27.580000000000002</v>
      </c>
    </row>
    <row r="934" spans="1:28" s="54" customFormat="1" ht="50" customHeight="1">
      <c r="A934" s="54" t="s">
        <v>1867</v>
      </c>
      <c r="B934" s="64"/>
      <c r="C934" s="54" t="s">
        <v>32</v>
      </c>
      <c r="D934" s="54" t="s">
        <v>1868</v>
      </c>
      <c r="E934" s="66" t="s">
        <v>1869</v>
      </c>
      <c r="F934" s="54" t="s">
        <v>40</v>
      </c>
      <c r="G934" s="54" t="s">
        <v>1296</v>
      </c>
      <c r="H934" s="54">
        <f>STOCK[[#This Row],[Precio Final]]</f>
        <v>40</v>
      </c>
      <c r="I934" s="54">
        <f>STOCK[[#This Row],[Precio Venta Ideal (x1.5)]]</f>
        <v>42.435000000000002</v>
      </c>
      <c r="J934" s="70">
        <v>1</v>
      </c>
      <c r="K934" s="70">
        <f>SUMIFS(VENTAS[Cantidad],VENTAS[Código del producto Vendido],STOCK[[#This Row],[Code]])</f>
        <v>1</v>
      </c>
      <c r="L934" s="70">
        <f>STOCK[[#This Row],[Entradas]]-STOCK[[#This Row],[Salidas]]</f>
        <v>0</v>
      </c>
      <c r="M934" s="54">
        <f>STOCK[[#This Row],[Precio Final]]*10%</f>
        <v>4</v>
      </c>
      <c r="N934" s="54">
        <v>0</v>
      </c>
      <c r="O934" s="54">
        <v>0</v>
      </c>
      <c r="P934" s="54">
        <v>22.49</v>
      </c>
      <c r="Q934" s="70">
        <v>0</v>
      </c>
      <c r="R934" s="54">
        <v>0</v>
      </c>
      <c r="S934" s="54">
        <v>1.8</v>
      </c>
      <c r="T934" s="53">
        <f>STOCK[[#This Row],[Costo Unitario (USD)]]+STOCK[[#This Row],[Costo Envío (USD)]]+STOCK[[#This Row],[Comisión 10%]]</f>
        <v>28.29</v>
      </c>
      <c r="U934" s="54">
        <f>STOCK[[#This Row],[Costo total]]*1.5</f>
        <v>42.435000000000002</v>
      </c>
      <c r="V934" s="54">
        <v>40</v>
      </c>
      <c r="W934" s="54">
        <f>STOCK[[#This Row],[Precio Final]]-STOCK[[#This Row],[Costo total]]</f>
        <v>11.71</v>
      </c>
      <c r="X934" s="54">
        <f>STOCK[[#This Row],[Ganancia Unitaria]]*STOCK[[#This Row],[Salidas]]</f>
        <v>11.71</v>
      </c>
      <c r="Y934" s="54" t="s">
        <v>1823</v>
      </c>
      <c r="AA934" s="54">
        <f>STOCK[[#This Row],[Costo total]]*STOCK[[#This Row],[Entradas]]</f>
        <v>28.29</v>
      </c>
      <c r="AB934" s="54">
        <f>STOCK[[#This Row],[Stock Actual]]*STOCK[[#This Row],[Costo total]]</f>
        <v>0</v>
      </c>
    </row>
    <row r="935" spans="1:28" s="53" customFormat="1" ht="50" customHeight="1">
      <c r="A935" s="53" t="s">
        <v>1870</v>
      </c>
      <c r="B935" s="64"/>
      <c r="C935" s="53" t="s">
        <v>32</v>
      </c>
      <c r="D935" s="53" t="s">
        <v>1868</v>
      </c>
      <c r="E935" s="65" t="s">
        <v>1869</v>
      </c>
      <c r="F935" s="53" t="s">
        <v>1871</v>
      </c>
      <c r="G935" s="53" t="s">
        <v>1296</v>
      </c>
      <c r="H935" s="53">
        <f>STOCK[[#This Row],[Precio Final]]</f>
        <v>40</v>
      </c>
      <c r="I935" s="53">
        <f>STOCK[[#This Row],[Precio Venta Ideal (x1.5)]]</f>
        <v>42.435000000000002</v>
      </c>
      <c r="J935" s="69">
        <v>1</v>
      </c>
      <c r="K935" s="69">
        <f>SUMIFS(VENTAS[Cantidad],VENTAS[Código del producto Vendido],STOCK[[#This Row],[Code]])</f>
        <v>1</v>
      </c>
      <c r="L935" s="69">
        <f>STOCK[[#This Row],[Entradas]]-STOCK[[#This Row],[Salidas]]</f>
        <v>0</v>
      </c>
      <c r="M935" s="53">
        <f>STOCK[[#This Row],[Precio Final]]*10%</f>
        <v>4</v>
      </c>
      <c r="N935" s="53">
        <v>0</v>
      </c>
      <c r="O935" s="53">
        <v>0</v>
      </c>
      <c r="P935" s="53">
        <v>22.49</v>
      </c>
      <c r="Q935" s="69">
        <v>0</v>
      </c>
      <c r="R935" s="53">
        <v>0</v>
      </c>
      <c r="S935" s="53">
        <v>1.8</v>
      </c>
      <c r="T935" s="53">
        <f>STOCK[[#This Row],[Costo Unitario (USD)]]+STOCK[[#This Row],[Costo Envío (USD)]]+STOCK[[#This Row],[Comisión 10%]]</f>
        <v>28.29</v>
      </c>
      <c r="U935" s="53">
        <f>STOCK[[#This Row],[Costo total]]*1.5</f>
        <v>42.435000000000002</v>
      </c>
      <c r="V935" s="53">
        <v>40</v>
      </c>
      <c r="W935" s="53">
        <f>STOCK[[#This Row],[Precio Final]]-STOCK[[#This Row],[Costo total]]</f>
        <v>11.71</v>
      </c>
      <c r="X935" s="53">
        <f>STOCK[[#This Row],[Ganancia Unitaria]]*STOCK[[#This Row],[Salidas]]</f>
        <v>11.71</v>
      </c>
      <c r="Y935" s="53" t="s">
        <v>1823</v>
      </c>
      <c r="AA935" s="53">
        <f>STOCK[[#This Row],[Costo total]]*STOCK[[#This Row],[Entradas]]</f>
        <v>28.29</v>
      </c>
      <c r="AB935" s="53">
        <f>STOCK[[#This Row],[Stock Actual]]*STOCK[[#This Row],[Costo total]]</f>
        <v>0</v>
      </c>
    </row>
    <row r="936" spans="1:28" s="54" customFormat="1" ht="50" customHeight="1">
      <c r="A936" s="54" t="s">
        <v>1872</v>
      </c>
      <c r="B936" s="64"/>
      <c r="C936" s="54" t="s">
        <v>32</v>
      </c>
      <c r="D936" s="54" t="s">
        <v>1873</v>
      </c>
      <c r="E936" s="66" t="s">
        <v>1869</v>
      </c>
      <c r="F936" s="54" t="s">
        <v>1845</v>
      </c>
      <c r="G936" s="54" t="s">
        <v>1296</v>
      </c>
      <c r="H936" s="54">
        <f>STOCK[[#This Row],[Precio Final]]</f>
        <v>40</v>
      </c>
      <c r="I936" s="54">
        <f>STOCK[[#This Row],[Precio Venta Ideal (x1.5)]]</f>
        <v>42.435000000000002</v>
      </c>
      <c r="J936" s="70">
        <v>1</v>
      </c>
      <c r="K936" s="70">
        <f>SUMIFS(VENTAS[Cantidad],VENTAS[Código del producto Vendido],STOCK[[#This Row],[Code]])</f>
        <v>1</v>
      </c>
      <c r="L936" s="70">
        <f>STOCK[[#This Row],[Entradas]]-STOCK[[#This Row],[Salidas]]</f>
        <v>0</v>
      </c>
      <c r="M936" s="54">
        <f>STOCK[[#This Row],[Precio Final]]*10%</f>
        <v>4</v>
      </c>
      <c r="N936" s="54">
        <v>0</v>
      </c>
      <c r="O936" s="54">
        <v>0</v>
      </c>
      <c r="P936" s="54">
        <v>22.49</v>
      </c>
      <c r="Q936" s="70">
        <v>0</v>
      </c>
      <c r="R936" s="54">
        <v>0</v>
      </c>
      <c r="S936" s="54">
        <v>1.8</v>
      </c>
      <c r="T936" s="53">
        <f>STOCK[[#This Row],[Costo Unitario (USD)]]+STOCK[[#This Row],[Costo Envío (USD)]]+STOCK[[#This Row],[Comisión 10%]]</f>
        <v>28.29</v>
      </c>
      <c r="U936" s="54">
        <f>STOCK[[#This Row],[Costo total]]*1.5</f>
        <v>42.435000000000002</v>
      </c>
      <c r="V936" s="54">
        <v>40</v>
      </c>
      <c r="W936" s="54">
        <f>STOCK[[#This Row],[Precio Final]]-STOCK[[#This Row],[Costo total]]</f>
        <v>11.71</v>
      </c>
      <c r="X936" s="54">
        <f>STOCK[[#This Row],[Ganancia Unitaria]]*STOCK[[#This Row],[Salidas]]</f>
        <v>11.71</v>
      </c>
      <c r="Y936" s="54" t="s">
        <v>1823</v>
      </c>
      <c r="AA936" s="54">
        <f>STOCK[[#This Row],[Costo total]]*STOCK[[#This Row],[Entradas]]</f>
        <v>28.29</v>
      </c>
      <c r="AB936" s="54">
        <f>STOCK[[#This Row],[Stock Actual]]*STOCK[[#This Row],[Costo total]]</f>
        <v>0</v>
      </c>
    </row>
    <row r="937" spans="1:28" s="53" customFormat="1" ht="50" customHeight="1">
      <c r="A937" s="53" t="s">
        <v>1874</v>
      </c>
      <c r="B937" s="64"/>
      <c r="C937" s="53" t="s">
        <v>32</v>
      </c>
      <c r="D937" s="53" t="s">
        <v>1868</v>
      </c>
      <c r="E937" s="65" t="s">
        <v>1869</v>
      </c>
      <c r="F937" s="53" t="s">
        <v>49</v>
      </c>
      <c r="G937" s="53" t="s">
        <v>1296</v>
      </c>
      <c r="H937" s="53">
        <f>STOCK[[#This Row],[Precio Final]]</f>
        <v>40</v>
      </c>
      <c r="I937" s="53">
        <f>STOCK[[#This Row],[Precio Venta Ideal (x1.5)]]</f>
        <v>42.435000000000002</v>
      </c>
      <c r="J937" s="69">
        <v>1</v>
      </c>
      <c r="K937" s="69">
        <f>SUMIFS(VENTAS[Cantidad],VENTAS[Código del producto Vendido],STOCK[[#This Row],[Code]])</f>
        <v>1</v>
      </c>
      <c r="L937" s="69">
        <f>STOCK[[#This Row],[Entradas]]-STOCK[[#This Row],[Salidas]]</f>
        <v>0</v>
      </c>
      <c r="M937" s="53">
        <f>STOCK[[#This Row],[Precio Final]]*10%</f>
        <v>4</v>
      </c>
      <c r="N937" s="53">
        <v>0</v>
      </c>
      <c r="O937" s="53">
        <v>0</v>
      </c>
      <c r="P937" s="53">
        <v>22.49</v>
      </c>
      <c r="Q937" s="69">
        <v>0</v>
      </c>
      <c r="R937" s="53">
        <v>0</v>
      </c>
      <c r="S937" s="53">
        <v>1.8</v>
      </c>
      <c r="T937" s="53">
        <f>STOCK[[#This Row],[Costo Unitario (USD)]]+STOCK[[#This Row],[Costo Envío (USD)]]+STOCK[[#This Row],[Comisión 10%]]</f>
        <v>28.29</v>
      </c>
      <c r="U937" s="53">
        <f>STOCK[[#This Row],[Costo total]]*1.5</f>
        <v>42.435000000000002</v>
      </c>
      <c r="V937" s="53">
        <v>40</v>
      </c>
      <c r="W937" s="53">
        <f>STOCK[[#This Row],[Precio Final]]-STOCK[[#This Row],[Costo total]]</f>
        <v>11.71</v>
      </c>
      <c r="X937" s="53">
        <f>STOCK[[#This Row],[Ganancia Unitaria]]*STOCK[[#This Row],[Salidas]]</f>
        <v>11.71</v>
      </c>
      <c r="Y937" s="53" t="s">
        <v>1823</v>
      </c>
      <c r="AA937" s="53">
        <f>STOCK[[#This Row],[Costo total]]*STOCK[[#This Row],[Entradas]]</f>
        <v>28.29</v>
      </c>
      <c r="AB937" s="53">
        <f>STOCK[[#This Row],[Stock Actual]]*STOCK[[#This Row],[Costo total]]</f>
        <v>0</v>
      </c>
    </row>
    <row r="938" spans="1:28" s="54" customFormat="1" ht="50" customHeight="1">
      <c r="A938" s="54" t="s">
        <v>1875</v>
      </c>
      <c r="B938" s="64"/>
      <c r="C938" s="54" t="s">
        <v>32</v>
      </c>
      <c r="D938" s="54" t="s">
        <v>44</v>
      </c>
      <c r="E938" s="66" t="s">
        <v>1876</v>
      </c>
      <c r="F938" s="54" t="s">
        <v>42</v>
      </c>
      <c r="G938" s="54" t="s">
        <v>1877</v>
      </c>
      <c r="H938" s="54">
        <f>STOCK[[#This Row],[Precio Final]]</f>
        <v>30</v>
      </c>
      <c r="I938" s="54">
        <f>STOCK[[#This Row],[Precio Venta Ideal (x1.5)]]</f>
        <v>33.57</v>
      </c>
      <c r="J938" s="70">
        <v>1</v>
      </c>
      <c r="K938" s="70">
        <f>SUMIFS(VENTAS[Cantidad],VENTAS[Código del producto Vendido],STOCK[[#This Row],[Code]])</f>
        <v>1</v>
      </c>
      <c r="L938" s="70">
        <f>STOCK[[#This Row],[Entradas]]-STOCK[[#This Row],[Salidas]]</f>
        <v>0</v>
      </c>
      <c r="M938" s="54">
        <f>STOCK[[#This Row],[Precio Final]]*10%</f>
        <v>3</v>
      </c>
      <c r="N938" s="54">
        <v>0</v>
      </c>
      <c r="O938" s="54">
        <v>0</v>
      </c>
      <c r="P938" s="54">
        <v>17.88</v>
      </c>
      <c r="Q938" s="70">
        <v>0</v>
      </c>
      <c r="R938" s="54">
        <v>0</v>
      </c>
      <c r="S938" s="54">
        <v>1.5</v>
      </c>
      <c r="T938" s="53">
        <f>STOCK[[#This Row],[Costo Unitario (USD)]]+STOCK[[#This Row],[Costo Envío (USD)]]+STOCK[[#This Row],[Comisión 10%]]</f>
        <v>22.38</v>
      </c>
      <c r="U938" s="54">
        <f>STOCK[[#This Row],[Costo total]]*1.5</f>
        <v>33.57</v>
      </c>
      <c r="V938" s="54">
        <v>30</v>
      </c>
      <c r="W938" s="54">
        <f>STOCK[[#This Row],[Precio Final]]-STOCK[[#This Row],[Costo total]]</f>
        <v>7.620000000000001</v>
      </c>
      <c r="X938" s="54">
        <f>STOCK[[#This Row],[Ganancia Unitaria]]*STOCK[[#This Row],[Salidas]]</f>
        <v>7.620000000000001</v>
      </c>
      <c r="Y938" s="54" t="s">
        <v>1878</v>
      </c>
      <c r="AA938" s="54">
        <f>STOCK[[#This Row],[Costo total]]*STOCK[[#This Row],[Entradas]]</f>
        <v>22.38</v>
      </c>
      <c r="AB938" s="54">
        <f>STOCK[[#This Row],[Stock Actual]]*STOCK[[#This Row],[Costo total]]</f>
        <v>0</v>
      </c>
    </row>
    <row r="939" spans="1:28" s="53" customFormat="1" ht="50" customHeight="1">
      <c r="A939" s="53" t="s">
        <v>1879</v>
      </c>
      <c r="B939" s="64"/>
      <c r="C939" s="53" t="s">
        <v>32</v>
      </c>
      <c r="D939" s="53" t="s">
        <v>1820</v>
      </c>
      <c r="E939" s="65" t="s">
        <v>1876</v>
      </c>
      <c r="F939" s="53" t="s">
        <v>49</v>
      </c>
      <c r="G939" s="53" t="s">
        <v>1877</v>
      </c>
      <c r="H939" s="53">
        <f>STOCK[[#This Row],[Precio Final]]</f>
        <v>32</v>
      </c>
      <c r="I939" s="53">
        <f>STOCK[[#This Row],[Precio Venta Ideal (x1.5)]]</f>
        <v>33.869999999999997</v>
      </c>
      <c r="J939" s="69">
        <v>1</v>
      </c>
      <c r="K939" s="69">
        <f>SUMIFS(VENTAS[Cantidad],VENTAS[Código del producto Vendido],STOCK[[#This Row],[Code]])</f>
        <v>1</v>
      </c>
      <c r="L939" s="69">
        <f>STOCK[[#This Row],[Entradas]]-STOCK[[#This Row],[Salidas]]</f>
        <v>0</v>
      </c>
      <c r="M939" s="53">
        <f>STOCK[[#This Row],[Precio Final]]*10%</f>
        <v>3.2</v>
      </c>
      <c r="N939" s="53">
        <v>0</v>
      </c>
      <c r="O939" s="53">
        <v>0</v>
      </c>
      <c r="P939" s="53">
        <v>17.88</v>
      </c>
      <c r="Q939" s="69">
        <v>0</v>
      </c>
      <c r="R939" s="53">
        <v>0</v>
      </c>
      <c r="S939" s="53">
        <v>1.5</v>
      </c>
      <c r="T939" s="53">
        <f>STOCK[[#This Row],[Costo Unitario (USD)]]+STOCK[[#This Row],[Costo Envío (USD)]]+STOCK[[#This Row],[Comisión 10%]]</f>
        <v>22.58</v>
      </c>
      <c r="U939" s="53">
        <f>STOCK[[#This Row],[Costo total]]*1.5</f>
        <v>33.869999999999997</v>
      </c>
      <c r="V939" s="53">
        <v>32</v>
      </c>
      <c r="W939" s="53">
        <f>STOCK[[#This Row],[Precio Final]]-STOCK[[#This Row],[Costo total]]</f>
        <v>9.4200000000000017</v>
      </c>
      <c r="X939" s="53">
        <f>STOCK[[#This Row],[Ganancia Unitaria]]*STOCK[[#This Row],[Salidas]]</f>
        <v>9.4200000000000017</v>
      </c>
      <c r="Y939" s="53" t="s">
        <v>1878</v>
      </c>
      <c r="AA939" s="53">
        <f>STOCK[[#This Row],[Costo total]]*STOCK[[#This Row],[Entradas]]</f>
        <v>22.58</v>
      </c>
      <c r="AB939" s="53">
        <f>STOCK[[#This Row],[Stock Actual]]*STOCK[[#This Row],[Costo total]]</f>
        <v>0</v>
      </c>
    </row>
    <row r="940" spans="1:28" s="54" customFormat="1" ht="50" customHeight="1">
      <c r="A940" s="54" t="s">
        <v>1880</v>
      </c>
      <c r="B940" s="64"/>
      <c r="C940" s="54" t="s">
        <v>32</v>
      </c>
      <c r="D940" s="54" t="s">
        <v>44</v>
      </c>
      <c r="E940" s="66" t="s">
        <v>1876</v>
      </c>
      <c r="F940" s="54" t="s">
        <v>46</v>
      </c>
      <c r="G940" s="54" t="s">
        <v>1877</v>
      </c>
      <c r="H940" s="54">
        <f>STOCK[[#This Row],[Precio Final]]</f>
        <v>30</v>
      </c>
      <c r="I940" s="54">
        <f>STOCK[[#This Row],[Precio Venta Ideal (x1.5)]]</f>
        <v>33.57</v>
      </c>
      <c r="J940" s="70">
        <v>2</v>
      </c>
      <c r="K940" s="70">
        <f>SUMIFS(VENTAS[Cantidad],VENTAS[Código del producto Vendido],STOCK[[#This Row],[Code]])</f>
        <v>0</v>
      </c>
      <c r="L940" s="70">
        <f>STOCK[[#This Row],[Entradas]]-STOCK[[#This Row],[Salidas]]</f>
        <v>2</v>
      </c>
      <c r="M940" s="54">
        <f>STOCK[[#This Row],[Precio Final]]*10%</f>
        <v>3</v>
      </c>
      <c r="N940" s="54">
        <v>0</v>
      </c>
      <c r="O940" s="54">
        <v>0</v>
      </c>
      <c r="P940" s="54">
        <v>17.88</v>
      </c>
      <c r="Q940" s="70">
        <v>0</v>
      </c>
      <c r="R940" s="54">
        <v>0</v>
      </c>
      <c r="S940" s="54">
        <v>1.5</v>
      </c>
      <c r="T940" s="53">
        <f>STOCK[[#This Row],[Costo Unitario (USD)]]+STOCK[[#This Row],[Costo Envío (USD)]]+STOCK[[#This Row],[Comisión 10%]]</f>
        <v>22.38</v>
      </c>
      <c r="U940" s="54">
        <f>STOCK[[#This Row],[Costo total]]*1.5</f>
        <v>33.57</v>
      </c>
      <c r="V940" s="54">
        <v>30</v>
      </c>
      <c r="W940" s="54">
        <f>STOCK[[#This Row],[Precio Final]]-STOCK[[#This Row],[Costo total]]</f>
        <v>7.620000000000001</v>
      </c>
      <c r="X940" s="54">
        <f>STOCK[[#This Row],[Ganancia Unitaria]]*STOCK[[#This Row],[Salidas]]</f>
        <v>0</v>
      </c>
      <c r="Y940" s="54" t="s">
        <v>1878</v>
      </c>
      <c r="AA940" s="54">
        <f>STOCK[[#This Row],[Costo total]]*STOCK[[#This Row],[Entradas]]</f>
        <v>44.76</v>
      </c>
      <c r="AB940" s="54">
        <f>STOCK[[#This Row],[Stock Actual]]*STOCK[[#This Row],[Costo total]]</f>
        <v>44.76</v>
      </c>
    </row>
    <row r="941" spans="1:28" s="53" customFormat="1" ht="50" customHeight="1">
      <c r="A941" s="53" t="s">
        <v>1881</v>
      </c>
      <c r="B941" s="64"/>
      <c r="C941" s="53" t="s">
        <v>32</v>
      </c>
      <c r="D941" s="53" t="s">
        <v>1882</v>
      </c>
      <c r="E941" s="65" t="s">
        <v>1883</v>
      </c>
      <c r="F941" s="53" t="s">
        <v>1884</v>
      </c>
      <c r="G941" s="53" t="s">
        <v>1877</v>
      </c>
      <c r="H941" s="53">
        <f>STOCK[[#This Row],[Precio Final]]</f>
        <v>35</v>
      </c>
      <c r="I941" s="53">
        <f>STOCK[[#This Row],[Precio Venta Ideal (x1.5)]]</f>
        <v>39.72</v>
      </c>
      <c r="J941" s="69">
        <v>1</v>
      </c>
      <c r="K941" s="69">
        <f>SUMIFS(VENTAS[Cantidad],VENTAS[Código del producto Vendido],STOCK[[#This Row],[Code]])</f>
        <v>1</v>
      </c>
      <c r="L941" s="69">
        <f>STOCK[[#This Row],[Entradas]]-STOCK[[#This Row],[Salidas]]</f>
        <v>0</v>
      </c>
      <c r="M941" s="53">
        <f>STOCK[[#This Row],[Precio Final]]*10%</f>
        <v>3.5</v>
      </c>
      <c r="N941" s="53">
        <v>0</v>
      </c>
      <c r="O941" s="53">
        <v>0</v>
      </c>
      <c r="P941" s="53">
        <v>20.48</v>
      </c>
      <c r="Q941" s="69">
        <v>0</v>
      </c>
      <c r="R941" s="53">
        <v>0</v>
      </c>
      <c r="S941" s="53">
        <v>2.5</v>
      </c>
      <c r="T941" s="53">
        <f>STOCK[[#This Row],[Costo Unitario (USD)]]+STOCK[[#This Row],[Costo Envío (USD)]]+STOCK[[#This Row],[Comisión 10%]]</f>
        <v>26.48</v>
      </c>
      <c r="U941" s="53">
        <f>STOCK[[#This Row],[Costo total]]*1.5</f>
        <v>39.72</v>
      </c>
      <c r="V941" s="53">
        <v>35</v>
      </c>
      <c r="W941" s="53">
        <f>STOCK[[#This Row],[Precio Final]]-STOCK[[#This Row],[Costo total]]</f>
        <v>8.52</v>
      </c>
      <c r="X941" s="53">
        <f>STOCK[[#This Row],[Ganancia Unitaria]]*STOCK[[#This Row],[Salidas]]</f>
        <v>8.52</v>
      </c>
      <c r="Y941" s="53" t="s">
        <v>1878</v>
      </c>
      <c r="AA941" s="53">
        <f>STOCK[[#This Row],[Costo total]]*STOCK[[#This Row],[Entradas]]</f>
        <v>26.48</v>
      </c>
      <c r="AB941" s="53">
        <f>STOCK[[#This Row],[Stock Actual]]*STOCK[[#This Row],[Costo total]]</f>
        <v>0</v>
      </c>
    </row>
    <row r="942" spans="1:28" s="54" customFormat="1" ht="50" customHeight="1">
      <c r="A942" s="54" t="s">
        <v>1885</v>
      </c>
      <c r="B942" s="64"/>
      <c r="C942" s="54" t="s">
        <v>32</v>
      </c>
      <c r="D942" s="54" t="s">
        <v>1882</v>
      </c>
      <c r="E942" s="66" t="s">
        <v>1886</v>
      </c>
      <c r="F942" s="54" t="s">
        <v>1884</v>
      </c>
      <c r="G942" s="54" t="s">
        <v>1877</v>
      </c>
      <c r="H942" s="54">
        <f>STOCK[[#This Row],[Precio Final]]</f>
        <v>35</v>
      </c>
      <c r="I942" s="54">
        <f>STOCK[[#This Row],[Precio Venta Ideal (x1.5)]]</f>
        <v>39.72</v>
      </c>
      <c r="J942" s="70">
        <v>1</v>
      </c>
      <c r="K942" s="70">
        <f>SUMIFS(VENTAS[Cantidad],VENTAS[Código del producto Vendido],STOCK[[#This Row],[Code]])</f>
        <v>1</v>
      </c>
      <c r="L942" s="70">
        <f>STOCK[[#This Row],[Entradas]]-STOCK[[#This Row],[Salidas]]</f>
        <v>0</v>
      </c>
      <c r="M942" s="54">
        <f>STOCK[[#This Row],[Precio Final]]*10%</f>
        <v>3.5</v>
      </c>
      <c r="N942" s="54">
        <v>0</v>
      </c>
      <c r="O942" s="54">
        <v>0</v>
      </c>
      <c r="P942" s="54">
        <v>20.48</v>
      </c>
      <c r="Q942" s="70">
        <v>0</v>
      </c>
      <c r="R942" s="54">
        <v>0</v>
      </c>
      <c r="S942" s="54">
        <v>2.5</v>
      </c>
      <c r="T942" s="53">
        <f>STOCK[[#This Row],[Costo Unitario (USD)]]+STOCK[[#This Row],[Costo Envío (USD)]]+STOCK[[#This Row],[Comisión 10%]]</f>
        <v>26.48</v>
      </c>
      <c r="U942" s="54">
        <f>STOCK[[#This Row],[Costo total]]*1.5</f>
        <v>39.72</v>
      </c>
      <c r="V942" s="54">
        <v>35</v>
      </c>
      <c r="W942" s="54">
        <f>STOCK[[#This Row],[Precio Final]]-STOCK[[#This Row],[Costo total]]</f>
        <v>8.52</v>
      </c>
      <c r="X942" s="54">
        <f>STOCK[[#This Row],[Ganancia Unitaria]]*STOCK[[#This Row],[Salidas]]</f>
        <v>8.52</v>
      </c>
      <c r="Y942" s="54" t="s">
        <v>1878</v>
      </c>
      <c r="AA942" s="54">
        <f>STOCK[[#This Row],[Costo total]]*STOCK[[#This Row],[Entradas]]</f>
        <v>26.48</v>
      </c>
      <c r="AB942" s="54">
        <f>STOCK[[#This Row],[Stock Actual]]*STOCK[[#This Row],[Costo total]]</f>
        <v>0</v>
      </c>
    </row>
    <row r="943" spans="1:28" s="53" customFormat="1" ht="50" customHeight="1">
      <c r="A943" s="53" t="s">
        <v>1887</v>
      </c>
      <c r="B943" s="64"/>
      <c r="C943" s="53" t="s">
        <v>32</v>
      </c>
      <c r="D943" s="53" t="s">
        <v>1820</v>
      </c>
      <c r="E943" s="65" t="s">
        <v>1888</v>
      </c>
      <c r="F943" s="53" t="s">
        <v>1889</v>
      </c>
      <c r="G943" s="53" t="s">
        <v>1877</v>
      </c>
      <c r="H943" s="53">
        <f>STOCK[[#This Row],[Precio Final]]</f>
        <v>35</v>
      </c>
      <c r="I943" s="53">
        <f>STOCK[[#This Row],[Precio Venta Ideal (x1.5)]]</f>
        <v>40.755000000000003</v>
      </c>
      <c r="J943" s="69">
        <v>1</v>
      </c>
      <c r="K943" s="69">
        <f>SUMIFS(VENTAS[Cantidad],VENTAS[Código del producto Vendido],STOCK[[#This Row],[Code]])</f>
        <v>1</v>
      </c>
      <c r="L943" s="69">
        <f>STOCK[[#This Row],[Entradas]]-STOCK[[#This Row],[Salidas]]</f>
        <v>0</v>
      </c>
      <c r="M943" s="53">
        <f>STOCK[[#This Row],[Precio Final]]*10%</f>
        <v>3.5</v>
      </c>
      <c r="N943" s="53">
        <v>0</v>
      </c>
      <c r="O943" s="53">
        <v>0</v>
      </c>
      <c r="P943" s="53">
        <v>22.17</v>
      </c>
      <c r="Q943" s="69">
        <v>0</v>
      </c>
      <c r="R943" s="53">
        <v>0</v>
      </c>
      <c r="S943" s="53">
        <v>1.5</v>
      </c>
      <c r="T943" s="53">
        <f>STOCK[[#This Row],[Costo Unitario (USD)]]+STOCK[[#This Row],[Costo Envío (USD)]]+STOCK[[#This Row],[Comisión 10%]]</f>
        <v>27.17</v>
      </c>
      <c r="U943" s="53">
        <f>STOCK[[#This Row],[Costo total]]*1.5</f>
        <v>40.755000000000003</v>
      </c>
      <c r="V943" s="53">
        <v>35</v>
      </c>
      <c r="W943" s="53">
        <f>STOCK[[#This Row],[Precio Final]]-STOCK[[#This Row],[Costo total]]</f>
        <v>7.8299999999999983</v>
      </c>
      <c r="X943" s="53">
        <f>STOCK[[#This Row],[Ganancia Unitaria]]*STOCK[[#This Row],[Salidas]]</f>
        <v>7.8299999999999983</v>
      </c>
      <c r="Y943" s="53" t="s">
        <v>1878</v>
      </c>
      <c r="AA943" s="53">
        <f>STOCK[[#This Row],[Costo total]]*STOCK[[#This Row],[Entradas]]</f>
        <v>27.17</v>
      </c>
      <c r="AB943" s="53">
        <f>STOCK[[#This Row],[Stock Actual]]*STOCK[[#This Row],[Costo total]]</f>
        <v>0</v>
      </c>
    </row>
    <row r="944" spans="1:28" s="54" customFormat="1" ht="50" customHeight="1">
      <c r="A944" s="54" t="s">
        <v>1890</v>
      </c>
      <c r="B944" s="64"/>
      <c r="C944" s="54" t="s">
        <v>32</v>
      </c>
      <c r="D944" s="54" t="s">
        <v>44</v>
      </c>
      <c r="E944" s="66" t="s">
        <v>1891</v>
      </c>
      <c r="F944" s="54" t="s">
        <v>818</v>
      </c>
      <c r="G944" s="54" t="s">
        <v>1877</v>
      </c>
      <c r="H944" s="54">
        <f>STOCK[[#This Row],[Precio Final]]</f>
        <v>35</v>
      </c>
      <c r="I944" s="54">
        <f>STOCK[[#This Row],[Precio Venta Ideal (x1.5)]]</f>
        <v>40.230000000000004</v>
      </c>
      <c r="J944" s="70">
        <v>1</v>
      </c>
      <c r="K944" s="70">
        <f>SUMIFS(VENTAS[Cantidad],VENTAS[Código del producto Vendido],STOCK[[#This Row],[Code]])</f>
        <v>1</v>
      </c>
      <c r="L944" s="70">
        <f>STOCK[[#This Row],[Entradas]]-STOCK[[#This Row],[Salidas]]</f>
        <v>0</v>
      </c>
      <c r="M944" s="54">
        <f>STOCK[[#This Row],[Precio Final]]*10%</f>
        <v>3.5</v>
      </c>
      <c r="N944" s="54">
        <v>0</v>
      </c>
      <c r="O944" s="54">
        <v>0</v>
      </c>
      <c r="P944" s="54">
        <v>21.82</v>
      </c>
      <c r="Q944" s="70">
        <v>0</v>
      </c>
      <c r="R944" s="54">
        <v>0</v>
      </c>
      <c r="S944" s="54">
        <v>1.5</v>
      </c>
      <c r="T944" s="53">
        <f>STOCK[[#This Row],[Costo Unitario (USD)]]+STOCK[[#This Row],[Costo Envío (USD)]]+STOCK[[#This Row],[Comisión 10%]]</f>
        <v>26.82</v>
      </c>
      <c r="U944" s="54">
        <f>STOCK[[#This Row],[Costo total]]*1.5</f>
        <v>40.230000000000004</v>
      </c>
      <c r="V944" s="54">
        <v>35</v>
      </c>
      <c r="W944" s="54">
        <f>STOCK[[#This Row],[Precio Final]]-STOCK[[#This Row],[Costo total]]</f>
        <v>8.18</v>
      </c>
      <c r="X944" s="54">
        <f>STOCK[[#This Row],[Ganancia Unitaria]]*STOCK[[#This Row],[Salidas]]</f>
        <v>8.18</v>
      </c>
      <c r="Y944" s="54" t="s">
        <v>1878</v>
      </c>
      <c r="AA944" s="54">
        <f>STOCK[[#This Row],[Costo total]]*STOCK[[#This Row],[Entradas]]</f>
        <v>26.82</v>
      </c>
      <c r="AB944" s="54">
        <f>STOCK[[#This Row],[Stock Actual]]*STOCK[[#This Row],[Costo total]]</f>
        <v>0</v>
      </c>
    </row>
    <row r="945" spans="1:28" s="53" customFormat="1" ht="50" customHeight="1">
      <c r="A945" s="53" t="s">
        <v>1892</v>
      </c>
      <c r="B945" s="64"/>
      <c r="C945" s="53" t="s">
        <v>32</v>
      </c>
      <c r="D945" s="53" t="s">
        <v>1882</v>
      </c>
      <c r="E945" s="65" t="s">
        <v>1893</v>
      </c>
      <c r="F945" s="53" t="s">
        <v>1894</v>
      </c>
      <c r="G945" s="53" t="s">
        <v>1877</v>
      </c>
      <c r="H945" s="53">
        <f>STOCK[[#This Row],[Precio Final]]</f>
        <v>12</v>
      </c>
      <c r="I945" s="53">
        <f>STOCK[[#This Row],[Precio Venta Ideal (x1.5)]]</f>
        <v>11.55</v>
      </c>
      <c r="J945" s="69">
        <v>3</v>
      </c>
      <c r="K945" s="69">
        <f>SUMIFS(VENTAS[Cantidad],VENTAS[Código del producto Vendido],STOCK[[#This Row],[Code]])</f>
        <v>3</v>
      </c>
      <c r="L945" s="69">
        <f>STOCK[[#This Row],[Entradas]]-STOCK[[#This Row],[Salidas]]</f>
        <v>0</v>
      </c>
      <c r="M945" s="53">
        <f>STOCK[[#This Row],[Precio Final]]*10%</f>
        <v>1.2000000000000002</v>
      </c>
      <c r="N945" s="53">
        <v>0</v>
      </c>
      <c r="O945" s="53">
        <v>0</v>
      </c>
      <c r="P945" s="53">
        <v>5.5</v>
      </c>
      <c r="Q945" s="69">
        <v>0</v>
      </c>
      <c r="R945" s="53">
        <v>0</v>
      </c>
      <c r="S945" s="53">
        <v>1</v>
      </c>
      <c r="T945" s="53">
        <f>STOCK[[#This Row],[Costo Unitario (USD)]]+STOCK[[#This Row],[Costo Envío (USD)]]+STOCK[[#This Row],[Comisión 10%]]</f>
        <v>7.7</v>
      </c>
      <c r="U945" s="53">
        <f>STOCK[[#This Row],[Costo total]]*1.5</f>
        <v>11.55</v>
      </c>
      <c r="V945" s="53">
        <v>12</v>
      </c>
      <c r="W945" s="53">
        <f>STOCK[[#This Row],[Precio Final]]-STOCK[[#This Row],[Costo total]]</f>
        <v>4.3</v>
      </c>
      <c r="X945" s="53">
        <f>STOCK[[#This Row],[Ganancia Unitaria]]*STOCK[[#This Row],[Salidas]]</f>
        <v>12.899999999999999</v>
      </c>
      <c r="Y945" s="53" t="s">
        <v>1878</v>
      </c>
      <c r="AA945" s="53">
        <f>STOCK[[#This Row],[Costo total]]*STOCK[[#This Row],[Entradas]]</f>
        <v>23.1</v>
      </c>
      <c r="AB945" s="53">
        <f>STOCK[[#This Row],[Stock Actual]]*STOCK[[#This Row],[Costo total]]</f>
        <v>0</v>
      </c>
    </row>
    <row r="946" spans="1:28" s="54" customFormat="1" ht="50" customHeight="1">
      <c r="A946" s="54" t="s">
        <v>1895</v>
      </c>
      <c r="B946" s="64"/>
      <c r="C946" s="54" t="s">
        <v>32</v>
      </c>
      <c r="D946" s="54" t="s">
        <v>1882</v>
      </c>
      <c r="E946" s="66" t="s">
        <v>1896</v>
      </c>
      <c r="F946" s="54" t="s">
        <v>1884</v>
      </c>
      <c r="G946" s="54" t="s">
        <v>1877</v>
      </c>
      <c r="H946" s="54">
        <f>STOCK[[#This Row],[Precio Final]]</f>
        <v>20</v>
      </c>
      <c r="I946" s="54">
        <f>STOCK[[#This Row],[Precio Venta Ideal (x1.5)]]</f>
        <v>22.125</v>
      </c>
      <c r="J946" s="70">
        <v>2</v>
      </c>
      <c r="K946" s="70">
        <f>SUMIFS(VENTAS[Cantidad],VENTAS[Código del producto Vendido],STOCK[[#This Row],[Code]])</f>
        <v>2</v>
      </c>
      <c r="L946" s="70">
        <f>STOCK[[#This Row],[Entradas]]-STOCK[[#This Row],[Salidas]]</f>
        <v>0</v>
      </c>
      <c r="M946" s="54">
        <f>STOCK[[#This Row],[Precio Final]]*10%</f>
        <v>2</v>
      </c>
      <c r="N946" s="54">
        <v>0</v>
      </c>
      <c r="O946" s="54">
        <v>0</v>
      </c>
      <c r="P946" s="54">
        <v>10.95</v>
      </c>
      <c r="Q946" s="70">
        <v>0</v>
      </c>
      <c r="R946" s="54">
        <v>0</v>
      </c>
      <c r="S946" s="54">
        <v>1.8</v>
      </c>
      <c r="T946" s="53">
        <f>STOCK[[#This Row],[Costo Unitario (USD)]]+STOCK[[#This Row],[Costo Envío (USD)]]+STOCK[[#This Row],[Comisión 10%]]</f>
        <v>14.75</v>
      </c>
      <c r="U946" s="54">
        <f>STOCK[[#This Row],[Costo total]]*1.5</f>
        <v>22.125</v>
      </c>
      <c r="V946" s="54">
        <v>20</v>
      </c>
      <c r="W946" s="54">
        <f>STOCK[[#This Row],[Precio Final]]-STOCK[[#This Row],[Costo total]]</f>
        <v>5.25</v>
      </c>
      <c r="X946" s="54">
        <f>STOCK[[#This Row],[Ganancia Unitaria]]*STOCK[[#This Row],[Salidas]]</f>
        <v>10.5</v>
      </c>
      <c r="Y946" s="54" t="s">
        <v>1878</v>
      </c>
      <c r="AA946" s="54">
        <f>STOCK[[#This Row],[Costo total]]*STOCK[[#This Row],[Entradas]]</f>
        <v>29.5</v>
      </c>
      <c r="AB946" s="54">
        <f>STOCK[[#This Row],[Stock Actual]]*STOCK[[#This Row],[Costo total]]</f>
        <v>0</v>
      </c>
    </row>
    <row r="947" spans="1:28" s="53" customFormat="1" ht="50" customHeight="1">
      <c r="A947" s="53" t="s">
        <v>1897</v>
      </c>
      <c r="B947" s="64"/>
      <c r="C947" s="53" t="s">
        <v>32</v>
      </c>
      <c r="D947" s="53" t="s">
        <v>1882</v>
      </c>
      <c r="E947" s="65" t="s">
        <v>1898</v>
      </c>
      <c r="F947" s="53" t="s">
        <v>1884</v>
      </c>
      <c r="G947" s="53" t="s">
        <v>1877</v>
      </c>
      <c r="H947" s="53">
        <f>STOCK[[#This Row],[Precio Final]]</f>
        <v>20</v>
      </c>
      <c r="I947" s="53">
        <f>STOCK[[#This Row],[Precio Venta Ideal (x1.5)]]</f>
        <v>22.125</v>
      </c>
      <c r="J947" s="69">
        <v>2</v>
      </c>
      <c r="K947" s="69">
        <f>SUMIFS(VENTAS[Cantidad],VENTAS[Código del producto Vendido],STOCK[[#This Row],[Code]])</f>
        <v>2</v>
      </c>
      <c r="L947" s="69">
        <f>STOCK[[#This Row],[Entradas]]-STOCK[[#This Row],[Salidas]]</f>
        <v>0</v>
      </c>
      <c r="M947" s="53">
        <f>STOCK[[#This Row],[Precio Final]]*10%</f>
        <v>2</v>
      </c>
      <c r="N947" s="53">
        <v>0</v>
      </c>
      <c r="O947" s="53">
        <v>0</v>
      </c>
      <c r="P947" s="53">
        <v>10.95</v>
      </c>
      <c r="Q947" s="69">
        <v>0</v>
      </c>
      <c r="R947" s="53">
        <v>0</v>
      </c>
      <c r="S947" s="53">
        <v>1.8</v>
      </c>
      <c r="T947" s="53">
        <f>STOCK[[#This Row],[Costo Unitario (USD)]]+STOCK[[#This Row],[Costo Envío (USD)]]+STOCK[[#This Row],[Comisión 10%]]</f>
        <v>14.75</v>
      </c>
      <c r="U947" s="53">
        <f>STOCK[[#This Row],[Costo total]]*1.5</f>
        <v>22.125</v>
      </c>
      <c r="V947" s="53">
        <v>20</v>
      </c>
      <c r="W947" s="53">
        <f>STOCK[[#This Row],[Precio Final]]-STOCK[[#This Row],[Costo total]]</f>
        <v>5.25</v>
      </c>
      <c r="X947" s="53">
        <f>STOCK[[#This Row],[Ganancia Unitaria]]*STOCK[[#This Row],[Salidas]]</f>
        <v>10.5</v>
      </c>
      <c r="Y947" s="53" t="s">
        <v>1878</v>
      </c>
      <c r="AA947" s="53">
        <f>STOCK[[#This Row],[Costo total]]*STOCK[[#This Row],[Entradas]]</f>
        <v>29.5</v>
      </c>
      <c r="AB947" s="53">
        <f>STOCK[[#This Row],[Stock Actual]]*STOCK[[#This Row],[Costo total]]</f>
        <v>0</v>
      </c>
    </row>
    <row r="948" spans="1:28" s="54" customFormat="1" ht="50" customHeight="1">
      <c r="A948" s="54" t="s">
        <v>1899</v>
      </c>
      <c r="B948" s="64"/>
      <c r="C948" s="54" t="s">
        <v>32</v>
      </c>
      <c r="D948" s="54" t="s">
        <v>1882</v>
      </c>
      <c r="E948" s="66" t="s">
        <v>1900</v>
      </c>
      <c r="F948" s="54" t="s">
        <v>1894</v>
      </c>
      <c r="G948" s="54" t="s">
        <v>1877</v>
      </c>
      <c r="H948" s="54">
        <f>STOCK[[#This Row],[Precio Final]]</f>
        <v>25</v>
      </c>
      <c r="I948" s="54">
        <f>STOCK[[#This Row],[Precio Venta Ideal (x1.5)]]</f>
        <v>22.68</v>
      </c>
      <c r="J948" s="70">
        <v>3</v>
      </c>
      <c r="K948" s="70">
        <f>SUMIFS(VENTAS[Cantidad],VENTAS[Código del producto Vendido],STOCK[[#This Row],[Code]])</f>
        <v>3</v>
      </c>
      <c r="L948" s="70">
        <f>STOCK[[#This Row],[Entradas]]-STOCK[[#This Row],[Salidas]]</f>
        <v>0</v>
      </c>
      <c r="M948" s="54">
        <f>STOCK[[#This Row],[Precio Final]]*10%</f>
        <v>2.5</v>
      </c>
      <c r="N948" s="54">
        <v>0</v>
      </c>
      <c r="O948" s="54">
        <v>0</v>
      </c>
      <c r="P948" s="54">
        <v>10.82</v>
      </c>
      <c r="Q948" s="70">
        <v>0</v>
      </c>
      <c r="R948" s="54">
        <v>0</v>
      </c>
      <c r="S948" s="54">
        <v>1.8</v>
      </c>
      <c r="T948" s="53">
        <f>STOCK[[#This Row],[Costo Unitario (USD)]]+STOCK[[#This Row],[Costo Envío (USD)]]+STOCK[[#This Row],[Comisión 10%]]</f>
        <v>15.120000000000001</v>
      </c>
      <c r="U948" s="54">
        <f>STOCK[[#This Row],[Costo total]]*1.5</f>
        <v>22.68</v>
      </c>
      <c r="V948" s="54">
        <v>25</v>
      </c>
      <c r="W948" s="54">
        <f>STOCK[[#This Row],[Precio Final]]-STOCK[[#This Row],[Costo total]]</f>
        <v>9.879999999999999</v>
      </c>
      <c r="X948" s="54">
        <f>STOCK[[#This Row],[Ganancia Unitaria]]*STOCK[[#This Row],[Salidas]]</f>
        <v>29.639999999999997</v>
      </c>
      <c r="Y948" s="54" t="s">
        <v>1878</v>
      </c>
      <c r="AA948" s="54">
        <f>STOCK[[#This Row],[Costo total]]*STOCK[[#This Row],[Entradas]]</f>
        <v>45.36</v>
      </c>
      <c r="AB948" s="54">
        <f>STOCK[[#This Row],[Stock Actual]]*STOCK[[#This Row],[Costo total]]</f>
        <v>0</v>
      </c>
    </row>
    <row r="949" spans="1:28" s="53" customFormat="1" ht="50" customHeight="1">
      <c r="A949" s="53" t="s">
        <v>1901</v>
      </c>
      <c r="B949" s="64"/>
      <c r="C949" s="53" t="s">
        <v>32</v>
      </c>
      <c r="D949" s="53" t="s">
        <v>1882</v>
      </c>
      <c r="E949" s="65" t="s">
        <v>1902</v>
      </c>
      <c r="F949" s="53" t="s">
        <v>525</v>
      </c>
      <c r="G949" s="53" t="s">
        <v>1877</v>
      </c>
      <c r="H949" s="53">
        <f>STOCK[[#This Row],[Precio Final]]</f>
        <v>25</v>
      </c>
      <c r="I949" s="53">
        <f>STOCK[[#This Row],[Precio Venta Ideal (x1.5)]]</f>
        <v>21.405000000000001</v>
      </c>
      <c r="J949" s="69">
        <v>3</v>
      </c>
      <c r="K949" s="69">
        <f>SUMIFS(VENTAS[Cantidad],VENTAS[Código del producto Vendido],STOCK[[#This Row],[Code]])</f>
        <v>2</v>
      </c>
      <c r="L949" s="69">
        <f>STOCK[[#This Row],[Entradas]]-STOCK[[#This Row],[Salidas]]</f>
        <v>1</v>
      </c>
      <c r="M949" s="53">
        <f>STOCK[[#This Row],[Precio Final]]*10%</f>
        <v>2.5</v>
      </c>
      <c r="N949" s="53">
        <v>0</v>
      </c>
      <c r="O949" s="53">
        <v>0</v>
      </c>
      <c r="P949" s="53">
        <v>9.9700000000000006</v>
      </c>
      <c r="Q949" s="69">
        <v>0</v>
      </c>
      <c r="R949" s="53">
        <v>0</v>
      </c>
      <c r="S949" s="53">
        <v>1.8</v>
      </c>
      <c r="T949" s="53">
        <f>STOCK[[#This Row],[Costo Unitario (USD)]]+STOCK[[#This Row],[Costo Envío (USD)]]+STOCK[[#This Row],[Comisión 10%]]</f>
        <v>14.270000000000001</v>
      </c>
      <c r="U949" s="53">
        <f>STOCK[[#This Row],[Costo total]]*1.5</f>
        <v>21.405000000000001</v>
      </c>
      <c r="V949" s="53">
        <v>25</v>
      </c>
      <c r="W949" s="53">
        <f>STOCK[[#This Row],[Precio Final]]-STOCK[[#This Row],[Costo total]]</f>
        <v>10.729999999999999</v>
      </c>
      <c r="X949" s="53">
        <f>STOCK[[#This Row],[Ganancia Unitaria]]*STOCK[[#This Row],[Salidas]]</f>
        <v>21.459999999999997</v>
      </c>
      <c r="Y949" s="53" t="s">
        <v>1878</v>
      </c>
      <c r="AA949" s="53">
        <f>STOCK[[#This Row],[Costo total]]*STOCK[[#This Row],[Entradas]]</f>
        <v>42.81</v>
      </c>
      <c r="AB949" s="53">
        <f>STOCK[[#This Row],[Stock Actual]]*STOCK[[#This Row],[Costo total]]</f>
        <v>14.270000000000001</v>
      </c>
    </row>
    <row r="950" spans="1:28" s="54" customFormat="1" ht="50" customHeight="1">
      <c r="A950" s="54" t="s">
        <v>1903</v>
      </c>
      <c r="B950" s="64"/>
      <c r="C950" s="54" t="s">
        <v>32</v>
      </c>
      <c r="D950" s="54" t="s">
        <v>1868</v>
      </c>
      <c r="E950" s="66" t="s">
        <v>1904</v>
      </c>
      <c r="F950" s="54" t="s">
        <v>1905</v>
      </c>
      <c r="G950" s="54" t="s">
        <v>1877</v>
      </c>
      <c r="H950" s="54">
        <f>STOCK[[#This Row],[Precio Final]]</f>
        <v>14</v>
      </c>
      <c r="I950" s="54">
        <f>STOCK[[#This Row],[Precio Venta Ideal (x1.5)]]</f>
        <v>15.899999999999999</v>
      </c>
      <c r="J950" s="70">
        <v>2</v>
      </c>
      <c r="K950" s="70">
        <f>SUMIFS(VENTAS[Cantidad],VENTAS[Código del producto Vendido],STOCK[[#This Row],[Code]])</f>
        <v>2</v>
      </c>
      <c r="L950" s="70">
        <f>STOCK[[#This Row],[Entradas]]-STOCK[[#This Row],[Salidas]]</f>
        <v>0</v>
      </c>
      <c r="M950" s="54">
        <f>STOCK[[#This Row],[Precio Final]]*10%</f>
        <v>1.4000000000000001</v>
      </c>
      <c r="N950" s="54">
        <v>0</v>
      </c>
      <c r="O950" s="54">
        <v>0</v>
      </c>
      <c r="P950" s="54">
        <v>8.6999999999999993</v>
      </c>
      <c r="Q950" s="70">
        <v>0</v>
      </c>
      <c r="R950" s="54">
        <v>0</v>
      </c>
      <c r="S950" s="54">
        <v>0.5</v>
      </c>
      <c r="T950" s="53">
        <f>STOCK[[#This Row],[Costo Unitario (USD)]]+STOCK[[#This Row],[Costo Envío (USD)]]+STOCK[[#This Row],[Comisión 10%]]</f>
        <v>10.6</v>
      </c>
      <c r="U950" s="54">
        <f>STOCK[[#This Row],[Costo total]]*1.5</f>
        <v>15.899999999999999</v>
      </c>
      <c r="V950" s="54">
        <v>14</v>
      </c>
      <c r="W950" s="54">
        <f>STOCK[[#This Row],[Precio Final]]-STOCK[[#This Row],[Costo total]]</f>
        <v>3.4000000000000004</v>
      </c>
      <c r="X950" s="54">
        <f>STOCK[[#This Row],[Ganancia Unitaria]]*STOCK[[#This Row],[Salidas]]</f>
        <v>6.8000000000000007</v>
      </c>
      <c r="Y950" s="54" t="s">
        <v>1878</v>
      </c>
      <c r="AA950" s="54">
        <f>STOCK[[#This Row],[Costo total]]*STOCK[[#This Row],[Entradas]]</f>
        <v>21.2</v>
      </c>
      <c r="AB950" s="54">
        <f>STOCK[[#This Row],[Stock Actual]]*STOCK[[#This Row],[Costo total]]</f>
        <v>0</v>
      </c>
    </row>
    <row r="951" spans="1:28" s="53" customFormat="1" ht="50" customHeight="1">
      <c r="A951" s="53" t="s">
        <v>1906</v>
      </c>
      <c r="B951" s="64"/>
      <c r="C951" s="53" t="s">
        <v>32</v>
      </c>
      <c r="D951" s="53" t="s">
        <v>1868</v>
      </c>
      <c r="E951" s="65" t="s">
        <v>1904</v>
      </c>
      <c r="F951" s="53" t="s">
        <v>49</v>
      </c>
      <c r="G951" s="53" t="s">
        <v>1877</v>
      </c>
      <c r="H951" s="53">
        <f>STOCK[[#This Row],[Precio Final]]</f>
        <v>14</v>
      </c>
      <c r="I951" s="53">
        <f>STOCK[[#This Row],[Precio Venta Ideal (x1.5)]]</f>
        <v>15.899999999999999</v>
      </c>
      <c r="J951" s="69">
        <v>2</v>
      </c>
      <c r="K951" s="69">
        <f>SUMIFS(VENTAS[Cantidad],VENTAS[Código del producto Vendido],STOCK[[#This Row],[Code]])</f>
        <v>2</v>
      </c>
      <c r="L951" s="69">
        <f>STOCK[[#This Row],[Entradas]]-STOCK[[#This Row],[Salidas]]</f>
        <v>0</v>
      </c>
      <c r="M951" s="53">
        <f>STOCK[[#This Row],[Precio Final]]*10%</f>
        <v>1.4000000000000001</v>
      </c>
      <c r="N951" s="53">
        <v>0</v>
      </c>
      <c r="O951" s="53">
        <v>0</v>
      </c>
      <c r="P951" s="53">
        <v>8.6999999999999993</v>
      </c>
      <c r="Q951" s="69">
        <v>0</v>
      </c>
      <c r="R951" s="53">
        <v>0</v>
      </c>
      <c r="S951" s="53">
        <v>0.5</v>
      </c>
      <c r="T951" s="53">
        <f>STOCK[[#This Row],[Costo Unitario (USD)]]+STOCK[[#This Row],[Costo Envío (USD)]]+STOCK[[#This Row],[Comisión 10%]]</f>
        <v>10.6</v>
      </c>
      <c r="U951" s="53">
        <f>STOCK[[#This Row],[Costo total]]*1.5</f>
        <v>15.899999999999999</v>
      </c>
      <c r="V951" s="53">
        <v>14</v>
      </c>
      <c r="W951" s="53">
        <f>STOCK[[#This Row],[Precio Final]]-STOCK[[#This Row],[Costo total]]</f>
        <v>3.4000000000000004</v>
      </c>
      <c r="X951" s="53">
        <f>STOCK[[#This Row],[Ganancia Unitaria]]*STOCK[[#This Row],[Salidas]]</f>
        <v>6.8000000000000007</v>
      </c>
      <c r="Y951" s="53" t="s">
        <v>1878</v>
      </c>
      <c r="AA951" s="53">
        <f>STOCK[[#This Row],[Costo total]]*STOCK[[#This Row],[Entradas]]</f>
        <v>21.2</v>
      </c>
      <c r="AB951" s="53">
        <f>STOCK[[#This Row],[Stock Actual]]*STOCK[[#This Row],[Costo total]]</f>
        <v>0</v>
      </c>
    </row>
    <row r="952" spans="1:28" s="54" customFormat="1" ht="50" customHeight="1">
      <c r="A952" s="54" t="s">
        <v>1907</v>
      </c>
      <c r="B952" s="64"/>
      <c r="C952" s="54" t="s">
        <v>32</v>
      </c>
      <c r="D952" s="54" t="s">
        <v>1868</v>
      </c>
      <c r="E952" s="66" t="s">
        <v>1904</v>
      </c>
      <c r="F952" s="54" t="s">
        <v>46</v>
      </c>
      <c r="G952" s="54" t="s">
        <v>1877</v>
      </c>
      <c r="H952" s="54">
        <f>STOCK[[#This Row],[Precio Final]]</f>
        <v>14</v>
      </c>
      <c r="I952" s="54">
        <f>STOCK[[#This Row],[Precio Venta Ideal (x1.5)]]</f>
        <v>15.899999999999999</v>
      </c>
      <c r="J952" s="70">
        <v>2</v>
      </c>
      <c r="K952" s="70">
        <f>SUMIFS(VENTAS[Cantidad],VENTAS[Código del producto Vendido],STOCK[[#This Row],[Code]])</f>
        <v>1</v>
      </c>
      <c r="L952" s="70">
        <f>STOCK[[#This Row],[Entradas]]-STOCK[[#This Row],[Salidas]]</f>
        <v>1</v>
      </c>
      <c r="M952" s="54">
        <f>STOCK[[#This Row],[Precio Final]]*10%</f>
        <v>1.4000000000000001</v>
      </c>
      <c r="N952" s="54">
        <v>0</v>
      </c>
      <c r="O952" s="54">
        <v>0</v>
      </c>
      <c r="P952" s="54">
        <v>8.6999999999999993</v>
      </c>
      <c r="Q952" s="70">
        <v>0</v>
      </c>
      <c r="R952" s="54">
        <v>0</v>
      </c>
      <c r="S952" s="54">
        <v>0.5</v>
      </c>
      <c r="T952" s="53">
        <f>STOCK[[#This Row],[Costo Unitario (USD)]]+STOCK[[#This Row],[Costo Envío (USD)]]+STOCK[[#This Row],[Comisión 10%]]</f>
        <v>10.6</v>
      </c>
      <c r="U952" s="54">
        <f>STOCK[[#This Row],[Costo total]]*1.5</f>
        <v>15.899999999999999</v>
      </c>
      <c r="V952" s="54">
        <v>14</v>
      </c>
      <c r="W952" s="54">
        <f>STOCK[[#This Row],[Precio Final]]-STOCK[[#This Row],[Costo total]]</f>
        <v>3.4000000000000004</v>
      </c>
      <c r="X952" s="54">
        <f>STOCK[[#This Row],[Ganancia Unitaria]]*STOCK[[#This Row],[Salidas]]</f>
        <v>3.4000000000000004</v>
      </c>
      <c r="Y952" s="54" t="s">
        <v>1878</v>
      </c>
      <c r="AA952" s="54">
        <f>STOCK[[#This Row],[Costo total]]*STOCK[[#This Row],[Entradas]]</f>
        <v>21.2</v>
      </c>
      <c r="AB952" s="54">
        <f>STOCK[[#This Row],[Stock Actual]]*STOCK[[#This Row],[Costo total]]</f>
        <v>10.6</v>
      </c>
    </row>
    <row r="953" spans="1:28" s="53" customFormat="1" ht="50" customHeight="1">
      <c r="A953" s="53" t="s">
        <v>1908</v>
      </c>
      <c r="B953" s="64"/>
      <c r="C953" s="53" t="s">
        <v>32</v>
      </c>
      <c r="D953" s="53" t="s">
        <v>1882</v>
      </c>
      <c r="E953" s="65" t="s">
        <v>1909</v>
      </c>
      <c r="F953" s="53" t="s">
        <v>525</v>
      </c>
      <c r="G953" s="53" t="s">
        <v>1877</v>
      </c>
      <c r="H953" s="53">
        <f>STOCK[[#This Row],[Precio Final]]</f>
        <v>35</v>
      </c>
      <c r="I953" s="53">
        <f>STOCK[[#This Row],[Precio Venta Ideal (x1.5)]]</f>
        <v>37.47</v>
      </c>
      <c r="J953" s="69">
        <v>2</v>
      </c>
      <c r="K953" s="69">
        <f>SUMIFS(VENTAS[Cantidad],VENTAS[Código del producto Vendido],STOCK[[#This Row],[Code]])</f>
        <v>1</v>
      </c>
      <c r="L953" s="69">
        <f>STOCK[[#This Row],[Entradas]]-STOCK[[#This Row],[Salidas]]</f>
        <v>1</v>
      </c>
      <c r="M953" s="53">
        <f>STOCK[[#This Row],[Precio Final]]*10%</f>
        <v>3.5</v>
      </c>
      <c r="N953" s="53">
        <v>0</v>
      </c>
      <c r="O953" s="53">
        <v>0</v>
      </c>
      <c r="P953" s="53">
        <v>19.48</v>
      </c>
      <c r="Q953" s="69">
        <v>0</v>
      </c>
      <c r="R953" s="53">
        <v>0</v>
      </c>
      <c r="S953" s="53">
        <v>2</v>
      </c>
      <c r="T953" s="53">
        <f>STOCK[[#This Row],[Costo Unitario (USD)]]+STOCK[[#This Row],[Costo Envío (USD)]]+STOCK[[#This Row],[Comisión 10%]]</f>
        <v>24.98</v>
      </c>
      <c r="U953" s="53">
        <f>STOCK[[#This Row],[Costo total]]*1.5</f>
        <v>37.47</v>
      </c>
      <c r="V953" s="53">
        <v>35</v>
      </c>
      <c r="W953" s="53">
        <f>STOCK[[#This Row],[Precio Final]]-STOCK[[#This Row],[Costo total]]</f>
        <v>10.02</v>
      </c>
      <c r="X953" s="53">
        <f>STOCK[[#This Row],[Ganancia Unitaria]]*STOCK[[#This Row],[Salidas]]</f>
        <v>10.02</v>
      </c>
      <c r="Y953" s="53" t="s">
        <v>1878</v>
      </c>
      <c r="AA953" s="53">
        <f>STOCK[[#This Row],[Costo total]]*STOCK[[#This Row],[Entradas]]</f>
        <v>49.96</v>
      </c>
      <c r="AB953" s="53">
        <f>STOCK[[#This Row],[Stock Actual]]*STOCK[[#This Row],[Costo total]]</f>
        <v>24.98</v>
      </c>
    </row>
    <row r="954" spans="1:28" s="54" customFormat="1" ht="50" customHeight="1">
      <c r="A954" s="54" t="s">
        <v>1910</v>
      </c>
      <c r="B954" s="64"/>
      <c r="C954" s="54" t="s">
        <v>32</v>
      </c>
      <c r="D954" s="54" t="s">
        <v>1911</v>
      </c>
      <c r="E954" s="66" t="s">
        <v>1912</v>
      </c>
      <c r="F954" s="54" t="s">
        <v>1913</v>
      </c>
      <c r="G954" s="54" t="s">
        <v>1877</v>
      </c>
      <c r="H954" s="54">
        <f>STOCK[[#This Row],[Precio Final]]</f>
        <v>8</v>
      </c>
      <c r="I954" s="54">
        <f>STOCK[[#This Row],[Precio Venta Ideal (x1.5)]]</f>
        <v>7.875</v>
      </c>
      <c r="J954" s="70">
        <v>2</v>
      </c>
      <c r="K954" s="70">
        <f>SUMIFS(VENTAS[Cantidad],VENTAS[Código del producto Vendido],STOCK[[#This Row],[Code]])</f>
        <v>2</v>
      </c>
      <c r="L954" s="70">
        <f>STOCK[[#This Row],[Entradas]]-STOCK[[#This Row],[Salidas]]</f>
        <v>0</v>
      </c>
      <c r="M954" s="54">
        <f>STOCK[[#This Row],[Precio Final]]*10%</f>
        <v>0.8</v>
      </c>
      <c r="N954" s="54">
        <v>0</v>
      </c>
      <c r="O954" s="54">
        <v>0</v>
      </c>
      <c r="P954" s="54">
        <v>3.25</v>
      </c>
      <c r="Q954" s="70">
        <v>0</v>
      </c>
      <c r="R954" s="54">
        <v>0</v>
      </c>
      <c r="S954" s="54">
        <v>1.2</v>
      </c>
      <c r="T954" s="53">
        <f>STOCK[[#This Row],[Costo Unitario (USD)]]+STOCK[[#This Row],[Costo Envío (USD)]]+STOCK[[#This Row],[Comisión 10%]]</f>
        <v>5.25</v>
      </c>
      <c r="U954" s="54">
        <f>STOCK[[#This Row],[Costo total]]*1.5</f>
        <v>7.875</v>
      </c>
      <c r="V954" s="54">
        <v>8</v>
      </c>
      <c r="W954" s="54">
        <f>STOCK[[#This Row],[Precio Final]]-STOCK[[#This Row],[Costo total]]</f>
        <v>2.75</v>
      </c>
      <c r="X954" s="54">
        <f>STOCK[[#This Row],[Ganancia Unitaria]]*STOCK[[#This Row],[Salidas]]</f>
        <v>5.5</v>
      </c>
      <c r="Y954" s="54" t="s">
        <v>1878</v>
      </c>
      <c r="AA954" s="54">
        <f>STOCK[[#This Row],[Costo total]]*STOCK[[#This Row],[Entradas]]</f>
        <v>10.5</v>
      </c>
      <c r="AB954" s="54">
        <f>STOCK[[#This Row],[Stock Actual]]*STOCK[[#This Row],[Costo total]]</f>
        <v>0</v>
      </c>
    </row>
    <row r="955" spans="1:28" s="53" customFormat="1" ht="50" customHeight="1">
      <c r="A955" s="53" t="s">
        <v>1914</v>
      </c>
      <c r="B955" s="64"/>
      <c r="C955" s="53" t="s">
        <v>32</v>
      </c>
      <c r="D955" s="53" t="s">
        <v>1911</v>
      </c>
      <c r="E955" s="65" t="s">
        <v>1915</v>
      </c>
      <c r="F955" s="53" t="s">
        <v>1913</v>
      </c>
      <c r="G955" s="53" t="s">
        <v>1877</v>
      </c>
      <c r="H955" s="53">
        <f>STOCK[[#This Row],[Precio Final]]</f>
        <v>8</v>
      </c>
      <c r="I955" s="53">
        <f>STOCK[[#This Row],[Precio Venta Ideal (x1.5)]]</f>
        <v>7.875</v>
      </c>
      <c r="J955" s="69">
        <v>2</v>
      </c>
      <c r="K955" s="69">
        <f>SUMIFS(VENTAS[Cantidad],VENTAS[Código del producto Vendido],STOCK[[#This Row],[Code]])</f>
        <v>2</v>
      </c>
      <c r="L955" s="69">
        <f>STOCK[[#This Row],[Entradas]]-STOCK[[#This Row],[Salidas]]</f>
        <v>0</v>
      </c>
      <c r="M955" s="53">
        <f>STOCK[[#This Row],[Precio Final]]*10%</f>
        <v>0.8</v>
      </c>
      <c r="N955" s="53">
        <v>0</v>
      </c>
      <c r="O955" s="53">
        <v>0</v>
      </c>
      <c r="P955" s="53">
        <v>3.25</v>
      </c>
      <c r="Q955" s="69">
        <v>0</v>
      </c>
      <c r="R955" s="53">
        <v>0</v>
      </c>
      <c r="S955" s="53">
        <v>1.2</v>
      </c>
      <c r="T955" s="53">
        <f>STOCK[[#This Row],[Costo Unitario (USD)]]+STOCK[[#This Row],[Costo Envío (USD)]]+STOCK[[#This Row],[Comisión 10%]]</f>
        <v>5.25</v>
      </c>
      <c r="U955" s="53">
        <f>STOCK[[#This Row],[Costo total]]*1.5</f>
        <v>7.875</v>
      </c>
      <c r="V955" s="53">
        <v>8</v>
      </c>
      <c r="W955" s="53">
        <f>STOCK[[#This Row],[Precio Final]]-STOCK[[#This Row],[Costo total]]</f>
        <v>2.75</v>
      </c>
      <c r="X955" s="53">
        <f>STOCK[[#This Row],[Ganancia Unitaria]]*STOCK[[#This Row],[Salidas]]</f>
        <v>5.5</v>
      </c>
      <c r="Y955" s="53" t="s">
        <v>1878</v>
      </c>
      <c r="AA955" s="53">
        <f>STOCK[[#This Row],[Costo total]]*STOCK[[#This Row],[Entradas]]</f>
        <v>10.5</v>
      </c>
      <c r="AB955" s="53">
        <f>STOCK[[#This Row],[Stock Actual]]*STOCK[[#This Row],[Costo total]]</f>
        <v>0</v>
      </c>
    </row>
    <row r="956" spans="1:28" s="54" customFormat="1" ht="50" customHeight="1">
      <c r="A956" s="54" t="s">
        <v>1916</v>
      </c>
      <c r="B956" s="64"/>
      <c r="C956" s="54" t="s">
        <v>32</v>
      </c>
      <c r="D956" s="54" t="s">
        <v>1911</v>
      </c>
      <c r="E956" s="66" t="s">
        <v>1917</v>
      </c>
      <c r="F956" s="54" t="s">
        <v>1913</v>
      </c>
      <c r="G956" s="54" t="s">
        <v>1877</v>
      </c>
      <c r="H956" s="54">
        <f>STOCK[[#This Row],[Precio Final]]</f>
        <v>8</v>
      </c>
      <c r="I956" s="54">
        <f>STOCK[[#This Row],[Precio Venta Ideal (x1.5)]]</f>
        <v>8.49</v>
      </c>
      <c r="J956" s="70">
        <v>2</v>
      </c>
      <c r="K956" s="70">
        <f>SUMIFS(VENTAS[Cantidad],VENTAS[Código del producto Vendido],STOCK[[#This Row],[Code]])</f>
        <v>2</v>
      </c>
      <c r="L956" s="70">
        <f>STOCK[[#This Row],[Entradas]]-STOCK[[#This Row],[Salidas]]</f>
        <v>0</v>
      </c>
      <c r="M956" s="54">
        <f>STOCK[[#This Row],[Precio Final]]*10%</f>
        <v>0.8</v>
      </c>
      <c r="N956" s="54">
        <v>0</v>
      </c>
      <c r="O956" s="54">
        <v>0</v>
      </c>
      <c r="P956" s="54">
        <v>3.66</v>
      </c>
      <c r="Q956" s="70">
        <v>0</v>
      </c>
      <c r="R956" s="54">
        <v>0</v>
      </c>
      <c r="S956" s="54">
        <v>1.2</v>
      </c>
      <c r="T956" s="53">
        <f>STOCK[[#This Row],[Costo Unitario (USD)]]+STOCK[[#This Row],[Costo Envío (USD)]]+STOCK[[#This Row],[Comisión 10%]]</f>
        <v>5.66</v>
      </c>
      <c r="U956" s="54">
        <f>STOCK[[#This Row],[Costo total]]*1.5</f>
        <v>8.49</v>
      </c>
      <c r="V956" s="54">
        <v>8</v>
      </c>
      <c r="W956" s="54">
        <f>STOCK[[#This Row],[Precio Final]]-STOCK[[#This Row],[Costo total]]</f>
        <v>2.34</v>
      </c>
      <c r="X956" s="54">
        <f>STOCK[[#This Row],[Ganancia Unitaria]]*STOCK[[#This Row],[Salidas]]</f>
        <v>4.68</v>
      </c>
      <c r="Y956" s="54" t="s">
        <v>1878</v>
      </c>
      <c r="AA956" s="54">
        <f>STOCK[[#This Row],[Costo total]]*STOCK[[#This Row],[Entradas]]</f>
        <v>11.32</v>
      </c>
      <c r="AB956" s="54">
        <f>STOCK[[#This Row],[Stock Actual]]*STOCK[[#This Row],[Costo total]]</f>
        <v>0</v>
      </c>
    </row>
    <row r="957" spans="1:28" s="53" customFormat="1" ht="50" customHeight="1">
      <c r="A957" s="53" t="s">
        <v>1918</v>
      </c>
      <c r="B957" s="64"/>
      <c r="C957" s="53" t="s">
        <v>32</v>
      </c>
      <c r="D957" s="53" t="s">
        <v>1919</v>
      </c>
      <c r="E957" s="65" t="s">
        <v>1920</v>
      </c>
      <c r="F957" s="53" t="s">
        <v>1921</v>
      </c>
      <c r="G957" s="53" t="s">
        <v>36</v>
      </c>
      <c r="H957" s="53">
        <f>STOCK[[#This Row],[Precio Final]]</f>
        <v>0</v>
      </c>
      <c r="I957" s="53">
        <f>STOCK[[#This Row],[Precio Venta Ideal (x1.5)]]</f>
        <v>17.414999999999999</v>
      </c>
      <c r="J957" s="69">
        <v>0</v>
      </c>
      <c r="K957" s="69">
        <f>SUMIFS(VENTAS[Cantidad],VENTAS[Código del producto Vendido],STOCK[[#This Row],[Code]])</f>
        <v>0</v>
      </c>
      <c r="L957" s="69">
        <f>STOCK[[#This Row],[Entradas]]-STOCK[[#This Row],[Salidas]]</f>
        <v>0</v>
      </c>
      <c r="M957" s="53">
        <f>STOCK[[#This Row],[Precio Final]]*10%</f>
        <v>0</v>
      </c>
      <c r="N957" s="53">
        <v>0</v>
      </c>
      <c r="O957" s="53">
        <v>0</v>
      </c>
      <c r="P957" s="53">
        <v>11.61</v>
      </c>
      <c r="Q957" s="69">
        <v>0</v>
      </c>
      <c r="R957" s="53">
        <v>0</v>
      </c>
      <c r="S957" s="53">
        <v>0</v>
      </c>
      <c r="T957" s="53">
        <f>STOCK[[#This Row],[Costo Unitario (USD)]]+STOCK[[#This Row],[Costo Envío (USD)]]+STOCK[[#This Row],[Comisión 10%]]</f>
        <v>11.61</v>
      </c>
      <c r="U957" s="53">
        <f>STOCK[[#This Row],[Costo total]]*1.5</f>
        <v>17.414999999999999</v>
      </c>
      <c r="W957" s="53">
        <f>STOCK[[#This Row],[Precio Final]]-STOCK[[#This Row],[Costo total]]</f>
        <v>-11.61</v>
      </c>
      <c r="X957" s="53">
        <f>STOCK[[#This Row],[Ganancia Unitaria]]*STOCK[[#This Row],[Salidas]]</f>
        <v>0</v>
      </c>
      <c r="Y957" s="53" t="s">
        <v>1922</v>
      </c>
      <c r="AA957" s="53">
        <f>STOCK[[#This Row],[Costo total]]*STOCK[[#This Row],[Entradas]]</f>
        <v>0</v>
      </c>
      <c r="AB957" s="53">
        <f>STOCK[[#This Row],[Stock Actual]]*STOCK[[#This Row],[Costo total]]</f>
        <v>0</v>
      </c>
    </row>
    <row r="958" spans="1:28" s="54" customFormat="1" ht="50" customHeight="1">
      <c r="A958" s="54" t="s">
        <v>1923</v>
      </c>
      <c r="B958" s="64"/>
      <c r="C958" s="54" t="s">
        <v>32</v>
      </c>
      <c r="D958" s="54" t="s">
        <v>1924</v>
      </c>
      <c r="E958" s="66" t="s">
        <v>1920</v>
      </c>
      <c r="F958" s="54" t="s">
        <v>1925</v>
      </c>
      <c r="G958" s="54" t="s">
        <v>36</v>
      </c>
      <c r="H958" s="54">
        <f>STOCK[[#This Row],[Precio Final]]</f>
        <v>30</v>
      </c>
      <c r="I958" s="54">
        <f>STOCK[[#This Row],[Precio Venta Ideal (x1.5)]]</f>
        <v>21.914999999999999</v>
      </c>
      <c r="J958" s="70">
        <v>1</v>
      </c>
      <c r="K958" s="70">
        <f>SUMIFS(VENTAS[Cantidad],VENTAS[Código del producto Vendido],STOCK[[#This Row],[Code]])</f>
        <v>1</v>
      </c>
      <c r="L958" s="70">
        <f>STOCK[[#This Row],[Entradas]]-STOCK[[#This Row],[Salidas]]</f>
        <v>0</v>
      </c>
      <c r="M958" s="54">
        <f>STOCK[[#This Row],[Precio Final]]*10%</f>
        <v>3</v>
      </c>
      <c r="N958" s="54">
        <v>0</v>
      </c>
      <c r="O958" s="54">
        <v>0</v>
      </c>
      <c r="P958" s="54">
        <v>11.61</v>
      </c>
      <c r="Q958" s="70">
        <v>0</v>
      </c>
      <c r="R958" s="54">
        <v>0</v>
      </c>
      <c r="S958" s="54">
        <v>0</v>
      </c>
      <c r="T958" s="53">
        <f>STOCK[[#This Row],[Costo Unitario (USD)]]+STOCK[[#This Row],[Costo Envío (USD)]]+STOCK[[#This Row],[Comisión 10%]]</f>
        <v>14.61</v>
      </c>
      <c r="U958" s="54">
        <f>STOCK[[#This Row],[Costo total]]*1.5</f>
        <v>21.914999999999999</v>
      </c>
      <c r="V958" s="54">
        <v>30</v>
      </c>
      <c r="W958" s="54">
        <f>STOCK[[#This Row],[Precio Final]]-STOCK[[#This Row],[Costo total]]</f>
        <v>15.39</v>
      </c>
      <c r="X958" s="54">
        <f>STOCK[[#This Row],[Ganancia Unitaria]]*STOCK[[#This Row],[Salidas]]</f>
        <v>15.39</v>
      </c>
      <c r="Y958" s="54" t="s">
        <v>1922</v>
      </c>
      <c r="AA958" s="54">
        <f>STOCK[[#This Row],[Costo total]]*STOCK[[#This Row],[Entradas]]</f>
        <v>14.61</v>
      </c>
      <c r="AB958" s="54">
        <f>STOCK[[#This Row],[Stock Actual]]*STOCK[[#This Row],[Costo total]]</f>
        <v>0</v>
      </c>
    </row>
    <row r="959" spans="1:28" s="53" customFormat="1" ht="50" customHeight="1">
      <c r="A959" s="53" t="s">
        <v>1926</v>
      </c>
      <c r="B959" s="64"/>
      <c r="C959" s="53" t="s">
        <v>32</v>
      </c>
      <c r="D959" s="53" t="s">
        <v>44</v>
      </c>
      <c r="E959" s="65" t="s">
        <v>1927</v>
      </c>
      <c r="F959" s="53" t="s">
        <v>62</v>
      </c>
      <c r="G959" s="53" t="s">
        <v>36</v>
      </c>
      <c r="H959" s="53">
        <f>STOCK[[#This Row],[Precio Final]]</f>
        <v>30</v>
      </c>
      <c r="I959" s="53">
        <f>STOCK[[#This Row],[Precio Venta Ideal (x1.5)]]</f>
        <v>21.914999999999999</v>
      </c>
      <c r="J959" s="69">
        <v>1</v>
      </c>
      <c r="K959" s="69">
        <f>SUMIFS(VENTAS[Cantidad],VENTAS[Código del producto Vendido],STOCK[[#This Row],[Code]])</f>
        <v>1</v>
      </c>
      <c r="L959" s="69">
        <f>STOCK[[#This Row],[Entradas]]-STOCK[[#This Row],[Salidas]]</f>
        <v>0</v>
      </c>
      <c r="M959" s="53">
        <f>STOCK[[#This Row],[Precio Final]]*10%</f>
        <v>3</v>
      </c>
      <c r="N959" s="53">
        <v>0</v>
      </c>
      <c r="O959" s="53">
        <v>0</v>
      </c>
      <c r="P959" s="53">
        <v>11.61</v>
      </c>
      <c r="Q959" s="69">
        <v>0</v>
      </c>
      <c r="R959" s="53">
        <v>0</v>
      </c>
      <c r="S959" s="53">
        <v>0</v>
      </c>
      <c r="T959" s="53">
        <f>STOCK[[#This Row],[Costo Unitario (USD)]]+STOCK[[#This Row],[Costo Envío (USD)]]+STOCK[[#This Row],[Comisión 10%]]</f>
        <v>14.61</v>
      </c>
      <c r="U959" s="53">
        <f>STOCK[[#This Row],[Costo total]]*1.5</f>
        <v>21.914999999999999</v>
      </c>
      <c r="V959" s="53">
        <v>30</v>
      </c>
      <c r="W959" s="53">
        <f>STOCK[[#This Row],[Precio Final]]-STOCK[[#This Row],[Costo total]]</f>
        <v>15.39</v>
      </c>
      <c r="X959" s="53">
        <f>STOCK[[#This Row],[Ganancia Unitaria]]*STOCK[[#This Row],[Salidas]]</f>
        <v>15.39</v>
      </c>
      <c r="Y959" s="53" t="s">
        <v>1922</v>
      </c>
      <c r="AA959" s="53">
        <f>STOCK[[#This Row],[Costo total]]*STOCK[[#This Row],[Entradas]]</f>
        <v>14.61</v>
      </c>
      <c r="AB959" s="53">
        <f>STOCK[[#This Row],[Stock Actual]]*STOCK[[#This Row],[Costo total]]</f>
        <v>0</v>
      </c>
    </row>
    <row r="960" spans="1:28" s="54" customFormat="1" ht="50" customHeight="1">
      <c r="A960" s="54" t="s">
        <v>1928</v>
      </c>
      <c r="B960" s="64"/>
      <c r="C960" s="54" t="s">
        <v>32</v>
      </c>
      <c r="D960" s="54" t="s">
        <v>1929</v>
      </c>
      <c r="E960" s="66" t="s">
        <v>1930</v>
      </c>
      <c r="F960" s="54" t="s">
        <v>1931</v>
      </c>
      <c r="G960" s="54" t="s">
        <v>36</v>
      </c>
      <c r="H960" s="54">
        <f>STOCK[[#This Row],[Precio Final]]</f>
        <v>12</v>
      </c>
      <c r="I960" s="54">
        <f>STOCK[[#This Row],[Precio Venta Ideal (x1.5)]]</f>
        <v>9.254999999999999</v>
      </c>
      <c r="J960" s="70">
        <v>2</v>
      </c>
      <c r="K960" s="70">
        <f>SUMIFS(VENTAS[Cantidad],VENTAS[Código del producto Vendido],STOCK[[#This Row],[Code]])</f>
        <v>2</v>
      </c>
      <c r="L960" s="70">
        <f>STOCK[[#This Row],[Entradas]]-STOCK[[#This Row],[Salidas]]</f>
        <v>0</v>
      </c>
      <c r="M960" s="54">
        <f>STOCK[[#This Row],[Precio Final]]*10%</f>
        <v>1.2000000000000002</v>
      </c>
      <c r="N960" s="54">
        <v>0</v>
      </c>
      <c r="O960" s="54">
        <v>0</v>
      </c>
      <c r="P960" s="54">
        <v>4.97</v>
      </c>
      <c r="Q960" s="70">
        <v>0</v>
      </c>
      <c r="R960" s="54">
        <v>0</v>
      </c>
      <c r="S960" s="54">
        <v>0</v>
      </c>
      <c r="T960" s="53">
        <f>STOCK[[#This Row],[Costo Unitario (USD)]]+STOCK[[#This Row],[Costo Envío (USD)]]+STOCK[[#This Row],[Comisión 10%]]</f>
        <v>6.17</v>
      </c>
      <c r="U960" s="54">
        <f>STOCK[[#This Row],[Costo total]]*1.5</f>
        <v>9.254999999999999</v>
      </c>
      <c r="V960" s="54">
        <v>12</v>
      </c>
      <c r="W960" s="54">
        <f>STOCK[[#This Row],[Precio Final]]-STOCK[[#This Row],[Costo total]]</f>
        <v>5.83</v>
      </c>
      <c r="X960" s="54">
        <f>STOCK[[#This Row],[Ganancia Unitaria]]*STOCK[[#This Row],[Salidas]]</f>
        <v>11.66</v>
      </c>
      <c r="Y960" s="54" t="s">
        <v>1922</v>
      </c>
      <c r="AA960" s="54">
        <f>STOCK[[#This Row],[Costo total]]*STOCK[[#This Row],[Entradas]]</f>
        <v>12.34</v>
      </c>
      <c r="AB960" s="54">
        <f>STOCK[[#This Row],[Stock Actual]]*STOCK[[#This Row],[Costo total]]</f>
        <v>0</v>
      </c>
    </row>
    <row r="961" spans="1:29" s="53" customFormat="1" ht="50" customHeight="1">
      <c r="A961" s="53" t="s">
        <v>1932</v>
      </c>
      <c r="B961" s="64"/>
      <c r="C961" s="53" t="s">
        <v>32</v>
      </c>
      <c r="D961" s="53" t="s">
        <v>1929</v>
      </c>
      <c r="E961" s="65" t="s">
        <v>1930</v>
      </c>
      <c r="F961" s="53" t="s">
        <v>1933</v>
      </c>
      <c r="G961" s="53" t="s">
        <v>36</v>
      </c>
      <c r="H961" s="53">
        <f>STOCK[[#This Row],[Precio Final]]</f>
        <v>12</v>
      </c>
      <c r="I961" s="53">
        <f>STOCK[[#This Row],[Precio Venta Ideal (x1.5)]]</f>
        <v>9.254999999999999</v>
      </c>
      <c r="J961" s="69">
        <v>2</v>
      </c>
      <c r="K961" s="69">
        <f>SUMIFS(VENTAS[Cantidad],VENTAS[Código del producto Vendido],STOCK[[#This Row],[Code]])</f>
        <v>2</v>
      </c>
      <c r="L961" s="69">
        <f>STOCK[[#This Row],[Entradas]]-STOCK[[#This Row],[Salidas]]</f>
        <v>0</v>
      </c>
      <c r="M961" s="53">
        <f>STOCK[[#This Row],[Precio Final]]*10%</f>
        <v>1.2000000000000002</v>
      </c>
      <c r="N961" s="53">
        <v>0</v>
      </c>
      <c r="O961" s="53">
        <v>0</v>
      </c>
      <c r="P961" s="53">
        <v>4.97</v>
      </c>
      <c r="Q961" s="69">
        <v>0</v>
      </c>
      <c r="R961" s="53">
        <v>0</v>
      </c>
      <c r="S961" s="53">
        <v>0</v>
      </c>
      <c r="T961" s="53">
        <f>STOCK[[#This Row],[Costo Unitario (USD)]]+STOCK[[#This Row],[Costo Envío (USD)]]+STOCK[[#This Row],[Comisión 10%]]</f>
        <v>6.17</v>
      </c>
      <c r="U961" s="53">
        <f>STOCK[[#This Row],[Costo total]]*1.5</f>
        <v>9.254999999999999</v>
      </c>
      <c r="V961" s="53">
        <v>12</v>
      </c>
      <c r="W961" s="53">
        <f>STOCK[[#This Row],[Precio Final]]-STOCK[[#This Row],[Costo total]]</f>
        <v>5.83</v>
      </c>
      <c r="X961" s="53">
        <f>STOCK[[#This Row],[Ganancia Unitaria]]*STOCK[[#This Row],[Salidas]]</f>
        <v>11.66</v>
      </c>
      <c r="Y961" s="53" t="s">
        <v>1922</v>
      </c>
      <c r="AA961" s="53">
        <f>STOCK[[#This Row],[Costo total]]*STOCK[[#This Row],[Entradas]]</f>
        <v>12.34</v>
      </c>
      <c r="AB961" s="53">
        <f>STOCK[[#This Row],[Stock Actual]]*STOCK[[#This Row],[Costo total]]</f>
        <v>0</v>
      </c>
    </row>
    <row r="962" spans="1:29" s="54" customFormat="1" ht="50" customHeight="1">
      <c r="A962" s="54" t="s">
        <v>1934</v>
      </c>
      <c r="B962" s="64"/>
      <c r="C962" s="54" t="s">
        <v>32</v>
      </c>
      <c r="D962" s="54" t="s">
        <v>1929</v>
      </c>
      <c r="E962" s="66" t="s">
        <v>1930</v>
      </c>
      <c r="F962" s="54" t="s">
        <v>1935</v>
      </c>
      <c r="G962" s="54" t="s">
        <v>36</v>
      </c>
      <c r="H962" s="54">
        <f>STOCK[[#This Row],[Precio Final]]</f>
        <v>12</v>
      </c>
      <c r="I962" s="54">
        <f>STOCK[[#This Row],[Precio Venta Ideal (x1.5)]]</f>
        <v>9.254999999999999</v>
      </c>
      <c r="J962" s="70">
        <v>1</v>
      </c>
      <c r="K962" s="70">
        <f>SUMIFS(VENTAS[Cantidad],VENTAS[Código del producto Vendido],STOCK[[#This Row],[Code]])</f>
        <v>1</v>
      </c>
      <c r="L962" s="70">
        <f>STOCK[[#This Row],[Entradas]]-STOCK[[#This Row],[Salidas]]</f>
        <v>0</v>
      </c>
      <c r="M962" s="54">
        <f>STOCK[[#This Row],[Precio Final]]*10%</f>
        <v>1.2000000000000002</v>
      </c>
      <c r="N962" s="54">
        <v>0</v>
      </c>
      <c r="O962" s="54">
        <v>0</v>
      </c>
      <c r="P962" s="54">
        <v>4.97</v>
      </c>
      <c r="Q962" s="70">
        <v>0</v>
      </c>
      <c r="R962" s="54">
        <v>0</v>
      </c>
      <c r="S962" s="54">
        <v>0</v>
      </c>
      <c r="T962" s="53">
        <f>STOCK[[#This Row],[Costo Unitario (USD)]]+STOCK[[#This Row],[Costo Envío (USD)]]+STOCK[[#This Row],[Comisión 10%]]</f>
        <v>6.17</v>
      </c>
      <c r="U962" s="54">
        <f>STOCK[[#This Row],[Costo total]]*1.5</f>
        <v>9.254999999999999</v>
      </c>
      <c r="V962" s="54">
        <v>12</v>
      </c>
      <c r="W962" s="54">
        <f>STOCK[[#This Row],[Precio Final]]-STOCK[[#This Row],[Costo total]]</f>
        <v>5.83</v>
      </c>
      <c r="X962" s="54">
        <f>STOCK[[#This Row],[Ganancia Unitaria]]*STOCK[[#This Row],[Salidas]]</f>
        <v>5.83</v>
      </c>
      <c r="Y962" s="54" t="s">
        <v>1922</v>
      </c>
      <c r="AA962" s="54">
        <f>STOCK[[#This Row],[Costo total]]*STOCK[[#This Row],[Entradas]]</f>
        <v>6.17</v>
      </c>
      <c r="AB962" s="54">
        <f>STOCK[[#This Row],[Stock Actual]]*STOCK[[#This Row],[Costo total]]</f>
        <v>0</v>
      </c>
    </row>
    <row r="963" spans="1:29" s="53" customFormat="1" ht="50" customHeight="1">
      <c r="A963" s="53" t="s">
        <v>1936</v>
      </c>
      <c r="B963" s="64"/>
      <c r="C963" s="53" t="s">
        <v>32</v>
      </c>
      <c r="D963" s="53" t="s">
        <v>1929</v>
      </c>
      <c r="E963" s="65" t="s">
        <v>1930</v>
      </c>
      <c r="F963" s="53" t="s">
        <v>1937</v>
      </c>
      <c r="G963" s="53" t="s">
        <v>36</v>
      </c>
      <c r="H963" s="53">
        <f>STOCK[[#This Row],[Precio Final]]</f>
        <v>0</v>
      </c>
      <c r="I963" s="53">
        <f>STOCK[[#This Row],[Precio Venta Ideal (x1.5)]]</f>
        <v>7.4550000000000001</v>
      </c>
      <c r="J963" s="69">
        <v>0</v>
      </c>
      <c r="K963" s="69">
        <f>SUMIFS(VENTAS[Cantidad],VENTAS[Código del producto Vendido],STOCK[[#This Row],[Code]])</f>
        <v>0</v>
      </c>
      <c r="L963" s="69">
        <f>STOCK[[#This Row],[Entradas]]-STOCK[[#This Row],[Salidas]]</f>
        <v>0</v>
      </c>
      <c r="M963" s="53">
        <f>STOCK[[#This Row],[Precio Final]]*10%</f>
        <v>0</v>
      </c>
      <c r="N963" s="53">
        <v>0</v>
      </c>
      <c r="O963" s="53">
        <v>0</v>
      </c>
      <c r="P963" s="53">
        <v>4.97</v>
      </c>
      <c r="Q963" s="69">
        <v>0</v>
      </c>
      <c r="R963" s="53">
        <v>0</v>
      </c>
      <c r="S963" s="53">
        <v>0</v>
      </c>
      <c r="T963" s="53">
        <f>STOCK[[#This Row],[Costo Unitario (USD)]]+STOCK[[#This Row],[Costo Envío (USD)]]+STOCK[[#This Row],[Comisión 10%]]</f>
        <v>4.97</v>
      </c>
      <c r="U963" s="53">
        <f>STOCK[[#This Row],[Costo total]]*1.5</f>
        <v>7.4550000000000001</v>
      </c>
      <c r="W963" s="53">
        <f>STOCK[[#This Row],[Precio Final]]-STOCK[[#This Row],[Costo total]]</f>
        <v>-4.97</v>
      </c>
      <c r="X963" s="53">
        <f>STOCK[[#This Row],[Ganancia Unitaria]]*STOCK[[#This Row],[Salidas]]</f>
        <v>0</v>
      </c>
      <c r="Y963" s="53" t="s">
        <v>1922</v>
      </c>
      <c r="AA963" s="53">
        <f>STOCK[[#This Row],[Costo total]]*STOCK[[#This Row],[Entradas]]</f>
        <v>0</v>
      </c>
      <c r="AB963" s="53">
        <f>STOCK[[#This Row],[Stock Actual]]*STOCK[[#This Row],[Costo total]]</f>
        <v>0</v>
      </c>
    </row>
    <row r="964" spans="1:29" s="54" customFormat="1" ht="50" customHeight="1">
      <c r="A964" s="54" t="s">
        <v>1938</v>
      </c>
      <c r="B964" s="64"/>
      <c r="C964" s="54" t="s">
        <v>32</v>
      </c>
      <c r="D964" s="54" t="s">
        <v>1939</v>
      </c>
      <c r="E964" s="66" t="s">
        <v>1940</v>
      </c>
      <c r="F964" s="54" t="s">
        <v>62</v>
      </c>
      <c r="G964" s="54" t="s">
        <v>36</v>
      </c>
      <c r="H964" s="54">
        <f>STOCK[[#This Row],[Precio Final]]</f>
        <v>8</v>
      </c>
      <c r="I964" s="54">
        <f>STOCK[[#This Row],[Precio Venta Ideal (x1.5)]]</f>
        <v>6.9750000000000005</v>
      </c>
      <c r="J964" s="70">
        <v>3</v>
      </c>
      <c r="K964" s="70">
        <f>SUMIFS(VENTAS[Cantidad],VENTAS[Código del producto Vendido],STOCK[[#This Row],[Code]])</f>
        <v>1</v>
      </c>
      <c r="L964" s="70">
        <f>STOCK[[#This Row],[Entradas]]-STOCK[[#This Row],[Salidas]]</f>
        <v>2</v>
      </c>
      <c r="M964" s="54">
        <f>STOCK[[#This Row],[Precio Final]]*10%</f>
        <v>0.8</v>
      </c>
      <c r="N964" s="54">
        <v>0</v>
      </c>
      <c r="O964" s="54">
        <v>0</v>
      </c>
      <c r="P964" s="54">
        <v>3.85</v>
      </c>
      <c r="Q964" s="70">
        <v>0</v>
      </c>
      <c r="R964" s="54">
        <v>0</v>
      </c>
      <c r="S964" s="54">
        <v>0</v>
      </c>
      <c r="T964" s="53">
        <f>STOCK[[#This Row],[Costo Unitario (USD)]]+STOCK[[#This Row],[Costo Envío (USD)]]+STOCK[[#This Row],[Comisión 10%]]</f>
        <v>4.6500000000000004</v>
      </c>
      <c r="U964" s="54">
        <f>STOCK[[#This Row],[Costo total]]*1.5</f>
        <v>6.9750000000000005</v>
      </c>
      <c r="V964" s="54">
        <v>8</v>
      </c>
      <c r="W964" s="54">
        <f>STOCK[[#This Row],[Precio Final]]-STOCK[[#This Row],[Costo total]]</f>
        <v>3.3499999999999996</v>
      </c>
      <c r="X964" s="54">
        <f>STOCK[[#This Row],[Ganancia Unitaria]]*STOCK[[#This Row],[Salidas]]</f>
        <v>3.3499999999999996</v>
      </c>
      <c r="Y964" s="54" t="s">
        <v>1922</v>
      </c>
      <c r="AA964" s="54">
        <f>STOCK[[#This Row],[Costo total]]*STOCK[[#This Row],[Entradas]]</f>
        <v>13.950000000000001</v>
      </c>
      <c r="AB964" s="54">
        <f>STOCK[[#This Row],[Stock Actual]]*STOCK[[#This Row],[Costo total]]</f>
        <v>9.3000000000000007</v>
      </c>
    </row>
    <row r="965" spans="1:29" s="53" customFormat="1" ht="50" customHeight="1">
      <c r="A965" s="53" t="s">
        <v>1941</v>
      </c>
      <c r="B965" s="64"/>
      <c r="C965" s="53" t="s">
        <v>32</v>
      </c>
      <c r="D965" s="54" t="s">
        <v>1939</v>
      </c>
      <c r="E965" s="65" t="s">
        <v>1942</v>
      </c>
      <c r="F965" s="53" t="s">
        <v>62</v>
      </c>
      <c r="G965" s="53" t="s">
        <v>36</v>
      </c>
      <c r="H965" s="53">
        <f>STOCK[[#This Row],[Precio Final]]</f>
        <v>8</v>
      </c>
      <c r="I965" s="53">
        <f>STOCK[[#This Row],[Precio Venta Ideal (x1.5)]]</f>
        <v>6.9750000000000005</v>
      </c>
      <c r="J965" s="69">
        <v>2</v>
      </c>
      <c r="K965" s="69">
        <f>SUMIFS(VENTAS[Cantidad],VENTAS[Código del producto Vendido],STOCK[[#This Row],[Code]])</f>
        <v>0</v>
      </c>
      <c r="L965" s="69">
        <f>STOCK[[#This Row],[Entradas]]-STOCK[[#This Row],[Salidas]]</f>
        <v>2</v>
      </c>
      <c r="M965" s="53">
        <f>STOCK[[#This Row],[Precio Final]]*10%</f>
        <v>0.8</v>
      </c>
      <c r="N965" s="53">
        <v>0</v>
      </c>
      <c r="O965" s="53">
        <v>0</v>
      </c>
      <c r="P965" s="53">
        <v>3.85</v>
      </c>
      <c r="Q965" s="69">
        <v>0</v>
      </c>
      <c r="R965" s="53">
        <v>0</v>
      </c>
      <c r="S965" s="53">
        <v>0</v>
      </c>
      <c r="T965" s="53">
        <f>STOCK[[#This Row],[Costo Unitario (USD)]]+STOCK[[#This Row],[Costo Envío (USD)]]+STOCK[[#This Row],[Comisión 10%]]</f>
        <v>4.6500000000000004</v>
      </c>
      <c r="U965" s="53">
        <f>STOCK[[#This Row],[Costo total]]*1.5</f>
        <v>6.9750000000000005</v>
      </c>
      <c r="V965" s="53">
        <v>8</v>
      </c>
      <c r="W965" s="53">
        <f>STOCK[[#This Row],[Precio Final]]-STOCK[[#This Row],[Costo total]]</f>
        <v>3.3499999999999996</v>
      </c>
      <c r="X965" s="53">
        <f>STOCK[[#This Row],[Ganancia Unitaria]]*STOCK[[#This Row],[Salidas]]</f>
        <v>0</v>
      </c>
      <c r="Y965" s="53" t="s">
        <v>1922</v>
      </c>
      <c r="AA965" s="53">
        <f>STOCK[[#This Row],[Costo total]]*STOCK[[#This Row],[Entradas]]</f>
        <v>9.3000000000000007</v>
      </c>
      <c r="AB965" s="53">
        <f>STOCK[[#This Row],[Stock Actual]]*STOCK[[#This Row],[Costo total]]</f>
        <v>9.3000000000000007</v>
      </c>
    </row>
    <row r="966" spans="1:29" s="54" customFormat="1" ht="50" customHeight="1">
      <c r="A966" s="54" t="s">
        <v>1943</v>
      </c>
      <c r="B966" s="64"/>
      <c r="C966" s="54" t="s">
        <v>32</v>
      </c>
      <c r="D966" s="54" t="s">
        <v>1939</v>
      </c>
      <c r="E966" s="66" t="s">
        <v>1942</v>
      </c>
      <c r="F966" s="54" t="s">
        <v>49</v>
      </c>
      <c r="G966" s="54" t="s">
        <v>36</v>
      </c>
      <c r="H966" s="54">
        <f>STOCK[[#This Row],[Precio Final]]</f>
        <v>8</v>
      </c>
      <c r="I966" s="54">
        <f>STOCK[[#This Row],[Precio Venta Ideal (x1.5)]]</f>
        <v>6.9750000000000005</v>
      </c>
      <c r="J966" s="70">
        <v>2</v>
      </c>
      <c r="K966" s="70">
        <f>SUMIFS(VENTAS[Cantidad],VENTAS[Código del producto Vendido],STOCK[[#This Row],[Code]])</f>
        <v>0</v>
      </c>
      <c r="L966" s="70">
        <f>STOCK[[#This Row],[Entradas]]-STOCK[[#This Row],[Salidas]]</f>
        <v>2</v>
      </c>
      <c r="M966" s="54">
        <f>STOCK[[#This Row],[Precio Final]]*10%</f>
        <v>0.8</v>
      </c>
      <c r="N966" s="54">
        <v>0</v>
      </c>
      <c r="O966" s="54">
        <v>0</v>
      </c>
      <c r="P966" s="54">
        <v>3.85</v>
      </c>
      <c r="Q966" s="70">
        <v>0</v>
      </c>
      <c r="R966" s="54">
        <v>0</v>
      </c>
      <c r="S966" s="54">
        <v>0</v>
      </c>
      <c r="T966" s="53">
        <f>STOCK[[#This Row],[Costo Unitario (USD)]]+STOCK[[#This Row],[Costo Envío (USD)]]+STOCK[[#This Row],[Comisión 10%]]</f>
        <v>4.6500000000000004</v>
      </c>
      <c r="U966" s="54">
        <f>STOCK[[#This Row],[Costo total]]*1.5</f>
        <v>6.9750000000000005</v>
      </c>
      <c r="V966" s="54">
        <v>8</v>
      </c>
      <c r="W966" s="54">
        <f>STOCK[[#This Row],[Precio Final]]-STOCK[[#This Row],[Costo total]]</f>
        <v>3.3499999999999996</v>
      </c>
      <c r="X966" s="54">
        <f>STOCK[[#This Row],[Ganancia Unitaria]]*STOCK[[#This Row],[Salidas]]</f>
        <v>0</v>
      </c>
      <c r="Y966" s="54" t="s">
        <v>1922</v>
      </c>
      <c r="AA966" s="54">
        <f>STOCK[[#This Row],[Costo total]]*STOCK[[#This Row],[Entradas]]</f>
        <v>9.3000000000000007</v>
      </c>
      <c r="AB966" s="54">
        <f>STOCK[[#This Row],[Stock Actual]]*STOCK[[#This Row],[Costo total]]</f>
        <v>9.3000000000000007</v>
      </c>
    </row>
    <row r="967" spans="1:29" s="53" customFormat="1" ht="50" customHeight="1">
      <c r="A967" s="53" t="s">
        <v>1944</v>
      </c>
      <c r="B967" s="64"/>
      <c r="C967" s="53" t="s">
        <v>32</v>
      </c>
      <c r="D967" s="53" t="s">
        <v>1945</v>
      </c>
      <c r="E967" s="65" t="s">
        <v>1759</v>
      </c>
      <c r="F967" s="53" t="s">
        <v>1946</v>
      </c>
      <c r="G967" s="53" t="s">
        <v>36</v>
      </c>
      <c r="H967" s="53">
        <f>STOCK[[#This Row],[Precio Final]]</f>
        <v>30</v>
      </c>
      <c r="I967" s="53">
        <f>STOCK[[#This Row],[Precio Venta Ideal (x1.5)]]</f>
        <v>31.454999999999998</v>
      </c>
      <c r="J967" s="69">
        <v>2</v>
      </c>
      <c r="K967" s="69">
        <f>SUMIFS(VENTAS[Cantidad],VENTAS[Código del producto Vendido],STOCK[[#This Row],[Code]])</f>
        <v>2</v>
      </c>
      <c r="L967" s="69">
        <f>STOCK[[#This Row],[Entradas]]-STOCK[[#This Row],[Salidas]]</f>
        <v>0</v>
      </c>
      <c r="M967" s="53">
        <f>STOCK[[#This Row],[Precio Final]]*10%</f>
        <v>3</v>
      </c>
      <c r="N967" s="53">
        <v>0</v>
      </c>
      <c r="O967" s="53">
        <v>0</v>
      </c>
      <c r="P967" s="53">
        <v>17.97</v>
      </c>
      <c r="Q967" s="69">
        <v>0</v>
      </c>
      <c r="R967" s="53">
        <v>0</v>
      </c>
      <c r="S967" s="53">
        <v>0</v>
      </c>
      <c r="T967" s="53">
        <f>STOCK[[#This Row],[Costo Unitario (USD)]]+STOCK[[#This Row],[Costo Envío (USD)]]+STOCK[[#This Row],[Comisión 10%]]</f>
        <v>20.97</v>
      </c>
      <c r="U967" s="53">
        <f>STOCK[[#This Row],[Costo total]]*1.5</f>
        <v>31.454999999999998</v>
      </c>
      <c r="V967" s="53">
        <v>30</v>
      </c>
      <c r="W967" s="53">
        <f>STOCK[[#This Row],[Precio Final]]-STOCK[[#This Row],[Costo total]]</f>
        <v>9.0300000000000011</v>
      </c>
      <c r="X967" s="53">
        <f>STOCK[[#This Row],[Ganancia Unitaria]]*STOCK[[#This Row],[Salidas]]</f>
        <v>18.060000000000002</v>
      </c>
      <c r="Y967" s="53" t="s">
        <v>1922</v>
      </c>
      <c r="AA967" s="53">
        <f>STOCK[[#This Row],[Costo total]]*STOCK[[#This Row],[Entradas]]</f>
        <v>41.94</v>
      </c>
      <c r="AB967" s="53">
        <f>STOCK[[#This Row],[Stock Actual]]*STOCK[[#This Row],[Costo total]]</f>
        <v>0</v>
      </c>
    </row>
    <row r="968" spans="1:29" s="54" customFormat="1" ht="50" customHeight="1">
      <c r="A968" s="54" t="s">
        <v>1947</v>
      </c>
      <c r="B968" s="64"/>
      <c r="C968" s="54" t="s">
        <v>32</v>
      </c>
      <c r="D968" s="54" t="s">
        <v>216</v>
      </c>
      <c r="E968" s="66" t="s">
        <v>1948</v>
      </c>
      <c r="F968" s="54" t="s">
        <v>46</v>
      </c>
      <c r="G968" s="54" t="s">
        <v>36</v>
      </c>
      <c r="H968" s="54">
        <f>STOCK[[#This Row],[Precio Final]]</f>
        <v>30</v>
      </c>
      <c r="I968" s="54">
        <f>STOCK[[#This Row],[Precio Venta Ideal (x1.5)]]</f>
        <v>26.73</v>
      </c>
      <c r="J968" s="70">
        <v>2</v>
      </c>
      <c r="K968" s="70">
        <f>SUMIFS(VENTAS[Cantidad],VENTAS[Código del producto Vendido],STOCK[[#This Row],[Code]])</f>
        <v>0</v>
      </c>
      <c r="L968" s="70">
        <f>STOCK[[#This Row],[Entradas]]-STOCK[[#This Row],[Salidas]]</f>
        <v>2</v>
      </c>
      <c r="M968" s="54">
        <f>STOCK[[#This Row],[Precio Final]]*10%</f>
        <v>3</v>
      </c>
      <c r="N968" s="54">
        <v>0</v>
      </c>
      <c r="O968" s="54">
        <v>0</v>
      </c>
      <c r="P968" s="54">
        <v>14.82</v>
      </c>
      <c r="Q968" s="70">
        <v>0</v>
      </c>
      <c r="R968" s="54">
        <v>0</v>
      </c>
      <c r="S968" s="54">
        <v>0</v>
      </c>
      <c r="T968" s="53">
        <f>STOCK[[#This Row],[Costo Unitario (USD)]]+STOCK[[#This Row],[Costo Envío (USD)]]+STOCK[[#This Row],[Comisión 10%]]</f>
        <v>17.82</v>
      </c>
      <c r="U968" s="54">
        <f>STOCK[[#This Row],[Costo total]]*1.5</f>
        <v>26.73</v>
      </c>
      <c r="V968" s="54">
        <v>30</v>
      </c>
      <c r="W968" s="54">
        <f>STOCK[[#This Row],[Precio Final]]-STOCK[[#This Row],[Costo total]]</f>
        <v>12.18</v>
      </c>
      <c r="X968" s="54">
        <f>STOCK[[#This Row],[Ganancia Unitaria]]*STOCK[[#This Row],[Salidas]]</f>
        <v>0</v>
      </c>
      <c r="AA968" s="54">
        <f>STOCK[[#This Row],[Costo total]]*STOCK[[#This Row],[Entradas]]</f>
        <v>35.64</v>
      </c>
      <c r="AB968" s="54">
        <f>STOCK[[#This Row],[Stock Actual]]*STOCK[[#This Row],[Costo total]]</f>
        <v>35.64</v>
      </c>
      <c r="AC968" s="54">
        <v>28</v>
      </c>
    </row>
    <row r="969" spans="1:29" s="53" customFormat="1" ht="50" customHeight="1">
      <c r="A969" s="53" t="s">
        <v>1949</v>
      </c>
      <c r="B969" s="64"/>
      <c r="C969" s="53" t="s">
        <v>32</v>
      </c>
      <c r="D969" s="53" t="s">
        <v>1950</v>
      </c>
      <c r="E969" s="65" t="s">
        <v>1951</v>
      </c>
      <c r="F969" s="53" t="s">
        <v>1952</v>
      </c>
      <c r="G969" s="53" t="s">
        <v>1953</v>
      </c>
      <c r="H969" s="53">
        <f>STOCK[[#This Row],[Precio Final]]</f>
        <v>9</v>
      </c>
      <c r="I969" s="53">
        <f>STOCK[[#This Row],[Precio Venta Ideal (x1.5)]]</f>
        <v>10.350000000000001</v>
      </c>
      <c r="J969" s="69">
        <v>0</v>
      </c>
      <c r="K969" s="69">
        <f>SUMIFS(VENTAS[Cantidad],VENTAS[Código del producto Vendido],STOCK[[#This Row],[Code]])</f>
        <v>0</v>
      </c>
      <c r="L969" s="69">
        <f>STOCK[[#This Row],[Entradas]]-STOCK[[#This Row],[Salidas]]</f>
        <v>0</v>
      </c>
      <c r="M969" s="53">
        <f>STOCK[[#This Row],[Precio Final]]*10%</f>
        <v>0.9</v>
      </c>
      <c r="N969" s="53">
        <v>0</v>
      </c>
      <c r="O969" s="53">
        <v>0</v>
      </c>
      <c r="P969" s="53">
        <v>6</v>
      </c>
      <c r="Q969" s="69">
        <v>0</v>
      </c>
      <c r="R969" s="53">
        <v>0</v>
      </c>
      <c r="S969" s="53">
        <v>0</v>
      </c>
      <c r="T969" s="53">
        <f>STOCK[[#This Row],[Costo Unitario (USD)]]+STOCK[[#This Row],[Costo Envío (USD)]]+STOCK[[#This Row],[Comisión 10%]]</f>
        <v>6.9</v>
      </c>
      <c r="U969" s="53">
        <f>STOCK[[#This Row],[Costo total]]*1.5</f>
        <v>10.350000000000001</v>
      </c>
      <c r="V969" s="53">
        <v>9</v>
      </c>
      <c r="W969" s="53">
        <f>STOCK[[#This Row],[Precio Final]]-STOCK[[#This Row],[Costo total]]</f>
        <v>2.0999999999999996</v>
      </c>
      <c r="X969" s="53">
        <f>STOCK[[#This Row],[Ganancia Unitaria]]*STOCK[[#This Row],[Salidas]]</f>
        <v>0</v>
      </c>
      <c r="Y969" s="53" t="s">
        <v>1954</v>
      </c>
      <c r="AA969" s="53">
        <f>STOCK[[#This Row],[Costo total]]*STOCK[[#This Row],[Entradas]]</f>
        <v>0</v>
      </c>
      <c r="AB969" s="53">
        <f>STOCK[[#This Row],[Stock Actual]]*STOCK[[#This Row],[Costo total]]</f>
        <v>0</v>
      </c>
    </row>
    <row r="970" spans="1:29" s="54" customFormat="1" ht="50" customHeight="1">
      <c r="A970" s="54" t="s">
        <v>1955</v>
      </c>
      <c r="B970" s="64"/>
      <c r="C970" s="54" t="s">
        <v>32</v>
      </c>
      <c r="D970" s="54" t="s">
        <v>1950</v>
      </c>
      <c r="E970" s="66" t="s">
        <v>1956</v>
      </c>
      <c r="F970" s="54" t="s">
        <v>228</v>
      </c>
      <c r="G970" s="54" t="s">
        <v>1957</v>
      </c>
      <c r="H970" s="54">
        <f>STOCK[[#This Row],[Precio Final]]</f>
        <v>7.5</v>
      </c>
      <c r="I970" s="54">
        <f>STOCK[[#This Row],[Precio Venta Ideal (x1.5)]]</f>
        <v>8.625</v>
      </c>
      <c r="J970" s="70">
        <v>0</v>
      </c>
      <c r="K970" s="70">
        <f>SUMIFS(VENTAS[Cantidad],VENTAS[Código del producto Vendido],STOCK[[#This Row],[Code]])</f>
        <v>0</v>
      </c>
      <c r="L970" s="70">
        <f>STOCK[[#This Row],[Entradas]]-STOCK[[#This Row],[Salidas]]</f>
        <v>0</v>
      </c>
      <c r="M970" s="54">
        <f>STOCK[[#This Row],[Precio Final]]*10%</f>
        <v>0.75</v>
      </c>
      <c r="N970" s="54">
        <v>0</v>
      </c>
      <c r="O970" s="54">
        <v>0</v>
      </c>
      <c r="P970" s="54">
        <v>5</v>
      </c>
      <c r="Q970" s="70">
        <v>0</v>
      </c>
      <c r="R970" s="54">
        <v>0</v>
      </c>
      <c r="S970" s="54">
        <v>0</v>
      </c>
      <c r="T970" s="53">
        <f>STOCK[[#This Row],[Costo Unitario (USD)]]+STOCK[[#This Row],[Costo Envío (USD)]]+STOCK[[#This Row],[Comisión 10%]]</f>
        <v>5.75</v>
      </c>
      <c r="U970" s="54">
        <f>STOCK[[#This Row],[Costo total]]*1.5</f>
        <v>8.625</v>
      </c>
      <c r="V970" s="54">
        <v>7.5</v>
      </c>
      <c r="W970" s="54">
        <f>STOCK[[#This Row],[Precio Final]]-STOCK[[#This Row],[Costo total]]</f>
        <v>1.75</v>
      </c>
      <c r="X970" s="54">
        <f>STOCK[[#This Row],[Ganancia Unitaria]]*STOCK[[#This Row],[Salidas]]</f>
        <v>0</v>
      </c>
      <c r="Y970" s="54" t="s">
        <v>1954</v>
      </c>
      <c r="AA970" s="54">
        <f>STOCK[[#This Row],[Costo total]]*STOCK[[#This Row],[Entradas]]</f>
        <v>0</v>
      </c>
      <c r="AB970" s="54">
        <f>STOCK[[#This Row],[Stock Actual]]*STOCK[[#This Row],[Costo total]]</f>
        <v>0</v>
      </c>
    </row>
    <row r="971" spans="1:29" s="53" customFormat="1" ht="50" customHeight="1">
      <c r="A971" s="53" t="s">
        <v>1958</v>
      </c>
      <c r="B971" s="64"/>
      <c r="C971" s="53" t="s">
        <v>32</v>
      </c>
      <c r="D971" s="53" t="s">
        <v>1950</v>
      </c>
      <c r="E971" s="65" t="s">
        <v>1959</v>
      </c>
      <c r="F971" s="53" t="s">
        <v>1960</v>
      </c>
      <c r="G971" s="53" t="s">
        <v>1957</v>
      </c>
      <c r="H971" s="53">
        <f>STOCK[[#This Row],[Precio Final]]</f>
        <v>7.5</v>
      </c>
      <c r="I971" s="53">
        <f>STOCK[[#This Row],[Precio Venta Ideal (x1.5)]]</f>
        <v>8.625</v>
      </c>
      <c r="J971" s="70">
        <v>0</v>
      </c>
      <c r="K971" s="69">
        <f>SUMIFS(VENTAS[Cantidad],VENTAS[Código del producto Vendido],STOCK[[#This Row],[Code]])</f>
        <v>0</v>
      </c>
      <c r="L971" s="69">
        <f>STOCK[[#This Row],[Entradas]]-STOCK[[#This Row],[Salidas]]</f>
        <v>0</v>
      </c>
      <c r="M971" s="53">
        <f>STOCK[[#This Row],[Precio Final]]*10%</f>
        <v>0.75</v>
      </c>
      <c r="N971" s="53">
        <v>0</v>
      </c>
      <c r="O971" s="53">
        <v>0</v>
      </c>
      <c r="P971" s="53">
        <v>5</v>
      </c>
      <c r="Q971" s="69">
        <v>0</v>
      </c>
      <c r="R971" s="53">
        <v>0</v>
      </c>
      <c r="S971" s="53">
        <v>0</v>
      </c>
      <c r="T971" s="53">
        <f>STOCK[[#This Row],[Costo Unitario (USD)]]+STOCK[[#This Row],[Costo Envío (USD)]]+STOCK[[#This Row],[Comisión 10%]]</f>
        <v>5.75</v>
      </c>
      <c r="U971" s="53">
        <f>STOCK[[#This Row],[Costo total]]*1.5</f>
        <v>8.625</v>
      </c>
      <c r="V971" s="53">
        <v>7.5</v>
      </c>
      <c r="W971" s="53">
        <f>STOCK[[#This Row],[Precio Final]]-STOCK[[#This Row],[Costo total]]</f>
        <v>1.75</v>
      </c>
      <c r="X971" s="53">
        <f>STOCK[[#This Row],[Ganancia Unitaria]]*STOCK[[#This Row],[Salidas]]</f>
        <v>0</v>
      </c>
      <c r="Y971" s="53" t="s">
        <v>1954</v>
      </c>
      <c r="AA971" s="53">
        <f>STOCK[[#This Row],[Costo total]]*STOCK[[#This Row],[Entradas]]</f>
        <v>0</v>
      </c>
      <c r="AB971" s="53">
        <f>STOCK[[#This Row],[Stock Actual]]*STOCK[[#This Row],[Costo total]]</f>
        <v>0</v>
      </c>
    </row>
    <row r="972" spans="1:29" s="54" customFormat="1" ht="50" customHeight="1">
      <c r="A972" s="54" t="s">
        <v>1961</v>
      </c>
      <c r="B972" s="64"/>
      <c r="C972" s="54" t="s">
        <v>32</v>
      </c>
      <c r="D972" s="54" t="s">
        <v>1950</v>
      </c>
      <c r="E972" s="66" t="s">
        <v>1962</v>
      </c>
      <c r="F972" s="54" t="s">
        <v>1963</v>
      </c>
      <c r="G972" s="54" t="s">
        <v>1964</v>
      </c>
      <c r="H972" s="54">
        <f>STOCK[[#This Row],[Precio Final]]</f>
        <v>6</v>
      </c>
      <c r="I972" s="54">
        <f>STOCK[[#This Row],[Precio Venta Ideal (x1.5)]]</f>
        <v>6.8999999999999995</v>
      </c>
      <c r="J972" s="70">
        <v>0</v>
      </c>
      <c r="K972" s="70">
        <f>SUMIFS(VENTAS[Cantidad],VENTAS[Código del producto Vendido],STOCK[[#This Row],[Code]])</f>
        <v>0</v>
      </c>
      <c r="L972" s="70">
        <f>STOCK[[#This Row],[Entradas]]-STOCK[[#This Row],[Salidas]]</f>
        <v>0</v>
      </c>
      <c r="M972" s="54">
        <f>STOCK[[#This Row],[Precio Final]]*10%</f>
        <v>0.60000000000000009</v>
      </c>
      <c r="N972" s="54">
        <v>0</v>
      </c>
      <c r="O972" s="54">
        <v>0</v>
      </c>
      <c r="P972" s="54">
        <v>4</v>
      </c>
      <c r="Q972" s="70">
        <v>0</v>
      </c>
      <c r="R972" s="54">
        <v>0</v>
      </c>
      <c r="S972" s="54">
        <v>0</v>
      </c>
      <c r="T972" s="53">
        <f>STOCK[[#This Row],[Costo Unitario (USD)]]+STOCK[[#This Row],[Costo Envío (USD)]]+STOCK[[#This Row],[Comisión 10%]]</f>
        <v>4.5999999999999996</v>
      </c>
      <c r="U972" s="54">
        <f>STOCK[[#This Row],[Costo total]]*1.5</f>
        <v>6.8999999999999995</v>
      </c>
      <c r="V972" s="54">
        <v>6</v>
      </c>
      <c r="W972" s="54">
        <f>STOCK[[#This Row],[Precio Final]]-STOCK[[#This Row],[Costo total]]</f>
        <v>1.4000000000000004</v>
      </c>
      <c r="X972" s="54">
        <f>STOCK[[#This Row],[Ganancia Unitaria]]*STOCK[[#This Row],[Salidas]]</f>
        <v>0</v>
      </c>
      <c r="Y972" s="54" t="s">
        <v>1954</v>
      </c>
      <c r="AA972" s="54">
        <f>STOCK[[#This Row],[Costo total]]*STOCK[[#This Row],[Entradas]]</f>
        <v>0</v>
      </c>
      <c r="AB972" s="54">
        <f>STOCK[[#This Row],[Stock Actual]]*STOCK[[#This Row],[Costo total]]</f>
        <v>0</v>
      </c>
    </row>
    <row r="973" spans="1:29" s="53" customFormat="1" ht="50" customHeight="1">
      <c r="A973" s="53" t="s">
        <v>1965</v>
      </c>
      <c r="B973" s="64"/>
      <c r="C973" s="53" t="s">
        <v>32</v>
      </c>
      <c r="D973" s="53" t="s">
        <v>1950</v>
      </c>
      <c r="E973" s="65" t="s">
        <v>1966</v>
      </c>
      <c r="F973" s="53" t="s">
        <v>1967</v>
      </c>
      <c r="G973" s="53" t="s">
        <v>1296</v>
      </c>
      <c r="H973" s="53">
        <f>STOCK[[#This Row],[Precio Final]]</f>
        <v>3</v>
      </c>
      <c r="I973" s="53">
        <f>STOCK[[#This Row],[Precio Venta Ideal (x1.5)]]</f>
        <v>3.4499999999999997</v>
      </c>
      <c r="J973" s="70">
        <v>0</v>
      </c>
      <c r="K973" s="69">
        <f>SUMIFS(VENTAS[Cantidad],VENTAS[Código del producto Vendido],STOCK[[#This Row],[Code]])</f>
        <v>0</v>
      </c>
      <c r="L973" s="69">
        <f>STOCK[[#This Row],[Entradas]]-STOCK[[#This Row],[Salidas]]</f>
        <v>0</v>
      </c>
      <c r="M973" s="53">
        <f>STOCK[[#This Row],[Precio Final]]*10%</f>
        <v>0.30000000000000004</v>
      </c>
      <c r="N973" s="53">
        <v>0</v>
      </c>
      <c r="O973" s="53">
        <v>0</v>
      </c>
      <c r="P973" s="53">
        <v>2</v>
      </c>
      <c r="Q973" s="69">
        <v>0</v>
      </c>
      <c r="R973" s="53">
        <v>0</v>
      </c>
      <c r="S973" s="53">
        <v>0</v>
      </c>
      <c r="T973" s="53">
        <f>STOCK[[#This Row],[Costo Unitario (USD)]]+STOCK[[#This Row],[Costo Envío (USD)]]+STOCK[[#This Row],[Comisión 10%]]</f>
        <v>2.2999999999999998</v>
      </c>
      <c r="U973" s="53">
        <f>STOCK[[#This Row],[Costo total]]*1.5</f>
        <v>3.4499999999999997</v>
      </c>
      <c r="V973" s="53">
        <v>3</v>
      </c>
      <c r="W973" s="53">
        <f>STOCK[[#This Row],[Precio Final]]-STOCK[[#This Row],[Costo total]]</f>
        <v>0.70000000000000018</v>
      </c>
      <c r="X973" s="53">
        <f>STOCK[[#This Row],[Ganancia Unitaria]]*STOCK[[#This Row],[Salidas]]</f>
        <v>0</v>
      </c>
      <c r="Y973" s="53" t="s">
        <v>1954</v>
      </c>
      <c r="AA973" s="53">
        <f>STOCK[[#This Row],[Costo total]]*STOCK[[#This Row],[Entradas]]</f>
        <v>0</v>
      </c>
      <c r="AB973" s="53">
        <f>STOCK[[#This Row],[Stock Actual]]*STOCK[[#This Row],[Costo total]]</f>
        <v>0</v>
      </c>
    </row>
    <row r="974" spans="1:29" s="54" customFormat="1" ht="50" customHeight="1">
      <c r="A974" s="54" t="s">
        <v>1968</v>
      </c>
      <c r="B974" s="64"/>
      <c r="C974" s="54" t="s">
        <v>32</v>
      </c>
      <c r="D974" s="54" t="s">
        <v>1950</v>
      </c>
      <c r="E974" s="66" t="s">
        <v>1969</v>
      </c>
      <c r="F974" s="54" t="s">
        <v>1970</v>
      </c>
      <c r="G974" s="54" t="s">
        <v>1957</v>
      </c>
      <c r="H974" s="54">
        <f>STOCK[[#This Row],[Precio Final]]</f>
        <v>7.5</v>
      </c>
      <c r="I974" s="54">
        <f>STOCK[[#This Row],[Precio Venta Ideal (x1.5)]]</f>
        <v>8.625</v>
      </c>
      <c r="J974" s="70">
        <v>0</v>
      </c>
      <c r="K974" s="70">
        <f>SUMIFS(VENTAS[Cantidad],VENTAS[Código del producto Vendido],STOCK[[#This Row],[Code]])</f>
        <v>0</v>
      </c>
      <c r="L974" s="70">
        <f>STOCK[[#This Row],[Entradas]]-STOCK[[#This Row],[Salidas]]</f>
        <v>0</v>
      </c>
      <c r="M974" s="54">
        <f>STOCK[[#This Row],[Precio Final]]*10%</f>
        <v>0.75</v>
      </c>
      <c r="N974" s="54">
        <v>0</v>
      </c>
      <c r="O974" s="54">
        <v>0</v>
      </c>
      <c r="P974" s="54">
        <v>5</v>
      </c>
      <c r="Q974" s="70">
        <v>0</v>
      </c>
      <c r="R974" s="54">
        <v>0</v>
      </c>
      <c r="S974" s="54">
        <v>0</v>
      </c>
      <c r="T974" s="53">
        <f>STOCK[[#This Row],[Costo Unitario (USD)]]+STOCK[[#This Row],[Costo Envío (USD)]]+STOCK[[#This Row],[Comisión 10%]]</f>
        <v>5.75</v>
      </c>
      <c r="U974" s="54">
        <f>STOCK[[#This Row],[Costo total]]*1.5</f>
        <v>8.625</v>
      </c>
      <c r="V974" s="54">
        <v>7.5</v>
      </c>
      <c r="W974" s="54">
        <f>STOCK[[#This Row],[Precio Final]]-STOCK[[#This Row],[Costo total]]</f>
        <v>1.75</v>
      </c>
      <c r="X974" s="54">
        <f>STOCK[[#This Row],[Ganancia Unitaria]]*STOCK[[#This Row],[Salidas]]</f>
        <v>0</v>
      </c>
      <c r="Y974" s="54" t="s">
        <v>1954</v>
      </c>
      <c r="AA974" s="54">
        <f>STOCK[[#This Row],[Costo total]]*STOCK[[#This Row],[Entradas]]</f>
        <v>0</v>
      </c>
      <c r="AB974" s="54">
        <f>STOCK[[#This Row],[Stock Actual]]*STOCK[[#This Row],[Costo total]]</f>
        <v>0</v>
      </c>
    </row>
    <row r="975" spans="1:29" s="53" customFormat="1" ht="50" customHeight="1">
      <c r="A975" s="53" t="s">
        <v>1971</v>
      </c>
      <c r="B975" s="64"/>
      <c r="C975" s="53" t="s">
        <v>32</v>
      </c>
      <c r="D975" s="53" t="s">
        <v>1950</v>
      </c>
      <c r="E975" s="65" t="s">
        <v>1972</v>
      </c>
      <c r="F975" s="53" t="s">
        <v>1973</v>
      </c>
      <c r="G975" s="53" t="s">
        <v>1957</v>
      </c>
      <c r="H975" s="53">
        <f>STOCK[[#This Row],[Precio Final]]</f>
        <v>4.5</v>
      </c>
      <c r="I975" s="53">
        <f>STOCK[[#This Row],[Precio Venta Ideal (x1.5)]]</f>
        <v>5.1750000000000007</v>
      </c>
      <c r="J975" s="70">
        <v>0</v>
      </c>
      <c r="K975" s="69">
        <f>SUMIFS(VENTAS[Cantidad],VENTAS[Código del producto Vendido],STOCK[[#This Row],[Code]])</f>
        <v>0</v>
      </c>
      <c r="L975" s="69">
        <f>STOCK[[#This Row],[Entradas]]-STOCK[[#This Row],[Salidas]]</f>
        <v>0</v>
      </c>
      <c r="M975" s="53">
        <f>STOCK[[#This Row],[Precio Final]]*10%</f>
        <v>0.45</v>
      </c>
      <c r="N975" s="53">
        <v>0</v>
      </c>
      <c r="O975" s="53">
        <v>0</v>
      </c>
      <c r="P975" s="53">
        <v>3</v>
      </c>
      <c r="Q975" s="69">
        <v>0</v>
      </c>
      <c r="R975" s="53">
        <v>0</v>
      </c>
      <c r="S975" s="53">
        <v>0</v>
      </c>
      <c r="T975" s="53">
        <f>STOCK[[#This Row],[Costo Unitario (USD)]]+STOCK[[#This Row],[Costo Envío (USD)]]+STOCK[[#This Row],[Comisión 10%]]</f>
        <v>3.45</v>
      </c>
      <c r="U975" s="53">
        <f>STOCK[[#This Row],[Costo total]]*1.5</f>
        <v>5.1750000000000007</v>
      </c>
      <c r="V975" s="53">
        <v>4.5</v>
      </c>
      <c r="W975" s="53">
        <f>STOCK[[#This Row],[Precio Final]]-STOCK[[#This Row],[Costo total]]</f>
        <v>1.0499999999999998</v>
      </c>
      <c r="X975" s="53">
        <f>STOCK[[#This Row],[Ganancia Unitaria]]*STOCK[[#This Row],[Salidas]]</f>
        <v>0</v>
      </c>
      <c r="Y975" s="53" t="s">
        <v>1954</v>
      </c>
      <c r="AA975" s="53">
        <f>STOCK[[#This Row],[Costo total]]*STOCK[[#This Row],[Entradas]]</f>
        <v>0</v>
      </c>
      <c r="AB975" s="53">
        <f>STOCK[[#This Row],[Stock Actual]]*STOCK[[#This Row],[Costo total]]</f>
        <v>0</v>
      </c>
    </row>
    <row r="976" spans="1:29" s="54" customFormat="1" ht="50" customHeight="1">
      <c r="A976" s="54" t="s">
        <v>1974</v>
      </c>
      <c r="B976" s="64"/>
      <c r="C976" s="54" t="s">
        <v>32</v>
      </c>
      <c r="D976" s="54" t="s">
        <v>1950</v>
      </c>
      <c r="E976" s="66" t="s">
        <v>1975</v>
      </c>
      <c r="F976" s="54" t="s">
        <v>1973</v>
      </c>
      <c r="G976" s="54" t="s">
        <v>1957</v>
      </c>
      <c r="H976" s="54">
        <f>STOCK[[#This Row],[Precio Final]]</f>
        <v>6</v>
      </c>
      <c r="I976" s="54">
        <f>STOCK[[#This Row],[Precio Venta Ideal (x1.5)]]</f>
        <v>6.8999999999999995</v>
      </c>
      <c r="J976" s="70">
        <v>0</v>
      </c>
      <c r="K976" s="70">
        <f>SUMIFS(VENTAS[Cantidad],VENTAS[Código del producto Vendido],STOCK[[#This Row],[Code]])</f>
        <v>0</v>
      </c>
      <c r="L976" s="70">
        <f>STOCK[[#This Row],[Entradas]]-STOCK[[#This Row],[Salidas]]</f>
        <v>0</v>
      </c>
      <c r="M976" s="54">
        <f>STOCK[[#This Row],[Precio Final]]*10%</f>
        <v>0.60000000000000009</v>
      </c>
      <c r="N976" s="54">
        <v>0</v>
      </c>
      <c r="O976" s="54">
        <v>0</v>
      </c>
      <c r="P976" s="54">
        <v>4</v>
      </c>
      <c r="Q976" s="70">
        <v>0</v>
      </c>
      <c r="R976" s="54">
        <v>0</v>
      </c>
      <c r="S976" s="54">
        <v>0</v>
      </c>
      <c r="T976" s="53">
        <f>STOCK[[#This Row],[Costo Unitario (USD)]]+STOCK[[#This Row],[Costo Envío (USD)]]+STOCK[[#This Row],[Comisión 10%]]</f>
        <v>4.5999999999999996</v>
      </c>
      <c r="U976" s="54">
        <f>STOCK[[#This Row],[Costo total]]*1.5</f>
        <v>6.8999999999999995</v>
      </c>
      <c r="V976" s="54">
        <v>6</v>
      </c>
      <c r="W976" s="54">
        <f>STOCK[[#This Row],[Precio Final]]-STOCK[[#This Row],[Costo total]]</f>
        <v>1.4000000000000004</v>
      </c>
      <c r="X976" s="54">
        <f>STOCK[[#This Row],[Ganancia Unitaria]]*STOCK[[#This Row],[Salidas]]</f>
        <v>0</v>
      </c>
      <c r="Y976" s="54" t="s">
        <v>1954</v>
      </c>
      <c r="AA976" s="54">
        <f>STOCK[[#This Row],[Costo total]]*STOCK[[#This Row],[Entradas]]</f>
        <v>0</v>
      </c>
      <c r="AB976" s="54">
        <f>STOCK[[#This Row],[Stock Actual]]*STOCK[[#This Row],[Costo total]]</f>
        <v>0</v>
      </c>
    </row>
    <row r="977" spans="1:28" s="53" customFormat="1" ht="50" customHeight="1">
      <c r="A977" s="53" t="s">
        <v>1976</v>
      </c>
      <c r="B977" s="64"/>
      <c r="C977" s="53" t="s">
        <v>32</v>
      </c>
      <c r="D977" s="53" t="s">
        <v>1950</v>
      </c>
      <c r="E977" s="65" t="s">
        <v>1977</v>
      </c>
      <c r="F977" s="53" t="s">
        <v>1978</v>
      </c>
      <c r="G977" s="53" t="s">
        <v>1979</v>
      </c>
      <c r="H977" s="53">
        <f>STOCK[[#This Row],[Precio Final]]</f>
        <v>4.5</v>
      </c>
      <c r="I977" s="53">
        <f>STOCK[[#This Row],[Precio Venta Ideal (x1.5)]]</f>
        <v>5.1750000000000007</v>
      </c>
      <c r="J977" s="70">
        <v>0</v>
      </c>
      <c r="K977" s="69">
        <f>SUMIFS(VENTAS[Cantidad],VENTAS[Código del producto Vendido],STOCK[[#This Row],[Code]])</f>
        <v>0</v>
      </c>
      <c r="L977" s="69">
        <f>STOCK[[#This Row],[Entradas]]-STOCK[[#This Row],[Salidas]]</f>
        <v>0</v>
      </c>
      <c r="M977" s="53">
        <f>STOCK[[#This Row],[Precio Final]]*10%</f>
        <v>0.45</v>
      </c>
      <c r="N977" s="53">
        <v>0</v>
      </c>
      <c r="O977" s="53">
        <v>0</v>
      </c>
      <c r="P977" s="53">
        <v>3</v>
      </c>
      <c r="Q977" s="69">
        <v>0</v>
      </c>
      <c r="R977" s="53">
        <v>0</v>
      </c>
      <c r="S977" s="53">
        <v>0</v>
      </c>
      <c r="T977" s="53">
        <f>STOCK[[#This Row],[Costo Unitario (USD)]]+STOCK[[#This Row],[Costo Envío (USD)]]+STOCK[[#This Row],[Comisión 10%]]</f>
        <v>3.45</v>
      </c>
      <c r="U977" s="53">
        <f>STOCK[[#This Row],[Costo total]]*1.5</f>
        <v>5.1750000000000007</v>
      </c>
      <c r="V977" s="53">
        <v>4.5</v>
      </c>
      <c r="W977" s="53">
        <f>STOCK[[#This Row],[Precio Final]]-STOCK[[#This Row],[Costo total]]</f>
        <v>1.0499999999999998</v>
      </c>
      <c r="X977" s="53">
        <f>STOCK[[#This Row],[Ganancia Unitaria]]*STOCK[[#This Row],[Salidas]]</f>
        <v>0</v>
      </c>
      <c r="Y977" s="53" t="s">
        <v>1954</v>
      </c>
      <c r="AA977" s="53">
        <f>STOCK[[#This Row],[Costo total]]*STOCK[[#This Row],[Entradas]]</f>
        <v>0</v>
      </c>
      <c r="AB977" s="53">
        <f>STOCK[[#This Row],[Stock Actual]]*STOCK[[#This Row],[Costo total]]</f>
        <v>0</v>
      </c>
    </row>
    <row r="978" spans="1:28" s="54" customFormat="1" ht="50" customHeight="1">
      <c r="A978" s="54" t="s">
        <v>1980</v>
      </c>
      <c r="B978" s="64"/>
      <c r="C978" s="54" t="s">
        <v>32</v>
      </c>
      <c r="D978" s="54" t="s">
        <v>1950</v>
      </c>
      <c r="E978" s="66" t="s">
        <v>1981</v>
      </c>
      <c r="F978" s="54" t="s">
        <v>1973</v>
      </c>
      <c r="G978" s="54" t="s">
        <v>1957</v>
      </c>
      <c r="H978" s="54">
        <f>STOCK[[#This Row],[Precio Final]]</f>
        <v>4.5</v>
      </c>
      <c r="I978" s="54">
        <f>STOCK[[#This Row],[Precio Venta Ideal (x1.5)]]</f>
        <v>5.1750000000000007</v>
      </c>
      <c r="J978" s="70">
        <v>0</v>
      </c>
      <c r="K978" s="70">
        <f>SUMIFS(VENTAS[Cantidad],VENTAS[Código del producto Vendido],STOCK[[#This Row],[Code]])</f>
        <v>0</v>
      </c>
      <c r="L978" s="70">
        <f>STOCK[[#This Row],[Entradas]]-STOCK[[#This Row],[Salidas]]</f>
        <v>0</v>
      </c>
      <c r="M978" s="54">
        <f>STOCK[[#This Row],[Precio Final]]*10%</f>
        <v>0.45</v>
      </c>
      <c r="N978" s="54">
        <v>0</v>
      </c>
      <c r="O978" s="54">
        <v>0</v>
      </c>
      <c r="P978" s="54">
        <v>3</v>
      </c>
      <c r="Q978" s="70">
        <v>0</v>
      </c>
      <c r="R978" s="54">
        <v>0</v>
      </c>
      <c r="S978" s="54">
        <v>0</v>
      </c>
      <c r="T978" s="53">
        <f>STOCK[[#This Row],[Costo Unitario (USD)]]+STOCK[[#This Row],[Costo Envío (USD)]]+STOCK[[#This Row],[Comisión 10%]]</f>
        <v>3.45</v>
      </c>
      <c r="U978" s="54">
        <f>STOCK[[#This Row],[Costo total]]*1.5</f>
        <v>5.1750000000000007</v>
      </c>
      <c r="V978" s="54">
        <v>4.5</v>
      </c>
      <c r="W978" s="54">
        <f>STOCK[[#This Row],[Precio Final]]-STOCK[[#This Row],[Costo total]]</f>
        <v>1.0499999999999998</v>
      </c>
      <c r="X978" s="54">
        <f>STOCK[[#This Row],[Ganancia Unitaria]]*STOCK[[#This Row],[Salidas]]</f>
        <v>0</v>
      </c>
      <c r="Y978" s="54" t="s">
        <v>1954</v>
      </c>
      <c r="AA978" s="54">
        <f>STOCK[[#This Row],[Costo total]]*STOCK[[#This Row],[Entradas]]</f>
        <v>0</v>
      </c>
      <c r="AB978" s="54">
        <f>STOCK[[#This Row],[Stock Actual]]*STOCK[[#This Row],[Costo total]]</f>
        <v>0</v>
      </c>
    </row>
    <row r="979" spans="1:28" s="53" customFormat="1" ht="50" customHeight="1">
      <c r="A979" s="53" t="s">
        <v>1982</v>
      </c>
      <c r="B979" s="64"/>
      <c r="C979" s="53" t="s">
        <v>32</v>
      </c>
      <c r="D979" s="53" t="s">
        <v>1950</v>
      </c>
      <c r="E979" s="65" t="s">
        <v>1983</v>
      </c>
      <c r="F979" s="53" t="s">
        <v>1984</v>
      </c>
      <c r="G979" s="53" t="s">
        <v>704</v>
      </c>
      <c r="H979" s="53">
        <f>STOCK[[#This Row],[Precio Final]]</f>
        <v>7.5</v>
      </c>
      <c r="I979" s="53">
        <f>STOCK[[#This Row],[Precio Venta Ideal (x1.5)]]</f>
        <v>8.625</v>
      </c>
      <c r="J979" s="70">
        <v>1</v>
      </c>
      <c r="K979" s="69">
        <f>SUMIFS(VENTAS[Cantidad],VENTAS[Código del producto Vendido],STOCK[[#This Row],[Code]])</f>
        <v>1</v>
      </c>
      <c r="L979" s="69">
        <f>STOCK[[#This Row],[Entradas]]-STOCK[[#This Row],[Salidas]]</f>
        <v>0</v>
      </c>
      <c r="M979" s="53">
        <f>STOCK[[#This Row],[Precio Final]]*10%</f>
        <v>0.75</v>
      </c>
      <c r="N979" s="53">
        <v>0</v>
      </c>
      <c r="O979" s="53">
        <v>0</v>
      </c>
      <c r="P979" s="53">
        <v>5</v>
      </c>
      <c r="Q979" s="69">
        <v>0</v>
      </c>
      <c r="R979" s="53">
        <v>0</v>
      </c>
      <c r="S979" s="53">
        <v>0</v>
      </c>
      <c r="T979" s="53">
        <f>STOCK[[#This Row],[Costo Unitario (USD)]]+STOCK[[#This Row],[Costo Envío (USD)]]+STOCK[[#This Row],[Comisión 10%]]</f>
        <v>5.75</v>
      </c>
      <c r="U979" s="53">
        <f>STOCK[[#This Row],[Costo total]]*1.5</f>
        <v>8.625</v>
      </c>
      <c r="V979" s="53">
        <v>7.5</v>
      </c>
      <c r="W979" s="53">
        <f>STOCK[[#This Row],[Precio Final]]-STOCK[[#This Row],[Costo total]]</f>
        <v>1.75</v>
      </c>
      <c r="X979" s="53">
        <f>STOCK[[#This Row],[Ganancia Unitaria]]*STOCK[[#This Row],[Salidas]]</f>
        <v>1.75</v>
      </c>
      <c r="Y979" s="53" t="s">
        <v>1954</v>
      </c>
      <c r="AA979" s="53">
        <f>STOCK[[#This Row],[Costo total]]*STOCK[[#This Row],[Entradas]]</f>
        <v>5.75</v>
      </c>
      <c r="AB979" s="53">
        <f>STOCK[[#This Row],[Stock Actual]]*STOCK[[#This Row],[Costo total]]</f>
        <v>0</v>
      </c>
    </row>
    <row r="980" spans="1:28" s="54" customFormat="1" ht="50" customHeight="1">
      <c r="A980" s="54" t="s">
        <v>1985</v>
      </c>
      <c r="B980" s="64"/>
      <c r="C980" s="54" t="s">
        <v>32</v>
      </c>
      <c r="D980" s="54" t="s">
        <v>1950</v>
      </c>
      <c r="E980" s="66" t="s">
        <v>1986</v>
      </c>
      <c r="F980" s="54" t="s">
        <v>1987</v>
      </c>
      <c r="G980" s="54" t="s">
        <v>1957</v>
      </c>
      <c r="H980" s="54">
        <f>STOCK[[#This Row],[Precio Final]]</f>
        <v>3</v>
      </c>
      <c r="I980" s="54">
        <f>STOCK[[#This Row],[Precio Venta Ideal (x1.5)]]</f>
        <v>3.4499999999999997</v>
      </c>
      <c r="J980" s="70">
        <v>0</v>
      </c>
      <c r="K980" s="70">
        <f>SUMIFS(VENTAS[Cantidad],VENTAS[Código del producto Vendido],STOCK[[#This Row],[Code]])</f>
        <v>0</v>
      </c>
      <c r="L980" s="70">
        <f>STOCK[[#This Row],[Entradas]]-STOCK[[#This Row],[Salidas]]</f>
        <v>0</v>
      </c>
      <c r="M980" s="54">
        <f>STOCK[[#This Row],[Precio Final]]*10%</f>
        <v>0.30000000000000004</v>
      </c>
      <c r="N980" s="54">
        <v>0</v>
      </c>
      <c r="O980" s="54">
        <v>0</v>
      </c>
      <c r="P980" s="54">
        <v>2</v>
      </c>
      <c r="Q980" s="70">
        <v>0</v>
      </c>
      <c r="R980" s="54">
        <v>0</v>
      </c>
      <c r="S980" s="54">
        <v>0</v>
      </c>
      <c r="T980" s="53">
        <f>STOCK[[#This Row],[Costo Unitario (USD)]]+STOCK[[#This Row],[Costo Envío (USD)]]+STOCK[[#This Row],[Comisión 10%]]</f>
        <v>2.2999999999999998</v>
      </c>
      <c r="U980" s="54">
        <f>STOCK[[#This Row],[Costo total]]*1.5</f>
        <v>3.4499999999999997</v>
      </c>
      <c r="V980" s="54">
        <v>3</v>
      </c>
      <c r="W980" s="54">
        <f>STOCK[[#This Row],[Precio Final]]-STOCK[[#This Row],[Costo total]]</f>
        <v>0.70000000000000018</v>
      </c>
      <c r="X980" s="54">
        <f>STOCK[[#This Row],[Ganancia Unitaria]]*STOCK[[#This Row],[Salidas]]</f>
        <v>0</v>
      </c>
      <c r="Y980" s="54" t="s">
        <v>1954</v>
      </c>
      <c r="AA980" s="54">
        <f>STOCK[[#This Row],[Costo total]]*STOCK[[#This Row],[Entradas]]</f>
        <v>0</v>
      </c>
      <c r="AB980" s="54">
        <f>STOCK[[#This Row],[Stock Actual]]*STOCK[[#This Row],[Costo total]]</f>
        <v>0</v>
      </c>
    </row>
    <row r="981" spans="1:28" s="53" customFormat="1" ht="50" customHeight="1">
      <c r="A981" s="53" t="s">
        <v>1988</v>
      </c>
      <c r="B981" s="64"/>
      <c r="C981" s="53" t="s">
        <v>32</v>
      </c>
      <c r="D981" s="53" t="s">
        <v>1950</v>
      </c>
      <c r="E981" s="65" t="s">
        <v>1989</v>
      </c>
      <c r="F981" s="53" t="s">
        <v>1973</v>
      </c>
      <c r="G981" s="53" t="s">
        <v>1296</v>
      </c>
      <c r="H981" s="53">
        <f>STOCK[[#This Row],[Precio Final]]</f>
        <v>7.5</v>
      </c>
      <c r="I981" s="53">
        <f>STOCK[[#This Row],[Precio Venta Ideal (x1.5)]]</f>
        <v>8.625</v>
      </c>
      <c r="J981" s="70">
        <v>0</v>
      </c>
      <c r="K981" s="69">
        <f>SUMIFS(VENTAS[Cantidad],VENTAS[Código del producto Vendido],STOCK[[#This Row],[Code]])</f>
        <v>0</v>
      </c>
      <c r="L981" s="69">
        <f>STOCK[[#This Row],[Entradas]]-STOCK[[#This Row],[Salidas]]</f>
        <v>0</v>
      </c>
      <c r="M981" s="53">
        <f>STOCK[[#This Row],[Precio Final]]*10%</f>
        <v>0.75</v>
      </c>
      <c r="N981" s="53">
        <v>0</v>
      </c>
      <c r="O981" s="53">
        <v>0</v>
      </c>
      <c r="P981" s="53">
        <v>5</v>
      </c>
      <c r="Q981" s="69">
        <v>0</v>
      </c>
      <c r="R981" s="53">
        <v>0</v>
      </c>
      <c r="S981" s="53">
        <v>0</v>
      </c>
      <c r="T981" s="53">
        <f>STOCK[[#This Row],[Costo Unitario (USD)]]+STOCK[[#This Row],[Costo Envío (USD)]]+STOCK[[#This Row],[Comisión 10%]]</f>
        <v>5.75</v>
      </c>
      <c r="U981" s="53">
        <f>STOCK[[#This Row],[Costo total]]*1.5</f>
        <v>8.625</v>
      </c>
      <c r="V981" s="53">
        <v>7.5</v>
      </c>
      <c r="W981" s="53">
        <f>STOCK[[#This Row],[Precio Final]]-STOCK[[#This Row],[Costo total]]</f>
        <v>1.75</v>
      </c>
      <c r="X981" s="53">
        <f>STOCK[[#This Row],[Ganancia Unitaria]]*STOCK[[#This Row],[Salidas]]</f>
        <v>0</v>
      </c>
      <c r="Y981" s="53" t="s">
        <v>1954</v>
      </c>
      <c r="AA981" s="53">
        <f>STOCK[[#This Row],[Costo total]]*STOCK[[#This Row],[Entradas]]</f>
        <v>0</v>
      </c>
      <c r="AB981" s="53">
        <f>STOCK[[#This Row],[Stock Actual]]*STOCK[[#This Row],[Costo total]]</f>
        <v>0</v>
      </c>
    </row>
    <row r="982" spans="1:28" s="54" customFormat="1" ht="50" customHeight="1">
      <c r="A982" s="54" t="s">
        <v>1990</v>
      </c>
      <c r="B982" s="64"/>
      <c r="C982" s="54" t="s">
        <v>32</v>
      </c>
      <c r="D982" s="54" t="s">
        <v>1950</v>
      </c>
      <c r="E982" s="66" t="s">
        <v>1991</v>
      </c>
      <c r="F982" s="54" t="s">
        <v>1952</v>
      </c>
      <c r="G982" s="54" t="s">
        <v>1603</v>
      </c>
      <c r="H982" s="54">
        <f>STOCK[[#This Row],[Precio Final]]</f>
        <v>12</v>
      </c>
      <c r="I982" s="54">
        <f>STOCK[[#This Row],[Precio Venta Ideal (x1.5)]]</f>
        <v>13.799999999999999</v>
      </c>
      <c r="J982" s="70">
        <v>0</v>
      </c>
      <c r="K982" s="70">
        <f>SUMIFS(VENTAS[Cantidad],VENTAS[Código del producto Vendido],STOCK[[#This Row],[Code]])</f>
        <v>0</v>
      </c>
      <c r="L982" s="70">
        <f>STOCK[[#This Row],[Entradas]]-STOCK[[#This Row],[Salidas]]</f>
        <v>0</v>
      </c>
      <c r="M982" s="54">
        <f>STOCK[[#This Row],[Precio Final]]*10%</f>
        <v>1.2000000000000002</v>
      </c>
      <c r="N982" s="54">
        <v>0</v>
      </c>
      <c r="O982" s="54">
        <v>0</v>
      </c>
      <c r="P982" s="54">
        <v>8</v>
      </c>
      <c r="Q982" s="70">
        <v>0</v>
      </c>
      <c r="R982" s="54">
        <v>0</v>
      </c>
      <c r="S982" s="54">
        <v>0</v>
      </c>
      <c r="T982" s="53">
        <f>STOCK[[#This Row],[Costo Unitario (USD)]]+STOCK[[#This Row],[Costo Envío (USD)]]+STOCK[[#This Row],[Comisión 10%]]</f>
        <v>9.1999999999999993</v>
      </c>
      <c r="U982" s="54">
        <f>STOCK[[#This Row],[Costo total]]*1.5</f>
        <v>13.799999999999999</v>
      </c>
      <c r="V982" s="54">
        <v>12</v>
      </c>
      <c r="W982" s="54">
        <f>STOCK[[#This Row],[Precio Final]]-STOCK[[#This Row],[Costo total]]</f>
        <v>2.8000000000000007</v>
      </c>
      <c r="X982" s="54">
        <f>STOCK[[#This Row],[Ganancia Unitaria]]*STOCK[[#This Row],[Salidas]]</f>
        <v>0</v>
      </c>
      <c r="Y982" s="54" t="s">
        <v>1954</v>
      </c>
      <c r="AA982" s="54">
        <f>STOCK[[#This Row],[Costo total]]*STOCK[[#This Row],[Entradas]]</f>
        <v>0</v>
      </c>
      <c r="AB982" s="54">
        <f>STOCK[[#This Row],[Stock Actual]]*STOCK[[#This Row],[Costo total]]</f>
        <v>0</v>
      </c>
    </row>
    <row r="983" spans="1:28" s="53" customFormat="1" ht="50" customHeight="1">
      <c r="A983" s="53" t="s">
        <v>1992</v>
      </c>
      <c r="B983" s="64"/>
      <c r="C983" s="53" t="s">
        <v>32</v>
      </c>
      <c r="D983" s="53" t="s">
        <v>1950</v>
      </c>
      <c r="E983" s="65" t="s">
        <v>1993</v>
      </c>
      <c r="F983" s="53" t="s">
        <v>1994</v>
      </c>
      <c r="G983" s="53" t="s">
        <v>1957</v>
      </c>
      <c r="H983" s="53">
        <f>STOCK[[#This Row],[Precio Final]]</f>
        <v>6</v>
      </c>
      <c r="I983" s="53">
        <f>STOCK[[#This Row],[Precio Venta Ideal (x1.5)]]</f>
        <v>6.8999999999999995</v>
      </c>
      <c r="J983" s="70">
        <v>0</v>
      </c>
      <c r="K983" s="69">
        <f>SUMIFS(VENTAS[Cantidad],VENTAS[Código del producto Vendido],STOCK[[#This Row],[Code]])</f>
        <v>0</v>
      </c>
      <c r="L983" s="69">
        <f>STOCK[[#This Row],[Entradas]]-STOCK[[#This Row],[Salidas]]</f>
        <v>0</v>
      </c>
      <c r="M983" s="53">
        <f>STOCK[[#This Row],[Precio Final]]*10%</f>
        <v>0.60000000000000009</v>
      </c>
      <c r="N983" s="53">
        <v>0</v>
      </c>
      <c r="O983" s="53">
        <v>0</v>
      </c>
      <c r="P983" s="53">
        <v>4</v>
      </c>
      <c r="Q983" s="69">
        <v>0</v>
      </c>
      <c r="R983" s="53">
        <v>0</v>
      </c>
      <c r="S983" s="53">
        <v>0</v>
      </c>
      <c r="T983" s="53">
        <f>STOCK[[#This Row],[Costo Unitario (USD)]]+STOCK[[#This Row],[Costo Envío (USD)]]+STOCK[[#This Row],[Comisión 10%]]</f>
        <v>4.5999999999999996</v>
      </c>
      <c r="U983" s="53">
        <f>STOCK[[#This Row],[Costo total]]*1.5</f>
        <v>6.8999999999999995</v>
      </c>
      <c r="V983" s="53">
        <v>6</v>
      </c>
      <c r="W983" s="53">
        <f>STOCK[[#This Row],[Precio Final]]-STOCK[[#This Row],[Costo total]]</f>
        <v>1.4000000000000004</v>
      </c>
      <c r="X983" s="53">
        <f>STOCK[[#This Row],[Ganancia Unitaria]]*STOCK[[#This Row],[Salidas]]</f>
        <v>0</v>
      </c>
      <c r="Y983" s="53" t="s">
        <v>1954</v>
      </c>
      <c r="AA983" s="53">
        <f>STOCK[[#This Row],[Costo total]]*STOCK[[#This Row],[Entradas]]</f>
        <v>0</v>
      </c>
      <c r="AB983" s="53">
        <f>STOCK[[#This Row],[Stock Actual]]*STOCK[[#This Row],[Costo total]]</f>
        <v>0</v>
      </c>
    </row>
    <row r="984" spans="1:28" s="54" customFormat="1" ht="50" customHeight="1">
      <c r="A984" s="54" t="s">
        <v>1995</v>
      </c>
      <c r="B984" s="64"/>
      <c r="C984" s="54" t="s">
        <v>32</v>
      </c>
      <c r="D984" s="54" t="s">
        <v>1950</v>
      </c>
      <c r="E984" s="66" t="s">
        <v>1996</v>
      </c>
      <c r="F984" s="54" t="s">
        <v>1997</v>
      </c>
      <c r="G984" s="54" t="s">
        <v>1603</v>
      </c>
      <c r="H984" s="54">
        <f>STOCK[[#This Row],[Precio Final]]</f>
        <v>7.5</v>
      </c>
      <c r="I984" s="54">
        <f>STOCK[[#This Row],[Precio Venta Ideal (x1.5)]]</f>
        <v>8.625</v>
      </c>
      <c r="J984" s="70">
        <v>0</v>
      </c>
      <c r="K984" s="70">
        <f>SUMIFS(VENTAS[Cantidad],VENTAS[Código del producto Vendido],STOCK[[#This Row],[Code]])</f>
        <v>0</v>
      </c>
      <c r="L984" s="70">
        <f>STOCK[[#This Row],[Entradas]]-STOCK[[#This Row],[Salidas]]</f>
        <v>0</v>
      </c>
      <c r="M984" s="54">
        <f>STOCK[[#This Row],[Precio Final]]*10%</f>
        <v>0.75</v>
      </c>
      <c r="N984" s="54">
        <v>0</v>
      </c>
      <c r="O984" s="54">
        <v>0</v>
      </c>
      <c r="P984" s="54">
        <v>5</v>
      </c>
      <c r="Q984" s="70">
        <v>0</v>
      </c>
      <c r="R984" s="54">
        <v>0</v>
      </c>
      <c r="S984" s="54">
        <v>0</v>
      </c>
      <c r="T984" s="53">
        <f>STOCK[[#This Row],[Costo Unitario (USD)]]+STOCK[[#This Row],[Costo Envío (USD)]]+STOCK[[#This Row],[Comisión 10%]]</f>
        <v>5.75</v>
      </c>
      <c r="U984" s="54">
        <f>STOCK[[#This Row],[Costo total]]*1.5</f>
        <v>8.625</v>
      </c>
      <c r="V984" s="54">
        <v>7.5</v>
      </c>
      <c r="W984" s="54">
        <f>STOCK[[#This Row],[Precio Final]]-STOCK[[#This Row],[Costo total]]</f>
        <v>1.75</v>
      </c>
      <c r="X984" s="54">
        <f>STOCK[[#This Row],[Ganancia Unitaria]]*STOCK[[#This Row],[Salidas]]</f>
        <v>0</v>
      </c>
      <c r="Y984" s="54" t="s">
        <v>1954</v>
      </c>
      <c r="AA984" s="54">
        <f>STOCK[[#This Row],[Costo total]]*STOCK[[#This Row],[Entradas]]</f>
        <v>0</v>
      </c>
      <c r="AB984" s="54">
        <f>STOCK[[#This Row],[Stock Actual]]*STOCK[[#This Row],[Costo total]]</f>
        <v>0</v>
      </c>
    </row>
    <row r="985" spans="1:28" s="53" customFormat="1" ht="50" customHeight="1">
      <c r="A985" s="53" t="s">
        <v>1998</v>
      </c>
      <c r="B985" s="64"/>
      <c r="C985" s="53" t="s">
        <v>32</v>
      </c>
      <c r="D985" s="53" t="s">
        <v>1950</v>
      </c>
      <c r="E985" s="65" t="s">
        <v>1999</v>
      </c>
      <c r="F985" s="53" t="s">
        <v>2000</v>
      </c>
      <c r="G985" s="53" t="s">
        <v>704</v>
      </c>
      <c r="H985" s="53">
        <f>STOCK[[#This Row],[Precio Final]]</f>
        <v>8</v>
      </c>
      <c r="I985" s="53">
        <f>STOCK[[#This Row],[Precio Venta Ideal (x1.5)]]</f>
        <v>13.200000000000001</v>
      </c>
      <c r="J985" s="70">
        <v>0</v>
      </c>
      <c r="K985" s="69">
        <f>SUMIFS(VENTAS[Cantidad],VENTAS[Código del producto Vendido],STOCK[[#This Row],[Code]])</f>
        <v>0</v>
      </c>
      <c r="L985" s="69">
        <f>STOCK[[#This Row],[Entradas]]-STOCK[[#This Row],[Salidas]]</f>
        <v>0</v>
      </c>
      <c r="M985" s="53">
        <f>STOCK[[#This Row],[Precio Final]]*10%</f>
        <v>0.8</v>
      </c>
      <c r="N985" s="53">
        <v>0</v>
      </c>
      <c r="O985" s="53">
        <v>0</v>
      </c>
      <c r="P985" s="53">
        <v>8</v>
      </c>
      <c r="Q985" s="69">
        <v>0</v>
      </c>
      <c r="R985" s="53">
        <v>0</v>
      </c>
      <c r="S985" s="53">
        <v>0</v>
      </c>
      <c r="T985" s="53">
        <f>STOCK[[#This Row],[Costo Unitario (USD)]]+STOCK[[#This Row],[Costo Envío (USD)]]+STOCK[[#This Row],[Comisión 10%]]</f>
        <v>8.8000000000000007</v>
      </c>
      <c r="U985" s="53">
        <f>STOCK[[#This Row],[Costo total]]*1.5</f>
        <v>13.200000000000001</v>
      </c>
      <c r="V985" s="53">
        <v>8</v>
      </c>
      <c r="W985" s="53">
        <f>STOCK[[#This Row],[Precio Final]]-STOCK[[#This Row],[Costo total]]</f>
        <v>-0.80000000000000071</v>
      </c>
      <c r="X985" s="53">
        <f>STOCK[[#This Row],[Ganancia Unitaria]]*STOCK[[#This Row],[Salidas]]</f>
        <v>0</v>
      </c>
      <c r="Y985" s="53" t="s">
        <v>1954</v>
      </c>
      <c r="AA985" s="53">
        <f>STOCK[[#This Row],[Costo total]]*STOCK[[#This Row],[Entradas]]</f>
        <v>0</v>
      </c>
      <c r="AB985" s="53">
        <f>STOCK[[#This Row],[Stock Actual]]*STOCK[[#This Row],[Costo total]]</f>
        <v>0</v>
      </c>
    </row>
    <row r="986" spans="1:28" s="54" customFormat="1" ht="50" customHeight="1">
      <c r="A986" s="54" t="s">
        <v>2001</v>
      </c>
      <c r="B986" s="64"/>
      <c r="C986" s="54" t="s">
        <v>32</v>
      </c>
      <c r="D986" s="54" t="s">
        <v>1950</v>
      </c>
      <c r="E986" s="66" t="s">
        <v>2002</v>
      </c>
      <c r="F986" s="54" t="s">
        <v>2003</v>
      </c>
      <c r="G986" s="54" t="s">
        <v>2004</v>
      </c>
      <c r="H986" s="54">
        <f>STOCK[[#This Row],[Precio Final]]</f>
        <v>3</v>
      </c>
      <c r="I986" s="54">
        <f>STOCK[[#This Row],[Precio Venta Ideal (x1.5)]]</f>
        <v>3.4499999999999997</v>
      </c>
      <c r="J986" s="70">
        <v>0</v>
      </c>
      <c r="K986" s="70">
        <f>SUMIFS(VENTAS[Cantidad],VENTAS[Código del producto Vendido],STOCK[[#This Row],[Code]])</f>
        <v>0</v>
      </c>
      <c r="L986" s="70">
        <f>STOCK[[#This Row],[Entradas]]-STOCK[[#This Row],[Salidas]]</f>
        <v>0</v>
      </c>
      <c r="M986" s="54">
        <f>STOCK[[#This Row],[Precio Final]]*10%</f>
        <v>0.30000000000000004</v>
      </c>
      <c r="N986" s="54">
        <v>0</v>
      </c>
      <c r="O986" s="54">
        <v>0</v>
      </c>
      <c r="P986" s="54">
        <v>2</v>
      </c>
      <c r="Q986" s="70">
        <v>0</v>
      </c>
      <c r="R986" s="54">
        <v>0</v>
      </c>
      <c r="S986" s="54">
        <v>0</v>
      </c>
      <c r="T986" s="53">
        <f>STOCK[[#This Row],[Costo Unitario (USD)]]+STOCK[[#This Row],[Costo Envío (USD)]]+STOCK[[#This Row],[Comisión 10%]]</f>
        <v>2.2999999999999998</v>
      </c>
      <c r="U986" s="54">
        <f>STOCK[[#This Row],[Costo total]]*1.5</f>
        <v>3.4499999999999997</v>
      </c>
      <c r="V986" s="54">
        <v>3</v>
      </c>
      <c r="W986" s="54">
        <f>STOCK[[#This Row],[Precio Final]]-STOCK[[#This Row],[Costo total]]</f>
        <v>0.70000000000000018</v>
      </c>
      <c r="X986" s="54">
        <f>STOCK[[#This Row],[Ganancia Unitaria]]*STOCK[[#This Row],[Salidas]]</f>
        <v>0</v>
      </c>
      <c r="Y986" s="54" t="s">
        <v>1954</v>
      </c>
      <c r="AA986" s="54">
        <f>STOCK[[#This Row],[Costo total]]*STOCK[[#This Row],[Entradas]]</f>
        <v>0</v>
      </c>
      <c r="AB986" s="54">
        <f>STOCK[[#This Row],[Stock Actual]]*STOCK[[#This Row],[Costo total]]</f>
        <v>0</v>
      </c>
    </row>
    <row r="987" spans="1:28" s="53" customFormat="1" ht="50" customHeight="1">
      <c r="A987" s="53" t="s">
        <v>2005</v>
      </c>
      <c r="B987" s="64"/>
      <c r="C987" s="53" t="s">
        <v>32</v>
      </c>
      <c r="D987" s="53" t="s">
        <v>1950</v>
      </c>
      <c r="E987" s="65" t="s">
        <v>2006</v>
      </c>
      <c r="F987" s="53" t="s">
        <v>228</v>
      </c>
      <c r="G987" s="53" t="s">
        <v>1957</v>
      </c>
      <c r="H987" s="53">
        <f>STOCK[[#This Row],[Precio Final]]</f>
        <v>4.5</v>
      </c>
      <c r="I987" s="53">
        <f>STOCK[[#This Row],[Precio Venta Ideal (x1.5)]]</f>
        <v>5.1750000000000007</v>
      </c>
      <c r="J987" s="70">
        <v>0</v>
      </c>
      <c r="K987" s="69">
        <f>SUMIFS(VENTAS[Cantidad],VENTAS[Código del producto Vendido],STOCK[[#This Row],[Code]])</f>
        <v>0</v>
      </c>
      <c r="L987" s="69">
        <f>STOCK[[#This Row],[Entradas]]-STOCK[[#This Row],[Salidas]]</f>
        <v>0</v>
      </c>
      <c r="M987" s="53">
        <f>STOCK[[#This Row],[Precio Final]]*10%</f>
        <v>0.45</v>
      </c>
      <c r="N987" s="53">
        <v>0</v>
      </c>
      <c r="O987" s="53">
        <v>0</v>
      </c>
      <c r="P987" s="53">
        <v>3</v>
      </c>
      <c r="Q987" s="69">
        <v>0</v>
      </c>
      <c r="R987" s="53">
        <v>0</v>
      </c>
      <c r="S987" s="53">
        <v>0</v>
      </c>
      <c r="T987" s="53">
        <f>STOCK[[#This Row],[Costo Unitario (USD)]]+STOCK[[#This Row],[Costo Envío (USD)]]+STOCK[[#This Row],[Comisión 10%]]</f>
        <v>3.45</v>
      </c>
      <c r="U987" s="53">
        <f>STOCK[[#This Row],[Costo total]]*1.5</f>
        <v>5.1750000000000007</v>
      </c>
      <c r="V987" s="53">
        <v>4.5</v>
      </c>
      <c r="W987" s="53">
        <f>STOCK[[#This Row],[Precio Final]]-STOCK[[#This Row],[Costo total]]</f>
        <v>1.0499999999999998</v>
      </c>
      <c r="X987" s="53">
        <f>STOCK[[#This Row],[Ganancia Unitaria]]*STOCK[[#This Row],[Salidas]]</f>
        <v>0</v>
      </c>
      <c r="Y987" s="53" t="s">
        <v>1954</v>
      </c>
      <c r="AA987" s="53">
        <f>STOCK[[#This Row],[Costo total]]*STOCK[[#This Row],[Entradas]]</f>
        <v>0</v>
      </c>
      <c r="AB987" s="53">
        <f>STOCK[[#This Row],[Stock Actual]]*STOCK[[#This Row],[Costo total]]</f>
        <v>0</v>
      </c>
    </row>
    <row r="988" spans="1:28" s="54" customFormat="1" ht="50" customHeight="1">
      <c r="A988" s="54" t="s">
        <v>2007</v>
      </c>
      <c r="B988" s="64"/>
      <c r="C988" s="54" t="s">
        <v>32</v>
      </c>
      <c r="D988" s="54" t="s">
        <v>1950</v>
      </c>
      <c r="E988" s="66" t="s">
        <v>2008</v>
      </c>
      <c r="F988" s="54" t="s">
        <v>2009</v>
      </c>
      <c r="G988" s="54" t="s">
        <v>1957</v>
      </c>
      <c r="H988" s="54">
        <f>STOCK[[#This Row],[Precio Final]]</f>
        <v>3</v>
      </c>
      <c r="I988" s="54">
        <f>STOCK[[#This Row],[Precio Venta Ideal (x1.5)]]</f>
        <v>3.4499999999999997</v>
      </c>
      <c r="J988" s="70">
        <v>0</v>
      </c>
      <c r="K988" s="70">
        <f>SUMIFS(VENTAS[Cantidad],VENTAS[Código del producto Vendido],STOCK[[#This Row],[Code]])</f>
        <v>0</v>
      </c>
      <c r="L988" s="70">
        <f>STOCK[[#This Row],[Entradas]]-STOCK[[#This Row],[Salidas]]</f>
        <v>0</v>
      </c>
      <c r="M988" s="54">
        <f>STOCK[[#This Row],[Precio Final]]*10%</f>
        <v>0.30000000000000004</v>
      </c>
      <c r="N988" s="54">
        <v>0</v>
      </c>
      <c r="O988" s="54">
        <v>0</v>
      </c>
      <c r="P988" s="54">
        <v>2</v>
      </c>
      <c r="Q988" s="70">
        <v>0</v>
      </c>
      <c r="R988" s="54">
        <v>0</v>
      </c>
      <c r="S988" s="54">
        <v>0</v>
      </c>
      <c r="T988" s="53">
        <f>STOCK[[#This Row],[Costo Unitario (USD)]]+STOCK[[#This Row],[Costo Envío (USD)]]+STOCK[[#This Row],[Comisión 10%]]</f>
        <v>2.2999999999999998</v>
      </c>
      <c r="U988" s="54">
        <f>STOCK[[#This Row],[Costo total]]*1.5</f>
        <v>3.4499999999999997</v>
      </c>
      <c r="V988" s="54">
        <v>3</v>
      </c>
      <c r="W988" s="54">
        <f>STOCK[[#This Row],[Precio Final]]-STOCK[[#This Row],[Costo total]]</f>
        <v>0.70000000000000018</v>
      </c>
      <c r="X988" s="54">
        <f>STOCK[[#This Row],[Ganancia Unitaria]]*STOCK[[#This Row],[Salidas]]</f>
        <v>0</v>
      </c>
      <c r="Y988" s="54" t="s">
        <v>1954</v>
      </c>
      <c r="AA988" s="54">
        <f>STOCK[[#This Row],[Costo total]]*STOCK[[#This Row],[Entradas]]</f>
        <v>0</v>
      </c>
      <c r="AB988" s="54">
        <f>STOCK[[#This Row],[Stock Actual]]*STOCK[[#This Row],[Costo total]]</f>
        <v>0</v>
      </c>
    </row>
    <row r="989" spans="1:28" s="53" customFormat="1" ht="50" customHeight="1">
      <c r="A989" s="53" t="s">
        <v>2010</v>
      </c>
      <c r="B989" s="64"/>
      <c r="C989" s="53" t="s">
        <v>32</v>
      </c>
      <c r="D989" s="53" t="s">
        <v>1950</v>
      </c>
      <c r="E989" s="65" t="s">
        <v>2011</v>
      </c>
      <c r="F989" s="53" t="s">
        <v>2012</v>
      </c>
      <c r="G989" s="53" t="s">
        <v>1957</v>
      </c>
      <c r="H989" s="53">
        <f>STOCK[[#This Row],[Precio Final]]</f>
        <v>15</v>
      </c>
      <c r="I989" s="53">
        <f>STOCK[[#This Row],[Precio Venta Ideal (x1.5)]]</f>
        <v>17.25</v>
      </c>
      <c r="J989" s="70">
        <v>0</v>
      </c>
      <c r="K989" s="69">
        <f>SUMIFS(VENTAS[Cantidad],VENTAS[Código del producto Vendido],STOCK[[#This Row],[Code]])</f>
        <v>0</v>
      </c>
      <c r="L989" s="69">
        <f>STOCK[[#This Row],[Entradas]]-STOCK[[#This Row],[Salidas]]</f>
        <v>0</v>
      </c>
      <c r="M989" s="53">
        <f>STOCK[[#This Row],[Precio Final]]*10%</f>
        <v>1.5</v>
      </c>
      <c r="N989" s="53">
        <v>0</v>
      </c>
      <c r="O989" s="53">
        <v>0</v>
      </c>
      <c r="P989" s="53">
        <v>10</v>
      </c>
      <c r="Q989" s="69">
        <v>0</v>
      </c>
      <c r="R989" s="53">
        <v>0</v>
      </c>
      <c r="S989" s="53">
        <v>0</v>
      </c>
      <c r="T989" s="53">
        <f>STOCK[[#This Row],[Costo Unitario (USD)]]+STOCK[[#This Row],[Costo Envío (USD)]]+STOCK[[#This Row],[Comisión 10%]]</f>
        <v>11.5</v>
      </c>
      <c r="U989" s="53">
        <f>STOCK[[#This Row],[Costo total]]*1.5</f>
        <v>17.25</v>
      </c>
      <c r="V989" s="53">
        <v>15</v>
      </c>
      <c r="W989" s="53">
        <f>STOCK[[#This Row],[Precio Final]]-STOCK[[#This Row],[Costo total]]</f>
        <v>3.5</v>
      </c>
      <c r="X989" s="53">
        <f>STOCK[[#This Row],[Ganancia Unitaria]]*STOCK[[#This Row],[Salidas]]</f>
        <v>0</v>
      </c>
      <c r="Y989" s="53" t="s">
        <v>1954</v>
      </c>
      <c r="AA989" s="53">
        <f>STOCK[[#This Row],[Costo total]]*STOCK[[#This Row],[Entradas]]</f>
        <v>0</v>
      </c>
      <c r="AB989" s="53">
        <f>STOCK[[#This Row],[Stock Actual]]*STOCK[[#This Row],[Costo total]]</f>
        <v>0</v>
      </c>
    </row>
    <row r="990" spans="1:28" s="54" customFormat="1" ht="50" customHeight="1">
      <c r="A990" s="54" t="s">
        <v>2013</v>
      </c>
      <c r="B990" s="64"/>
      <c r="C990" s="54" t="s">
        <v>32</v>
      </c>
      <c r="D990" s="54" t="s">
        <v>1950</v>
      </c>
      <c r="E990" s="66" t="s">
        <v>2014</v>
      </c>
      <c r="F990" s="54" t="s">
        <v>2015</v>
      </c>
      <c r="G990" s="54" t="s">
        <v>1957</v>
      </c>
      <c r="H990" s="54">
        <f>STOCK[[#This Row],[Precio Final]]</f>
        <v>4.5</v>
      </c>
      <c r="I990" s="54">
        <f>STOCK[[#This Row],[Precio Venta Ideal (x1.5)]]</f>
        <v>3.6750000000000003</v>
      </c>
      <c r="J990" s="70">
        <v>0</v>
      </c>
      <c r="K990" s="70">
        <f>SUMIFS(VENTAS[Cantidad],VENTAS[Código del producto Vendido],STOCK[[#This Row],[Code]])</f>
        <v>0</v>
      </c>
      <c r="L990" s="70">
        <f>STOCK[[#This Row],[Entradas]]-STOCK[[#This Row],[Salidas]]</f>
        <v>0</v>
      </c>
      <c r="M990" s="54">
        <f>STOCK[[#This Row],[Precio Final]]*10%</f>
        <v>0.45</v>
      </c>
      <c r="N990" s="54">
        <v>0</v>
      </c>
      <c r="O990" s="54">
        <v>0</v>
      </c>
      <c r="P990" s="54">
        <v>2</v>
      </c>
      <c r="Q990" s="70">
        <v>0</v>
      </c>
      <c r="R990" s="54">
        <v>0</v>
      </c>
      <c r="S990" s="54">
        <v>0</v>
      </c>
      <c r="T990" s="53">
        <f>STOCK[[#This Row],[Costo Unitario (USD)]]+STOCK[[#This Row],[Costo Envío (USD)]]+STOCK[[#This Row],[Comisión 10%]]</f>
        <v>2.4500000000000002</v>
      </c>
      <c r="U990" s="54">
        <f>STOCK[[#This Row],[Costo total]]*1.5</f>
        <v>3.6750000000000003</v>
      </c>
      <c r="V990" s="54">
        <v>4.5</v>
      </c>
      <c r="W990" s="54">
        <f>STOCK[[#This Row],[Precio Final]]-STOCK[[#This Row],[Costo total]]</f>
        <v>2.0499999999999998</v>
      </c>
      <c r="X990" s="54">
        <f>STOCK[[#This Row],[Ganancia Unitaria]]*STOCK[[#This Row],[Salidas]]</f>
        <v>0</v>
      </c>
      <c r="Y990" s="54" t="s">
        <v>1954</v>
      </c>
      <c r="AA990" s="54">
        <f>STOCK[[#This Row],[Costo total]]*STOCK[[#This Row],[Entradas]]</f>
        <v>0</v>
      </c>
      <c r="AB990" s="54">
        <f>STOCK[[#This Row],[Stock Actual]]*STOCK[[#This Row],[Costo total]]</f>
        <v>0</v>
      </c>
    </row>
    <row r="991" spans="1:28" s="53" customFormat="1" ht="50" customHeight="1">
      <c r="A991" s="53" t="s">
        <v>2016</v>
      </c>
      <c r="B991" s="64"/>
      <c r="C991" s="53" t="s">
        <v>32</v>
      </c>
      <c r="D991" s="53" t="s">
        <v>1950</v>
      </c>
      <c r="E991" s="65" t="s">
        <v>2017</v>
      </c>
      <c r="F991" s="53" t="s">
        <v>2018</v>
      </c>
      <c r="G991" s="53" t="s">
        <v>1953</v>
      </c>
      <c r="H991" s="53">
        <f>STOCK[[#This Row],[Precio Final]]</f>
        <v>4.5</v>
      </c>
      <c r="I991" s="53">
        <f>STOCK[[#This Row],[Precio Venta Ideal (x1.5)]]</f>
        <v>3.6750000000000003</v>
      </c>
      <c r="J991" s="70">
        <v>0</v>
      </c>
      <c r="K991" s="69">
        <f>SUMIFS(VENTAS[Cantidad],VENTAS[Código del producto Vendido],STOCK[[#This Row],[Code]])</f>
        <v>0</v>
      </c>
      <c r="L991" s="69">
        <f>STOCK[[#This Row],[Entradas]]-STOCK[[#This Row],[Salidas]]</f>
        <v>0</v>
      </c>
      <c r="M991" s="53">
        <f>STOCK[[#This Row],[Precio Final]]*10%</f>
        <v>0.45</v>
      </c>
      <c r="N991" s="53">
        <v>0</v>
      </c>
      <c r="O991" s="53">
        <v>0</v>
      </c>
      <c r="P991" s="53">
        <v>2</v>
      </c>
      <c r="Q991" s="69">
        <v>0</v>
      </c>
      <c r="R991" s="53">
        <v>0</v>
      </c>
      <c r="S991" s="53">
        <v>0</v>
      </c>
      <c r="T991" s="53">
        <f>STOCK[[#This Row],[Costo Unitario (USD)]]+STOCK[[#This Row],[Costo Envío (USD)]]+STOCK[[#This Row],[Comisión 10%]]</f>
        <v>2.4500000000000002</v>
      </c>
      <c r="U991" s="53">
        <f>STOCK[[#This Row],[Costo total]]*1.5</f>
        <v>3.6750000000000003</v>
      </c>
      <c r="V991" s="53">
        <v>4.5</v>
      </c>
      <c r="W991" s="53">
        <f>STOCK[[#This Row],[Precio Final]]-STOCK[[#This Row],[Costo total]]</f>
        <v>2.0499999999999998</v>
      </c>
      <c r="X991" s="53">
        <f>STOCK[[#This Row],[Ganancia Unitaria]]*STOCK[[#This Row],[Salidas]]</f>
        <v>0</v>
      </c>
      <c r="Y991" s="53" t="s">
        <v>1954</v>
      </c>
      <c r="AA991" s="53">
        <f>STOCK[[#This Row],[Costo total]]*STOCK[[#This Row],[Entradas]]</f>
        <v>0</v>
      </c>
      <c r="AB991" s="53">
        <f>STOCK[[#This Row],[Stock Actual]]*STOCK[[#This Row],[Costo total]]</f>
        <v>0</v>
      </c>
    </row>
    <row r="992" spans="1:28" s="54" customFormat="1" ht="50" customHeight="1">
      <c r="A992" s="54" t="s">
        <v>2019</v>
      </c>
      <c r="B992" s="64"/>
      <c r="C992" s="54" t="s">
        <v>32</v>
      </c>
      <c r="D992" s="54" t="s">
        <v>1954</v>
      </c>
      <c r="E992" s="66" t="s">
        <v>2020</v>
      </c>
      <c r="F992" s="54" t="s">
        <v>2021</v>
      </c>
      <c r="G992" s="54" t="s">
        <v>36</v>
      </c>
      <c r="H992" s="54">
        <f>STOCK[[#This Row],[Precio Final]]</f>
        <v>22</v>
      </c>
      <c r="I992" s="54">
        <f>STOCK[[#This Row],[Precio Venta Ideal (x1.5)]]</f>
        <v>3.3000000000000003</v>
      </c>
      <c r="J992" s="70">
        <v>1</v>
      </c>
      <c r="K992" s="70">
        <f>SUMIFS(VENTAS[Cantidad],VENTAS[Código del producto Vendido],STOCK[[#This Row],[Code]])</f>
        <v>1</v>
      </c>
      <c r="L992" s="70">
        <f>STOCK[[#This Row],[Entradas]]-STOCK[[#This Row],[Salidas]]</f>
        <v>0</v>
      </c>
      <c r="M992" s="54">
        <f>STOCK[[#This Row],[Precio Final]]*10%</f>
        <v>2.2000000000000002</v>
      </c>
      <c r="N992" s="54">
        <v>0</v>
      </c>
      <c r="O992" s="54">
        <v>0</v>
      </c>
      <c r="P992" s="54">
        <v>0</v>
      </c>
      <c r="Q992" s="70">
        <v>0</v>
      </c>
      <c r="R992" s="54">
        <v>0</v>
      </c>
      <c r="S992" s="54">
        <v>0</v>
      </c>
      <c r="T992" s="53">
        <f>STOCK[[#This Row],[Costo Unitario (USD)]]+STOCK[[#This Row],[Costo Envío (USD)]]+STOCK[[#This Row],[Comisión 10%]]</f>
        <v>2.2000000000000002</v>
      </c>
      <c r="U992" s="54">
        <f>STOCK[[#This Row],[Costo total]]*1.5</f>
        <v>3.3000000000000003</v>
      </c>
      <c r="V992" s="54">
        <v>22</v>
      </c>
      <c r="W992" s="54">
        <f>STOCK[[#This Row],[Precio Final]]-STOCK[[#This Row],[Costo total]]</f>
        <v>19.8</v>
      </c>
      <c r="X992" s="54">
        <f>STOCK[[#This Row],[Ganancia Unitaria]]*STOCK[[#This Row],[Salidas]]</f>
        <v>19.8</v>
      </c>
      <c r="Y992" s="54" t="s">
        <v>1954</v>
      </c>
      <c r="AA992" s="54">
        <f>STOCK[[#This Row],[Costo total]]*STOCK[[#This Row],[Entradas]]</f>
        <v>2.2000000000000002</v>
      </c>
      <c r="AB992" s="54">
        <f>STOCK[[#This Row],[Stock Actual]]*STOCK[[#This Row],[Costo total]]</f>
        <v>0</v>
      </c>
    </row>
    <row r="993" spans="1:28" s="53" customFormat="1" ht="50" customHeight="1">
      <c r="A993" s="53" t="s">
        <v>2022</v>
      </c>
      <c r="B993" s="64"/>
      <c r="C993" s="53" t="s">
        <v>32</v>
      </c>
      <c r="D993" s="53" t="s">
        <v>2023</v>
      </c>
      <c r="E993" s="65" t="s">
        <v>2024</v>
      </c>
      <c r="F993" s="53" t="s">
        <v>46</v>
      </c>
      <c r="G993" s="53" t="s">
        <v>36</v>
      </c>
      <c r="H993" s="53">
        <f>STOCK[[#This Row],[Precio Final]]</f>
        <v>22</v>
      </c>
      <c r="I993" s="53">
        <f>STOCK[[#This Row],[Precio Venta Ideal (x1.5)]]</f>
        <v>3.3000000000000003</v>
      </c>
      <c r="J993" s="69">
        <v>1</v>
      </c>
      <c r="K993" s="69">
        <f>SUMIFS(VENTAS[Cantidad],VENTAS[Código del producto Vendido],STOCK[[#This Row],[Code]])</f>
        <v>1</v>
      </c>
      <c r="L993" s="69">
        <f>STOCK[[#This Row],[Entradas]]-STOCK[[#This Row],[Salidas]]</f>
        <v>0</v>
      </c>
      <c r="M993" s="53">
        <f>STOCK[[#This Row],[Precio Final]]*10%</f>
        <v>2.2000000000000002</v>
      </c>
      <c r="N993" s="53">
        <v>0</v>
      </c>
      <c r="O993" s="53">
        <v>0</v>
      </c>
      <c r="P993" s="53">
        <v>0</v>
      </c>
      <c r="Q993" s="69">
        <v>0</v>
      </c>
      <c r="R993" s="53">
        <v>0</v>
      </c>
      <c r="S993" s="53">
        <v>0</v>
      </c>
      <c r="T993" s="53">
        <f>STOCK[[#This Row],[Costo Unitario (USD)]]+STOCK[[#This Row],[Costo Envío (USD)]]+STOCK[[#This Row],[Comisión 10%]]</f>
        <v>2.2000000000000002</v>
      </c>
      <c r="U993" s="53">
        <f>STOCK[[#This Row],[Costo total]]*1.5</f>
        <v>3.3000000000000003</v>
      </c>
      <c r="V993" s="53">
        <v>22</v>
      </c>
      <c r="W993" s="53">
        <f>STOCK[[#This Row],[Precio Final]]-STOCK[[#This Row],[Costo total]]</f>
        <v>19.8</v>
      </c>
      <c r="X993" s="53">
        <f>STOCK[[#This Row],[Ganancia Unitaria]]*STOCK[[#This Row],[Salidas]]</f>
        <v>19.8</v>
      </c>
      <c r="Y993" s="53" t="s">
        <v>1954</v>
      </c>
      <c r="AA993" s="53">
        <f>STOCK[[#This Row],[Costo total]]*STOCK[[#This Row],[Entradas]]</f>
        <v>2.2000000000000002</v>
      </c>
      <c r="AB993" s="53">
        <f>STOCK[[#This Row],[Stock Actual]]*STOCK[[#This Row],[Costo total]]</f>
        <v>0</v>
      </c>
    </row>
    <row r="994" spans="1:28" s="54" customFormat="1" ht="50" customHeight="1">
      <c r="A994" s="54" t="s">
        <v>2025</v>
      </c>
      <c r="B994" s="64"/>
      <c r="C994" s="54" t="s">
        <v>32</v>
      </c>
      <c r="D994" s="54" t="s">
        <v>1950</v>
      </c>
      <c r="E994" s="66" t="s">
        <v>2020</v>
      </c>
      <c r="F994" s="54" t="s">
        <v>2026</v>
      </c>
      <c r="G994" s="54" t="s">
        <v>36</v>
      </c>
      <c r="H994" s="54">
        <f>STOCK[[#This Row],[Precio Final]]</f>
        <v>22</v>
      </c>
      <c r="I994" s="54">
        <f>STOCK[[#This Row],[Precio Venta Ideal (x1.5)]]</f>
        <v>3.3000000000000003</v>
      </c>
      <c r="J994" s="70">
        <v>1</v>
      </c>
      <c r="K994" s="70">
        <f>SUMIFS(VENTAS[Cantidad],VENTAS[Código del producto Vendido],STOCK[[#This Row],[Code]])</f>
        <v>1</v>
      </c>
      <c r="L994" s="70">
        <f>STOCK[[#This Row],[Entradas]]-STOCK[[#This Row],[Salidas]]</f>
        <v>0</v>
      </c>
      <c r="M994" s="54">
        <f>STOCK[[#This Row],[Precio Final]]*10%</f>
        <v>2.2000000000000002</v>
      </c>
      <c r="N994" s="54">
        <v>0</v>
      </c>
      <c r="O994" s="54">
        <v>0</v>
      </c>
      <c r="P994" s="54">
        <v>0</v>
      </c>
      <c r="Q994" s="70">
        <v>0</v>
      </c>
      <c r="R994" s="54">
        <v>0</v>
      </c>
      <c r="S994" s="54">
        <v>0</v>
      </c>
      <c r="T994" s="53">
        <f>STOCK[[#This Row],[Costo Unitario (USD)]]+STOCK[[#This Row],[Costo Envío (USD)]]+STOCK[[#This Row],[Comisión 10%]]</f>
        <v>2.2000000000000002</v>
      </c>
      <c r="U994" s="54">
        <f>STOCK[[#This Row],[Costo total]]*1.5</f>
        <v>3.3000000000000003</v>
      </c>
      <c r="V994" s="54">
        <v>22</v>
      </c>
      <c r="W994" s="54">
        <f>STOCK[[#This Row],[Precio Final]]-STOCK[[#This Row],[Costo total]]</f>
        <v>19.8</v>
      </c>
      <c r="X994" s="54">
        <f>STOCK[[#This Row],[Ganancia Unitaria]]*STOCK[[#This Row],[Salidas]]</f>
        <v>19.8</v>
      </c>
      <c r="Y994" s="54" t="s">
        <v>1954</v>
      </c>
      <c r="AA994" s="54">
        <f>STOCK[[#This Row],[Costo total]]*STOCK[[#This Row],[Entradas]]</f>
        <v>2.2000000000000002</v>
      </c>
      <c r="AB994" s="54">
        <f>STOCK[[#This Row],[Stock Actual]]*STOCK[[#This Row],[Costo total]]</f>
        <v>0</v>
      </c>
    </row>
    <row r="995" spans="1:28" s="53" customFormat="1" ht="50" customHeight="1">
      <c r="A995" s="53" t="s">
        <v>2027</v>
      </c>
      <c r="B995" s="64"/>
      <c r="C995" s="53" t="s">
        <v>32</v>
      </c>
      <c r="D995" s="53" t="s">
        <v>1950</v>
      </c>
      <c r="E995" s="65" t="s">
        <v>2028</v>
      </c>
      <c r="F995" s="53" t="s">
        <v>2029</v>
      </c>
      <c r="H995" s="53">
        <f>STOCK[[#This Row],[Precio Final]]</f>
        <v>3</v>
      </c>
      <c r="I995" s="53">
        <f>STOCK[[#This Row],[Precio Venta Ideal (x1.5)]]</f>
        <v>0.45000000000000007</v>
      </c>
      <c r="J995" s="69">
        <v>0</v>
      </c>
      <c r="K995" s="69">
        <f>SUMIFS(VENTAS[Cantidad],VENTAS[Código del producto Vendido],STOCK[[#This Row],[Code]])</f>
        <v>0</v>
      </c>
      <c r="L995" s="69">
        <f>STOCK[[#This Row],[Entradas]]-STOCK[[#This Row],[Salidas]]</f>
        <v>0</v>
      </c>
      <c r="M995" s="53">
        <f>STOCK[[#This Row],[Precio Final]]*10%</f>
        <v>0.30000000000000004</v>
      </c>
      <c r="N995" s="53">
        <v>0</v>
      </c>
      <c r="O995" s="53">
        <v>0</v>
      </c>
      <c r="P995" s="53">
        <v>0</v>
      </c>
      <c r="Q995" s="69">
        <v>0</v>
      </c>
      <c r="R995" s="53">
        <v>0</v>
      </c>
      <c r="S995" s="53">
        <v>0</v>
      </c>
      <c r="T995" s="53">
        <f>STOCK[[#This Row],[Costo Unitario (USD)]]+STOCK[[#This Row],[Costo Envío (USD)]]+STOCK[[#This Row],[Comisión 10%]]</f>
        <v>0.30000000000000004</v>
      </c>
      <c r="U995" s="53">
        <f>STOCK[[#This Row],[Costo total]]*1.5</f>
        <v>0.45000000000000007</v>
      </c>
      <c r="V995" s="53">
        <v>3</v>
      </c>
      <c r="W995" s="53">
        <f>STOCK[[#This Row],[Precio Final]]-STOCK[[#This Row],[Costo total]]</f>
        <v>2.7</v>
      </c>
      <c r="X995" s="53">
        <f>STOCK[[#This Row],[Ganancia Unitaria]]*STOCK[[#This Row],[Salidas]]</f>
        <v>0</v>
      </c>
      <c r="Y995" s="53" t="s">
        <v>1954</v>
      </c>
      <c r="Z995" s="53">
        <f>STOCK[[#This Row],[Precio Final]]*25%</f>
        <v>0.75</v>
      </c>
      <c r="AA995" s="53">
        <f>STOCK[[#This Row],[Costo total]]*STOCK[[#This Row],[Entradas]]</f>
        <v>0</v>
      </c>
      <c r="AB995" s="53">
        <f>STOCK[[#This Row],[Stock Actual]]*STOCK[[#This Row],[Costo total]]</f>
        <v>0</v>
      </c>
    </row>
    <row r="996" spans="1:28" s="54" customFormat="1" ht="50" customHeight="1">
      <c r="A996" s="54" t="s">
        <v>2030</v>
      </c>
      <c r="B996" s="64"/>
      <c r="C996" s="54" t="s">
        <v>32</v>
      </c>
      <c r="D996" s="54" t="s">
        <v>1950</v>
      </c>
      <c r="E996" s="66" t="s">
        <v>2031</v>
      </c>
      <c r="F996" s="54" t="s">
        <v>2032</v>
      </c>
      <c r="G996" s="54" t="s">
        <v>2033</v>
      </c>
      <c r="H996" s="54">
        <f>STOCK[[#This Row],[Precio Final]]</f>
        <v>3</v>
      </c>
      <c r="I996" s="54">
        <f>STOCK[[#This Row],[Precio Venta Ideal (x1.5)]]</f>
        <v>0.45000000000000007</v>
      </c>
      <c r="J996" s="70">
        <v>1</v>
      </c>
      <c r="K996" s="70">
        <f>SUMIFS(VENTAS[Cantidad],VENTAS[Código del producto Vendido],STOCK[[#This Row],[Code]])</f>
        <v>1</v>
      </c>
      <c r="L996" s="70">
        <f>STOCK[[#This Row],[Entradas]]-STOCK[[#This Row],[Salidas]]</f>
        <v>0</v>
      </c>
      <c r="M996" s="54">
        <f>STOCK[[#This Row],[Precio Final]]*10%</f>
        <v>0.30000000000000004</v>
      </c>
      <c r="N996" s="54">
        <v>0</v>
      </c>
      <c r="O996" s="54">
        <v>0</v>
      </c>
      <c r="P996" s="54">
        <v>0</v>
      </c>
      <c r="Q996" s="70">
        <v>0</v>
      </c>
      <c r="R996" s="54">
        <v>0</v>
      </c>
      <c r="S996" s="54">
        <v>0</v>
      </c>
      <c r="T996" s="53">
        <f>STOCK[[#This Row],[Costo Unitario (USD)]]+STOCK[[#This Row],[Costo Envío (USD)]]+STOCK[[#This Row],[Comisión 10%]]</f>
        <v>0.30000000000000004</v>
      </c>
      <c r="U996" s="54">
        <f>STOCK[[#This Row],[Costo total]]*1.5</f>
        <v>0.45000000000000007</v>
      </c>
      <c r="V996" s="54">
        <v>3</v>
      </c>
      <c r="W996" s="54">
        <f>STOCK[[#This Row],[Precio Final]]-STOCK[[#This Row],[Costo total]]</f>
        <v>2.7</v>
      </c>
      <c r="X996" s="54">
        <f>STOCK[[#This Row],[Ganancia Unitaria]]*STOCK[[#This Row],[Salidas]]</f>
        <v>2.7</v>
      </c>
      <c r="Y996" s="54" t="s">
        <v>1954</v>
      </c>
      <c r="Z996" s="54">
        <f>STOCK[[#This Row],[Precio Final]]*25%</f>
        <v>0.75</v>
      </c>
      <c r="AA996" s="54">
        <f>STOCK[[#This Row],[Costo total]]*STOCK[[#This Row],[Entradas]]</f>
        <v>0.30000000000000004</v>
      </c>
      <c r="AB996" s="54">
        <f>STOCK[[#This Row],[Stock Actual]]*STOCK[[#This Row],[Costo total]]</f>
        <v>0</v>
      </c>
    </row>
    <row r="997" spans="1:28" s="53" customFormat="1" ht="50" customHeight="1">
      <c r="A997" s="53" t="s">
        <v>2034</v>
      </c>
      <c r="B997" s="64"/>
      <c r="C997" s="53" t="s">
        <v>32</v>
      </c>
      <c r="D997" s="53" t="s">
        <v>1950</v>
      </c>
      <c r="E997" s="65" t="s">
        <v>2035</v>
      </c>
      <c r="F997" s="53" t="s">
        <v>1984</v>
      </c>
      <c r="H997" s="53">
        <f>STOCK[[#This Row],[Precio Final]]</f>
        <v>3</v>
      </c>
      <c r="I997" s="53">
        <f>STOCK[[#This Row],[Precio Venta Ideal (x1.5)]]</f>
        <v>0.45000000000000007</v>
      </c>
      <c r="J997" s="69">
        <v>0</v>
      </c>
      <c r="K997" s="69">
        <f>SUMIFS(VENTAS[Cantidad],VENTAS[Código del producto Vendido],STOCK[[#This Row],[Code]])</f>
        <v>0</v>
      </c>
      <c r="L997" s="69">
        <f>STOCK[[#This Row],[Entradas]]-STOCK[[#This Row],[Salidas]]</f>
        <v>0</v>
      </c>
      <c r="M997" s="53">
        <f>STOCK[[#This Row],[Precio Final]]*10%</f>
        <v>0.30000000000000004</v>
      </c>
      <c r="N997" s="53">
        <v>0</v>
      </c>
      <c r="O997" s="53">
        <v>0</v>
      </c>
      <c r="P997" s="53">
        <v>0</v>
      </c>
      <c r="Q997" s="69">
        <v>0</v>
      </c>
      <c r="R997" s="53">
        <v>0</v>
      </c>
      <c r="S997" s="53">
        <v>0</v>
      </c>
      <c r="T997" s="53">
        <f>STOCK[[#This Row],[Costo Unitario (USD)]]+STOCK[[#This Row],[Costo Envío (USD)]]+STOCK[[#This Row],[Comisión 10%]]</f>
        <v>0.30000000000000004</v>
      </c>
      <c r="U997" s="53">
        <f>STOCK[[#This Row],[Costo total]]*1.5</f>
        <v>0.45000000000000007</v>
      </c>
      <c r="V997" s="53">
        <v>3</v>
      </c>
      <c r="W997" s="53">
        <f>STOCK[[#This Row],[Precio Final]]-STOCK[[#This Row],[Costo total]]</f>
        <v>2.7</v>
      </c>
      <c r="X997" s="53">
        <f>STOCK[[#This Row],[Ganancia Unitaria]]*STOCK[[#This Row],[Salidas]]</f>
        <v>0</v>
      </c>
      <c r="Y997" s="53" t="s">
        <v>1954</v>
      </c>
      <c r="Z997" s="53">
        <f>STOCK[[#This Row],[Precio Final]]*25%</f>
        <v>0.75</v>
      </c>
      <c r="AA997" s="53">
        <f>STOCK[[#This Row],[Costo total]]*STOCK[[#This Row],[Entradas]]</f>
        <v>0</v>
      </c>
      <c r="AB997" s="53">
        <f>STOCK[[#This Row],[Stock Actual]]*STOCK[[#This Row],[Costo total]]</f>
        <v>0</v>
      </c>
    </row>
    <row r="998" spans="1:28" s="54" customFormat="1" ht="50" customHeight="1">
      <c r="A998" s="54" t="s">
        <v>2036</v>
      </c>
      <c r="B998" s="64"/>
      <c r="C998" s="54" t="s">
        <v>32</v>
      </c>
      <c r="D998" s="54" t="s">
        <v>1950</v>
      </c>
      <c r="E998" s="66" t="s">
        <v>2037</v>
      </c>
      <c r="F998" s="54" t="s">
        <v>2038</v>
      </c>
      <c r="G998" s="54" t="s">
        <v>2039</v>
      </c>
      <c r="H998" s="54">
        <f>STOCK[[#This Row],[Precio Final]]</f>
        <v>3</v>
      </c>
      <c r="I998" s="54">
        <f>STOCK[[#This Row],[Precio Venta Ideal (x1.5)]]</f>
        <v>0.45000000000000007</v>
      </c>
      <c r="J998" s="70">
        <v>0</v>
      </c>
      <c r="K998" s="70">
        <f>SUMIFS(VENTAS[Cantidad],VENTAS[Código del producto Vendido],STOCK[[#This Row],[Code]])</f>
        <v>0</v>
      </c>
      <c r="L998" s="70">
        <f>STOCK[[#This Row],[Entradas]]-STOCK[[#This Row],[Salidas]]</f>
        <v>0</v>
      </c>
      <c r="M998" s="54">
        <f>STOCK[[#This Row],[Precio Final]]*10%</f>
        <v>0.30000000000000004</v>
      </c>
      <c r="N998" s="54">
        <v>0</v>
      </c>
      <c r="O998" s="54">
        <v>0</v>
      </c>
      <c r="P998" s="54">
        <v>0</v>
      </c>
      <c r="Q998" s="70">
        <v>0</v>
      </c>
      <c r="R998" s="54">
        <v>0</v>
      </c>
      <c r="S998" s="54">
        <v>0</v>
      </c>
      <c r="T998" s="53">
        <f>STOCK[[#This Row],[Costo Unitario (USD)]]+STOCK[[#This Row],[Costo Envío (USD)]]+STOCK[[#This Row],[Comisión 10%]]</f>
        <v>0.30000000000000004</v>
      </c>
      <c r="U998" s="54">
        <f>STOCK[[#This Row],[Costo total]]*1.5</f>
        <v>0.45000000000000007</v>
      </c>
      <c r="V998" s="54">
        <v>3</v>
      </c>
      <c r="W998" s="54">
        <f>STOCK[[#This Row],[Precio Final]]-STOCK[[#This Row],[Costo total]]</f>
        <v>2.7</v>
      </c>
      <c r="X998" s="54">
        <f>STOCK[[#This Row],[Ganancia Unitaria]]*STOCK[[#This Row],[Salidas]]</f>
        <v>0</v>
      </c>
      <c r="Y998" s="54" t="s">
        <v>1954</v>
      </c>
      <c r="Z998" s="54">
        <f>STOCK[[#This Row],[Precio Final]]*25%</f>
        <v>0.75</v>
      </c>
      <c r="AA998" s="54">
        <f>STOCK[[#This Row],[Costo total]]*STOCK[[#This Row],[Entradas]]</f>
        <v>0</v>
      </c>
      <c r="AB998" s="54">
        <f>STOCK[[#This Row],[Stock Actual]]*STOCK[[#This Row],[Costo total]]</f>
        <v>0</v>
      </c>
    </row>
    <row r="999" spans="1:28" s="53" customFormat="1" ht="50" customHeight="1">
      <c r="A999" s="53" t="s">
        <v>2040</v>
      </c>
      <c r="B999" s="64"/>
      <c r="C999" s="53" t="s">
        <v>32</v>
      </c>
      <c r="D999" s="53" t="s">
        <v>1950</v>
      </c>
      <c r="E999" s="65" t="s">
        <v>2041</v>
      </c>
      <c r="F999" s="53" t="s">
        <v>2042</v>
      </c>
      <c r="H999" s="53">
        <f>STOCK[[#This Row],[Precio Final]]</f>
        <v>2</v>
      </c>
      <c r="I999" s="53">
        <f>STOCK[[#This Row],[Precio Venta Ideal (x1.5)]]</f>
        <v>0.30000000000000004</v>
      </c>
      <c r="J999" s="69">
        <v>0</v>
      </c>
      <c r="K999" s="69">
        <f>SUMIFS(VENTAS[Cantidad],VENTAS[Código del producto Vendido],STOCK[[#This Row],[Code]])</f>
        <v>0</v>
      </c>
      <c r="L999" s="69">
        <f>STOCK[[#This Row],[Entradas]]-STOCK[[#This Row],[Salidas]]</f>
        <v>0</v>
      </c>
      <c r="M999" s="53">
        <f>STOCK[[#This Row],[Precio Final]]*10%</f>
        <v>0.2</v>
      </c>
      <c r="N999" s="53">
        <v>0</v>
      </c>
      <c r="O999" s="53">
        <v>0</v>
      </c>
      <c r="P999" s="53">
        <v>0</v>
      </c>
      <c r="Q999" s="69">
        <v>0</v>
      </c>
      <c r="R999" s="53">
        <v>0</v>
      </c>
      <c r="S999" s="53">
        <v>0</v>
      </c>
      <c r="T999" s="53">
        <f>STOCK[[#This Row],[Costo Unitario (USD)]]+STOCK[[#This Row],[Costo Envío (USD)]]+STOCK[[#This Row],[Comisión 10%]]</f>
        <v>0.2</v>
      </c>
      <c r="U999" s="53">
        <f>STOCK[[#This Row],[Costo total]]*1.5</f>
        <v>0.30000000000000004</v>
      </c>
      <c r="V999" s="53">
        <v>2</v>
      </c>
      <c r="W999" s="53">
        <f>STOCK[[#This Row],[Precio Final]]-STOCK[[#This Row],[Costo total]]</f>
        <v>1.8</v>
      </c>
      <c r="X999" s="53">
        <f>STOCK[[#This Row],[Ganancia Unitaria]]*STOCK[[#This Row],[Salidas]]</f>
        <v>0</v>
      </c>
      <c r="Y999" s="53" t="s">
        <v>1954</v>
      </c>
      <c r="Z999" s="53">
        <f>STOCK[[#This Row],[Precio Final]]*25%</f>
        <v>0.5</v>
      </c>
      <c r="AA999" s="53">
        <f>STOCK[[#This Row],[Costo total]]*STOCK[[#This Row],[Entradas]]</f>
        <v>0</v>
      </c>
      <c r="AB999" s="53">
        <f>STOCK[[#This Row],[Stock Actual]]*STOCK[[#This Row],[Costo total]]</f>
        <v>0</v>
      </c>
    </row>
    <row r="1000" spans="1:28" s="54" customFormat="1" ht="50" customHeight="1">
      <c r="A1000" s="54" t="s">
        <v>2043</v>
      </c>
      <c r="B1000" s="64"/>
      <c r="C1000" s="54" t="s">
        <v>32</v>
      </c>
      <c r="D1000" s="54" t="s">
        <v>1954</v>
      </c>
      <c r="E1000" s="66" t="s">
        <v>2044</v>
      </c>
      <c r="F1000" s="54" t="s">
        <v>1963</v>
      </c>
      <c r="H1000" s="54">
        <f>STOCK[[#This Row],[Precio Final]]</f>
        <v>3</v>
      </c>
      <c r="I1000" s="54">
        <f>STOCK[[#This Row],[Precio Venta Ideal (x1.5)]]</f>
        <v>0.45000000000000007</v>
      </c>
      <c r="J1000" s="70">
        <v>1</v>
      </c>
      <c r="K1000" s="70">
        <f>SUMIFS(VENTAS[Cantidad],VENTAS[Código del producto Vendido],STOCK[[#This Row],[Code]])</f>
        <v>1</v>
      </c>
      <c r="L1000" s="70">
        <f>STOCK[[#This Row],[Entradas]]-STOCK[[#This Row],[Salidas]]</f>
        <v>0</v>
      </c>
      <c r="M1000" s="54">
        <f>STOCK[[#This Row],[Precio Final]]*10%</f>
        <v>0.30000000000000004</v>
      </c>
      <c r="N1000" s="54">
        <v>0</v>
      </c>
      <c r="O1000" s="54">
        <v>0</v>
      </c>
      <c r="P1000" s="54">
        <v>0</v>
      </c>
      <c r="Q1000" s="70">
        <v>0</v>
      </c>
      <c r="R1000" s="54">
        <v>0</v>
      </c>
      <c r="S1000" s="54">
        <v>0</v>
      </c>
      <c r="T1000" s="53">
        <f>STOCK[[#This Row],[Costo Unitario (USD)]]+STOCK[[#This Row],[Costo Envío (USD)]]+STOCK[[#This Row],[Comisión 10%]]</f>
        <v>0.30000000000000004</v>
      </c>
      <c r="U1000" s="54">
        <f>STOCK[[#This Row],[Costo total]]*1.5</f>
        <v>0.45000000000000007</v>
      </c>
      <c r="V1000" s="54">
        <v>3</v>
      </c>
      <c r="W1000" s="54">
        <f>STOCK[[#This Row],[Precio Final]]-STOCK[[#This Row],[Costo total]]</f>
        <v>2.7</v>
      </c>
      <c r="X1000" s="54">
        <f>STOCK[[#This Row],[Ganancia Unitaria]]*STOCK[[#This Row],[Salidas]]</f>
        <v>2.7</v>
      </c>
      <c r="Y1000" s="54" t="s">
        <v>1954</v>
      </c>
      <c r="Z1000" s="54">
        <f>STOCK[[#This Row],[Precio Final]]*25%</f>
        <v>0.75</v>
      </c>
      <c r="AA1000" s="54">
        <f>STOCK[[#This Row],[Costo total]]*STOCK[[#This Row],[Entradas]]</f>
        <v>0.30000000000000004</v>
      </c>
      <c r="AB1000" s="54">
        <f>STOCK[[#This Row],[Stock Actual]]*STOCK[[#This Row],[Costo total]]</f>
        <v>0</v>
      </c>
    </row>
    <row r="1001" spans="1:28" s="53" customFormat="1" ht="50" customHeight="1">
      <c r="A1001" s="53" t="s">
        <v>2045</v>
      </c>
      <c r="B1001" s="64"/>
      <c r="C1001" s="53" t="s">
        <v>32</v>
      </c>
      <c r="D1001" s="53" t="s">
        <v>1950</v>
      </c>
      <c r="E1001" s="65" t="s">
        <v>2046</v>
      </c>
      <c r="F1001" s="53" t="s">
        <v>1963</v>
      </c>
      <c r="H1001" s="53">
        <f>STOCK[[#This Row],[Precio Final]]</f>
        <v>3</v>
      </c>
      <c r="I1001" s="53">
        <f>STOCK[[#This Row],[Precio Venta Ideal (x1.5)]]</f>
        <v>0.45000000000000007</v>
      </c>
      <c r="J1001" s="69">
        <v>0</v>
      </c>
      <c r="K1001" s="69">
        <f>SUMIFS(VENTAS[Cantidad],VENTAS[Código del producto Vendido],STOCK[[#This Row],[Code]])</f>
        <v>0</v>
      </c>
      <c r="L1001" s="69">
        <f>STOCK[[#This Row],[Entradas]]-STOCK[[#This Row],[Salidas]]</f>
        <v>0</v>
      </c>
      <c r="M1001" s="53">
        <f>STOCK[[#This Row],[Precio Final]]*10%</f>
        <v>0.30000000000000004</v>
      </c>
      <c r="N1001" s="53">
        <v>0</v>
      </c>
      <c r="O1001" s="53">
        <v>0</v>
      </c>
      <c r="P1001" s="53">
        <v>0</v>
      </c>
      <c r="Q1001" s="69">
        <v>0</v>
      </c>
      <c r="R1001" s="53">
        <v>0</v>
      </c>
      <c r="S1001" s="53">
        <v>0</v>
      </c>
      <c r="T1001" s="53">
        <f>STOCK[[#This Row],[Costo Unitario (USD)]]+STOCK[[#This Row],[Costo Envío (USD)]]+STOCK[[#This Row],[Comisión 10%]]</f>
        <v>0.30000000000000004</v>
      </c>
      <c r="U1001" s="53">
        <f>STOCK[[#This Row],[Costo total]]*1.5</f>
        <v>0.45000000000000007</v>
      </c>
      <c r="V1001" s="53">
        <v>3</v>
      </c>
      <c r="W1001" s="53">
        <f>STOCK[[#This Row],[Precio Final]]-STOCK[[#This Row],[Costo total]]</f>
        <v>2.7</v>
      </c>
      <c r="X1001" s="53">
        <f>STOCK[[#This Row],[Ganancia Unitaria]]*STOCK[[#This Row],[Salidas]]</f>
        <v>0</v>
      </c>
      <c r="Y1001" s="53" t="s">
        <v>1954</v>
      </c>
      <c r="Z1001" s="53">
        <f>STOCK[[#This Row],[Precio Final]]*25%</f>
        <v>0.75</v>
      </c>
      <c r="AA1001" s="53">
        <f>STOCK[[#This Row],[Costo total]]*STOCK[[#This Row],[Entradas]]</f>
        <v>0</v>
      </c>
      <c r="AB1001" s="53">
        <f>STOCK[[#This Row],[Stock Actual]]*STOCK[[#This Row],[Costo total]]</f>
        <v>0</v>
      </c>
    </row>
    <row r="1002" spans="1:28" s="54" customFormat="1" ht="50" customHeight="1">
      <c r="A1002" s="54" t="s">
        <v>2047</v>
      </c>
      <c r="B1002" s="64"/>
      <c r="C1002" s="54" t="s">
        <v>32</v>
      </c>
      <c r="D1002" s="54" t="s">
        <v>1950</v>
      </c>
      <c r="E1002" s="66" t="s">
        <v>2048</v>
      </c>
      <c r="F1002" s="54" t="s">
        <v>2049</v>
      </c>
      <c r="H1002" s="54">
        <f>STOCK[[#This Row],[Precio Final]]</f>
        <v>5</v>
      </c>
      <c r="I1002" s="54">
        <f>STOCK[[#This Row],[Precio Venta Ideal (x1.5)]]</f>
        <v>0.75</v>
      </c>
      <c r="J1002" s="69">
        <v>0</v>
      </c>
      <c r="K1002" s="70">
        <f>SUMIFS(VENTAS[Cantidad],VENTAS[Código del producto Vendido],STOCK[[#This Row],[Code]])</f>
        <v>0</v>
      </c>
      <c r="L1002" s="70">
        <f>STOCK[[#This Row],[Entradas]]-STOCK[[#This Row],[Salidas]]</f>
        <v>0</v>
      </c>
      <c r="M1002" s="54">
        <f>STOCK[[#This Row],[Precio Final]]*10%</f>
        <v>0.5</v>
      </c>
      <c r="N1002" s="54">
        <v>0</v>
      </c>
      <c r="O1002" s="54">
        <v>0</v>
      </c>
      <c r="P1002" s="54">
        <v>0</v>
      </c>
      <c r="Q1002" s="70">
        <v>0</v>
      </c>
      <c r="R1002" s="54">
        <v>0</v>
      </c>
      <c r="S1002" s="54">
        <v>0</v>
      </c>
      <c r="T1002" s="53">
        <f>STOCK[[#This Row],[Costo Unitario (USD)]]+STOCK[[#This Row],[Costo Envío (USD)]]+STOCK[[#This Row],[Comisión 10%]]</f>
        <v>0.5</v>
      </c>
      <c r="U1002" s="54">
        <f>STOCK[[#This Row],[Costo total]]*1.5</f>
        <v>0.75</v>
      </c>
      <c r="V1002" s="54">
        <v>5</v>
      </c>
      <c r="W1002" s="54">
        <f>STOCK[[#This Row],[Precio Final]]-STOCK[[#This Row],[Costo total]]</f>
        <v>4.5</v>
      </c>
      <c r="X1002" s="54">
        <f>STOCK[[#This Row],[Ganancia Unitaria]]*STOCK[[#This Row],[Salidas]]</f>
        <v>0</v>
      </c>
      <c r="Y1002" s="54" t="s">
        <v>1954</v>
      </c>
      <c r="Z1002" s="54">
        <f>STOCK[[#This Row],[Precio Final]]*25%</f>
        <v>1.25</v>
      </c>
      <c r="AA1002" s="54">
        <f>STOCK[[#This Row],[Costo total]]*STOCK[[#This Row],[Entradas]]</f>
        <v>0</v>
      </c>
      <c r="AB1002" s="54">
        <f>STOCK[[#This Row],[Stock Actual]]*STOCK[[#This Row],[Costo total]]</f>
        <v>0</v>
      </c>
    </row>
    <row r="1003" spans="1:28" s="53" customFormat="1" ht="50" customHeight="1">
      <c r="A1003" s="53" t="s">
        <v>2050</v>
      </c>
      <c r="B1003" s="64"/>
      <c r="C1003" s="53" t="s">
        <v>32</v>
      </c>
      <c r="D1003" s="53" t="s">
        <v>1950</v>
      </c>
      <c r="E1003" s="65" t="s">
        <v>2051</v>
      </c>
      <c r="F1003" s="53" t="s">
        <v>2052</v>
      </c>
      <c r="G1003" s="53" t="s">
        <v>36</v>
      </c>
      <c r="H1003" s="53">
        <f>STOCK[[#This Row],[Precio Final]]</f>
        <v>6</v>
      </c>
      <c r="I1003" s="53">
        <f>STOCK[[#This Row],[Precio Venta Ideal (x1.5)]]</f>
        <v>0.90000000000000013</v>
      </c>
      <c r="J1003" s="69">
        <v>0</v>
      </c>
      <c r="K1003" s="69">
        <f>SUMIFS(VENTAS[Cantidad],VENTAS[Código del producto Vendido],STOCK[[#This Row],[Code]])</f>
        <v>0</v>
      </c>
      <c r="L1003" s="69">
        <f>STOCK[[#This Row],[Entradas]]-STOCK[[#This Row],[Salidas]]</f>
        <v>0</v>
      </c>
      <c r="M1003" s="53">
        <f>STOCK[[#This Row],[Precio Final]]*10%</f>
        <v>0.60000000000000009</v>
      </c>
      <c r="N1003" s="53">
        <v>0</v>
      </c>
      <c r="O1003" s="53">
        <v>0</v>
      </c>
      <c r="P1003" s="53">
        <v>0</v>
      </c>
      <c r="Q1003" s="69">
        <v>0</v>
      </c>
      <c r="R1003" s="53">
        <v>0</v>
      </c>
      <c r="S1003" s="53">
        <v>0</v>
      </c>
      <c r="T1003" s="53">
        <f>STOCK[[#This Row],[Costo Unitario (USD)]]+STOCK[[#This Row],[Costo Envío (USD)]]+STOCK[[#This Row],[Comisión 10%]]</f>
        <v>0.60000000000000009</v>
      </c>
      <c r="U1003" s="53">
        <f>STOCK[[#This Row],[Costo total]]*1.5</f>
        <v>0.90000000000000013</v>
      </c>
      <c r="V1003" s="53">
        <v>6</v>
      </c>
      <c r="W1003" s="53">
        <f>STOCK[[#This Row],[Precio Final]]-STOCK[[#This Row],[Costo total]]</f>
        <v>5.4</v>
      </c>
      <c r="X1003" s="53">
        <f>STOCK[[#This Row],[Ganancia Unitaria]]*STOCK[[#This Row],[Salidas]]</f>
        <v>0</v>
      </c>
      <c r="Y1003" s="53" t="s">
        <v>1954</v>
      </c>
      <c r="AA1003" s="54">
        <f>STOCK[[#This Row],[Costo total]]*STOCK[[#This Row],[Entradas]]</f>
        <v>0</v>
      </c>
      <c r="AB1003" s="54">
        <f>STOCK[[#This Row],[Stock Actual]]*STOCK[[#This Row],[Costo total]]</f>
        <v>0</v>
      </c>
    </row>
    <row r="1004" spans="1:28" s="54" customFormat="1" ht="50" customHeight="1">
      <c r="A1004" s="54" t="s">
        <v>2053</v>
      </c>
      <c r="B1004" s="64"/>
      <c r="C1004" s="54" t="s">
        <v>32</v>
      </c>
      <c r="D1004" s="54" t="s">
        <v>1950</v>
      </c>
      <c r="E1004" s="66" t="s">
        <v>2054</v>
      </c>
      <c r="F1004" s="54" t="s">
        <v>2055</v>
      </c>
      <c r="G1004" s="54" t="s">
        <v>2056</v>
      </c>
      <c r="H1004" s="54">
        <f>STOCK[[#This Row],[Precio Final]]</f>
        <v>6</v>
      </c>
      <c r="I1004" s="54">
        <f>STOCK[[#This Row],[Precio Venta Ideal (x1.5)]]</f>
        <v>0.90000000000000013</v>
      </c>
      <c r="J1004" s="69">
        <v>0</v>
      </c>
      <c r="K1004" s="70">
        <f>SUMIFS(VENTAS[Cantidad],VENTAS[Código del producto Vendido],STOCK[[#This Row],[Code]])</f>
        <v>0</v>
      </c>
      <c r="L1004" s="70">
        <f>STOCK[[#This Row],[Entradas]]-STOCK[[#This Row],[Salidas]]</f>
        <v>0</v>
      </c>
      <c r="M1004" s="54">
        <f>STOCK[[#This Row],[Precio Final]]*10%</f>
        <v>0.60000000000000009</v>
      </c>
      <c r="N1004" s="54">
        <v>0</v>
      </c>
      <c r="O1004" s="54">
        <v>0</v>
      </c>
      <c r="P1004" s="54">
        <v>0</v>
      </c>
      <c r="Q1004" s="70">
        <v>0</v>
      </c>
      <c r="R1004" s="54">
        <v>0</v>
      </c>
      <c r="S1004" s="54">
        <v>0</v>
      </c>
      <c r="T1004" s="53">
        <f>STOCK[[#This Row],[Costo Unitario (USD)]]+STOCK[[#This Row],[Costo Envío (USD)]]+STOCK[[#This Row],[Comisión 10%]]</f>
        <v>0.60000000000000009</v>
      </c>
      <c r="U1004" s="54">
        <f>STOCK[[#This Row],[Costo total]]*1.5</f>
        <v>0.90000000000000013</v>
      </c>
      <c r="V1004" s="54">
        <v>6</v>
      </c>
      <c r="W1004" s="54">
        <f>STOCK[[#This Row],[Precio Final]]-STOCK[[#This Row],[Costo total]]</f>
        <v>5.4</v>
      </c>
      <c r="X1004" s="54">
        <f>STOCK[[#This Row],[Ganancia Unitaria]]*STOCK[[#This Row],[Salidas]]</f>
        <v>0</v>
      </c>
      <c r="Y1004" s="54" t="s">
        <v>1954</v>
      </c>
      <c r="AA1004" s="54">
        <f>STOCK[[#This Row],[Costo total]]*STOCK[[#This Row],[Entradas]]</f>
        <v>0</v>
      </c>
      <c r="AB1004" s="54">
        <f>STOCK[[#This Row],[Stock Actual]]*STOCK[[#This Row],[Costo total]]</f>
        <v>0</v>
      </c>
    </row>
    <row r="1005" spans="1:28" s="53" customFormat="1" ht="50" customHeight="1">
      <c r="A1005" s="53" t="s">
        <v>2057</v>
      </c>
      <c r="B1005" s="64"/>
      <c r="C1005" s="53" t="s">
        <v>32</v>
      </c>
      <c r="D1005" s="53" t="s">
        <v>1950</v>
      </c>
      <c r="E1005" s="65" t="s">
        <v>2058</v>
      </c>
      <c r="F1005" s="53" t="s">
        <v>2059</v>
      </c>
      <c r="G1005" s="53" t="s">
        <v>36</v>
      </c>
      <c r="H1005" s="53">
        <f>STOCK[[#This Row],[Precio Final]]</f>
        <v>20</v>
      </c>
      <c r="I1005" s="53">
        <f>STOCK[[#This Row],[Precio Venta Ideal (x1.5)]]</f>
        <v>3</v>
      </c>
      <c r="J1005" s="69">
        <v>0</v>
      </c>
      <c r="K1005" s="69">
        <f>SUMIFS(VENTAS[Cantidad],VENTAS[Código del producto Vendido],STOCK[[#This Row],[Code]])</f>
        <v>0</v>
      </c>
      <c r="L1005" s="69">
        <f>STOCK[[#This Row],[Entradas]]-STOCK[[#This Row],[Salidas]]</f>
        <v>0</v>
      </c>
      <c r="M1005" s="53">
        <f>STOCK[[#This Row],[Precio Final]]*10%</f>
        <v>2</v>
      </c>
      <c r="N1005" s="53">
        <v>0</v>
      </c>
      <c r="O1005" s="53">
        <v>0</v>
      </c>
      <c r="P1005" s="53">
        <v>0</v>
      </c>
      <c r="Q1005" s="69">
        <v>0</v>
      </c>
      <c r="R1005" s="53">
        <v>0</v>
      </c>
      <c r="S1005" s="53">
        <v>0</v>
      </c>
      <c r="T1005" s="53">
        <f>STOCK[[#This Row],[Costo Unitario (USD)]]+STOCK[[#This Row],[Costo Envío (USD)]]+STOCK[[#This Row],[Comisión 10%]]</f>
        <v>2</v>
      </c>
      <c r="U1005" s="53">
        <f>STOCK[[#This Row],[Costo total]]*1.5</f>
        <v>3</v>
      </c>
      <c r="V1005" s="53">
        <v>20</v>
      </c>
      <c r="W1005" s="53">
        <f>STOCK[[#This Row],[Precio Final]]-STOCK[[#This Row],[Costo total]]</f>
        <v>18</v>
      </c>
      <c r="X1005" s="53">
        <f>STOCK[[#This Row],[Ganancia Unitaria]]*STOCK[[#This Row],[Salidas]]</f>
        <v>0</v>
      </c>
      <c r="Y1005" s="53" t="s">
        <v>1954</v>
      </c>
      <c r="AA1005" s="54">
        <f>STOCK[[#This Row],[Costo total]]*STOCK[[#This Row],[Entradas]]</f>
        <v>0</v>
      </c>
      <c r="AB1005" s="54">
        <f>STOCK[[#This Row],[Stock Actual]]*STOCK[[#This Row],[Costo total]]</f>
        <v>0</v>
      </c>
    </row>
    <row r="1006" spans="1:28" s="54" customFormat="1" ht="50" customHeight="1">
      <c r="A1006" s="54" t="s">
        <v>2060</v>
      </c>
      <c r="B1006" s="64"/>
      <c r="C1006" s="54" t="s">
        <v>32</v>
      </c>
      <c r="D1006" s="54" t="s">
        <v>152</v>
      </c>
      <c r="E1006" s="66" t="s">
        <v>2061</v>
      </c>
      <c r="F1006" s="54" t="s">
        <v>258</v>
      </c>
      <c r="G1006" s="54" t="s">
        <v>36</v>
      </c>
      <c r="H1006" s="54">
        <f>STOCK[[#This Row],[Precio Final]]</f>
        <v>28</v>
      </c>
      <c r="I1006" s="54">
        <f>STOCK[[#This Row],[Precio Venta Ideal (x1.5)]]</f>
        <v>25.200000000000003</v>
      </c>
      <c r="J1006" s="69">
        <v>0</v>
      </c>
      <c r="K1006" s="70">
        <f>SUMIFS(VENTAS[Cantidad],VENTAS[Código del producto Vendido],STOCK[[#This Row],[Code]])</f>
        <v>0</v>
      </c>
      <c r="L1006" s="70">
        <f>STOCK[[#This Row],[Entradas]]-STOCK[[#This Row],[Salidas]]</f>
        <v>0</v>
      </c>
      <c r="M1006" s="54">
        <f>STOCK[[#This Row],[Precio Final]]*10%</f>
        <v>2.8000000000000003</v>
      </c>
      <c r="N1006" s="54">
        <v>0</v>
      </c>
      <c r="O1006" s="54">
        <v>0</v>
      </c>
      <c r="P1006" s="54">
        <v>14</v>
      </c>
      <c r="Q1006" s="70">
        <v>0</v>
      </c>
      <c r="R1006" s="54">
        <v>0</v>
      </c>
      <c r="S1006" s="54">
        <v>0</v>
      </c>
      <c r="T1006" s="53">
        <f>STOCK[[#This Row],[Costo Unitario (USD)]]+STOCK[[#This Row],[Costo Envío (USD)]]+STOCK[[#This Row],[Comisión 10%]]</f>
        <v>16.8</v>
      </c>
      <c r="U1006" s="54">
        <f>STOCK[[#This Row],[Costo total]]*1.5</f>
        <v>25.200000000000003</v>
      </c>
      <c r="V1006" s="54">
        <v>28</v>
      </c>
      <c r="W1006" s="54">
        <f>STOCK[[#This Row],[Precio Final]]-STOCK[[#This Row],[Costo total]]</f>
        <v>11.2</v>
      </c>
      <c r="X1006" s="54">
        <f>STOCK[[#This Row],[Ganancia Unitaria]]*STOCK[[#This Row],[Salidas]]</f>
        <v>0</v>
      </c>
      <c r="Y1006" s="54" t="s">
        <v>1954</v>
      </c>
      <c r="AA1006" s="54">
        <f>STOCK[[#This Row],[Costo total]]*STOCK[[#This Row],[Entradas]]</f>
        <v>0</v>
      </c>
      <c r="AB1006" s="54">
        <f>STOCK[[#This Row],[Stock Actual]]*STOCK[[#This Row],[Costo total]]</f>
        <v>0</v>
      </c>
    </row>
    <row r="1007" spans="1:28" s="53" customFormat="1" ht="50" customHeight="1">
      <c r="A1007" s="53" t="s">
        <v>2062</v>
      </c>
      <c r="B1007" s="64"/>
      <c r="C1007" s="53" t="s">
        <v>32</v>
      </c>
      <c r="D1007" s="53" t="s">
        <v>743</v>
      </c>
      <c r="E1007" s="65" t="s">
        <v>2063</v>
      </c>
      <c r="F1007" s="53" t="s">
        <v>2064</v>
      </c>
      <c r="G1007" s="53" t="s">
        <v>704</v>
      </c>
      <c r="H1007" s="53">
        <f>STOCK[[#This Row],[Precio Final]]</f>
        <v>0</v>
      </c>
      <c r="I1007" s="53">
        <f>STOCK[[#This Row],[Precio Venta Ideal (x1.5)]]</f>
        <v>0</v>
      </c>
      <c r="J1007" s="69">
        <v>0</v>
      </c>
      <c r="K1007" s="69">
        <f>SUMIFS(VENTAS[Cantidad],VENTAS[Código del producto Vendido],STOCK[[#This Row],[Code]])</f>
        <v>0</v>
      </c>
      <c r="L1007" s="69">
        <f>STOCK[[#This Row],[Entradas]]-STOCK[[#This Row],[Salidas]]</f>
        <v>0</v>
      </c>
      <c r="M1007" s="53">
        <f>STOCK[[#This Row],[Precio Final]]*10%</f>
        <v>0</v>
      </c>
      <c r="N1007" s="53">
        <v>0</v>
      </c>
      <c r="O1007" s="53">
        <v>0</v>
      </c>
      <c r="P1007" s="53">
        <v>0</v>
      </c>
      <c r="Q1007" s="69">
        <v>0</v>
      </c>
      <c r="R1007" s="53">
        <v>0</v>
      </c>
      <c r="S1007" s="53">
        <v>0</v>
      </c>
      <c r="T1007" s="53">
        <f>STOCK[[#This Row],[Costo Unitario (USD)]]+STOCK[[#This Row],[Costo Envío (USD)]]+STOCK[[#This Row],[Comisión 10%]]</f>
        <v>0</v>
      </c>
      <c r="U1007" s="53">
        <f>STOCK[[#This Row],[Costo total]]*1.5</f>
        <v>0</v>
      </c>
      <c r="W1007" s="53">
        <f>STOCK[[#This Row],[Precio Final]]-STOCK[[#This Row],[Costo total]]</f>
        <v>0</v>
      </c>
      <c r="X1007" s="53">
        <f>STOCK[[#This Row],[Ganancia Unitaria]]*STOCK[[#This Row],[Salidas]]</f>
        <v>0</v>
      </c>
      <c r="Y1007" s="53" t="s">
        <v>1954</v>
      </c>
      <c r="AA1007" s="54">
        <f>STOCK[[#This Row],[Costo total]]*STOCK[[#This Row],[Entradas]]</f>
        <v>0</v>
      </c>
      <c r="AB1007" s="54">
        <f>STOCK[[#This Row],[Stock Actual]]*STOCK[[#This Row],[Costo total]]</f>
        <v>0</v>
      </c>
    </row>
    <row r="1008" spans="1:28" s="54" customFormat="1" ht="50" customHeight="1">
      <c r="A1008" s="54" t="s">
        <v>2065</v>
      </c>
      <c r="B1008" s="64"/>
      <c r="C1008" s="54" t="s">
        <v>32</v>
      </c>
      <c r="D1008" s="54" t="s">
        <v>152</v>
      </c>
      <c r="E1008" s="66" t="s">
        <v>2066</v>
      </c>
      <c r="F1008" s="54" t="s">
        <v>2067</v>
      </c>
      <c r="G1008" s="54" t="s">
        <v>704</v>
      </c>
      <c r="H1008" s="54">
        <f>STOCK[[#This Row],[Precio Final]]</f>
        <v>30</v>
      </c>
      <c r="I1008" s="54">
        <f>STOCK[[#This Row],[Precio Venta Ideal (x1.5)]]</f>
        <v>27</v>
      </c>
      <c r="J1008" s="69">
        <v>0</v>
      </c>
      <c r="K1008" s="70">
        <f>SUMIFS(VENTAS[Cantidad],VENTAS[Código del producto Vendido],STOCK[[#This Row],[Code]])</f>
        <v>0</v>
      </c>
      <c r="L1008" s="70">
        <f>STOCK[[#This Row],[Entradas]]-STOCK[[#This Row],[Salidas]]</f>
        <v>0</v>
      </c>
      <c r="M1008" s="54">
        <f>STOCK[[#This Row],[Precio Final]]*10%</f>
        <v>3</v>
      </c>
      <c r="N1008" s="54">
        <v>0</v>
      </c>
      <c r="O1008" s="54">
        <v>0</v>
      </c>
      <c r="P1008" s="54">
        <v>15</v>
      </c>
      <c r="Q1008" s="70">
        <v>0</v>
      </c>
      <c r="R1008" s="54">
        <v>0</v>
      </c>
      <c r="S1008" s="54">
        <v>0</v>
      </c>
      <c r="T1008" s="53">
        <f>STOCK[[#This Row],[Costo Unitario (USD)]]+STOCK[[#This Row],[Costo Envío (USD)]]+STOCK[[#This Row],[Comisión 10%]]</f>
        <v>18</v>
      </c>
      <c r="U1008" s="54">
        <f>STOCK[[#This Row],[Costo total]]*1.5</f>
        <v>27</v>
      </c>
      <c r="V1008" s="54">
        <v>30</v>
      </c>
      <c r="W1008" s="54">
        <f>STOCK[[#This Row],[Precio Final]]-STOCK[[#This Row],[Costo total]]</f>
        <v>12</v>
      </c>
      <c r="X1008" s="54">
        <f>STOCK[[#This Row],[Ganancia Unitaria]]*STOCK[[#This Row],[Salidas]]</f>
        <v>0</v>
      </c>
      <c r="Y1008" s="54" t="s">
        <v>1954</v>
      </c>
      <c r="AA1008" s="54">
        <f>STOCK[[#This Row],[Costo total]]*STOCK[[#This Row],[Entradas]]</f>
        <v>0</v>
      </c>
      <c r="AB1008" s="54">
        <f>STOCK[[#This Row],[Stock Actual]]*STOCK[[#This Row],[Costo total]]</f>
        <v>0</v>
      </c>
    </row>
    <row r="1009" spans="1:28" s="53" customFormat="1" ht="50" customHeight="1">
      <c r="A1009" s="53" t="s">
        <v>2068</v>
      </c>
      <c r="B1009" s="64"/>
      <c r="C1009" s="53" t="s">
        <v>32</v>
      </c>
      <c r="D1009" s="53" t="s">
        <v>1950</v>
      </c>
      <c r="E1009" s="65" t="s">
        <v>2069</v>
      </c>
      <c r="F1009" s="53" t="s">
        <v>2070</v>
      </c>
      <c r="G1009" s="53" t="s">
        <v>2071</v>
      </c>
      <c r="H1009" s="53">
        <f>STOCK[[#This Row],[Precio Final]]</f>
        <v>0</v>
      </c>
      <c r="I1009" s="53">
        <f>STOCK[[#This Row],[Precio Venta Ideal (x1.5)]]</f>
        <v>0</v>
      </c>
      <c r="J1009" s="69">
        <v>0</v>
      </c>
      <c r="K1009" s="69">
        <f>SUMIFS(VENTAS[Cantidad],VENTAS[Código del producto Vendido],STOCK[[#This Row],[Code]])</f>
        <v>0</v>
      </c>
      <c r="L1009" s="69">
        <f>STOCK[[#This Row],[Entradas]]-STOCK[[#This Row],[Salidas]]</f>
        <v>0</v>
      </c>
      <c r="M1009" s="53">
        <f>STOCK[[#This Row],[Precio Final]]*10%</f>
        <v>0</v>
      </c>
      <c r="N1009" s="53">
        <v>0</v>
      </c>
      <c r="O1009" s="53">
        <v>0</v>
      </c>
      <c r="P1009" s="53">
        <v>0</v>
      </c>
      <c r="Q1009" s="69">
        <v>0</v>
      </c>
      <c r="R1009" s="53">
        <v>0</v>
      </c>
      <c r="S1009" s="53">
        <v>0</v>
      </c>
      <c r="T1009" s="53">
        <f>STOCK[[#This Row],[Costo Unitario (USD)]]+STOCK[[#This Row],[Costo Envío (USD)]]+STOCK[[#This Row],[Comisión 10%]]</f>
        <v>0</v>
      </c>
      <c r="U1009" s="53">
        <f>STOCK[[#This Row],[Costo total]]*1.5</f>
        <v>0</v>
      </c>
      <c r="W1009" s="53">
        <f>STOCK[[#This Row],[Precio Final]]-STOCK[[#This Row],[Costo total]]</f>
        <v>0</v>
      </c>
      <c r="X1009" s="53">
        <f>STOCK[[#This Row],[Ganancia Unitaria]]*STOCK[[#This Row],[Salidas]]</f>
        <v>0</v>
      </c>
      <c r="Y1009" s="53" t="s">
        <v>1954</v>
      </c>
      <c r="AA1009" s="54">
        <f>STOCK[[#This Row],[Costo total]]*STOCK[[#This Row],[Entradas]]</f>
        <v>0</v>
      </c>
      <c r="AB1009" s="54">
        <f>STOCK[[#This Row],[Stock Actual]]*STOCK[[#This Row],[Costo total]]</f>
        <v>0</v>
      </c>
    </row>
    <row r="1010" spans="1:28" s="54" customFormat="1" ht="50" customHeight="1">
      <c r="A1010" s="54" t="s">
        <v>2072</v>
      </c>
      <c r="B1010" s="64"/>
      <c r="C1010" s="54" t="s">
        <v>32</v>
      </c>
      <c r="D1010" s="54" t="s">
        <v>1950</v>
      </c>
      <c r="E1010" s="66" t="s">
        <v>2073</v>
      </c>
      <c r="F1010" s="54" t="s">
        <v>2070</v>
      </c>
      <c r="G1010" s="54" t="s">
        <v>2071</v>
      </c>
      <c r="H1010" s="54">
        <f>STOCK[[#This Row],[Precio Final]]</f>
        <v>0</v>
      </c>
      <c r="I1010" s="54">
        <f>STOCK[[#This Row],[Precio Venta Ideal (x1.5)]]</f>
        <v>0</v>
      </c>
      <c r="J1010" s="69">
        <v>0</v>
      </c>
      <c r="K1010" s="70">
        <f>SUMIFS(VENTAS[Cantidad],VENTAS[Código del producto Vendido],STOCK[[#This Row],[Code]])</f>
        <v>0</v>
      </c>
      <c r="L1010" s="70">
        <f>STOCK[[#This Row],[Entradas]]-STOCK[[#This Row],[Salidas]]</f>
        <v>0</v>
      </c>
      <c r="M1010" s="54">
        <f>STOCK[[#This Row],[Precio Final]]*10%</f>
        <v>0</v>
      </c>
      <c r="N1010" s="54">
        <v>0</v>
      </c>
      <c r="O1010" s="54">
        <v>0</v>
      </c>
      <c r="P1010" s="54">
        <v>0</v>
      </c>
      <c r="Q1010" s="70">
        <v>0</v>
      </c>
      <c r="R1010" s="54">
        <v>0</v>
      </c>
      <c r="S1010" s="54">
        <v>0</v>
      </c>
      <c r="T1010" s="53">
        <f>STOCK[[#This Row],[Costo Unitario (USD)]]+STOCK[[#This Row],[Costo Envío (USD)]]+STOCK[[#This Row],[Comisión 10%]]</f>
        <v>0</v>
      </c>
      <c r="U1010" s="54">
        <f>STOCK[[#This Row],[Costo total]]*1.5</f>
        <v>0</v>
      </c>
      <c r="W1010" s="54">
        <f>STOCK[[#This Row],[Precio Final]]-STOCK[[#This Row],[Costo total]]</f>
        <v>0</v>
      </c>
      <c r="X1010" s="54">
        <f>STOCK[[#This Row],[Ganancia Unitaria]]*STOCK[[#This Row],[Salidas]]</f>
        <v>0</v>
      </c>
      <c r="Y1010" s="54" t="s">
        <v>1954</v>
      </c>
      <c r="AA1010" s="54">
        <f>STOCK[[#This Row],[Costo total]]*STOCK[[#This Row],[Entradas]]</f>
        <v>0</v>
      </c>
      <c r="AB1010" s="54">
        <f>STOCK[[#This Row],[Stock Actual]]*STOCK[[#This Row],[Costo total]]</f>
        <v>0</v>
      </c>
    </row>
    <row r="1011" spans="1:28" s="53" customFormat="1" ht="50" customHeight="1">
      <c r="A1011" s="53" t="s">
        <v>2074</v>
      </c>
      <c r="B1011" s="64"/>
      <c r="C1011" s="53" t="s">
        <v>32</v>
      </c>
      <c r="D1011" s="53" t="s">
        <v>1950</v>
      </c>
      <c r="E1011" s="65" t="s">
        <v>2075</v>
      </c>
      <c r="F1011" s="53" t="s">
        <v>2070</v>
      </c>
      <c r="G1011" s="53" t="s">
        <v>2071</v>
      </c>
      <c r="H1011" s="53">
        <f>STOCK[[#This Row],[Precio Final]]</f>
        <v>0</v>
      </c>
      <c r="I1011" s="53">
        <f>STOCK[[#This Row],[Precio Venta Ideal (x1.5)]]</f>
        <v>0</v>
      </c>
      <c r="J1011" s="69">
        <v>0</v>
      </c>
      <c r="K1011" s="69">
        <f>SUMIFS(VENTAS[Cantidad],VENTAS[Código del producto Vendido],STOCK[[#This Row],[Code]])</f>
        <v>0</v>
      </c>
      <c r="L1011" s="69">
        <f>STOCK[[#This Row],[Entradas]]-STOCK[[#This Row],[Salidas]]</f>
        <v>0</v>
      </c>
      <c r="M1011" s="53">
        <f>STOCK[[#This Row],[Precio Final]]*10%</f>
        <v>0</v>
      </c>
      <c r="N1011" s="53">
        <v>0</v>
      </c>
      <c r="O1011" s="53">
        <v>0</v>
      </c>
      <c r="P1011" s="53">
        <v>0</v>
      </c>
      <c r="Q1011" s="69">
        <v>0</v>
      </c>
      <c r="R1011" s="53">
        <v>0</v>
      </c>
      <c r="S1011" s="53">
        <v>0</v>
      </c>
      <c r="T1011" s="53">
        <f>STOCK[[#This Row],[Costo Unitario (USD)]]+STOCK[[#This Row],[Costo Envío (USD)]]+STOCK[[#This Row],[Comisión 10%]]</f>
        <v>0</v>
      </c>
      <c r="U1011" s="53">
        <f>STOCK[[#This Row],[Costo total]]*1.5</f>
        <v>0</v>
      </c>
      <c r="W1011" s="53">
        <f>STOCK[[#This Row],[Precio Final]]-STOCK[[#This Row],[Costo total]]</f>
        <v>0</v>
      </c>
      <c r="X1011" s="53">
        <f>STOCK[[#This Row],[Ganancia Unitaria]]*STOCK[[#This Row],[Salidas]]</f>
        <v>0</v>
      </c>
      <c r="Y1011" s="53" t="s">
        <v>1954</v>
      </c>
      <c r="AA1011" s="54">
        <f>STOCK[[#This Row],[Costo total]]*STOCK[[#This Row],[Entradas]]</f>
        <v>0</v>
      </c>
      <c r="AB1011" s="54">
        <f>STOCK[[#This Row],[Stock Actual]]*STOCK[[#This Row],[Costo total]]</f>
        <v>0</v>
      </c>
    </row>
    <row r="1012" spans="1:28" s="54" customFormat="1" ht="50" customHeight="1">
      <c r="A1012" s="54" t="s">
        <v>2076</v>
      </c>
      <c r="B1012" s="64"/>
      <c r="C1012" s="54" t="s">
        <v>32</v>
      </c>
      <c r="D1012" s="54" t="s">
        <v>1950</v>
      </c>
      <c r="E1012" s="66" t="s">
        <v>2077</v>
      </c>
      <c r="F1012" s="54" t="s">
        <v>2070</v>
      </c>
      <c r="G1012" s="54" t="s">
        <v>2071</v>
      </c>
      <c r="H1012" s="54">
        <f>STOCK[[#This Row],[Precio Final]]</f>
        <v>0</v>
      </c>
      <c r="I1012" s="54">
        <f>STOCK[[#This Row],[Precio Venta Ideal (x1.5)]]</f>
        <v>0</v>
      </c>
      <c r="J1012" s="69">
        <v>0</v>
      </c>
      <c r="K1012" s="70">
        <f>SUMIFS(VENTAS[Cantidad],VENTAS[Código del producto Vendido],STOCK[[#This Row],[Code]])</f>
        <v>0</v>
      </c>
      <c r="L1012" s="70">
        <f>STOCK[[#This Row],[Entradas]]-STOCK[[#This Row],[Salidas]]</f>
        <v>0</v>
      </c>
      <c r="M1012" s="54">
        <f>STOCK[[#This Row],[Precio Final]]*10%</f>
        <v>0</v>
      </c>
      <c r="N1012" s="54">
        <v>0</v>
      </c>
      <c r="O1012" s="54">
        <v>0</v>
      </c>
      <c r="P1012" s="54">
        <v>0</v>
      </c>
      <c r="Q1012" s="70">
        <v>0</v>
      </c>
      <c r="R1012" s="54">
        <v>0</v>
      </c>
      <c r="S1012" s="54">
        <v>0</v>
      </c>
      <c r="T1012" s="53">
        <f>STOCK[[#This Row],[Costo Unitario (USD)]]+STOCK[[#This Row],[Costo Envío (USD)]]+STOCK[[#This Row],[Comisión 10%]]</f>
        <v>0</v>
      </c>
      <c r="U1012" s="54">
        <f>STOCK[[#This Row],[Costo total]]*1.5</f>
        <v>0</v>
      </c>
      <c r="W1012" s="54">
        <f>STOCK[[#This Row],[Precio Final]]-STOCK[[#This Row],[Costo total]]</f>
        <v>0</v>
      </c>
      <c r="X1012" s="54">
        <f>STOCK[[#This Row],[Ganancia Unitaria]]*STOCK[[#This Row],[Salidas]]</f>
        <v>0</v>
      </c>
      <c r="Y1012" s="54" t="s">
        <v>1954</v>
      </c>
      <c r="AA1012" s="54">
        <f>STOCK[[#This Row],[Costo total]]*STOCK[[#This Row],[Entradas]]</f>
        <v>0</v>
      </c>
      <c r="AB1012" s="54">
        <f>STOCK[[#This Row],[Stock Actual]]*STOCK[[#This Row],[Costo total]]</f>
        <v>0</v>
      </c>
    </row>
    <row r="1013" spans="1:28" s="53" customFormat="1" ht="50" customHeight="1">
      <c r="A1013" s="53" t="s">
        <v>2078</v>
      </c>
      <c r="B1013" s="64"/>
      <c r="C1013" s="53" t="s">
        <v>32</v>
      </c>
      <c r="D1013" s="53" t="s">
        <v>1950</v>
      </c>
      <c r="E1013" s="65" t="s">
        <v>2079</v>
      </c>
      <c r="F1013" s="53" t="s">
        <v>2080</v>
      </c>
      <c r="G1013" s="53" t="s">
        <v>2071</v>
      </c>
      <c r="H1013" s="53">
        <f>STOCK[[#This Row],[Precio Final]]</f>
        <v>0</v>
      </c>
      <c r="I1013" s="53">
        <f>STOCK[[#This Row],[Precio Venta Ideal (x1.5)]]</f>
        <v>0</v>
      </c>
      <c r="J1013" s="69">
        <v>0</v>
      </c>
      <c r="K1013" s="69">
        <f>SUMIFS(VENTAS[Cantidad],VENTAS[Código del producto Vendido],STOCK[[#This Row],[Code]])</f>
        <v>0</v>
      </c>
      <c r="L1013" s="69">
        <f>STOCK[[#This Row],[Entradas]]-STOCK[[#This Row],[Salidas]]</f>
        <v>0</v>
      </c>
      <c r="M1013" s="53">
        <f>STOCK[[#This Row],[Precio Final]]*10%</f>
        <v>0</v>
      </c>
      <c r="N1013" s="53">
        <v>0</v>
      </c>
      <c r="O1013" s="53">
        <v>0</v>
      </c>
      <c r="P1013" s="53">
        <v>0</v>
      </c>
      <c r="Q1013" s="69">
        <v>0</v>
      </c>
      <c r="R1013" s="53">
        <v>0</v>
      </c>
      <c r="S1013" s="53">
        <v>0</v>
      </c>
      <c r="T1013" s="53">
        <f>STOCK[[#This Row],[Costo Unitario (USD)]]+STOCK[[#This Row],[Costo Envío (USD)]]+STOCK[[#This Row],[Comisión 10%]]</f>
        <v>0</v>
      </c>
      <c r="U1013" s="53">
        <f>STOCK[[#This Row],[Costo total]]*1.5</f>
        <v>0</v>
      </c>
      <c r="W1013" s="53">
        <f>STOCK[[#This Row],[Precio Final]]-STOCK[[#This Row],[Costo total]]</f>
        <v>0</v>
      </c>
      <c r="X1013" s="53">
        <f>STOCK[[#This Row],[Ganancia Unitaria]]*STOCK[[#This Row],[Salidas]]</f>
        <v>0</v>
      </c>
      <c r="Y1013" s="53" t="s">
        <v>1954</v>
      </c>
      <c r="AA1013" s="54">
        <f>STOCK[[#This Row],[Costo total]]*STOCK[[#This Row],[Entradas]]</f>
        <v>0</v>
      </c>
      <c r="AB1013" s="54">
        <f>STOCK[[#This Row],[Stock Actual]]*STOCK[[#This Row],[Costo total]]</f>
        <v>0</v>
      </c>
    </row>
    <row r="1014" spans="1:28" s="54" customFormat="1" ht="50" customHeight="1">
      <c r="A1014" s="54" t="s">
        <v>2081</v>
      </c>
      <c r="B1014" s="64"/>
      <c r="C1014" s="54" t="s">
        <v>32</v>
      </c>
      <c r="D1014" s="54" t="s">
        <v>152</v>
      </c>
      <c r="E1014" s="66" t="s">
        <v>2082</v>
      </c>
      <c r="F1014" s="54" t="s">
        <v>49</v>
      </c>
      <c r="G1014" s="54" t="s">
        <v>704</v>
      </c>
      <c r="H1014" s="54">
        <f>STOCK[[#This Row],[Precio Final]]</f>
        <v>30</v>
      </c>
      <c r="I1014" s="54">
        <f>STOCK[[#This Row],[Precio Venta Ideal (x1.5)]]</f>
        <v>27</v>
      </c>
      <c r="J1014" s="69">
        <v>0</v>
      </c>
      <c r="K1014" s="70">
        <f>SUMIFS(VENTAS[Cantidad],VENTAS[Código del producto Vendido],STOCK[[#This Row],[Code]])</f>
        <v>0</v>
      </c>
      <c r="L1014" s="70">
        <f>STOCK[[#This Row],[Entradas]]-STOCK[[#This Row],[Salidas]]</f>
        <v>0</v>
      </c>
      <c r="M1014" s="54">
        <f>STOCK[[#This Row],[Precio Final]]*10%</f>
        <v>3</v>
      </c>
      <c r="N1014" s="54">
        <v>0</v>
      </c>
      <c r="O1014" s="54">
        <v>0</v>
      </c>
      <c r="P1014" s="54">
        <v>15</v>
      </c>
      <c r="Q1014" s="70">
        <v>0</v>
      </c>
      <c r="R1014" s="54">
        <v>0</v>
      </c>
      <c r="S1014" s="54">
        <v>0</v>
      </c>
      <c r="T1014" s="53">
        <f>STOCK[[#This Row],[Costo Unitario (USD)]]+STOCK[[#This Row],[Costo Envío (USD)]]+STOCK[[#This Row],[Comisión 10%]]</f>
        <v>18</v>
      </c>
      <c r="U1014" s="54">
        <f>STOCK[[#This Row],[Costo total]]*1.5</f>
        <v>27</v>
      </c>
      <c r="V1014" s="54">
        <v>30</v>
      </c>
      <c r="W1014" s="54">
        <f>STOCK[[#This Row],[Precio Final]]-STOCK[[#This Row],[Costo total]]</f>
        <v>12</v>
      </c>
      <c r="X1014" s="54">
        <f>STOCK[[#This Row],[Ganancia Unitaria]]*STOCK[[#This Row],[Salidas]]</f>
        <v>0</v>
      </c>
      <c r="Y1014" s="54" t="s">
        <v>1954</v>
      </c>
      <c r="AA1014" s="54">
        <f>STOCK[[#This Row],[Costo total]]*STOCK[[#This Row],[Entradas]]</f>
        <v>0</v>
      </c>
      <c r="AB1014" s="54">
        <f>STOCK[[#This Row],[Stock Actual]]*STOCK[[#This Row],[Costo total]]</f>
        <v>0</v>
      </c>
    </row>
    <row r="1015" spans="1:28" s="53" customFormat="1" ht="50" customHeight="1">
      <c r="A1015" s="53" t="s">
        <v>2083</v>
      </c>
      <c r="B1015" s="64"/>
      <c r="C1015" s="53" t="s">
        <v>32</v>
      </c>
      <c r="D1015" s="53" t="s">
        <v>152</v>
      </c>
      <c r="E1015" s="65" t="s">
        <v>2084</v>
      </c>
      <c r="F1015" s="53" t="s">
        <v>40</v>
      </c>
      <c r="G1015" s="53" t="s">
        <v>36</v>
      </c>
      <c r="H1015" s="53">
        <f>STOCK[[#This Row],[Precio Final]]</f>
        <v>30</v>
      </c>
      <c r="I1015" s="53">
        <f>STOCK[[#This Row],[Precio Venta Ideal (x1.5)]]</f>
        <v>27</v>
      </c>
      <c r="J1015" s="69">
        <v>0</v>
      </c>
      <c r="K1015" s="69">
        <f>SUMIFS(VENTAS[Cantidad],VENTAS[Código del producto Vendido],STOCK[[#This Row],[Code]])</f>
        <v>0</v>
      </c>
      <c r="L1015" s="69">
        <f>STOCK[[#This Row],[Entradas]]-STOCK[[#This Row],[Salidas]]</f>
        <v>0</v>
      </c>
      <c r="M1015" s="53">
        <f>STOCK[[#This Row],[Precio Final]]*10%</f>
        <v>3</v>
      </c>
      <c r="N1015" s="53">
        <v>0</v>
      </c>
      <c r="O1015" s="53">
        <v>0</v>
      </c>
      <c r="P1015" s="53">
        <v>15</v>
      </c>
      <c r="Q1015" s="69">
        <v>0</v>
      </c>
      <c r="R1015" s="53">
        <v>0</v>
      </c>
      <c r="S1015" s="53">
        <v>0</v>
      </c>
      <c r="T1015" s="53">
        <f>STOCK[[#This Row],[Costo Unitario (USD)]]+STOCK[[#This Row],[Costo Envío (USD)]]+STOCK[[#This Row],[Comisión 10%]]</f>
        <v>18</v>
      </c>
      <c r="U1015" s="53">
        <f>STOCK[[#This Row],[Costo total]]*1.5</f>
        <v>27</v>
      </c>
      <c r="V1015" s="53">
        <v>30</v>
      </c>
      <c r="W1015" s="53">
        <f>STOCK[[#This Row],[Precio Final]]-STOCK[[#This Row],[Costo total]]</f>
        <v>12</v>
      </c>
      <c r="X1015" s="53">
        <f>STOCK[[#This Row],[Ganancia Unitaria]]*STOCK[[#This Row],[Salidas]]</f>
        <v>0</v>
      </c>
      <c r="Y1015" s="53" t="s">
        <v>1954</v>
      </c>
      <c r="AA1015" s="54">
        <f>STOCK[[#This Row],[Costo total]]*STOCK[[#This Row],[Entradas]]</f>
        <v>0</v>
      </c>
      <c r="AB1015" s="54">
        <f>STOCK[[#This Row],[Stock Actual]]*STOCK[[#This Row],[Costo total]]</f>
        <v>0</v>
      </c>
    </row>
    <row r="1016" spans="1:28" s="54" customFormat="1" ht="50" customHeight="1">
      <c r="A1016" s="54" t="s">
        <v>2085</v>
      </c>
      <c r="B1016" s="64"/>
      <c r="C1016" s="54" t="s">
        <v>32</v>
      </c>
      <c r="D1016" s="54" t="s">
        <v>152</v>
      </c>
      <c r="E1016" s="66" t="s">
        <v>2086</v>
      </c>
      <c r="F1016" s="54" t="s">
        <v>1987</v>
      </c>
      <c r="G1016" s="54" t="s">
        <v>1296</v>
      </c>
      <c r="H1016" s="54">
        <f>STOCK[[#This Row],[Precio Final]]</f>
        <v>15</v>
      </c>
      <c r="I1016" s="54">
        <f>STOCK[[#This Row],[Precio Venta Ideal (x1.5)]]</f>
        <v>17.25</v>
      </c>
      <c r="J1016" s="69">
        <v>0</v>
      </c>
      <c r="K1016" s="70">
        <f>SUMIFS(VENTAS[Cantidad],VENTAS[Código del producto Vendido],STOCK[[#This Row],[Code]])</f>
        <v>0</v>
      </c>
      <c r="L1016" s="70">
        <f>STOCK[[#This Row],[Entradas]]-STOCK[[#This Row],[Salidas]]</f>
        <v>0</v>
      </c>
      <c r="M1016" s="54">
        <f>STOCK[[#This Row],[Precio Final]]*10%</f>
        <v>1.5</v>
      </c>
      <c r="N1016" s="54">
        <v>0</v>
      </c>
      <c r="O1016" s="54">
        <v>0</v>
      </c>
      <c r="P1016" s="54">
        <v>10</v>
      </c>
      <c r="Q1016" s="70">
        <v>0</v>
      </c>
      <c r="R1016" s="54">
        <v>0</v>
      </c>
      <c r="S1016" s="54">
        <v>0</v>
      </c>
      <c r="T1016" s="53">
        <f>STOCK[[#This Row],[Costo Unitario (USD)]]+STOCK[[#This Row],[Costo Envío (USD)]]+STOCK[[#This Row],[Comisión 10%]]</f>
        <v>11.5</v>
      </c>
      <c r="U1016" s="54">
        <f>STOCK[[#This Row],[Costo total]]*1.5</f>
        <v>17.25</v>
      </c>
      <c r="V1016" s="54">
        <v>15</v>
      </c>
      <c r="W1016" s="54">
        <f>STOCK[[#This Row],[Precio Final]]-STOCK[[#This Row],[Costo total]]</f>
        <v>3.5</v>
      </c>
      <c r="X1016" s="54">
        <f>STOCK[[#This Row],[Ganancia Unitaria]]*STOCK[[#This Row],[Salidas]]</f>
        <v>0</v>
      </c>
      <c r="Y1016" s="54" t="s">
        <v>1954</v>
      </c>
      <c r="AA1016" s="54">
        <f>STOCK[[#This Row],[Costo total]]*STOCK[[#This Row],[Entradas]]</f>
        <v>0</v>
      </c>
      <c r="AB1016" s="54">
        <f>STOCK[[#This Row],[Stock Actual]]*STOCK[[#This Row],[Costo total]]</f>
        <v>0</v>
      </c>
    </row>
    <row r="1017" spans="1:28" s="53" customFormat="1" ht="50" customHeight="1">
      <c r="A1017" s="53" t="s">
        <v>2087</v>
      </c>
      <c r="B1017" s="64"/>
      <c r="C1017" s="53" t="s">
        <v>32</v>
      </c>
      <c r="D1017" s="53" t="s">
        <v>515</v>
      </c>
      <c r="E1017" s="65" t="s">
        <v>2088</v>
      </c>
      <c r="F1017" s="53" t="s">
        <v>765</v>
      </c>
      <c r="G1017" s="53" t="s">
        <v>1603</v>
      </c>
      <c r="H1017" s="53">
        <f>STOCK[[#This Row],[Precio Final]]</f>
        <v>40</v>
      </c>
      <c r="I1017" s="53">
        <f>STOCK[[#This Row],[Precio Venta Ideal (x1.5)]]</f>
        <v>39.630000000000003</v>
      </c>
      <c r="J1017" s="69">
        <v>1</v>
      </c>
      <c r="K1017" s="69">
        <f>SUMIFS(VENTAS[Cantidad],VENTAS[Código del producto Vendido],STOCK[[#This Row],[Code]])</f>
        <v>1</v>
      </c>
      <c r="L1017" s="69">
        <f>STOCK[[#This Row],[Entradas]]-STOCK[[#This Row],[Salidas]]</f>
        <v>0</v>
      </c>
      <c r="M1017" s="53">
        <f>STOCK[[#This Row],[Precio Final]]*10%</f>
        <v>4</v>
      </c>
      <c r="N1017" s="53">
        <v>0</v>
      </c>
      <c r="O1017" s="53">
        <v>0</v>
      </c>
      <c r="P1017" s="53">
        <v>20.92</v>
      </c>
      <c r="Q1017" s="69">
        <v>0</v>
      </c>
      <c r="R1017" s="53">
        <v>0</v>
      </c>
      <c r="S1017" s="53">
        <v>1.5</v>
      </c>
      <c r="T1017" s="53">
        <f>STOCK[[#This Row],[Costo Unitario (USD)]]+STOCK[[#This Row],[Costo Envío (USD)]]+STOCK[[#This Row],[Comisión 10%]]</f>
        <v>26.42</v>
      </c>
      <c r="U1017" s="53">
        <f>STOCK[[#This Row],[Costo total]]*1.5</f>
        <v>39.630000000000003</v>
      </c>
      <c r="V1017" s="53">
        <v>40</v>
      </c>
      <c r="W1017" s="53">
        <f>STOCK[[#This Row],[Precio Final]]-STOCK[[#This Row],[Costo total]]</f>
        <v>13.579999999999998</v>
      </c>
      <c r="X1017" s="53">
        <f>STOCK[[#This Row],[Ganancia Unitaria]]*STOCK[[#This Row],[Salidas]]</f>
        <v>13.579999999999998</v>
      </c>
      <c r="Y1017" s="53" t="s">
        <v>1604</v>
      </c>
      <c r="AA1017" s="54">
        <f>STOCK[[#This Row],[Costo total]]*STOCK[[#This Row],[Entradas]]</f>
        <v>26.42</v>
      </c>
      <c r="AB1017" s="54">
        <f>STOCK[[#This Row],[Stock Actual]]*STOCK[[#This Row],[Costo total]]</f>
        <v>0</v>
      </c>
    </row>
    <row r="1018" spans="1:28" s="54" customFormat="1" ht="50" customHeight="1">
      <c r="A1018" s="54" t="s">
        <v>2089</v>
      </c>
      <c r="B1018" s="64"/>
      <c r="C1018" s="54" t="s">
        <v>32</v>
      </c>
      <c r="D1018" s="54" t="s">
        <v>1868</v>
      </c>
      <c r="E1018" s="66" t="s">
        <v>1904</v>
      </c>
      <c r="F1018" s="54" t="s">
        <v>42</v>
      </c>
      <c r="G1018" s="54" t="s">
        <v>1877</v>
      </c>
      <c r="H1018" s="54">
        <f>STOCK[[#This Row],[Precio Final]]</f>
        <v>14</v>
      </c>
      <c r="I1018" s="54">
        <f>STOCK[[#This Row],[Precio Venta Ideal (x1.5)]]</f>
        <v>15.899999999999999</v>
      </c>
      <c r="J1018" s="70">
        <v>2</v>
      </c>
      <c r="K1018" s="70">
        <f>SUMIFS(VENTAS[Cantidad],VENTAS[Código del producto Vendido],STOCK[[#This Row],[Code]])</f>
        <v>2</v>
      </c>
      <c r="L1018" s="70">
        <f>STOCK[[#This Row],[Entradas]]-STOCK[[#This Row],[Salidas]]</f>
        <v>0</v>
      </c>
      <c r="M1018" s="54">
        <f>STOCK[[#This Row],[Precio Final]]*10%</f>
        <v>1.4000000000000001</v>
      </c>
      <c r="N1018" s="54">
        <v>0</v>
      </c>
      <c r="O1018" s="54">
        <v>0</v>
      </c>
      <c r="P1018" s="54">
        <v>8.6999999999999993</v>
      </c>
      <c r="Q1018" s="70">
        <v>0</v>
      </c>
      <c r="R1018" s="54">
        <v>0</v>
      </c>
      <c r="S1018" s="54">
        <v>0.5</v>
      </c>
      <c r="T1018" s="53">
        <f>STOCK[[#This Row],[Costo Unitario (USD)]]+STOCK[[#This Row],[Costo Envío (USD)]]+STOCK[[#This Row],[Comisión 10%]]</f>
        <v>10.6</v>
      </c>
      <c r="U1018" s="54">
        <f>STOCK[[#This Row],[Costo total]]*1.5</f>
        <v>15.899999999999999</v>
      </c>
      <c r="V1018" s="54">
        <v>14</v>
      </c>
      <c r="W1018" s="54">
        <f>STOCK[[#This Row],[Precio Final]]-STOCK[[#This Row],[Costo total]]</f>
        <v>3.4000000000000004</v>
      </c>
      <c r="X1018" s="54">
        <f>STOCK[[#This Row],[Ganancia Unitaria]]*STOCK[[#This Row],[Salidas]]</f>
        <v>6.8000000000000007</v>
      </c>
      <c r="Y1018" s="54" t="s">
        <v>1878</v>
      </c>
      <c r="AA1018" s="54">
        <f>STOCK[[#This Row],[Costo total]]*STOCK[[#This Row],[Entradas]]</f>
        <v>21.2</v>
      </c>
      <c r="AB1018" s="54">
        <f>STOCK[[#This Row],[Stock Actual]]*STOCK[[#This Row],[Costo total]]</f>
        <v>0</v>
      </c>
    </row>
    <row r="1019" spans="1:28" s="53" customFormat="1" ht="50" customHeight="1">
      <c r="A1019" s="53" t="s">
        <v>2090</v>
      </c>
      <c r="B1019" s="64"/>
      <c r="C1019" s="53" t="s">
        <v>32</v>
      </c>
      <c r="D1019" s="53" t="s">
        <v>2091</v>
      </c>
      <c r="E1019" s="65" t="s">
        <v>2092</v>
      </c>
      <c r="F1019" s="53" t="s">
        <v>2093</v>
      </c>
      <c r="G1019" s="53" t="s">
        <v>36</v>
      </c>
      <c r="H1019" s="53">
        <f>STOCK[[#This Row],[Precio Final]]</f>
        <v>8</v>
      </c>
      <c r="I1019" s="53">
        <f>STOCK[[#This Row],[Precio Venta Ideal (x1.5)]]</f>
        <v>4.1999999999999993</v>
      </c>
      <c r="J1019" s="69">
        <v>0</v>
      </c>
      <c r="K1019" s="69">
        <f>SUMIFS(VENTAS[Cantidad],VENTAS[Código del producto Vendido],STOCK[[#This Row],[Code]])</f>
        <v>0</v>
      </c>
      <c r="L1019" s="69">
        <f>STOCK[[#This Row],[Entradas]]-STOCK[[#This Row],[Salidas]]</f>
        <v>0</v>
      </c>
      <c r="M1019" s="53">
        <f>STOCK[[#This Row],[Precio Final]]*10%</f>
        <v>0.8</v>
      </c>
      <c r="N1019" s="53">
        <v>0</v>
      </c>
      <c r="O1019" s="53">
        <v>0</v>
      </c>
      <c r="P1019" s="53">
        <v>1</v>
      </c>
      <c r="Q1019" s="69">
        <v>0</v>
      </c>
      <c r="R1019" s="53">
        <v>0</v>
      </c>
      <c r="S1019" s="53">
        <v>1</v>
      </c>
      <c r="T1019" s="53">
        <f>STOCK[[#This Row],[Costo Unitario (USD)]]+STOCK[[#This Row],[Costo Envío (USD)]]+STOCK[[#This Row],[Comisión 10%]]</f>
        <v>2.8</v>
      </c>
      <c r="U1019" s="53">
        <f>STOCK[[#This Row],[Costo total]]*1.5</f>
        <v>4.1999999999999993</v>
      </c>
      <c r="V1019" s="53">
        <v>8</v>
      </c>
      <c r="W1019" s="53">
        <f>STOCK[[#This Row],[Precio Final]]-STOCK[[#This Row],[Costo total]]</f>
        <v>5.2</v>
      </c>
      <c r="X1019" s="53">
        <f>STOCK[[#This Row],[Ganancia Unitaria]]*STOCK[[#This Row],[Salidas]]</f>
        <v>0</v>
      </c>
      <c r="AA1019" s="54">
        <f>STOCK[[#This Row],[Costo total]]*STOCK[[#This Row],[Entradas]]</f>
        <v>0</v>
      </c>
      <c r="AB1019" s="54">
        <f>STOCK[[#This Row],[Stock Actual]]*STOCK[[#This Row],[Costo total]]</f>
        <v>0</v>
      </c>
    </row>
    <row r="1020" spans="1:28" s="54" customFormat="1" ht="50" customHeight="1">
      <c r="A1020" s="54" t="s">
        <v>2094</v>
      </c>
      <c r="B1020" s="64" t="s">
        <v>2095</v>
      </c>
      <c r="C1020" s="54" t="s">
        <v>32</v>
      </c>
      <c r="D1020" s="54" t="s">
        <v>174</v>
      </c>
      <c r="E1020" s="66" t="s">
        <v>2096</v>
      </c>
      <c r="F1020" s="54" t="s">
        <v>40</v>
      </c>
      <c r="G1020" s="54" t="s">
        <v>36</v>
      </c>
      <c r="H1020" s="54">
        <f>STOCK[[#This Row],[Precio Final]]</f>
        <v>22</v>
      </c>
      <c r="I1020" s="54">
        <f>STOCK[[#This Row],[Precio Venta Ideal (x1.5)]]</f>
        <v>10.8</v>
      </c>
      <c r="J1020" s="70">
        <v>0</v>
      </c>
      <c r="K1020" s="70">
        <f>SUMIFS(VENTAS[Cantidad],VENTAS[Código del producto Vendido],STOCK[[#This Row],[Code]])</f>
        <v>0</v>
      </c>
      <c r="L1020" s="70">
        <f>STOCK[[#This Row],[Entradas]]-STOCK[[#This Row],[Salidas]]</f>
        <v>0</v>
      </c>
      <c r="M1020" s="54">
        <f>STOCK[[#This Row],[Precio Final]]*10%</f>
        <v>2.2000000000000002</v>
      </c>
      <c r="N1020" s="54">
        <v>0</v>
      </c>
      <c r="O1020" s="54">
        <v>0</v>
      </c>
      <c r="P1020" s="54">
        <v>5</v>
      </c>
      <c r="Q1020" s="70">
        <v>0</v>
      </c>
      <c r="R1020" s="54">
        <v>0</v>
      </c>
      <c r="S1020" s="54">
        <v>0</v>
      </c>
      <c r="T1020" s="53">
        <f>STOCK[[#This Row],[Costo Unitario (USD)]]+STOCK[[#This Row],[Costo Envío (USD)]]+STOCK[[#This Row],[Comisión 10%]]</f>
        <v>7.2</v>
      </c>
      <c r="U1020" s="54">
        <f>STOCK[[#This Row],[Costo total]]*1.5</f>
        <v>10.8</v>
      </c>
      <c r="V1020" s="54">
        <v>22</v>
      </c>
      <c r="W1020" s="54">
        <f>STOCK[[#This Row],[Precio Final]]-STOCK[[#This Row],[Costo total]]</f>
        <v>14.8</v>
      </c>
      <c r="X1020" s="54">
        <f>STOCK[[#This Row],[Ganancia Unitaria]]*STOCK[[#This Row],[Salidas]]</f>
        <v>0</v>
      </c>
      <c r="AA1020" s="54">
        <f>STOCK[[#This Row],[Costo total]]*STOCK[[#This Row],[Entradas]]</f>
        <v>0</v>
      </c>
      <c r="AB1020" s="54">
        <f>STOCK[[#This Row],[Stock Actual]]*STOCK[[#This Row],[Costo total]]</f>
        <v>0</v>
      </c>
    </row>
    <row r="1021" spans="1:28" s="53" customFormat="1" ht="50" customHeight="1">
      <c r="A1021" s="53" t="s">
        <v>2097</v>
      </c>
      <c r="B1021" s="64"/>
      <c r="C1021" s="53" t="s">
        <v>32</v>
      </c>
      <c r="D1021" s="53" t="s">
        <v>174</v>
      </c>
      <c r="E1021" s="65" t="s">
        <v>2098</v>
      </c>
      <c r="F1021" s="53" t="s">
        <v>62</v>
      </c>
      <c r="G1021" s="53" t="s">
        <v>36</v>
      </c>
      <c r="H1021" s="53">
        <f>STOCK[[#This Row],[Precio Final]]</f>
        <v>22</v>
      </c>
      <c r="I1021" s="53">
        <f>STOCK[[#This Row],[Precio Venta Ideal (x1.5)]]</f>
        <v>19.799999999999997</v>
      </c>
      <c r="J1021" s="69">
        <v>1</v>
      </c>
      <c r="K1021" s="69">
        <f>SUMIFS(VENTAS[Cantidad],VENTAS[Código del producto Vendido],STOCK[[#This Row],[Code]])</f>
        <v>1</v>
      </c>
      <c r="L1021" s="69">
        <f>STOCK[[#This Row],[Entradas]]-STOCK[[#This Row],[Salidas]]</f>
        <v>0</v>
      </c>
      <c r="M1021" s="53">
        <f>STOCK[[#This Row],[Precio Final]]*10%</f>
        <v>2.2000000000000002</v>
      </c>
      <c r="N1021" s="53">
        <v>0</v>
      </c>
      <c r="O1021" s="53">
        <v>0</v>
      </c>
      <c r="P1021" s="53">
        <v>10</v>
      </c>
      <c r="Q1021" s="69">
        <v>0</v>
      </c>
      <c r="R1021" s="53">
        <v>0</v>
      </c>
      <c r="S1021" s="53">
        <v>1</v>
      </c>
      <c r="T1021" s="53">
        <f>STOCK[[#This Row],[Costo Unitario (USD)]]+STOCK[[#This Row],[Costo Envío (USD)]]+STOCK[[#This Row],[Comisión 10%]]</f>
        <v>13.2</v>
      </c>
      <c r="U1021" s="53">
        <f>STOCK[[#This Row],[Costo total]]*1.5</f>
        <v>19.799999999999997</v>
      </c>
      <c r="V1021" s="53">
        <v>22</v>
      </c>
      <c r="W1021" s="53">
        <f>STOCK[[#This Row],[Precio Final]]-STOCK[[#This Row],[Costo total]]</f>
        <v>8.8000000000000007</v>
      </c>
      <c r="X1021" s="53">
        <f>STOCK[[#This Row],[Ganancia Unitaria]]*STOCK[[#This Row],[Salidas]]</f>
        <v>8.8000000000000007</v>
      </c>
      <c r="AA1021" s="54">
        <f>STOCK[[#This Row],[Costo total]]*STOCK[[#This Row],[Entradas]]</f>
        <v>13.2</v>
      </c>
      <c r="AB1021" s="54">
        <f>STOCK[[#This Row],[Stock Actual]]*STOCK[[#This Row],[Costo total]]</f>
        <v>0</v>
      </c>
    </row>
    <row r="1022" spans="1:28" s="54" customFormat="1" ht="50" customHeight="1">
      <c r="A1022" s="54" t="s">
        <v>2099</v>
      </c>
      <c r="B1022" s="64"/>
      <c r="C1022" s="54" t="s">
        <v>32</v>
      </c>
      <c r="D1022" s="54" t="s">
        <v>174</v>
      </c>
      <c r="E1022" s="65" t="s">
        <v>2098</v>
      </c>
      <c r="F1022" s="54" t="s">
        <v>49</v>
      </c>
      <c r="G1022" s="54" t="s">
        <v>36</v>
      </c>
      <c r="H1022" s="54">
        <f>STOCK[[#This Row],[Precio Final]]</f>
        <v>22</v>
      </c>
      <c r="I1022" s="54">
        <f>STOCK[[#This Row],[Precio Venta Ideal (x1.5)]]</f>
        <v>18.299999999999997</v>
      </c>
      <c r="J1022" s="70">
        <v>1</v>
      </c>
      <c r="K1022" s="70">
        <f>SUMIFS(VENTAS[Cantidad],VENTAS[Código del producto Vendido],STOCK[[#This Row],[Code]])</f>
        <v>0</v>
      </c>
      <c r="L1022" s="70">
        <f>STOCK[[#This Row],[Entradas]]-STOCK[[#This Row],[Salidas]]</f>
        <v>1</v>
      </c>
      <c r="M1022" s="54">
        <f>STOCK[[#This Row],[Precio Final]]*10%</f>
        <v>2.2000000000000002</v>
      </c>
      <c r="N1022" s="54">
        <v>0</v>
      </c>
      <c r="O1022" s="54">
        <v>0</v>
      </c>
      <c r="P1022" s="54">
        <v>10</v>
      </c>
      <c r="Q1022" s="70">
        <v>0</v>
      </c>
      <c r="R1022" s="54">
        <v>0</v>
      </c>
      <c r="S1022" s="54">
        <v>0</v>
      </c>
      <c r="T1022" s="53">
        <f>STOCK[[#This Row],[Costo Unitario (USD)]]+STOCK[[#This Row],[Costo Envío (USD)]]+STOCK[[#This Row],[Comisión 10%]]</f>
        <v>12.2</v>
      </c>
      <c r="U1022" s="54">
        <f>STOCK[[#This Row],[Costo total]]*1.5</f>
        <v>18.299999999999997</v>
      </c>
      <c r="V1022" s="54">
        <v>22</v>
      </c>
      <c r="W1022" s="54">
        <f>STOCK[[#This Row],[Precio Final]]-STOCK[[#This Row],[Costo total]]</f>
        <v>9.8000000000000007</v>
      </c>
      <c r="X1022" s="54">
        <f>STOCK[[#This Row],[Ganancia Unitaria]]*STOCK[[#This Row],[Salidas]]</f>
        <v>0</v>
      </c>
      <c r="AA1022" s="54">
        <f>STOCK[[#This Row],[Costo total]]*STOCK[[#This Row],[Entradas]]</f>
        <v>12.2</v>
      </c>
      <c r="AB1022" s="54">
        <f>STOCK[[#This Row],[Stock Actual]]*STOCK[[#This Row],[Costo total]]</f>
        <v>12.2</v>
      </c>
    </row>
    <row r="1023" spans="1:28" s="53" customFormat="1" ht="50" customHeight="1">
      <c r="A1023" s="53" t="s">
        <v>2100</v>
      </c>
      <c r="B1023" s="64"/>
      <c r="C1023" s="53" t="s">
        <v>32</v>
      </c>
      <c r="D1023" s="53" t="s">
        <v>44</v>
      </c>
      <c r="E1023" s="65" t="s">
        <v>1711</v>
      </c>
      <c r="F1023" s="53" t="s">
        <v>1736</v>
      </c>
      <c r="G1023" s="53" t="s">
        <v>36</v>
      </c>
      <c r="H1023" s="53">
        <f>STOCK[[#This Row],[Precio Final]]</f>
        <v>27</v>
      </c>
      <c r="I1023" s="53">
        <f>STOCK[[#This Row],[Precio Venta Ideal (x1.5)]]</f>
        <v>31.200000000000003</v>
      </c>
      <c r="J1023" s="69">
        <v>1</v>
      </c>
      <c r="K1023" s="69">
        <f>SUMIFS(VENTAS[Cantidad],VENTAS[Código del producto Vendido],STOCK[[#This Row],[Code]])</f>
        <v>1</v>
      </c>
      <c r="L1023" s="69">
        <f>STOCK[[#This Row],[Entradas]]-STOCK[[#This Row],[Salidas]]</f>
        <v>0</v>
      </c>
      <c r="M1023" s="53">
        <f>STOCK[[#This Row],[Precio Final]]*10%</f>
        <v>2.7</v>
      </c>
      <c r="N1023" s="53">
        <v>0</v>
      </c>
      <c r="O1023" s="53">
        <v>0</v>
      </c>
      <c r="P1023" s="53">
        <v>16.600000000000001</v>
      </c>
      <c r="Q1023" s="69">
        <v>0</v>
      </c>
      <c r="R1023" s="53">
        <v>0</v>
      </c>
      <c r="S1023" s="53">
        <v>1.5</v>
      </c>
      <c r="T1023" s="53">
        <f>STOCK[[#This Row],[Costo Unitario (USD)]]+STOCK[[#This Row],[Costo Envío (USD)]]+STOCK[[#This Row],[Comisión 10%]]</f>
        <v>20.8</v>
      </c>
      <c r="U1023" s="53">
        <f>STOCK[[#This Row],[Costo total]]*1.5</f>
        <v>31.200000000000003</v>
      </c>
      <c r="V1023" s="53">
        <v>27</v>
      </c>
      <c r="W1023" s="53">
        <f>STOCK[[#This Row],[Precio Final]]-STOCK[[#This Row],[Costo total]]</f>
        <v>6.1999999999999993</v>
      </c>
      <c r="X1023" s="53">
        <f>STOCK[[#This Row],[Ganancia Unitaria]]*STOCK[[#This Row],[Salidas]]</f>
        <v>6.1999999999999993</v>
      </c>
      <c r="AA1023" s="54">
        <f>STOCK[[#This Row],[Costo total]]*STOCK[[#This Row],[Entradas]]</f>
        <v>20.8</v>
      </c>
      <c r="AB1023" s="54">
        <f>STOCK[[#This Row],[Stock Actual]]*STOCK[[#This Row],[Costo total]]</f>
        <v>0</v>
      </c>
    </row>
    <row r="1024" spans="1:28" s="54" customFormat="1" ht="50" customHeight="1">
      <c r="A1024" s="54" t="s">
        <v>2101</v>
      </c>
      <c r="B1024" s="64" t="s">
        <v>2095</v>
      </c>
      <c r="C1024" s="54" t="s">
        <v>32</v>
      </c>
      <c r="D1024" s="54" t="s">
        <v>44</v>
      </c>
      <c r="E1024" s="66" t="s">
        <v>2102</v>
      </c>
      <c r="F1024" s="54" t="s">
        <v>42</v>
      </c>
      <c r="H1024" s="54">
        <f>STOCK[[#This Row],[Precio Final]]</f>
        <v>20</v>
      </c>
      <c r="I1024" s="54">
        <f>STOCK[[#This Row],[Precio Venta Ideal (x1.5)]]</f>
        <v>4.5</v>
      </c>
      <c r="J1024" s="70">
        <v>0</v>
      </c>
      <c r="K1024" s="70">
        <f>SUMIFS(VENTAS[Cantidad],VENTAS[Código del producto Vendido],STOCK[[#This Row],[Code]])</f>
        <v>0</v>
      </c>
      <c r="L1024" s="70">
        <f>STOCK[[#This Row],[Entradas]]-STOCK[[#This Row],[Salidas]]</f>
        <v>0</v>
      </c>
      <c r="M1024" s="54">
        <f>STOCK[[#This Row],[Precio Final]]*10%</f>
        <v>2</v>
      </c>
      <c r="N1024" s="54">
        <v>0</v>
      </c>
      <c r="O1024" s="54">
        <v>0</v>
      </c>
      <c r="P1024" s="54">
        <v>1</v>
      </c>
      <c r="Q1024" s="70">
        <v>0</v>
      </c>
      <c r="R1024" s="54">
        <v>0</v>
      </c>
      <c r="S1024" s="54">
        <v>0</v>
      </c>
      <c r="T1024" s="53">
        <f>STOCK[[#This Row],[Costo Unitario (USD)]]+STOCK[[#This Row],[Costo Envío (USD)]]+STOCK[[#This Row],[Comisión 10%]]</f>
        <v>3</v>
      </c>
      <c r="U1024" s="54">
        <f>STOCK[[#This Row],[Costo total]]*1.5</f>
        <v>4.5</v>
      </c>
      <c r="V1024" s="54">
        <v>20</v>
      </c>
      <c r="W1024" s="54">
        <f>STOCK[[#This Row],[Precio Final]]-STOCK[[#This Row],[Costo total]]</f>
        <v>17</v>
      </c>
      <c r="X1024" s="54">
        <f>STOCK[[#This Row],[Ganancia Unitaria]]*STOCK[[#This Row],[Salidas]]</f>
        <v>0</v>
      </c>
      <c r="AA1024" s="54">
        <f>STOCK[[#This Row],[Costo total]]*STOCK[[#This Row],[Entradas]]</f>
        <v>0</v>
      </c>
      <c r="AB1024" s="54">
        <f>STOCK[[#This Row],[Stock Actual]]*STOCK[[#This Row],[Costo total]]</f>
        <v>0</v>
      </c>
    </row>
    <row r="1025" spans="1:29" s="53" customFormat="1" ht="50" customHeight="1">
      <c r="A1025" s="54" t="s">
        <v>2103</v>
      </c>
      <c r="B1025" s="64"/>
      <c r="C1025" s="53" t="s">
        <v>32</v>
      </c>
      <c r="D1025" s="53" t="s">
        <v>216</v>
      </c>
      <c r="E1025" s="65" t="s">
        <v>2104</v>
      </c>
      <c r="F1025" s="53" t="s">
        <v>42</v>
      </c>
      <c r="H1025" s="53">
        <f>STOCK[[#This Row],[Precio Final]]</f>
        <v>15</v>
      </c>
      <c r="I1025" s="53">
        <f>STOCK[[#This Row],[Precio Venta Ideal (x1.5)]]</f>
        <v>5.25</v>
      </c>
      <c r="J1025" s="69">
        <v>1</v>
      </c>
      <c r="K1025" s="69">
        <f>SUMIFS(VENTAS[Cantidad],VENTAS[Código del producto Vendido],STOCK[[#This Row],[Code]])</f>
        <v>0</v>
      </c>
      <c r="L1025" s="69">
        <f>STOCK[[#This Row],[Entradas]]-STOCK[[#This Row],[Salidas]]</f>
        <v>1</v>
      </c>
      <c r="M1025" s="53">
        <f>STOCK[[#This Row],[Precio Final]]*10%</f>
        <v>1.5</v>
      </c>
      <c r="N1025" s="53">
        <v>0</v>
      </c>
      <c r="O1025" s="53">
        <v>0</v>
      </c>
      <c r="P1025" s="53">
        <v>2</v>
      </c>
      <c r="Q1025" s="69">
        <v>0</v>
      </c>
      <c r="R1025" s="53">
        <v>0</v>
      </c>
      <c r="S1025" s="53">
        <v>0</v>
      </c>
      <c r="T1025" s="53">
        <f>STOCK[[#This Row],[Costo Unitario (USD)]]+STOCK[[#This Row],[Costo Envío (USD)]]+STOCK[[#This Row],[Comisión 10%]]</f>
        <v>3.5</v>
      </c>
      <c r="U1025" s="53">
        <f>STOCK[[#This Row],[Costo total]]*1.5</f>
        <v>5.25</v>
      </c>
      <c r="V1025" s="53">
        <v>15</v>
      </c>
      <c r="W1025" s="53">
        <f>STOCK[[#This Row],[Precio Final]]-STOCK[[#This Row],[Costo total]]</f>
        <v>11.5</v>
      </c>
      <c r="X1025" s="53">
        <f>STOCK[[#This Row],[Ganancia Unitaria]]*STOCK[[#This Row],[Salidas]]</f>
        <v>0</v>
      </c>
      <c r="AA1025" s="54">
        <f>STOCK[[#This Row],[Costo total]]*STOCK[[#This Row],[Entradas]]</f>
        <v>3.5</v>
      </c>
      <c r="AB1025" s="54">
        <f>STOCK[[#This Row],[Stock Actual]]*STOCK[[#This Row],[Costo total]]</f>
        <v>3.5</v>
      </c>
      <c r="AC1025" s="53">
        <v>12</v>
      </c>
    </row>
    <row r="1026" spans="1:29" s="54" customFormat="1" ht="50" customHeight="1">
      <c r="A1026" s="54" t="s">
        <v>2105</v>
      </c>
      <c r="B1026" s="64"/>
      <c r="C1026" s="54" t="s">
        <v>32</v>
      </c>
      <c r="D1026" s="54" t="s">
        <v>515</v>
      </c>
      <c r="E1026" s="66" t="s">
        <v>1437</v>
      </c>
      <c r="F1026" s="54" t="s">
        <v>1578</v>
      </c>
      <c r="G1026" s="54" t="s">
        <v>1296</v>
      </c>
      <c r="H1026" s="54">
        <f>STOCK[[#This Row],[Precio Final]]</f>
        <v>30</v>
      </c>
      <c r="I1026" s="54">
        <f>STOCK[[#This Row],[Precio Venta Ideal (x1.5)]]</f>
        <v>30</v>
      </c>
      <c r="J1026" s="70">
        <v>1</v>
      </c>
      <c r="K1026" s="70">
        <f>SUMIFS(VENTAS[Cantidad],VENTAS[Código del producto Vendido],STOCK[[#This Row],[Code]])</f>
        <v>1</v>
      </c>
      <c r="L1026" s="70">
        <f>STOCK[[#This Row],[Entradas]]-STOCK[[#This Row],[Salidas]]</f>
        <v>0</v>
      </c>
      <c r="M1026" s="54">
        <f>STOCK[[#This Row],[Precio Final]]*10%</f>
        <v>3</v>
      </c>
      <c r="N1026" s="54">
        <v>0</v>
      </c>
      <c r="O1026" s="54">
        <v>17</v>
      </c>
      <c r="P1026" s="54">
        <v>7</v>
      </c>
      <c r="Q1026" s="70">
        <v>0</v>
      </c>
      <c r="R1026" s="54">
        <v>0</v>
      </c>
      <c r="S1026" s="54">
        <v>10</v>
      </c>
      <c r="T1026" s="53">
        <f>STOCK[[#This Row],[Costo Unitario (USD)]]+STOCK[[#This Row],[Costo Envío (USD)]]+STOCK[[#This Row],[Comisión 10%]]</f>
        <v>20</v>
      </c>
      <c r="U1026" s="54">
        <f>STOCK[[#This Row],[Costo total]]*1.5</f>
        <v>30</v>
      </c>
      <c r="V1026" s="54">
        <v>30</v>
      </c>
      <c r="W1026" s="54">
        <f>STOCK[[#This Row],[Precio Final]]-STOCK[[#This Row],[Costo total]]</f>
        <v>10</v>
      </c>
      <c r="X1026" s="54">
        <f>STOCK[[#This Row],[Ganancia Unitaria]]*STOCK[[#This Row],[Salidas]]</f>
        <v>10</v>
      </c>
      <c r="Y1026" s="54" t="s">
        <v>1431</v>
      </c>
      <c r="AA1026" s="54">
        <f>STOCK[[#This Row],[Costo total]]*STOCK[[#This Row],[Entradas]]</f>
        <v>20</v>
      </c>
      <c r="AB1026" s="54">
        <f>STOCK[[#This Row],[Stock Actual]]*STOCK[[#This Row],[Costo total]]</f>
        <v>0</v>
      </c>
    </row>
    <row r="1027" spans="1:29" s="53" customFormat="1" ht="50" customHeight="1">
      <c r="A1027" s="53" t="s">
        <v>2106</v>
      </c>
      <c r="B1027" s="64"/>
      <c r="C1027" s="53" t="s">
        <v>32</v>
      </c>
      <c r="D1027" s="53" t="s">
        <v>515</v>
      </c>
      <c r="E1027" s="65" t="s">
        <v>1588</v>
      </c>
      <c r="F1027" s="53" t="s">
        <v>517</v>
      </c>
      <c r="G1027" s="53" t="s">
        <v>1296</v>
      </c>
      <c r="H1027" s="53">
        <f>STOCK[[#This Row],[Precio Final]]</f>
        <v>15</v>
      </c>
      <c r="I1027" s="53">
        <f>STOCK[[#This Row],[Precio Venta Ideal (x1.5)]]</f>
        <v>16.484999999999999</v>
      </c>
      <c r="J1027" s="69">
        <v>1</v>
      </c>
      <c r="K1027" s="69">
        <f>SUMIFS(VENTAS[Cantidad],VENTAS[Código del producto Vendido],STOCK[[#This Row],[Code]])</f>
        <v>0</v>
      </c>
      <c r="L1027" s="69">
        <f>STOCK[[#This Row],[Entradas]]-STOCK[[#This Row],[Salidas]]</f>
        <v>1</v>
      </c>
      <c r="M1027" s="53">
        <f>STOCK[[#This Row],[Precio Final]]*10%</f>
        <v>1.5</v>
      </c>
      <c r="N1027" s="53">
        <v>0</v>
      </c>
      <c r="O1027" s="53">
        <v>0</v>
      </c>
      <c r="P1027" s="53">
        <v>6.49</v>
      </c>
      <c r="Q1027" s="69">
        <v>0</v>
      </c>
      <c r="R1027" s="53">
        <v>0</v>
      </c>
      <c r="S1027" s="53">
        <v>3</v>
      </c>
      <c r="T1027" s="53">
        <f>STOCK[[#This Row],[Costo Unitario (USD)]]+STOCK[[#This Row],[Costo Envío (USD)]]+STOCK[[#This Row],[Comisión 10%]]</f>
        <v>10.99</v>
      </c>
      <c r="U1027" s="53">
        <f>STOCK[[#This Row],[Costo total]]*1.5</f>
        <v>16.484999999999999</v>
      </c>
      <c r="V1027" s="53">
        <v>15</v>
      </c>
      <c r="W1027" s="53">
        <f>STOCK[[#This Row],[Precio Final]]-STOCK[[#This Row],[Costo total]]</f>
        <v>4.01</v>
      </c>
      <c r="X1027" s="53">
        <f>STOCK[[#This Row],[Ganancia Unitaria]]*STOCK[[#This Row],[Salidas]]</f>
        <v>0</v>
      </c>
      <c r="AA1027" s="54">
        <f>STOCK[[#This Row],[Costo total]]*STOCK[[#This Row],[Entradas]]</f>
        <v>10.99</v>
      </c>
      <c r="AB1027" s="54">
        <f>STOCK[[#This Row],[Stock Actual]]*STOCK[[#This Row],[Costo total]]</f>
        <v>10.99</v>
      </c>
    </row>
    <row r="1028" spans="1:29" s="54" customFormat="1" ht="50" customHeight="1">
      <c r="A1028" s="54" t="s">
        <v>2107</v>
      </c>
      <c r="B1028" s="64"/>
      <c r="C1028" s="54" t="s">
        <v>32</v>
      </c>
      <c r="D1028" s="54" t="s">
        <v>1882</v>
      </c>
      <c r="E1028" s="66" t="s">
        <v>2108</v>
      </c>
      <c r="F1028" s="54" t="s">
        <v>2109</v>
      </c>
      <c r="G1028" s="54" t="s">
        <v>1877</v>
      </c>
      <c r="H1028" s="54">
        <f>STOCK[[#This Row],[Precio Final]]</f>
        <v>18</v>
      </c>
      <c r="I1028" s="54">
        <f>STOCK[[#This Row],[Precio Venta Ideal (x1.5)]]</f>
        <v>14.085000000000001</v>
      </c>
      <c r="J1028" s="70">
        <v>3</v>
      </c>
      <c r="K1028" s="70">
        <f>SUMIFS(VENTAS[Cantidad],VENTAS[Código del producto Vendido],STOCK[[#This Row],[Code]])</f>
        <v>3</v>
      </c>
      <c r="L1028" s="70">
        <f>STOCK[[#This Row],[Entradas]]-STOCK[[#This Row],[Salidas]]</f>
        <v>0</v>
      </c>
      <c r="M1028" s="54">
        <f>STOCK[[#This Row],[Precio Final]]*10%</f>
        <v>1.8</v>
      </c>
      <c r="N1028" s="54">
        <v>0</v>
      </c>
      <c r="O1028" s="54">
        <v>0</v>
      </c>
      <c r="P1028" s="54">
        <v>6.99</v>
      </c>
      <c r="Q1028" s="70">
        <v>0</v>
      </c>
      <c r="R1028" s="54">
        <v>0</v>
      </c>
      <c r="S1028" s="54">
        <v>0.6</v>
      </c>
      <c r="T1028" s="53">
        <f>STOCK[[#This Row],[Costo Unitario (USD)]]+STOCK[[#This Row],[Costo Envío (USD)]]+STOCK[[#This Row],[Comisión 10%]]</f>
        <v>9.39</v>
      </c>
      <c r="U1028" s="54">
        <f>STOCK[[#This Row],[Costo total]]*1.5</f>
        <v>14.085000000000001</v>
      </c>
      <c r="V1028" s="54">
        <v>18</v>
      </c>
      <c r="W1028" s="54">
        <f>STOCK[[#This Row],[Precio Final]]-STOCK[[#This Row],[Costo total]]</f>
        <v>8.61</v>
      </c>
      <c r="X1028" s="54">
        <f>STOCK[[#This Row],[Ganancia Unitaria]]*STOCK[[#This Row],[Salidas]]</f>
        <v>25.83</v>
      </c>
      <c r="Y1028" s="54" t="s">
        <v>2110</v>
      </c>
      <c r="AA1028" s="54">
        <f>STOCK[[#This Row],[Costo total]]*STOCK[[#This Row],[Entradas]]</f>
        <v>28.17</v>
      </c>
      <c r="AB1028" s="54">
        <f>STOCK[[#This Row],[Stock Actual]]*STOCK[[#This Row],[Costo total]]</f>
        <v>0</v>
      </c>
    </row>
    <row r="1029" spans="1:29" s="53" customFormat="1" ht="50" customHeight="1">
      <c r="A1029" s="53" t="s">
        <v>2111</v>
      </c>
      <c r="B1029" s="64"/>
      <c r="C1029" s="53" t="s">
        <v>32</v>
      </c>
      <c r="D1029" s="53" t="s">
        <v>2112</v>
      </c>
      <c r="E1029" s="65" t="s">
        <v>2113</v>
      </c>
      <c r="F1029" s="53" t="s">
        <v>2109</v>
      </c>
      <c r="G1029" s="53" t="s">
        <v>1877</v>
      </c>
      <c r="H1029" s="53">
        <f>STOCK[[#This Row],[Precio Final]]</f>
        <v>12</v>
      </c>
      <c r="I1029" s="53">
        <f>STOCK[[#This Row],[Precio Venta Ideal (x1.5)]]</f>
        <v>10.17</v>
      </c>
      <c r="J1029" s="69">
        <v>2</v>
      </c>
      <c r="K1029" s="69">
        <f>SUMIFS(VENTAS[Cantidad],VENTAS[Código del producto Vendido],STOCK[[#This Row],[Code]])</f>
        <v>2</v>
      </c>
      <c r="L1029" s="69">
        <f>STOCK[[#This Row],[Entradas]]-STOCK[[#This Row],[Salidas]]</f>
        <v>0</v>
      </c>
      <c r="M1029" s="53">
        <f>STOCK[[#This Row],[Precio Final]]*10%</f>
        <v>1.2000000000000002</v>
      </c>
      <c r="N1029" s="53">
        <v>0</v>
      </c>
      <c r="O1029" s="53">
        <v>0</v>
      </c>
      <c r="P1029" s="53">
        <v>4.9800000000000004</v>
      </c>
      <c r="Q1029" s="69">
        <v>0</v>
      </c>
      <c r="R1029" s="53">
        <v>0</v>
      </c>
      <c r="S1029" s="53">
        <v>0.6</v>
      </c>
      <c r="T1029" s="53">
        <f>STOCK[[#This Row],[Costo Unitario (USD)]]+STOCK[[#This Row],[Costo Envío (USD)]]+STOCK[[#This Row],[Comisión 10%]]</f>
        <v>6.78</v>
      </c>
      <c r="U1029" s="53">
        <f>STOCK[[#This Row],[Costo total]]*1.5</f>
        <v>10.17</v>
      </c>
      <c r="V1029" s="53">
        <v>12</v>
      </c>
      <c r="W1029" s="53">
        <f>STOCK[[#This Row],[Precio Final]]-STOCK[[#This Row],[Costo total]]</f>
        <v>5.22</v>
      </c>
      <c r="X1029" s="53">
        <f>STOCK[[#This Row],[Ganancia Unitaria]]*STOCK[[#This Row],[Salidas]]</f>
        <v>10.44</v>
      </c>
      <c r="Y1029" s="53" t="s">
        <v>2114</v>
      </c>
      <c r="AA1029" s="54">
        <f>STOCK[[#This Row],[Costo total]]*STOCK[[#This Row],[Entradas]]</f>
        <v>13.56</v>
      </c>
      <c r="AB1029" s="54">
        <f>STOCK[[#This Row],[Stock Actual]]*STOCK[[#This Row],[Costo total]]</f>
        <v>0</v>
      </c>
    </row>
    <row r="1030" spans="1:29" s="54" customFormat="1" ht="50" customHeight="1">
      <c r="A1030" s="54" t="s">
        <v>2115</v>
      </c>
      <c r="B1030" s="64"/>
      <c r="C1030" s="54" t="s">
        <v>32</v>
      </c>
      <c r="D1030" s="54" t="s">
        <v>2112</v>
      </c>
      <c r="E1030" s="66" t="s">
        <v>2116</v>
      </c>
      <c r="F1030" s="54" t="s">
        <v>1534</v>
      </c>
      <c r="G1030" s="54" t="s">
        <v>1877</v>
      </c>
      <c r="H1030" s="54">
        <f>STOCK[[#This Row],[Precio Final]]</f>
        <v>12</v>
      </c>
      <c r="I1030" s="54">
        <f>STOCK[[#This Row],[Precio Venta Ideal (x1.5)]]</f>
        <v>7.455000000000001</v>
      </c>
      <c r="J1030" s="70">
        <v>2</v>
      </c>
      <c r="K1030" s="70">
        <f>SUMIFS(VENTAS[Cantidad],VENTAS[Código del producto Vendido],STOCK[[#This Row],[Code]])</f>
        <v>2</v>
      </c>
      <c r="L1030" s="70">
        <f>STOCK[[#This Row],[Entradas]]-STOCK[[#This Row],[Salidas]]</f>
        <v>0</v>
      </c>
      <c r="M1030" s="54">
        <f>STOCK[[#This Row],[Precio Final]]*10%</f>
        <v>1.2000000000000002</v>
      </c>
      <c r="N1030" s="54">
        <v>0</v>
      </c>
      <c r="O1030" s="54">
        <v>0</v>
      </c>
      <c r="P1030" s="54">
        <v>3.17</v>
      </c>
      <c r="Q1030" s="70">
        <v>0</v>
      </c>
      <c r="R1030" s="54">
        <v>0</v>
      </c>
      <c r="S1030" s="54">
        <v>0.6</v>
      </c>
      <c r="T1030" s="53">
        <f>STOCK[[#This Row],[Costo Unitario (USD)]]+STOCK[[#This Row],[Costo Envío (USD)]]+STOCK[[#This Row],[Comisión 10%]]</f>
        <v>4.9700000000000006</v>
      </c>
      <c r="U1030" s="54">
        <f>STOCK[[#This Row],[Costo total]]*1.5</f>
        <v>7.455000000000001</v>
      </c>
      <c r="V1030" s="54">
        <v>12</v>
      </c>
      <c r="W1030" s="54">
        <f>STOCK[[#This Row],[Precio Final]]-STOCK[[#This Row],[Costo total]]</f>
        <v>7.0299999999999994</v>
      </c>
      <c r="X1030" s="54">
        <f>STOCK[[#This Row],[Ganancia Unitaria]]*STOCK[[#This Row],[Salidas]]</f>
        <v>14.059999999999999</v>
      </c>
      <c r="Y1030" s="54" t="s">
        <v>2117</v>
      </c>
      <c r="AA1030" s="54">
        <f>STOCK[[#This Row],[Costo total]]*STOCK[[#This Row],[Entradas]]</f>
        <v>9.9400000000000013</v>
      </c>
      <c r="AB1030" s="54">
        <f>STOCK[[#This Row],[Stock Actual]]*STOCK[[#This Row],[Costo total]]</f>
        <v>0</v>
      </c>
    </row>
    <row r="1031" spans="1:29" s="53" customFormat="1" ht="50" customHeight="1">
      <c r="A1031" s="53" t="s">
        <v>2118</v>
      </c>
      <c r="B1031" s="64"/>
      <c r="C1031" s="53" t="s">
        <v>32</v>
      </c>
      <c r="D1031" s="53" t="s">
        <v>2119</v>
      </c>
      <c r="E1031" s="65" t="s">
        <v>2120</v>
      </c>
      <c r="F1031" s="53" t="s">
        <v>62</v>
      </c>
      <c r="G1031" s="53" t="s">
        <v>1877</v>
      </c>
      <c r="H1031" s="53">
        <f>STOCK[[#This Row],[Precio Final]]</f>
        <v>25</v>
      </c>
      <c r="I1031" s="53">
        <f>STOCK[[#This Row],[Precio Venta Ideal (x1.5)]]</f>
        <v>16.995000000000001</v>
      </c>
      <c r="J1031" s="69">
        <v>1</v>
      </c>
      <c r="K1031" s="69">
        <f>SUMIFS(VENTAS[Cantidad],VENTAS[Código del producto Vendido],STOCK[[#This Row],[Code]])</f>
        <v>1</v>
      </c>
      <c r="L1031" s="69">
        <f>STOCK[[#This Row],[Entradas]]-STOCK[[#This Row],[Salidas]]</f>
        <v>0</v>
      </c>
      <c r="M1031" s="53">
        <f>STOCK[[#This Row],[Precio Final]]*10%</f>
        <v>2.5</v>
      </c>
      <c r="N1031" s="53">
        <v>0</v>
      </c>
      <c r="O1031" s="53">
        <v>0</v>
      </c>
      <c r="P1031" s="53">
        <v>8.23</v>
      </c>
      <c r="Q1031" s="69">
        <v>0</v>
      </c>
      <c r="R1031" s="53">
        <v>0</v>
      </c>
      <c r="S1031" s="53">
        <v>0.6</v>
      </c>
      <c r="T1031" s="53">
        <f>STOCK[[#This Row],[Costo Unitario (USD)]]+STOCK[[#This Row],[Costo Envío (USD)]]+STOCK[[#This Row],[Comisión 10%]]</f>
        <v>11.33</v>
      </c>
      <c r="U1031" s="53">
        <f>STOCK[[#This Row],[Costo total]]*1.5</f>
        <v>16.995000000000001</v>
      </c>
      <c r="V1031" s="53">
        <v>25</v>
      </c>
      <c r="W1031" s="53">
        <f>STOCK[[#This Row],[Precio Final]]-STOCK[[#This Row],[Costo total]]</f>
        <v>13.67</v>
      </c>
      <c r="X1031" s="53">
        <f>STOCK[[#This Row],[Ganancia Unitaria]]*STOCK[[#This Row],[Salidas]]</f>
        <v>13.67</v>
      </c>
      <c r="Y1031" s="53" t="s">
        <v>2121</v>
      </c>
      <c r="AA1031" s="54">
        <f>STOCK[[#This Row],[Costo total]]*STOCK[[#This Row],[Entradas]]</f>
        <v>11.33</v>
      </c>
      <c r="AB1031" s="54">
        <f>STOCK[[#This Row],[Stock Actual]]*STOCK[[#This Row],[Costo total]]</f>
        <v>0</v>
      </c>
    </row>
    <row r="1032" spans="1:29" s="54" customFormat="1" ht="50" customHeight="1">
      <c r="A1032" s="54" t="s">
        <v>2122</v>
      </c>
      <c r="B1032" s="64"/>
      <c r="C1032" s="54" t="s">
        <v>32</v>
      </c>
      <c r="D1032" s="54" t="s">
        <v>2119</v>
      </c>
      <c r="E1032" s="66" t="s">
        <v>2120</v>
      </c>
      <c r="F1032" s="54" t="s">
        <v>49</v>
      </c>
      <c r="G1032" s="54" t="s">
        <v>1877</v>
      </c>
      <c r="H1032" s="54">
        <f>STOCK[[#This Row],[Precio Final]]</f>
        <v>25</v>
      </c>
      <c r="I1032" s="54">
        <f>STOCK[[#This Row],[Precio Venta Ideal (x1.5)]]</f>
        <v>16.995000000000001</v>
      </c>
      <c r="J1032" s="70">
        <v>1</v>
      </c>
      <c r="K1032" s="70">
        <f>SUMIFS(VENTAS[Cantidad],VENTAS[Código del producto Vendido],STOCK[[#This Row],[Code]])</f>
        <v>1</v>
      </c>
      <c r="L1032" s="70">
        <f>STOCK[[#This Row],[Entradas]]-STOCK[[#This Row],[Salidas]]</f>
        <v>0</v>
      </c>
      <c r="M1032" s="54">
        <f>STOCK[[#This Row],[Precio Final]]*10%</f>
        <v>2.5</v>
      </c>
      <c r="N1032" s="54">
        <v>0</v>
      </c>
      <c r="O1032" s="54">
        <v>0</v>
      </c>
      <c r="P1032" s="54">
        <v>8.23</v>
      </c>
      <c r="Q1032" s="70">
        <v>0</v>
      </c>
      <c r="R1032" s="54">
        <v>0</v>
      </c>
      <c r="S1032" s="54">
        <v>0.6</v>
      </c>
      <c r="T1032" s="53">
        <f>STOCK[[#This Row],[Costo Unitario (USD)]]+STOCK[[#This Row],[Costo Envío (USD)]]+STOCK[[#This Row],[Comisión 10%]]</f>
        <v>11.33</v>
      </c>
      <c r="U1032" s="54">
        <f>STOCK[[#This Row],[Costo total]]*1.5</f>
        <v>16.995000000000001</v>
      </c>
      <c r="V1032" s="54">
        <v>25</v>
      </c>
      <c r="W1032" s="54">
        <f>STOCK[[#This Row],[Precio Final]]-STOCK[[#This Row],[Costo total]]</f>
        <v>13.67</v>
      </c>
      <c r="X1032" s="54">
        <f>STOCK[[#This Row],[Ganancia Unitaria]]*STOCK[[#This Row],[Salidas]]</f>
        <v>13.67</v>
      </c>
      <c r="Y1032" s="54" t="s">
        <v>2123</v>
      </c>
      <c r="AA1032" s="54">
        <f>STOCK[[#This Row],[Costo total]]*STOCK[[#This Row],[Entradas]]</f>
        <v>11.33</v>
      </c>
      <c r="AB1032" s="54">
        <f>STOCK[[#This Row],[Stock Actual]]*STOCK[[#This Row],[Costo total]]</f>
        <v>0</v>
      </c>
    </row>
    <row r="1033" spans="1:29" s="53" customFormat="1" ht="50" customHeight="1">
      <c r="A1033" s="53" t="s">
        <v>2124</v>
      </c>
      <c r="B1033" s="64"/>
      <c r="C1033" s="53" t="s">
        <v>32</v>
      </c>
      <c r="D1033" s="54" t="s">
        <v>38</v>
      </c>
      <c r="E1033" s="65" t="s">
        <v>2125</v>
      </c>
      <c r="F1033" s="53" t="s">
        <v>46</v>
      </c>
      <c r="G1033" s="53" t="s">
        <v>1877</v>
      </c>
      <c r="H1033" s="53">
        <f>STOCK[[#This Row],[Precio Final]]</f>
        <v>25</v>
      </c>
      <c r="I1033" s="53">
        <f>STOCK[[#This Row],[Precio Venta Ideal (x1.5)]]</f>
        <v>20.564999999999998</v>
      </c>
      <c r="J1033" s="69">
        <v>1</v>
      </c>
      <c r="K1033" s="69">
        <f>SUMIFS(VENTAS[Cantidad],VENTAS[Código del producto Vendido],STOCK[[#This Row],[Code]])</f>
        <v>1</v>
      </c>
      <c r="L1033" s="69">
        <f>STOCK[[#This Row],[Entradas]]-STOCK[[#This Row],[Salidas]]</f>
        <v>0</v>
      </c>
      <c r="M1033" s="53">
        <f>STOCK[[#This Row],[Precio Final]]*10%</f>
        <v>2.5</v>
      </c>
      <c r="N1033" s="53">
        <v>0</v>
      </c>
      <c r="O1033" s="53">
        <v>0</v>
      </c>
      <c r="P1033" s="53">
        <v>10.61</v>
      </c>
      <c r="Q1033" s="69">
        <v>0</v>
      </c>
      <c r="R1033" s="53">
        <v>0</v>
      </c>
      <c r="S1033" s="53">
        <v>0.6</v>
      </c>
      <c r="T1033" s="53">
        <f>STOCK[[#This Row],[Costo Unitario (USD)]]+STOCK[[#This Row],[Costo Envío (USD)]]+STOCK[[#This Row],[Comisión 10%]]</f>
        <v>13.709999999999999</v>
      </c>
      <c r="U1033" s="53">
        <f>STOCK[[#This Row],[Costo total]]*1.5</f>
        <v>20.564999999999998</v>
      </c>
      <c r="V1033" s="53">
        <v>25</v>
      </c>
      <c r="W1033" s="53">
        <f>STOCK[[#This Row],[Precio Final]]-STOCK[[#This Row],[Costo total]]</f>
        <v>11.290000000000001</v>
      </c>
      <c r="X1033" s="53">
        <f>STOCK[[#This Row],[Ganancia Unitaria]]*STOCK[[#This Row],[Salidas]]</f>
        <v>11.290000000000001</v>
      </c>
      <c r="Y1033" s="53" t="s">
        <v>2126</v>
      </c>
      <c r="AA1033" s="54">
        <f>STOCK[[#This Row],[Costo total]]*STOCK[[#This Row],[Entradas]]</f>
        <v>13.709999999999999</v>
      </c>
      <c r="AB1033" s="54">
        <f>STOCK[[#This Row],[Stock Actual]]*STOCK[[#This Row],[Costo total]]</f>
        <v>0</v>
      </c>
    </row>
    <row r="1034" spans="1:29" s="54" customFormat="1" ht="50" customHeight="1">
      <c r="A1034" s="54" t="s">
        <v>2127</v>
      </c>
      <c r="B1034" s="64"/>
      <c r="C1034" s="54" t="s">
        <v>32</v>
      </c>
      <c r="D1034" s="54" t="s">
        <v>2128</v>
      </c>
      <c r="E1034" s="66" t="s">
        <v>2125</v>
      </c>
      <c r="F1034" s="54" t="s">
        <v>62</v>
      </c>
      <c r="G1034" s="54" t="s">
        <v>1877</v>
      </c>
      <c r="H1034" s="54">
        <f>STOCK[[#This Row],[Precio Final]]</f>
        <v>25</v>
      </c>
      <c r="I1034" s="54">
        <f>STOCK[[#This Row],[Precio Venta Ideal (x1.5)]]</f>
        <v>20.564999999999998</v>
      </c>
      <c r="J1034" s="70">
        <v>1</v>
      </c>
      <c r="K1034" s="70">
        <f>SUMIFS(VENTAS[Cantidad],VENTAS[Código del producto Vendido],STOCK[[#This Row],[Code]])</f>
        <v>1</v>
      </c>
      <c r="L1034" s="70">
        <f>STOCK[[#This Row],[Entradas]]-STOCK[[#This Row],[Salidas]]</f>
        <v>0</v>
      </c>
      <c r="M1034" s="54">
        <f>STOCK[[#This Row],[Precio Final]]*10%</f>
        <v>2.5</v>
      </c>
      <c r="N1034" s="54">
        <v>0</v>
      </c>
      <c r="O1034" s="54">
        <v>0</v>
      </c>
      <c r="P1034" s="54">
        <v>10.61</v>
      </c>
      <c r="Q1034" s="70">
        <v>0</v>
      </c>
      <c r="R1034" s="54">
        <v>0</v>
      </c>
      <c r="S1034" s="54">
        <v>0.6</v>
      </c>
      <c r="T1034" s="53">
        <f>STOCK[[#This Row],[Costo Unitario (USD)]]+STOCK[[#This Row],[Costo Envío (USD)]]+STOCK[[#This Row],[Comisión 10%]]</f>
        <v>13.709999999999999</v>
      </c>
      <c r="U1034" s="54">
        <f>STOCK[[#This Row],[Costo total]]*1.5</f>
        <v>20.564999999999998</v>
      </c>
      <c r="V1034" s="54">
        <v>25</v>
      </c>
      <c r="W1034" s="54">
        <f>STOCK[[#This Row],[Precio Final]]-STOCK[[#This Row],[Costo total]]</f>
        <v>11.290000000000001</v>
      </c>
      <c r="X1034" s="54">
        <f>STOCK[[#This Row],[Ganancia Unitaria]]*STOCK[[#This Row],[Salidas]]</f>
        <v>11.290000000000001</v>
      </c>
      <c r="Y1034" s="54" t="s">
        <v>2129</v>
      </c>
      <c r="AA1034" s="54">
        <f>STOCK[[#This Row],[Costo total]]*STOCK[[#This Row],[Entradas]]</f>
        <v>13.709999999999999</v>
      </c>
      <c r="AB1034" s="54">
        <f>STOCK[[#This Row],[Stock Actual]]*STOCK[[#This Row],[Costo total]]</f>
        <v>0</v>
      </c>
    </row>
    <row r="1035" spans="1:29" s="53" customFormat="1" ht="50" customHeight="1">
      <c r="A1035" s="53" t="s">
        <v>2130</v>
      </c>
      <c r="B1035" s="64"/>
      <c r="C1035" s="53" t="s">
        <v>32</v>
      </c>
      <c r="D1035" s="53" t="s">
        <v>1753</v>
      </c>
      <c r="E1035" s="65" t="s">
        <v>2131</v>
      </c>
      <c r="F1035" s="53" t="s">
        <v>46</v>
      </c>
      <c r="G1035" s="53" t="s">
        <v>1877</v>
      </c>
      <c r="H1035" s="53">
        <f>STOCK[[#This Row],[Precio Final]]</f>
        <v>22</v>
      </c>
      <c r="I1035" s="53">
        <f>STOCK[[#This Row],[Precio Venta Ideal (x1.5)]]</f>
        <v>19.559999999999999</v>
      </c>
      <c r="J1035" s="69">
        <v>1</v>
      </c>
      <c r="K1035" s="69">
        <f>SUMIFS(VENTAS[Cantidad],VENTAS[Código del producto Vendido],STOCK[[#This Row],[Code]])</f>
        <v>1</v>
      </c>
      <c r="L1035" s="69">
        <f>STOCK[[#This Row],[Entradas]]-STOCK[[#This Row],[Salidas]]</f>
        <v>0</v>
      </c>
      <c r="M1035" s="53">
        <f>STOCK[[#This Row],[Precio Final]]*10%</f>
        <v>2.2000000000000002</v>
      </c>
      <c r="N1035" s="53">
        <v>0</v>
      </c>
      <c r="O1035" s="53">
        <v>0</v>
      </c>
      <c r="P1035" s="53">
        <v>10.24</v>
      </c>
      <c r="Q1035" s="69">
        <v>0</v>
      </c>
      <c r="R1035" s="53">
        <v>0</v>
      </c>
      <c r="S1035" s="53">
        <v>0.6</v>
      </c>
      <c r="T1035" s="53">
        <f>STOCK[[#This Row],[Costo Unitario (USD)]]+STOCK[[#This Row],[Costo Envío (USD)]]+STOCK[[#This Row],[Comisión 10%]]</f>
        <v>13.04</v>
      </c>
      <c r="U1035" s="53">
        <f>STOCK[[#This Row],[Costo total]]*1.5</f>
        <v>19.559999999999999</v>
      </c>
      <c r="V1035" s="53">
        <v>22</v>
      </c>
      <c r="W1035" s="53">
        <f>STOCK[[#This Row],[Precio Final]]-STOCK[[#This Row],[Costo total]]</f>
        <v>8.9600000000000009</v>
      </c>
      <c r="X1035" s="53">
        <f>STOCK[[#This Row],[Ganancia Unitaria]]*STOCK[[#This Row],[Salidas]]</f>
        <v>8.9600000000000009</v>
      </c>
      <c r="Y1035" s="53" t="s">
        <v>2132</v>
      </c>
      <c r="AA1035" s="54">
        <f>STOCK[[#This Row],[Costo total]]*STOCK[[#This Row],[Entradas]]</f>
        <v>13.04</v>
      </c>
      <c r="AB1035" s="54">
        <f>STOCK[[#This Row],[Stock Actual]]*STOCK[[#This Row],[Costo total]]</f>
        <v>0</v>
      </c>
    </row>
    <row r="1036" spans="1:29" s="54" customFormat="1" ht="50" customHeight="1">
      <c r="A1036" s="54" t="s">
        <v>2133</v>
      </c>
      <c r="B1036" s="64"/>
      <c r="C1036" s="54" t="s">
        <v>32</v>
      </c>
      <c r="D1036" s="54" t="s">
        <v>2134</v>
      </c>
      <c r="E1036" s="66" t="s">
        <v>2135</v>
      </c>
      <c r="F1036" s="54" t="s">
        <v>46</v>
      </c>
      <c r="G1036" s="54" t="s">
        <v>1877</v>
      </c>
      <c r="H1036" s="54">
        <f>STOCK[[#This Row],[Precio Final]]</f>
        <v>25</v>
      </c>
      <c r="I1036" s="54">
        <f>STOCK[[#This Row],[Precio Venta Ideal (x1.5)]]</f>
        <v>21.434999999999999</v>
      </c>
      <c r="J1036" s="70">
        <v>1</v>
      </c>
      <c r="K1036" s="70">
        <f>SUMIFS(VENTAS[Cantidad],VENTAS[Código del producto Vendido],STOCK[[#This Row],[Code]])</f>
        <v>1</v>
      </c>
      <c r="L1036" s="70">
        <f>STOCK[[#This Row],[Entradas]]-STOCK[[#This Row],[Salidas]]</f>
        <v>0</v>
      </c>
      <c r="M1036" s="54">
        <f>STOCK[[#This Row],[Precio Final]]*10%</f>
        <v>2.5</v>
      </c>
      <c r="N1036" s="54">
        <v>0</v>
      </c>
      <c r="O1036" s="54">
        <v>0</v>
      </c>
      <c r="P1036" s="54">
        <v>11.19</v>
      </c>
      <c r="Q1036" s="70">
        <v>0</v>
      </c>
      <c r="R1036" s="54">
        <v>0</v>
      </c>
      <c r="S1036" s="54">
        <v>0.6</v>
      </c>
      <c r="T1036" s="53">
        <f>STOCK[[#This Row],[Costo Unitario (USD)]]+STOCK[[#This Row],[Costo Envío (USD)]]+STOCK[[#This Row],[Comisión 10%]]</f>
        <v>14.29</v>
      </c>
      <c r="U1036" s="54">
        <f>STOCK[[#This Row],[Costo total]]*1.5</f>
        <v>21.434999999999999</v>
      </c>
      <c r="V1036" s="54">
        <v>25</v>
      </c>
      <c r="W1036" s="54">
        <f>STOCK[[#This Row],[Precio Final]]-STOCK[[#This Row],[Costo total]]</f>
        <v>10.71</v>
      </c>
      <c r="X1036" s="54">
        <f>STOCK[[#This Row],[Ganancia Unitaria]]*STOCK[[#This Row],[Salidas]]</f>
        <v>10.71</v>
      </c>
      <c r="Y1036" s="54" t="s">
        <v>2136</v>
      </c>
      <c r="AA1036" s="54">
        <f>STOCK[[#This Row],[Costo total]]*STOCK[[#This Row],[Entradas]]</f>
        <v>14.29</v>
      </c>
      <c r="AB1036" s="54">
        <f>STOCK[[#This Row],[Stock Actual]]*STOCK[[#This Row],[Costo total]]</f>
        <v>0</v>
      </c>
    </row>
    <row r="1037" spans="1:29" s="53" customFormat="1" ht="50" customHeight="1">
      <c r="A1037" s="53" t="s">
        <v>2137</v>
      </c>
      <c r="B1037" s="64"/>
      <c r="C1037" s="53" t="s">
        <v>32</v>
      </c>
      <c r="D1037" s="53" t="s">
        <v>2138</v>
      </c>
      <c r="E1037" s="65" t="s">
        <v>2139</v>
      </c>
      <c r="F1037" s="53" t="s">
        <v>2140</v>
      </c>
      <c r="G1037" s="53" t="s">
        <v>1877</v>
      </c>
      <c r="H1037" s="53">
        <f>STOCK[[#This Row],[Precio Final]]</f>
        <v>30</v>
      </c>
      <c r="I1037" s="53">
        <f>STOCK[[#This Row],[Precio Venta Ideal (x1.5)]]</f>
        <v>15.075000000000001</v>
      </c>
      <c r="J1037" s="69">
        <v>2</v>
      </c>
      <c r="K1037" s="69">
        <f>SUMIFS(VENTAS[Cantidad],VENTAS[Código del producto Vendido],STOCK[[#This Row],[Code]])</f>
        <v>1</v>
      </c>
      <c r="L1037" s="69">
        <f>STOCK[[#This Row],[Entradas]]-STOCK[[#This Row],[Salidas]]</f>
        <v>1</v>
      </c>
      <c r="M1037" s="53">
        <f>STOCK[[#This Row],[Precio Final]]*10%</f>
        <v>3</v>
      </c>
      <c r="N1037" s="53">
        <v>0</v>
      </c>
      <c r="O1037" s="53">
        <v>0</v>
      </c>
      <c r="P1037" s="53">
        <v>6.45</v>
      </c>
      <c r="Q1037" s="69">
        <v>0</v>
      </c>
      <c r="R1037" s="53">
        <v>0</v>
      </c>
      <c r="S1037" s="53">
        <v>0.6</v>
      </c>
      <c r="T1037" s="53">
        <f>STOCK[[#This Row],[Costo Unitario (USD)]]+STOCK[[#This Row],[Costo Envío (USD)]]+STOCK[[#This Row],[Comisión 10%]]</f>
        <v>10.050000000000001</v>
      </c>
      <c r="U1037" s="53">
        <f>STOCK[[#This Row],[Costo total]]*1.5</f>
        <v>15.075000000000001</v>
      </c>
      <c r="V1037" s="53">
        <v>30</v>
      </c>
      <c r="W1037" s="53">
        <f>STOCK[[#This Row],[Precio Final]]-STOCK[[#This Row],[Costo total]]</f>
        <v>19.95</v>
      </c>
      <c r="X1037" s="53">
        <f>STOCK[[#This Row],[Ganancia Unitaria]]*STOCK[[#This Row],[Salidas]]</f>
        <v>19.95</v>
      </c>
      <c r="Y1037" s="53" t="s">
        <v>2141</v>
      </c>
      <c r="AA1037" s="54">
        <f>STOCK[[#This Row],[Costo total]]*STOCK[[#This Row],[Entradas]]</f>
        <v>20.100000000000001</v>
      </c>
      <c r="AB1037" s="54">
        <f>STOCK[[#This Row],[Stock Actual]]*STOCK[[#This Row],[Costo total]]</f>
        <v>10.050000000000001</v>
      </c>
    </row>
    <row r="1038" spans="1:29" s="54" customFormat="1" ht="50" customHeight="1">
      <c r="A1038" s="54" t="s">
        <v>2142</v>
      </c>
      <c r="B1038" s="64"/>
      <c r="C1038" s="54" t="s">
        <v>32</v>
      </c>
      <c r="D1038" s="54" t="s">
        <v>1212</v>
      </c>
      <c r="E1038" s="66" t="s">
        <v>2139</v>
      </c>
      <c r="F1038" s="54" t="s">
        <v>2143</v>
      </c>
      <c r="G1038" s="54" t="s">
        <v>1877</v>
      </c>
      <c r="H1038" s="54">
        <f>STOCK[[#This Row],[Precio Final]]</f>
        <v>30</v>
      </c>
      <c r="I1038" s="54">
        <f>STOCK[[#This Row],[Precio Venta Ideal (x1.5)]]</f>
        <v>15.075000000000001</v>
      </c>
      <c r="J1038" s="70">
        <v>2</v>
      </c>
      <c r="K1038" s="70">
        <f>SUMIFS(VENTAS[Cantidad],VENTAS[Código del producto Vendido],STOCK[[#This Row],[Code]])</f>
        <v>2</v>
      </c>
      <c r="L1038" s="70">
        <f>STOCK[[#This Row],[Entradas]]-STOCK[[#This Row],[Salidas]]</f>
        <v>0</v>
      </c>
      <c r="M1038" s="54">
        <f>STOCK[[#This Row],[Precio Final]]*10%</f>
        <v>3</v>
      </c>
      <c r="N1038" s="54">
        <v>0</v>
      </c>
      <c r="O1038" s="54">
        <v>0</v>
      </c>
      <c r="P1038" s="54">
        <v>6.45</v>
      </c>
      <c r="Q1038" s="70">
        <v>0</v>
      </c>
      <c r="R1038" s="54">
        <v>0</v>
      </c>
      <c r="S1038" s="54">
        <v>0.6</v>
      </c>
      <c r="T1038" s="53">
        <f>STOCK[[#This Row],[Costo Unitario (USD)]]+STOCK[[#This Row],[Costo Envío (USD)]]+STOCK[[#This Row],[Comisión 10%]]</f>
        <v>10.050000000000001</v>
      </c>
      <c r="U1038" s="54">
        <f>STOCK[[#This Row],[Costo total]]*1.5</f>
        <v>15.075000000000001</v>
      </c>
      <c r="V1038" s="54">
        <v>30</v>
      </c>
      <c r="W1038" s="54">
        <f>STOCK[[#This Row],[Precio Final]]-STOCK[[#This Row],[Costo total]]</f>
        <v>19.95</v>
      </c>
      <c r="X1038" s="54">
        <f>STOCK[[#This Row],[Ganancia Unitaria]]*STOCK[[#This Row],[Salidas]]</f>
        <v>39.9</v>
      </c>
      <c r="Y1038" s="54" t="s">
        <v>2144</v>
      </c>
      <c r="AA1038" s="54">
        <f>STOCK[[#This Row],[Costo total]]*STOCK[[#This Row],[Entradas]]</f>
        <v>20.100000000000001</v>
      </c>
      <c r="AB1038" s="54">
        <f>STOCK[[#This Row],[Stock Actual]]*STOCK[[#This Row],[Costo total]]</f>
        <v>0</v>
      </c>
    </row>
    <row r="1039" spans="1:29" s="53" customFormat="1" ht="50" customHeight="1">
      <c r="A1039" s="53" t="s">
        <v>2145</v>
      </c>
      <c r="B1039" s="64"/>
      <c r="C1039" s="53" t="s">
        <v>32</v>
      </c>
      <c r="D1039" s="53" t="s">
        <v>1212</v>
      </c>
      <c r="E1039" s="65" t="s">
        <v>2139</v>
      </c>
      <c r="F1039" s="53" t="s">
        <v>2146</v>
      </c>
      <c r="G1039" s="53" t="s">
        <v>1877</v>
      </c>
      <c r="H1039" s="53">
        <f>STOCK[[#This Row],[Precio Final]]</f>
        <v>30</v>
      </c>
      <c r="I1039" s="53">
        <f>STOCK[[#This Row],[Precio Venta Ideal (x1.5)]]</f>
        <v>15.075000000000001</v>
      </c>
      <c r="J1039" s="69">
        <v>2</v>
      </c>
      <c r="K1039" s="69">
        <f>SUMIFS(VENTAS[Cantidad],VENTAS[Código del producto Vendido],STOCK[[#This Row],[Code]])</f>
        <v>2</v>
      </c>
      <c r="L1039" s="69">
        <f>STOCK[[#This Row],[Entradas]]-STOCK[[#This Row],[Salidas]]</f>
        <v>0</v>
      </c>
      <c r="M1039" s="53">
        <f>STOCK[[#This Row],[Precio Final]]*10%</f>
        <v>3</v>
      </c>
      <c r="N1039" s="53">
        <v>0</v>
      </c>
      <c r="O1039" s="53">
        <v>0</v>
      </c>
      <c r="P1039" s="53">
        <v>6.45</v>
      </c>
      <c r="Q1039" s="69">
        <v>0</v>
      </c>
      <c r="R1039" s="53">
        <v>0</v>
      </c>
      <c r="S1039" s="53">
        <v>0.6</v>
      </c>
      <c r="T1039" s="53">
        <f>STOCK[[#This Row],[Costo Unitario (USD)]]+STOCK[[#This Row],[Costo Envío (USD)]]+STOCK[[#This Row],[Comisión 10%]]</f>
        <v>10.050000000000001</v>
      </c>
      <c r="U1039" s="53">
        <f>STOCK[[#This Row],[Costo total]]*1.5</f>
        <v>15.075000000000001</v>
      </c>
      <c r="V1039" s="53">
        <v>30</v>
      </c>
      <c r="W1039" s="53">
        <f>STOCK[[#This Row],[Precio Final]]-STOCK[[#This Row],[Costo total]]</f>
        <v>19.95</v>
      </c>
      <c r="X1039" s="53">
        <f>STOCK[[#This Row],[Ganancia Unitaria]]*STOCK[[#This Row],[Salidas]]</f>
        <v>39.9</v>
      </c>
      <c r="Y1039" s="53" t="s">
        <v>2147</v>
      </c>
      <c r="AA1039" s="54">
        <f>STOCK[[#This Row],[Costo total]]*STOCK[[#This Row],[Entradas]]</f>
        <v>20.100000000000001</v>
      </c>
      <c r="AB1039" s="54">
        <f>STOCK[[#This Row],[Stock Actual]]*STOCK[[#This Row],[Costo total]]</f>
        <v>0</v>
      </c>
    </row>
    <row r="1040" spans="1:29" s="54" customFormat="1" ht="50" customHeight="1">
      <c r="A1040" s="54" t="s">
        <v>2148</v>
      </c>
      <c r="B1040" s="64"/>
      <c r="C1040" s="54" t="s">
        <v>32</v>
      </c>
      <c r="D1040" s="54" t="s">
        <v>38</v>
      </c>
      <c r="E1040" s="66" t="s">
        <v>2149</v>
      </c>
      <c r="F1040" s="54" t="s">
        <v>46</v>
      </c>
      <c r="G1040" s="54" t="s">
        <v>1877</v>
      </c>
      <c r="H1040" s="54">
        <f>STOCK[[#This Row],[Precio Final]]</f>
        <v>25</v>
      </c>
      <c r="I1040" s="54">
        <f>STOCK[[#This Row],[Precio Venta Ideal (x1.5)]]</f>
        <v>18.254999999999999</v>
      </c>
      <c r="J1040" s="70">
        <v>1</v>
      </c>
      <c r="K1040" s="70">
        <f>SUMIFS(VENTAS[Cantidad],VENTAS[Código del producto Vendido],STOCK[[#This Row],[Code]])</f>
        <v>1</v>
      </c>
      <c r="L1040" s="70">
        <f>STOCK[[#This Row],[Entradas]]-STOCK[[#This Row],[Salidas]]</f>
        <v>0</v>
      </c>
      <c r="M1040" s="54">
        <f>STOCK[[#This Row],[Precio Final]]*10%</f>
        <v>2.5</v>
      </c>
      <c r="N1040" s="54">
        <v>0</v>
      </c>
      <c r="O1040" s="54">
        <v>0</v>
      </c>
      <c r="P1040" s="54">
        <v>9.07</v>
      </c>
      <c r="Q1040" s="70">
        <v>0</v>
      </c>
      <c r="R1040" s="54">
        <v>0</v>
      </c>
      <c r="S1040" s="54">
        <v>0.6</v>
      </c>
      <c r="T1040" s="53">
        <f>STOCK[[#This Row],[Costo Unitario (USD)]]+STOCK[[#This Row],[Costo Envío (USD)]]+STOCK[[#This Row],[Comisión 10%]]</f>
        <v>12.17</v>
      </c>
      <c r="U1040" s="54">
        <f>STOCK[[#This Row],[Costo total]]*1.5</f>
        <v>18.254999999999999</v>
      </c>
      <c r="V1040" s="54">
        <v>25</v>
      </c>
      <c r="W1040" s="54">
        <f>STOCK[[#This Row],[Precio Final]]-STOCK[[#This Row],[Costo total]]</f>
        <v>12.83</v>
      </c>
      <c r="X1040" s="54">
        <f>STOCK[[#This Row],[Ganancia Unitaria]]*STOCK[[#This Row],[Salidas]]</f>
        <v>12.83</v>
      </c>
      <c r="Y1040" s="54" t="s">
        <v>2150</v>
      </c>
      <c r="AA1040" s="54">
        <f>STOCK[[#This Row],[Costo total]]*STOCK[[#This Row],[Entradas]]</f>
        <v>12.17</v>
      </c>
      <c r="AB1040" s="54">
        <f>STOCK[[#This Row],[Stock Actual]]*STOCK[[#This Row],[Costo total]]</f>
        <v>0</v>
      </c>
    </row>
    <row r="1041" spans="1:28" s="53" customFormat="1" ht="50" customHeight="1">
      <c r="A1041" s="53" t="s">
        <v>2151</v>
      </c>
      <c r="B1041" s="64"/>
      <c r="C1041" s="53" t="s">
        <v>32</v>
      </c>
      <c r="D1041" s="54" t="s">
        <v>38</v>
      </c>
      <c r="E1041" s="65" t="s">
        <v>2149</v>
      </c>
      <c r="F1041" s="53" t="s">
        <v>49</v>
      </c>
      <c r="G1041" s="53" t="s">
        <v>1877</v>
      </c>
      <c r="H1041" s="53">
        <f>STOCK[[#This Row],[Precio Final]]</f>
        <v>25</v>
      </c>
      <c r="I1041" s="53">
        <f>STOCK[[#This Row],[Precio Venta Ideal (x1.5)]]</f>
        <v>18.254999999999999</v>
      </c>
      <c r="J1041" s="69">
        <v>1</v>
      </c>
      <c r="K1041" s="69">
        <f>SUMIFS(VENTAS[Cantidad],VENTAS[Código del producto Vendido],STOCK[[#This Row],[Code]])</f>
        <v>1</v>
      </c>
      <c r="L1041" s="69">
        <f>STOCK[[#This Row],[Entradas]]-STOCK[[#This Row],[Salidas]]</f>
        <v>0</v>
      </c>
      <c r="M1041" s="53">
        <f>STOCK[[#This Row],[Precio Final]]*10%</f>
        <v>2.5</v>
      </c>
      <c r="N1041" s="53">
        <v>0</v>
      </c>
      <c r="O1041" s="53">
        <v>0</v>
      </c>
      <c r="P1041" s="53">
        <v>9.07</v>
      </c>
      <c r="Q1041" s="69">
        <v>0</v>
      </c>
      <c r="R1041" s="53">
        <v>0</v>
      </c>
      <c r="S1041" s="53">
        <v>0.6</v>
      </c>
      <c r="T1041" s="53">
        <f>STOCK[[#This Row],[Costo Unitario (USD)]]+STOCK[[#This Row],[Costo Envío (USD)]]+STOCK[[#This Row],[Comisión 10%]]</f>
        <v>12.17</v>
      </c>
      <c r="U1041" s="53">
        <f>STOCK[[#This Row],[Costo total]]*1.5</f>
        <v>18.254999999999999</v>
      </c>
      <c r="V1041" s="53">
        <v>25</v>
      </c>
      <c r="W1041" s="53">
        <f>STOCK[[#This Row],[Precio Final]]-STOCK[[#This Row],[Costo total]]</f>
        <v>12.83</v>
      </c>
      <c r="X1041" s="53">
        <f>STOCK[[#This Row],[Ganancia Unitaria]]*STOCK[[#This Row],[Salidas]]</f>
        <v>12.83</v>
      </c>
      <c r="Y1041" s="53" t="s">
        <v>2152</v>
      </c>
      <c r="AA1041" s="54">
        <f>STOCK[[#This Row],[Costo total]]*STOCK[[#This Row],[Entradas]]</f>
        <v>12.17</v>
      </c>
      <c r="AB1041" s="54">
        <f>STOCK[[#This Row],[Stock Actual]]*STOCK[[#This Row],[Costo total]]</f>
        <v>0</v>
      </c>
    </row>
    <row r="1042" spans="1:28" s="54" customFormat="1" ht="50" customHeight="1">
      <c r="A1042" s="54" t="s">
        <v>2153</v>
      </c>
      <c r="B1042" s="64"/>
      <c r="C1042" s="54" t="s">
        <v>32</v>
      </c>
      <c r="D1042" s="54" t="s">
        <v>38</v>
      </c>
      <c r="E1042" s="66" t="s">
        <v>2149</v>
      </c>
      <c r="F1042" s="54" t="s">
        <v>62</v>
      </c>
      <c r="G1042" s="54" t="s">
        <v>1877</v>
      </c>
      <c r="H1042" s="54">
        <f>STOCK[[#This Row],[Precio Final]]</f>
        <v>25</v>
      </c>
      <c r="I1042" s="54">
        <f>STOCK[[#This Row],[Precio Venta Ideal (x1.5)]]</f>
        <v>18.254999999999999</v>
      </c>
      <c r="J1042" s="70">
        <v>1</v>
      </c>
      <c r="K1042" s="70">
        <f>SUMIFS(VENTAS[Cantidad],VENTAS[Código del producto Vendido],STOCK[[#This Row],[Code]])</f>
        <v>1</v>
      </c>
      <c r="L1042" s="70">
        <f>STOCK[[#This Row],[Entradas]]-STOCK[[#This Row],[Salidas]]</f>
        <v>0</v>
      </c>
      <c r="M1042" s="54">
        <f>STOCK[[#This Row],[Precio Final]]*10%</f>
        <v>2.5</v>
      </c>
      <c r="N1042" s="54">
        <v>0</v>
      </c>
      <c r="O1042" s="54">
        <v>0</v>
      </c>
      <c r="P1042" s="54">
        <v>9.07</v>
      </c>
      <c r="Q1042" s="70">
        <v>0</v>
      </c>
      <c r="R1042" s="54">
        <v>0</v>
      </c>
      <c r="S1042" s="54">
        <v>0.6</v>
      </c>
      <c r="T1042" s="53">
        <f>STOCK[[#This Row],[Costo Unitario (USD)]]+STOCK[[#This Row],[Costo Envío (USD)]]+STOCK[[#This Row],[Comisión 10%]]</f>
        <v>12.17</v>
      </c>
      <c r="U1042" s="54">
        <f>STOCK[[#This Row],[Costo total]]*1.5</f>
        <v>18.254999999999999</v>
      </c>
      <c r="V1042" s="54">
        <v>25</v>
      </c>
      <c r="W1042" s="54">
        <f>STOCK[[#This Row],[Precio Final]]-STOCK[[#This Row],[Costo total]]</f>
        <v>12.83</v>
      </c>
      <c r="X1042" s="54">
        <f>STOCK[[#This Row],[Ganancia Unitaria]]*STOCK[[#This Row],[Salidas]]</f>
        <v>12.83</v>
      </c>
      <c r="Y1042" s="54" t="s">
        <v>2154</v>
      </c>
      <c r="AA1042" s="54">
        <f>STOCK[[#This Row],[Costo total]]*STOCK[[#This Row],[Entradas]]</f>
        <v>12.17</v>
      </c>
      <c r="AB1042" s="54">
        <f>STOCK[[#This Row],[Stock Actual]]*STOCK[[#This Row],[Costo total]]</f>
        <v>0</v>
      </c>
    </row>
    <row r="1043" spans="1:28" s="53" customFormat="1" ht="50" customHeight="1">
      <c r="A1043" s="53" t="s">
        <v>2155</v>
      </c>
      <c r="B1043" s="64"/>
      <c r="C1043" s="53" t="s">
        <v>32</v>
      </c>
      <c r="D1043" s="53" t="s">
        <v>2128</v>
      </c>
      <c r="E1043" s="65" t="s">
        <v>2156</v>
      </c>
      <c r="F1043" s="53" t="s">
        <v>62</v>
      </c>
      <c r="G1043" s="53" t="s">
        <v>1877</v>
      </c>
      <c r="H1043" s="53">
        <f>STOCK[[#This Row],[Precio Final]]</f>
        <v>25</v>
      </c>
      <c r="I1043" s="53">
        <f>STOCK[[#This Row],[Precio Venta Ideal (x1.5)]]</f>
        <v>15.704999999999998</v>
      </c>
      <c r="J1043" s="69">
        <v>1</v>
      </c>
      <c r="K1043" s="69">
        <f>SUMIFS(VENTAS[Cantidad],VENTAS[Código del producto Vendido],STOCK[[#This Row],[Code]])</f>
        <v>0</v>
      </c>
      <c r="L1043" s="69">
        <f>STOCK[[#This Row],[Entradas]]-STOCK[[#This Row],[Salidas]]</f>
        <v>1</v>
      </c>
      <c r="M1043" s="53">
        <f>STOCK[[#This Row],[Precio Final]]*10%</f>
        <v>2.5</v>
      </c>
      <c r="N1043" s="53">
        <v>0</v>
      </c>
      <c r="O1043" s="53">
        <v>0</v>
      </c>
      <c r="P1043" s="53">
        <v>7.37</v>
      </c>
      <c r="Q1043" s="69">
        <v>0</v>
      </c>
      <c r="R1043" s="53">
        <v>0</v>
      </c>
      <c r="S1043" s="53">
        <v>0.6</v>
      </c>
      <c r="T1043" s="53">
        <f>STOCK[[#This Row],[Costo Unitario (USD)]]+STOCK[[#This Row],[Costo Envío (USD)]]+STOCK[[#This Row],[Comisión 10%]]</f>
        <v>10.469999999999999</v>
      </c>
      <c r="U1043" s="53">
        <f>STOCK[[#This Row],[Costo total]]*1.5</f>
        <v>15.704999999999998</v>
      </c>
      <c r="V1043" s="53">
        <v>25</v>
      </c>
      <c r="W1043" s="53">
        <f>STOCK[[#This Row],[Precio Final]]-STOCK[[#This Row],[Costo total]]</f>
        <v>14.530000000000001</v>
      </c>
      <c r="X1043" s="53">
        <f>STOCK[[#This Row],[Ganancia Unitaria]]*STOCK[[#This Row],[Salidas]]</f>
        <v>0</v>
      </c>
      <c r="Y1043" s="53" t="s">
        <v>2157</v>
      </c>
      <c r="AA1043" s="54">
        <f>STOCK[[#This Row],[Costo total]]*STOCK[[#This Row],[Entradas]]</f>
        <v>10.469999999999999</v>
      </c>
      <c r="AB1043" s="54">
        <f>STOCK[[#This Row],[Stock Actual]]*STOCK[[#This Row],[Costo total]]</f>
        <v>10.469999999999999</v>
      </c>
    </row>
    <row r="1044" spans="1:28" s="54" customFormat="1" ht="50" customHeight="1">
      <c r="A1044" s="54" t="s">
        <v>2158</v>
      </c>
      <c r="B1044" s="64"/>
      <c r="C1044" s="54" t="s">
        <v>32</v>
      </c>
      <c r="D1044" s="54" t="s">
        <v>38</v>
      </c>
      <c r="E1044" s="66" t="s">
        <v>2159</v>
      </c>
      <c r="F1044" s="54" t="s">
        <v>46</v>
      </c>
      <c r="G1044" s="54" t="s">
        <v>1877</v>
      </c>
      <c r="H1044" s="54">
        <f>STOCK[[#This Row],[Precio Final]]</f>
        <v>25</v>
      </c>
      <c r="I1044" s="54">
        <f>STOCK[[#This Row],[Precio Venta Ideal (x1.5)]]</f>
        <v>19.395</v>
      </c>
      <c r="J1044" s="70">
        <v>1</v>
      </c>
      <c r="K1044" s="70">
        <f>SUMIFS(VENTAS[Cantidad],VENTAS[Código del producto Vendido],STOCK[[#This Row],[Code]])</f>
        <v>1</v>
      </c>
      <c r="L1044" s="70">
        <f>STOCK[[#This Row],[Entradas]]-STOCK[[#This Row],[Salidas]]</f>
        <v>0</v>
      </c>
      <c r="M1044" s="54">
        <f>STOCK[[#This Row],[Precio Final]]*10%</f>
        <v>2.5</v>
      </c>
      <c r="N1044" s="54">
        <v>0</v>
      </c>
      <c r="O1044" s="54">
        <v>0</v>
      </c>
      <c r="P1044" s="54">
        <v>9.83</v>
      </c>
      <c r="Q1044" s="70">
        <v>0</v>
      </c>
      <c r="R1044" s="54">
        <v>0</v>
      </c>
      <c r="S1044" s="54">
        <v>0.6</v>
      </c>
      <c r="T1044" s="53">
        <f>STOCK[[#This Row],[Costo Unitario (USD)]]+STOCK[[#This Row],[Costo Envío (USD)]]+STOCK[[#This Row],[Comisión 10%]]</f>
        <v>12.93</v>
      </c>
      <c r="U1044" s="54">
        <f>STOCK[[#This Row],[Costo total]]*1.5</f>
        <v>19.395</v>
      </c>
      <c r="V1044" s="54">
        <v>25</v>
      </c>
      <c r="W1044" s="54">
        <f>STOCK[[#This Row],[Precio Final]]-STOCK[[#This Row],[Costo total]]</f>
        <v>12.07</v>
      </c>
      <c r="X1044" s="54">
        <f>STOCK[[#This Row],[Ganancia Unitaria]]*STOCK[[#This Row],[Salidas]]</f>
        <v>12.07</v>
      </c>
      <c r="Y1044" s="54" t="s">
        <v>2160</v>
      </c>
      <c r="AA1044" s="54">
        <f>STOCK[[#This Row],[Costo total]]*STOCK[[#This Row],[Entradas]]</f>
        <v>12.93</v>
      </c>
      <c r="AB1044" s="54">
        <f>STOCK[[#This Row],[Stock Actual]]*STOCK[[#This Row],[Costo total]]</f>
        <v>0</v>
      </c>
    </row>
    <row r="1045" spans="1:28" s="53" customFormat="1" ht="50" customHeight="1">
      <c r="A1045" s="53" t="s">
        <v>2161</v>
      </c>
      <c r="B1045" s="64"/>
      <c r="C1045" s="53" t="s">
        <v>32</v>
      </c>
      <c r="D1045" s="54" t="s">
        <v>38</v>
      </c>
      <c r="E1045" s="65" t="s">
        <v>2159</v>
      </c>
      <c r="F1045" s="53" t="s">
        <v>49</v>
      </c>
      <c r="G1045" s="53" t="s">
        <v>1877</v>
      </c>
      <c r="H1045" s="53">
        <f>STOCK[[#This Row],[Precio Final]]</f>
        <v>25</v>
      </c>
      <c r="I1045" s="53">
        <f>STOCK[[#This Row],[Precio Venta Ideal (x1.5)]]</f>
        <v>19.395</v>
      </c>
      <c r="J1045" s="69">
        <v>1</v>
      </c>
      <c r="K1045" s="69">
        <f>SUMIFS(VENTAS[Cantidad],VENTAS[Código del producto Vendido],STOCK[[#This Row],[Code]])</f>
        <v>1</v>
      </c>
      <c r="L1045" s="69">
        <f>STOCK[[#This Row],[Entradas]]-STOCK[[#This Row],[Salidas]]</f>
        <v>0</v>
      </c>
      <c r="M1045" s="53">
        <f>STOCK[[#This Row],[Precio Final]]*10%</f>
        <v>2.5</v>
      </c>
      <c r="N1045" s="53">
        <v>0</v>
      </c>
      <c r="O1045" s="53">
        <v>0</v>
      </c>
      <c r="P1045" s="53">
        <v>9.83</v>
      </c>
      <c r="Q1045" s="69">
        <v>0</v>
      </c>
      <c r="R1045" s="53">
        <v>0</v>
      </c>
      <c r="S1045" s="53">
        <v>0.6</v>
      </c>
      <c r="T1045" s="53">
        <f>STOCK[[#This Row],[Costo Unitario (USD)]]+STOCK[[#This Row],[Costo Envío (USD)]]+STOCK[[#This Row],[Comisión 10%]]</f>
        <v>12.93</v>
      </c>
      <c r="U1045" s="53">
        <f>STOCK[[#This Row],[Costo total]]*1.5</f>
        <v>19.395</v>
      </c>
      <c r="V1045" s="53">
        <v>25</v>
      </c>
      <c r="W1045" s="53">
        <f>STOCK[[#This Row],[Precio Final]]-STOCK[[#This Row],[Costo total]]</f>
        <v>12.07</v>
      </c>
      <c r="X1045" s="53">
        <f>STOCK[[#This Row],[Ganancia Unitaria]]*STOCK[[#This Row],[Salidas]]</f>
        <v>12.07</v>
      </c>
      <c r="Y1045" s="53" t="s">
        <v>2162</v>
      </c>
      <c r="AA1045" s="54">
        <f>STOCK[[#This Row],[Costo total]]*STOCK[[#This Row],[Entradas]]</f>
        <v>12.93</v>
      </c>
      <c r="AB1045" s="54">
        <f>STOCK[[#This Row],[Stock Actual]]*STOCK[[#This Row],[Costo total]]</f>
        <v>0</v>
      </c>
    </row>
    <row r="1046" spans="1:28" s="54" customFormat="1" ht="50" customHeight="1">
      <c r="A1046" s="54" t="s">
        <v>2163</v>
      </c>
      <c r="B1046" s="64"/>
      <c r="C1046" s="54" t="s">
        <v>32</v>
      </c>
      <c r="D1046" s="54" t="s">
        <v>2128</v>
      </c>
      <c r="E1046" s="66" t="s">
        <v>2164</v>
      </c>
      <c r="F1046" s="54" t="s">
        <v>46</v>
      </c>
      <c r="G1046" s="54" t="s">
        <v>1877</v>
      </c>
      <c r="H1046" s="54">
        <f>STOCK[[#This Row],[Precio Final]]</f>
        <v>20</v>
      </c>
      <c r="I1046" s="54">
        <f>STOCK[[#This Row],[Precio Venta Ideal (x1.5)]]</f>
        <v>15.36</v>
      </c>
      <c r="J1046" s="70">
        <v>2</v>
      </c>
      <c r="K1046" s="70">
        <f>SUMIFS(VENTAS[Cantidad],VENTAS[Código del producto Vendido],STOCK[[#This Row],[Code]])</f>
        <v>2</v>
      </c>
      <c r="L1046" s="70">
        <f>STOCK[[#This Row],[Entradas]]-STOCK[[#This Row],[Salidas]]</f>
        <v>0</v>
      </c>
      <c r="M1046" s="54">
        <f>STOCK[[#This Row],[Precio Final]]*10%</f>
        <v>2</v>
      </c>
      <c r="N1046" s="54">
        <v>0</v>
      </c>
      <c r="O1046" s="54">
        <v>0</v>
      </c>
      <c r="P1046" s="54">
        <v>7.64</v>
      </c>
      <c r="Q1046" s="70">
        <v>0</v>
      </c>
      <c r="R1046" s="54">
        <v>0</v>
      </c>
      <c r="S1046" s="54">
        <v>0.6</v>
      </c>
      <c r="T1046" s="53">
        <f>STOCK[[#This Row],[Costo Unitario (USD)]]+STOCK[[#This Row],[Costo Envío (USD)]]+STOCK[[#This Row],[Comisión 10%]]</f>
        <v>10.24</v>
      </c>
      <c r="U1046" s="54">
        <f>STOCK[[#This Row],[Costo total]]*1.5</f>
        <v>15.36</v>
      </c>
      <c r="V1046" s="54">
        <v>20</v>
      </c>
      <c r="W1046" s="54">
        <f>STOCK[[#This Row],[Precio Final]]-STOCK[[#This Row],[Costo total]]</f>
        <v>9.76</v>
      </c>
      <c r="X1046" s="54">
        <f>STOCK[[#This Row],[Ganancia Unitaria]]*STOCK[[#This Row],[Salidas]]</f>
        <v>19.52</v>
      </c>
      <c r="Y1046" s="54" t="s">
        <v>2165</v>
      </c>
      <c r="AA1046" s="54">
        <f>STOCK[[#This Row],[Costo total]]*STOCK[[#This Row],[Entradas]]</f>
        <v>20.48</v>
      </c>
      <c r="AB1046" s="54">
        <f>STOCK[[#This Row],[Stock Actual]]*STOCK[[#This Row],[Costo total]]</f>
        <v>0</v>
      </c>
    </row>
    <row r="1047" spans="1:28" s="53" customFormat="1" ht="50" customHeight="1">
      <c r="A1047" s="53" t="s">
        <v>2166</v>
      </c>
      <c r="B1047" s="64"/>
      <c r="C1047" s="53" t="s">
        <v>32</v>
      </c>
      <c r="D1047" s="53" t="s">
        <v>2128</v>
      </c>
      <c r="E1047" s="65" t="s">
        <v>2164</v>
      </c>
      <c r="F1047" s="53" t="s">
        <v>49</v>
      </c>
      <c r="G1047" s="53" t="s">
        <v>1877</v>
      </c>
      <c r="H1047" s="53">
        <f>STOCK[[#This Row],[Precio Final]]</f>
        <v>20</v>
      </c>
      <c r="I1047" s="53">
        <f>STOCK[[#This Row],[Precio Venta Ideal (x1.5)]]</f>
        <v>15.36</v>
      </c>
      <c r="J1047" s="69">
        <v>2</v>
      </c>
      <c r="K1047" s="69">
        <f>SUMIFS(VENTAS[Cantidad],VENTAS[Código del producto Vendido],STOCK[[#This Row],[Code]])</f>
        <v>2</v>
      </c>
      <c r="L1047" s="69">
        <f>STOCK[[#This Row],[Entradas]]-STOCK[[#This Row],[Salidas]]</f>
        <v>0</v>
      </c>
      <c r="M1047" s="53">
        <f>STOCK[[#This Row],[Precio Final]]*10%</f>
        <v>2</v>
      </c>
      <c r="N1047" s="53">
        <v>0</v>
      </c>
      <c r="O1047" s="53">
        <v>0</v>
      </c>
      <c r="P1047" s="53">
        <v>7.64</v>
      </c>
      <c r="Q1047" s="69">
        <v>0</v>
      </c>
      <c r="R1047" s="53">
        <v>0</v>
      </c>
      <c r="S1047" s="53">
        <v>0.6</v>
      </c>
      <c r="T1047" s="53">
        <f>STOCK[[#This Row],[Costo Unitario (USD)]]+STOCK[[#This Row],[Costo Envío (USD)]]+STOCK[[#This Row],[Comisión 10%]]</f>
        <v>10.24</v>
      </c>
      <c r="U1047" s="53">
        <f>STOCK[[#This Row],[Costo total]]*1.5</f>
        <v>15.36</v>
      </c>
      <c r="V1047" s="53">
        <v>20</v>
      </c>
      <c r="W1047" s="53">
        <f>STOCK[[#This Row],[Precio Final]]-STOCK[[#This Row],[Costo total]]</f>
        <v>9.76</v>
      </c>
      <c r="X1047" s="53">
        <f>STOCK[[#This Row],[Ganancia Unitaria]]*STOCK[[#This Row],[Salidas]]</f>
        <v>19.52</v>
      </c>
      <c r="Y1047" s="53" t="s">
        <v>2167</v>
      </c>
      <c r="AA1047" s="54">
        <f>STOCK[[#This Row],[Costo total]]*STOCK[[#This Row],[Entradas]]</f>
        <v>20.48</v>
      </c>
      <c r="AB1047" s="54">
        <f>STOCK[[#This Row],[Stock Actual]]*STOCK[[#This Row],[Costo total]]</f>
        <v>0</v>
      </c>
    </row>
    <row r="1048" spans="1:28" s="54" customFormat="1" ht="50" customHeight="1">
      <c r="A1048" s="54" t="s">
        <v>2168</v>
      </c>
      <c r="B1048" s="64"/>
      <c r="C1048" s="54" t="s">
        <v>32</v>
      </c>
      <c r="D1048" s="54" t="s">
        <v>2128</v>
      </c>
      <c r="E1048" s="66" t="s">
        <v>2164</v>
      </c>
      <c r="F1048" s="54" t="s">
        <v>62</v>
      </c>
      <c r="G1048" s="54" t="s">
        <v>1877</v>
      </c>
      <c r="H1048" s="54">
        <f>STOCK[[#This Row],[Precio Final]]</f>
        <v>20</v>
      </c>
      <c r="I1048" s="54">
        <f>STOCK[[#This Row],[Precio Venta Ideal (x1.5)]]</f>
        <v>15.36</v>
      </c>
      <c r="J1048" s="70">
        <v>2</v>
      </c>
      <c r="K1048" s="70">
        <f>SUMIFS(VENTAS[Cantidad],VENTAS[Código del producto Vendido],STOCK[[#This Row],[Code]])</f>
        <v>2</v>
      </c>
      <c r="L1048" s="70">
        <f>STOCK[[#This Row],[Entradas]]-STOCK[[#This Row],[Salidas]]</f>
        <v>0</v>
      </c>
      <c r="M1048" s="54">
        <f>STOCK[[#This Row],[Precio Final]]*10%</f>
        <v>2</v>
      </c>
      <c r="N1048" s="54">
        <v>0</v>
      </c>
      <c r="O1048" s="54">
        <v>0</v>
      </c>
      <c r="P1048" s="54">
        <v>7.64</v>
      </c>
      <c r="Q1048" s="70">
        <v>0</v>
      </c>
      <c r="R1048" s="54">
        <v>0</v>
      </c>
      <c r="S1048" s="54">
        <v>0.6</v>
      </c>
      <c r="T1048" s="53">
        <f>STOCK[[#This Row],[Costo Unitario (USD)]]+STOCK[[#This Row],[Costo Envío (USD)]]+STOCK[[#This Row],[Comisión 10%]]</f>
        <v>10.24</v>
      </c>
      <c r="U1048" s="54">
        <f>STOCK[[#This Row],[Costo total]]*1.5</f>
        <v>15.36</v>
      </c>
      <c r="V1048" s="54">
        <v>20</v>
      </c>
      <c r="W1048" s="54">
        <f>STOCK[[#This Row],[Precio Final]]-STOCK[[#This Row],[Costo total]]</f>
        <v>9.76</v>
      </c>
      <c r="X1048" s="54">
        <f>STOCK[[#This Row],[Ganancia Unitaria]]*STOCK[[#This Row],[Salidas]]</f>
        <v>19.52</v>
      </c>
      <c r="Y1048" s="54" t="s">
        <v>2169</v>
      </c>
      <c r="AA1048" s="54">
        <f>STOCK[[#This Row],[Costo total]]*STOCK[[#This Row],[Entradas]]</f>
        <v>20.48</v>
      </c>
      <c r="AB1048" s="54">
        <f>STOCK[[#This Row],[Stock Actual]]*STOCK[[#This Row],[Costo total]]</f>
        <v>0</v>
      </c>
    </row>
    <row r="1049" spans="1:28" s="53" customFormat="1" ht="50" customHeight="1">
      <c r="A1049" s="53" t="s">
        <v>2170</v>
      </c>
      <c r="B1049" s="64"/>
      <c r="C1049" s="53" t="s">
        <v>32</v>
      </c>
      <c r="D1049" s="53" t="s">
        <v>2128</v>
      </c>
      <c r="E1049" s="65" t="s">
        <v>2171</v>
      </c>
      <c r="F1049" s="53" t="s">
        <v>46</v>
      </c>
      <c r="G1049" s="53" t="s">
        <v>1877</v>
      </c>
      <c r="H1049" s="53">
        <f>STOCK[[#This Row],[Precio Final]]</f>
        <v>18</v>
      </c>
      <c r="I1049" s="53">
        <f>STOCK[[#This Row],[Precio Venta Ideal (x1.5)]]</f>
        <v>11.864999999999998</v>
      </c>
      <c r="J1049" s="69">
        <v>2</v>
      </c>
      <c r="K1049" s="69">
        <f>SUMIFS(VENTAS[Cantidad],VENTAS[Código del producto Vendido],STOCK[[#This Row],[Code]])</f>
        <v>1</v>
      </c>
      <c r="L1049" s="69">
        <f>STOCK[[#This Row],[Entradas]]-STOCK[[#This Row],[Salidas]]</f>
        <v>1</v>
      </c>
      <c r="M1049" s="53">
        <f>STOCK[[#This Row],[Precio Final]]*10%</f>
        <v>1.8</v>
      </c>
      <c r="N1049" s="53">
        <v>0</v>
      </c>
      <c r="O1049" s="53">
        <v>0</v>
      </c>
      <c r="P1049" s="53">
        <v>5.51</v>
      </c>
      <c r="Q1049" s="69">
        <v>0</v>
      </c>
      <c r="R1049" s="53">
        <v>0</v>
      </c>
      <c r="S1049" s="53">
        <v>0.6</v>
      </c>
      <c r="T1049" s="53">
        <f>STOCK[[#This Row],[Costo Unitario (USD)]]+STOCK[[#This Row],[Costo Envío (USD)]]+STOCK[[#This Row],[Comisión 10%]]</f>
        <v>7.9099999999999993</v>
      </c>
      <c r="U1049" s="53">
        <f>STOCK[[#This Row],[Costo total]]*1.5</f>
        <v>11.864999999999998</v>
      </c>
      <c r="V1049" s="53">
        <v>18</v>
      </c>
      <c r="W1049" s="53">
        <f>STOCK[[#This Row],[Precio Final]]-STOCK[[#This Row],[Costo total]]</f>
        <v>10.09</v>
      </c>
      <c r="X1049" s="53">
        <f>STOCK[[#This Row],[Ganancia Unitaria]]*STOCK[[#This Row],[Salidas]]</f>
        <v>10.09</v>
      </c>
      <c r="Y1049" s="53" t="s">
        <v>2172</v>
      </c>
      <c r="AA1049" s="54">
        <f>STOCK[[#This Row],[Costo total]]*STOCK[[#This Row],[Entradas]]</f>
        <v>15.819999999999999</v>
      </c>
      <c r="AB1049" s="54">
        <f>STOCK[[#This Row],[Stock Actual]]*STOCK[[#This Row],[Costo total]]</f>
        <v>7.9099999999999993</v>
      </c>
    </row>
    <row r="1050" spans="1:28" s="54" customFormat="1" ht="50" customHeight="1">
      <c r="A1050" s="54" t="s">
        <v>2173</v>
      </c>
      <c r="B1050" s="64"/>
      <c r="C1050" s="54" t="s">
        <v>32</v>
      </c>
      <c r="D1050" s="54" t="s">
        <v>2128</v>
      </c>
      <c r="E1050" s="66" t="s">
        <v>2171</v>
      </c>
      <c r="F1050" s="54" t="s">
        <v>49</v>
      </c>
      <c r="G1050" s="54" t="s">
        <v>1877</v>
      </c>
      <c r="H1050" s="54">
        <f>STOCK[[#This Row],[Precio Final]]</f>
        <v>18</v>
      </c>
      <c r="I1050" s="54">
        <f>STOCK[[#This Row],[Precio Venta Ideal (x1.5)]]</f>
        <v>11.864999999999998</v>
      </c>
      <c r="J1050" s="70">
        <v>2</v>
      </c>
      <c r="K1050" s="70">
        <f>SUMIFS(VENTAS[Cantidad],VENTAS[Código del producto Vendido],STOCK[[#This Row],[Code]])</f>
        <v>2</v>
      </c>
      <c r="L1050" s="70">
        <f>STOCK[[#This Row],[Entradas]]-STOCK[[#This Row],[Salidas]]</f>
        <v>0</v>
      </c>
      <c r="M1050" s="54">
        <f>STOCK[[#This Row],[Precio Final]]*10%</f>
        <v>1.8</v>
      </c>
      <c r="N1050" s="54">
        <v>0</v>
      </c>
      <c r="O1050" s="54">
        <v>0</v>
      </c>
      <c r="P1050" s="54">
        <v>5.51</v>
      </c>
      <c r="Q1050" s="70">
        <v>0</v>
      </c>
      <c r="R1050" s="54">
        <v>0</v>
      </c>
      <c r="S1050" s="54">
        <v>0.6</v>
      </c>
      <c r="T1050" s="53">
        <f>STOCK[[#This Row],[Costo Unitario (USD)]]+STOCK[[#This Row],[Costo Envío (USD)]]+STOCK[[#This Row],[Comisión 10%]]</f>
        <v>7.9099999999999993</v>
      </c>
      <c r="U1050" s="54">
        <f>STOCK[[#This Row],[Costo total]]*1.5</f>
        <v>11.864999999999998</v>
      </c>
      <c r="V1050" s="54">
        <v>18</v>
      </c>
      <c r="W1050" s="54">
        <f>STOCK[[#This Row],[Precio Final]]-STOCK[[#This Row],[Costo total]]</f>
        <v>10.09</v>
      </c>
      <c r="X1050" s="54">
        <f>STOCK[[#This Row],[Ganancia Unitaria]]*STOCK[[#This Row],[Salidas]]</f>
        <v>20.18</v>
      </c>
      <c r="Y1050" s="54" t="s">
        <v>2174</v>
      </c>
      <c r="AA1050" s="54">
        <f>STOCK[[#This Row],[Costo total]]*STOCK[[#This Row],[Entradas]]</f>
        <v>15.819999999999999</v>
      </c>
      <c r="AB1050" s="54">
        <f>STOCK[[#This Row],[Stock Actual]]*STOCK[[#This Row],[Costo total]]</f>
        <v>0</v>
      </c>
    </row>
    <row r="1051" spans="1:28" s="53" customFormat="1" ht="50" customHeight="1">
      <c r="A1051" s="53" t="s">
        <v>2175</v>
      </c>
      <c r="B1051" s="64"/>
      <c r="C1051" s="53" t="s">
        <v>32</v>
      </c>
      <c r="D1051" s="53" t="s">
        <v>2128</v>
      </c>
      <c r="E1051" s="65" t="s">
        <v>2171</v>
      </c>
      <c r="F1051" s="53" t="s">
        <v>62</v>
      </c>
      <c r="G1051" s="53" t="s">
        <v>1877</v>
      </c>
      <c r="H1051" s="53">
        <f>STOCK[[#This Row],[Precio Final]]</f>
        <v>18</v>
      </c>
      <c r="I1051" s="53">
        <f>STOCK[[#This Row],[Precio Venta Ideal (x1.5)]]</f>
        <v>11.864999999999998</v>
      </c>
      <c r="J1051" s="69">
        <v>2</v>
      </c>
      <c r="K1051" s="69">
        <f>SUMIFS(VENTAS[Cantidad],VENTAS[Código del producto Vendido],STOCK[[#This Row],[Code]])</f>
        <v>2</v>
      </c>
      <c r="L1051" s="69">
        <f>STOCK[[#This Row],[Entradas]]-STOCK[[#This Row],[Salidas]]</f>
        <v>0</v>
      </c>
      <c r="M1051" s="53">
        <f>STOCK[[#This Row],[Precio Final]]*10%</f>
        <v>1.8</v>
      </c>
      <c r="N1051" s="53">
        <v>0</v>
      </c>
      <c r="O1051" s="53">
        <v>0</v>
      </c>
      <c r="P1051" s="53">
        <v>5.51</v>
      </c>
      <c r="Q1051" s="69">
        <v>0</v>
      </c>
      <c r="R1051" s="53">
        <v>0</v>
      </c>
      <c r="S1051" s="53">
        <v>0.6</v>
      </c>
      <c r="T1051" s="53">
        <f>STOCK[[#This Row],[Costo Unitario (USD)]]+STOCK[[#This Row],[Costo Envío (USD)]]+STOCK[[#This Row],[Comisión 10%]]</f>
        <v>7.9099999999999993</v>
      </c>
      <c r="U1051" s="53">
        <f>STOCK[[#This Row],[Costo total]]*1.5</f>
        <v>11.864999999999998</v>
      </c>
      <c r="V1051" s="53">
        <v>18</v>
      </c>
      <c r="W1051" s="53">
        <f>STOCK[[#This Row],[Precio Final]]-STOCK[[#This Row],[Costo total]]</f>
        <v>10.09</v>
      </c>
      <c r="X1051" s="53">
        <f>STOCK[[#This Row],[Ganancia Unitaria]]*STOCK[[#This Row],[Salidas]]</f>
        <v>20.18</v>
      </c>
      <c r="Y1051" s="53" t="s">
        <v>2176</v>
      </c>
      <c r="AA1051" s="54">
        <f>STOCK[[#This Row],[Costo total]]*STOCK[[#This Row],[Entradas]]</f>
        <v>15.819999999999999</v>
      </c>
      <c r="AB1051" s="54">
        <f>STOCK[[#This Row],[Stock Actual]]*STOCK[[#This Row],[Costo total]]</f>
        <v>0</v>
      </c>
    </row>
    <row r="1052" spans="1:28" s="54" customFormat="1" ht="50" customHeight="1">
      <c r="A1052" s="54" t="s">
        <v>2177</v>
      </c>
      <c r="B1052" s="64"/>
      <c r="C1052" s="54" t="s">
        <v>32</v>
      </c>
      <c r="D1052" s="54" t="s">
        <v>2128</v>
      </c>
      <c r="E1052" s="66" t="s">
        <v>2178</v>
      </c>
      <c r="F1052" s="54" t="s">
        <v>46</v>
      </c>
      <c r="G1052" s="54" t="s">
        <v>1877</v>
      </c>
      <c r="H1052" s="54">
        <f>STOCK[[#This Row],[Precio Final]]</f>
        <v>18</v>
      </c>
      <c r="I1052" s="54">
        <f>STOCK[[#This Row],[Precio Venta Ideal (x1.5)]]</f>
        <v>9.3449999999999989</v>
      </c>
      <c r="J1052" s="70">
        <v>2</v>
      </c>
      <c r="K1052" s="70">
        <f>SUMIFS(VENTAS[Cantidad],VENTAS[Código del producto Vendido],STOCK[[#This Row],[Code]])</f>
        <v>2</v>
      </c>
      <c r="L1052" s="70">
        <f>STOCK[[#This Row],[Entradas]]-STOCK[[#This Row],[Salidas]]</f>
        <v>0</v>
      </c>
      <c r="M1052" s="54">
        <f>STOCK[[#This Row],[Precio Final]]*10%</f>
        <v>1.8</v>
      </c>
      <c r="N1052" s="54">
        <v>0</v>
      </c>
      <c r="O1052" s="54">
        <v>0</v>
      </c>
      <c r="P1052" s="54">
        <v>3.83</v>
      </c>
      <c r="Q1052" s="70">
        <v>0</v>
      </c>
      <c r="R1052" s="54">
        <v>0</v>
      </c>
      <c r="S1052" s="54">
        <v>0.6</v>
      </c>
      <c r="T1052" s="53">
        <f>STOCK[[#This Row],[Costo Unitario (USD)]]+STOCK[[#This Row],[Costo Envío (USD)]]+STOCK[[#This Row],[Comisión 10%]]</f>
        <v>6.2299999999999995</v>
      </c>
      <c r="U1052" s="54">
        <f>STOCK[[#This Row],[Costo total]]*1.5</f>
        <v>9.3449999999999989</v>
      </c>
      <c r="V1052" s="54">
        <v>18</v>
      </c>
      <c r="W1052" s="54">
        <f>STOCK[[#This Row],[Precio Final]]-STOCK[[#This Row],[Costo total]]</f>
        <v>11.77</v>
      </c>
      <c r="X1052" s="54">
        <f>STOCK[[#This Row],[Ganancia Unitaria]]*STOCK[[#This Row],[Salidas]]</f>
        <v>23.54</v>
      </c>
      <c r="Y1052" s="54" t="s">
        <v>2179</v>
      </c>
      <c r="AA1052" s="54">
        <f>STOCK[[#This Row],[Costo total]]*STOCK[[#This Row],[Entradas]]</f>
        <v>12.459999999999999</v>
      </c>
      <c r="AB1052" s="54">
        <f>STOCK[[#This Row],[Stock Actual]]*STOCK[[#This Row],[Costo total]]</f>
        <v>0</v>
      </c>
    </row>
    <row r="1053" spans="1:28" s="53" customFormat="1" ht="50" customHeight="1">
      <c r="A1053" s="53" t="s">
        <v>2180</v>
      </c>
      <c r="B1053" s="64"/>
      <c r="C1053" s="53" t="s">
        <v>32</v>
      </c>
      <c r="D1053" s="54" t="s">
        <v>38</v>
      </c>
      <c r="E1053" s="65" t="s">
        <v>2181</v>
      </c>
      <c r="F1053" s="53" t="s">
        <v>46</v>
      </c>
      <c r="G1053" s="53" t="s">
        <v>1877</v>
      </c>
      <c r="H1053" s="53">
        <f>STOCK[[#This Row],[Precio Final]]</f>
        <v>20</v>
      </c>
      <c r="I1053" s="53">
        <f>STOCK[[#This Row],[Precio Venta Ideal (x1.5)]]</f>
        <v>12.93</v>
      </c>
      <c r="J1053" s="69">
        <v>1</v>
      </c>
      <c r="K1053" s="69">
        <f>SUMIFS(VENTAS[Cantidad],VENTAS[Código del producto Vendido],STOCK[[#This Row],[Code]])</f>
        <v>1</v>
      </c>
      <c r="L1053" s="69">
        <f>STOCK[[#This Row],[Entradas]]-STOCK[[#This Row],[Salidas]]</f>
        <v>0</v>
      </c>
      <c r="M1053" s="53">
        <f>STOCK[[#This Row],[Precio Final]]*10%</f>
        <v>2</v>
      </c>
      <c r="N1053" s="53">
        <v>0</v>
      </c>
      <c r="O1053" s="53">
        <v>0</v>
      </c>
      <c r="P1053" s="53">
        <v>6.02</v>
      </c>
      <c r="Q1053" s="69">
        <v>0</v>
      </c>
      <c r="R1053" s="53">
        <v>0</v>
      </c>
      <c r="S1053" s="53">
        <v>0.6</v>
      </c>
      <c r="T1053" s="53">
        <f>STOCK[[#This Row],[Costo Unitario (USD)]]+STOCK[[#This Row],[Costo Envío (USD)]]+STOCK[[#This Row],[Comisión 10%]]</f>
        <v>8.6199999999999992</v>
      </c>
      <c r="U1053" s="53">
        <f>STOCK[[#This Row],[Costo total]]*1.5</f>
        <v>12.93</v>
      </c>
      <c r="V1053" s="53">
        <v>20</v>
      </c>
      <c r="W1053" s="53">
        <f>STOCK[[#This Row],[Precio Final]]-STOCK[[#This Row],[Costo total]]</f>
        <v>11.38</v>
      </c>
      <c r="X1053" s="53">
        <f>STOCK[[#This Row],[Ganancia Unitaria]]*STOCK[[#This Row],[Salidas]]</f>
        <v>11.38</v>
      </c>
      <c r="Y1053" s="53" t="s">
        <v>2182</v>
      </c>
      <c r="AA1053" s="54">
        <f>STOCK[[#This Row],[Costo total]]*STOCK[[#This Row],[Entradas]]</f>
        <v>8.6199999999999992</v>
      </c>
      <c r="AB1053" s="54">
        <f>STOCK[[#This Row],[Stock Actual]]*STOCK[[#This Row],[Costo total]]</f>
        <v>0</v>
      </c>
    </row>
    <row r="1054" spans="1:28" s="54" customFormat="1" ht="50" customHeight="1">
      <c r="A1054" s="54" t="s">
        <v>2183</v>
      </c>
      <c r="B1054" s="64"/>
      <c r="C1054" s="54" t="s">
        <v>32</v>
      </c>
      <c r="D1054" s="54" t="s">
        <v>38</v>
      </c>
      <c r="E1054" s="66" t="s">
        <v>2181</v>
      </c>
      <c r="F1054" s="54" t="s">
        <v>49</v>
      </c>
      <c r="G1054" s="54" t="s">
        <v>1877</v>
      </c>
      <c r="H1054" s="54">
        <f>STOCK[[#This Row],[Precio Final]]</f>
        <v>20</v>
      </c>
      <c r="I1054" s="54">
        <f>STOCK[[#This Row],[Precio Venta Ideal (x1.5)]]</f>
        <v>12.93</v>
      </c>
      <c r="J1054" s="70">
        <v>2</v>
      </c>
      <c r="K1054" s="70">
        <f>SUMIFS(VENTAS[Cantidad],VENTAS[Código del producto Vendido],STOCK[[#This Row],[Code]])</f>
        <v>2</v>
      </c>
      <c r="L1054" s="70">
        <f>STOCK[[#This Row],[Entradas]]-STOCK[[#This Row],[Salidas]]</f>
        <v>0</v>
      </c>
      <c r="M1054" s="54">
        <f>STOCK[[#This Row],[Precio Final]]*10%</f>
        <v>2</v>
      </c>
      <c r="N1054" s="54">
        <v>0</v>
      </c>
      <c r="O1054" s="54">
        <v>0</v>
      </c>
      <c r="P1054" s="54">
        <v>6.02</v>
      </c>
      <c r="Q1054" s="70">
        <v>0</v>
      </c>
      <c r="R1054" s="54">
        <v>0</v>
      </c>
      <c r="S1054" s="54">
        <v>0.6</v>
      </c>
      <c r="T1054" s="53">
        <f>STOCK[[#This Row],[Costo Unitario (USD)]]+STOCK[[#This Row],[Costo Envío (USD)]]+STOCK[[#This Row],[Comisión 10%]]</f>
        <v>8.6199999999999992</v>
      </c>
      <c r="U1054" s="54">
        <f>STOCK[[#This Row],[Costo total]]*1.5</f>
        <v>12.93</v>
      </c>
      <c r="V1054" s="54">
        <v>20</v>
      </c>
      <c r="W1054" s="54">
        <f>STOCK[[#This Row],[Precio Final]]-STOCK[[#This Row],[Costo total]]</f>
        <v>11.38</v>
      </c>
      <c r="X1054" s="54">
        <f>STOCK[[#This Row],[Ganancia Unitaria]]*STOCK[[#This Row],[Salidas]]</f>
        <v>22.76</v>
      </c>
      <c r="Y1054" s="54" t="s">
        <v>2184</v>
      </c>
      <c r="AA1054" s="54">
        <f>STOCK[[#This Row],[Costo total]]*STOCK[[#This Row],[Entradas]]</f>
        <v>17.239999999999998</v>
      </c>
      <c r="AB1054" s="54">
        <f>STOCK[[#This Row],[Stock Actual]]*STOCK[[#This Row],[Costo total]]</f>
        <v>0</v>
      </c>
    </row>
    <row r="1055" spans="1:28" s="53" customFormat="1" ht="50" customHeight="1">
      <c r="A1055" s="53" t="s">
        <v>2185</v>
      </c>
      <c r="B1055" s="64"/>
      <c r="C1055" s="53" t="s">
        <v>32</v>
      </c>
      <c r="D1055" s="54" t="s">
        <v>38</v>
      </c>
      <c r="E1055" s="65" t="s">
        <v>2181</v>
      </c>
      <c r="F1055" s="53" t="s">
        <v>62</v>
      </c>
      <c r="G1055" s="53" t="s">
        <v>1877</v>
      </c>
      <c r="H1055" s="53">
        <f>STOCK[[#This Row],[Precio Final]]</f>
        <v>20</v>
      </c>
      <c r="I1055" s="53">
        <f>STOCK[[#This Row],[Precio Venta Ideal (x1.5)]]</f>
        <v>12.93</v>
      </c>
      <c r="J1055" s="69">
        <v>2</v>
      </c>
      <c r="K1055" s="69">
        <f>SUMIFS(VENTAS[Cantidad],VENTAS[Código del producto Vendido],STOCK[[#This Row],[Code]])</f>
        <v>2</v>
      </c>
      <c r="L1055" s="69">
        <f>STOCK[[#This Row],[Entradas]]-STOCK[[#This Row],[Salidas]]</f>
        <v>0</v>
      </c>
      <c r="M1055" s="53">
        <f>STOCK[[#This Row],[Precio Final]]*10%</f>
        <v>2</v>
      </c>
      <c r="N1055" s="53">
        <v>0</v>
      </c>
      <c r="O1055" s="53">
        <v>0</v>
      </c>
      <c r="P1055" s="53">
        <v>6.02</v>
      </c>
      <c r="Q1055" s="69">
        <v>0</v>
      </c>
      <c r="R1055" s="53">
        <v>0</v>
      </c>
      <c r="S1055" s="53">
        <v>0.6</v>
      </c>
      <c r="T1055" s="53">
        <f>STOCK[[#This Row],[Costo Unitario (USD)]]+STOCK[[#This Row],[Costo Envío (USD)]]+STOCK[[#This Row],[Comisión 10%]]</f>
        <v>8.6199999999999992</v>
      </c>
      <c r="U1055" s="53">
        <f>STOCK[[#This Row],[Costo total]]*1.5</f>
        <v>12.93</v>
      </c>
      <c r="V1055" s="53">
        <v>20</v>
      </c>
      <c r="W1055" s="53">
        <f>STOCK[[#This Row],[Precio Final]]-STOCK[[#This Row],[Costo total]]</f>
        <v>11.38</v>
      </c>
      <c r="X1055" s="53">
        <f>STOCK[[#This Row],[Ganancia Unitaria]]*STOCK[[#This Row],[Salidas]]</f>
        <v>22.76</v>
      </c>
      <c r="Y1055" s="53" t="s">
        <v>2186</v>
      </c>
      <c r="AA1055" s="54">
        <f>STOCK[[#This Row],[Costo total]]*STOCK[[#This Row],[Entradas]]</f>
        <v>17.239999999999998</v>
      </c>
      <c r="AB1055" s="54">
        <f>STOCK[[#This Row],[Stock Actual]]*STOCK[[#This Row],[Costo total]]</f>
        <v>0</v>
      </c>
    </row>
    <row r="1056" spans="1:28" s="54" customFormat="1" ht="50" customHeight="1">
      <c r="A1056" s="54" t="s">
        <v>2187</v>
      </c>
      <c r="B1056" s="64"/>
      <c r="C1056" s="54" t="s">
        <v>32</v>
      </c>
      <c r="D1056" s="54" t="s">
        <v>38</v>
      </c>
      <c r="E1056" s="66" t="s">
        <v>2181</v>
      </c>
      <c r="F1056" s="54" t="s">
        <v>40</v>
      </c>
      <c r="G1056" s="54" t="s">
        <v>1877</v>
      </c>
      <c r="H1056" s="54">
        <f>STOCK[[#This Row],[Precio Final]]</f>
        <v>20</v>
      </c>
      <c r="I1056" s="54">
        <f>STOCK[[#This Row],[Precio Venta Ideal (x1.5)]]</f>
        <v>12.93</v>
      </c>
      <c r="J1056" s="70">
        <v>2</v>
      </c>
      <c r="K1056" s="70">
        <f>SUMIFS(VENTAS[Cantidad],VENTAS[Código del producto Vendido],STOCK[[#This Row],[Code]])</f>
        <v>2</v>
      </c>
      <c r="L1056" s="70">
        <f>STOCK[[#This Row],[Entradas]]-STOCK[[#This Row],[Salidas]]</f>
        <v>0</v>
      </c>
      <c r="M1056" s="54">
        <f>STOCK[[#This Row],[Precio Final]]*10%</f>
        <v>2</v>
      </c>
      <c r="N1056" s="54">
        <v>0</v>
      </c>
      <c r="O1056" s="54">
        <v>0</v>
      </c>
      <c r="P1056" s="54">
        <v>6.02</v>
      </c>
      <c r="Q1056" s="70">
        <v>0</v>
      </c>
      <c r="R1056" s="54">
        <v>0</v>
      </c>
      <c r="S1056" s="54">
        <v>0.6</v>
      </c>
      <c r="T1056" s="53">
        <f>STOCK[[#This Row],[Costo Unitario (USD)]]+STOCK[[#This Row],[Costo Envío (USD)]]+STOCK[[#This Row],[Comisión 10%]]</f>
        <v>8.6199999999999992</v>
      </c>
      <c r="U1056" s="54">
        <f>STOCK[[#This Row],[Costo total]]*1.5</f>
        <v>12.93</v>
      </c>
      <c r="V1056" s="54">
        <v>20</v>
      </c>
      <c r="W1056" s="54">
        <f>STOCK[[#This Row],[Precio Final]]-STOCK[[#This Row],[Costo total]]</f>
        <v>11.38</v>
      </c>
      <c r="X1056" s="54">
        <f>STOCK[[#This Row],[Ganancia Unitaria]]*STOCK[[#This Row],[Salidas]]</f>
        <v>22.76</v>
      </c>
      <c r="Y1056" s="54" t="s">
        <v>2188</v>
      </c>
      <c r="AA1056" s="54">
        <f>STOCK[[#This Row],[Costo total]]*STOCK[[#This Row],[Entradas]]</f>
        <v>17.239999999999998</v>
      </c>
      <c r="AB1056" s="54">
        <f>STOCK[[#This Row],[Stock Actual]]*STOCK[[#This Row],[Costo total]]</f>
        <v>0</v>
      </c>
    </row>
    <row r="1057" spans="1:28" s="53" customFormat="1" ht="50" customHeight="1">
      <c r="A1057" s="53" t="s">
        <v>2189</v>
      </c>
      <c r="B1057" s="64"/>
      <c r="C1057" s="53" t="s">
        <v>32</v>
      </c>
      <c r="D1057" s="53" t="s">
        <v>2134</v>
      </c>
      <c r="E1057" s="65" t="s">
        <v>2190</v>
      </c>
      <c r="F1057" s="53" t="s">
        <v>46</v>
      </c>
      <c r="G1057" s="53" t="s">
        <v>1877</v>
      </c>
      <c r="H1057" s="53">
        <f>STOCK[[#This Row],[Precio Final]]</f>
        <v>25</v>
      </c>
      <c r="I1057" s="53">
        <f>STOCK[[#This Row],[Precio Venta Ideal (x1.5)]]</f>
        <v>22.47</v>
      </c>
      <c r="J1057" s="69">
        <v>2</v>
      </c>
      <c r="K1057" s="69">
        <f>SUMIFS(VENTAS[Cantidad],VENTAS[Código del producto Vendido],STOCK[[#This Row],[Code]])</f>
        <v>1</v>
      </c>
      <c r="L1057" s="69">
        <f>STOCK[[#This Row],[Entradas]]-STOCK[[#This Row],[Salidas]]</f>
        <v>1</v>
      </c>
      <c r="M1057" s="53">
        <f>STOCK[[#This Row],[Precio Final]]*10%</f>
        <v>2.5</v>
      </c>
      <c r="N1057" s="53">
        <v>0</v>
      </c>
      <c r="O1057" s="53">
        <v>0</v>
      </c>
      <c r="P1057" s="53">
        <v>11.88</v>
      </c>
      <c r="Q1057" s="69">
        <v>0</v>
      </c>
      <c r="R1057" s="53">
        <v>0</v>
      </c>
      <c r="S1057" s="53">
        <v>0.6</v>
      </c>
      <c r="T1057" s="53">
        <f>STOCK[[#This Row],[Costo Unitario (USD)]]+STOCK[[#This Row],[Costo Envío (USD)]]+STOCK[[#This Row],[Comisión 10%]]</f>
        <v>14.98</v>
      </c>
      <c r="U1057" s="53">
        <f>STOCK[[#This Row],[Costo total]]*1.5</f>
        <v>22.47</v>
      </c>
      <c r="V1057" s="53">
        <v>25</v>
      </c>
      <c r="W1057" s="53">
        <f>STOCK[[#This Row],[Precio Final]]-STOCK[[#This Row],[Costo total]]</f>
        <v>10.02</v>
      </c>
      <c r="X1057" s="53">
        <f>STOCK[[#This Row],[Ganancia Unitaria]]*STOCK[[#This Row],[Salidas]]</f>
        <v>10.02</v>
      </c>
      <c r="Y1057" s="53" t="s">
        <v>2191</v>
      </c>
      <c r="AA1057" s="54">
        <f>STOCK[[#This Row],[Costo total]]*STOCK[[#This Row],[Entradas]]</f>
        <v>29.96</v>
      </c>
      <c r="AB1057" s="54">
        <f>STOCK[[#This Row],[Stock Actual]]*STOCK[[#This Row],[Costo total]]</f>
        <v>14.98</v>
      </c>
    </row>
    <row r="1058" spans="1:28" s="54" customFormat="1" ht="50" customHeight="1">
      <c r="A1058" s="54" t="s">
        <v>2192</v>
      </c>
      <c r="B1058" s="64"/>
      <c r="C1058" s="54" t="s">
        <v>32</v>
      </c>
      <c r="D1058" s="54" t="s">
        <v>2134</v>
      </c>
      <c r="E1058" s="66" t="s">
        <v>2190</v>
      </c>
      <c r="F1058" s="54" t="s">
        <v>49</v>
      </c>
      <c r="G1058" s="54" t="s">
        <v>1877</v>
      </c>
      <c r="H1058" s="54">
        <f>STOCK[[#This Row],[Precio Final]]</f>
        <v>25</v>
      </c>
      <c r="I1058" s="54">
        <f>STOCK[[#This Row],[Precio Venta Ideal (x1.5)]]</f>
        <v>22.47</v>
      </c>
      <c r="J1058" s="70">
        <v>2</v>
      </c>
      <c r="K1058" s="70">
        <f>SUMIFS(VENTAS[Cantidad],VENTAS[Código del producto Vendido],STOCK[[#This Row],[Code]])</f>
        <v>1</v>
      </c>
      <c r="L1058" s="70">
        <f>STOCK[[#This Row],[Entradas]]-STOCK[[#This Row],[Salidas]]</f>
        <v>1</v>
      </c>
      <c r="M1058" s="54">
        <f>STOCK[[#This Row],[Precio Final]]*10%</f>
        <v>2.5</v>
      </c>
      <c r="N1058" s="54">
        <v>0</v>
      </c>
      <c r="O1058" s="54">
        <v>0</v>
      </c>
      <c r="P1058" s="54">
        <v>11.88</v>
      </c>
      <c r="Q1058" s="70">
        <v>0</v>
      </c>
      <c r="R1058" s="54">
        <v>0</v>
      </c>
      <c r="S1058" s="54">
        <v>0.6</v>
      </c>
      <c r="T1058" s="53">
        <f>STOCK[[#This Row],[Costo Unitario (USD)]]+STOCK[[#This Row],[Costo Envío (USD)]]+STOCK[[#This Row],[Comisión 10%]]</f>
        <v>14.98</v>
      </c>
      <c r="U1058" s="54">
        <f>STOCK[[#This Row],[Costo total]]*1.5</f>
        <v>22.47</v>
      </c>
      <c r="V1058" s="54">
        <v>25</v>
      </c>
      <c r="W1058" s="54">
        <f>STOCK[[#This Row],[Precio Final]]-STOCK[[#This Row],[Costo total]]</f>
        <v>10.02</v>
      </c>
      <c r="X1058" s="54">
        <f>STOCK[[#This Row],[Ganancia Unitaria]]*STOCK[[#This Row],[Salidas]]</f>
        <v>10.02</v>
      </c>
      <c r="Y1058" s="54" t="s">
        <v>2193</v>
      </c>
      <c r="AA1058" s="54">
        <f>STOCK[[#This Row],[Costo total]]*STOCK[[#This Row],[Entradas]]</f>
        <v>29.96</v>
      </c>
      <c r="AB1058" s="54">
        <f>STOCK[[#This Row],[Stock Actual]]*STOCK[[#This Row],[Costo total]]</f>
        <v>14.98</v>
      </c>
    </row>
    <row r="1059" spans="1:28" s="53" customFormat="1" ht="50" customHeight="1">
      <c r="A1059" s="53" t="s">
        <v>2194</v>
      </c>
      <c r="B1059" s="64"/>
      <c r="C1059" s="53" t="s">
        <v>32</v>
      </c>
      <c r="D1059" s="54" t="s">
        <v>38</v>
      </c>
      <c r="E1059" s="65" t="s">
        <v>2125</v>
      </c>
      <c r="F1059" s="53" t="s">
        <v>49</v>
      </c>
      <c r="G1059" s="53" t="s">
        <v>1877</v>
      </c>
      <c r="H1059" s="53">
        <f>STOCK[[#This Row],[Precio Final]]</f>
        <v>25</v>
      </c>
      <c r="I1059" s="53">
        <f>STOCK[[#This Row],[Precio Venta Ideal (x1.5)]]</f>
        <v>20.564999999999998</v>
      </c>
      <c r="J1059" s="69">
        <v>1</v>
      </c>
      <c r="K1059" s="69">
        <f>SUMIFS(VENTAS[Cantidad],VENTAS[Código del producto Vendido],STOCK[[#This Row],[Code]])</f>
        <v>1</v>
      </c>
      <c r="L1059" s="69">
        <f>STOCK[[#This Row],[Entradas]]-STOCK[[#This Row],[Salidas]]</f>
        <v>0</v>
      </c>
      <c r="M1059" s="53">
        <f>STOCK[[#This Row],[Precio Final]]*10%</f>
        <v>2.5</v>
      </c>
      <c r="N1059" s="53">
        <v>0</v>
      </c>
      <c r="O1059" s="53">
        <v>0</v>
      </c>
      <c r="P1059" s="53">
        <v>10.61</v>
      </c>
      <c r="Q1059" s="69">
        <v>0</v>
      </c>
      <c r="R1059" s="53">
        <v>0</v>
      </c>
      <c r="S1059" s="53">
        <v>0.6</v>
      </c>
      <c r="T1059" s="53">
        <f>STOCK[[#This Row],[Costo Unitario (USD)]]+STOCK[[#This Row],[Costo Envío (USD)]]+STOCK[[#This Row],[Comisión 10%]]</f>
        <v>13.709999999999999</v>
      </c>
      <c r="U1059" s="53">
        <f>STOCK[[#This Row],[Costo total]]*1.5</f>
        <v>20.564999999999998</v>
      </c>
      <c r="V1059" s="53">
        <v>25</v>
      </c>
      <c r="W1059" s="53">
        <f>STOCK[[#This Row],[Precio Final]]-STOCK[[#This Row],[Costo total]]</f>
        <v>11.290000000000001</v>
      </c>
      <c r="X1059" s="53">
        <f>STOCK[[#This Row],[Ganancia Unitaria]]*STOCK[[#This Row],[Salidas]]</f>
        <v>11.290000000000001</v>
      </c>
      <c r="Y1059" s="53" t="s">
        <v>2195</v>
      </c>
      <c r="AA1059" s="54">
        <f>STOCK[[#This Row],[Costo total]]*STOCK[[#This Row],[Entradas]]</f>
        <v>13.709999999999999</v>
      </c>
      <c r="AB1059" s="54">
        <f>STOCK[[#This Row],[Stock Actual]]*STOCK[[#This Row],[Costo total]]</f>
        <v>0</v>
      </c>
    </row>
    <row r="1060" spans="1:28" s="54" customFormat="1" ht="50" customHeight="1">
      <c r="A1060" s="54" t="s">
        <v>2196</v>
      </c>
      <c r="B1060" s="64"/>
      <c r="C1060" s="54" t="s">
        <v>32</v>
      </c>
      <c r="D1060" s="54" t="s">
        <v>38</v>
      </c>
      <c r="E1060" s="66" t="s">
        <v>2197</v>
      </c>
      <c r="F1060" s="54" t="s">
        <v>46</v>
      </c>
      <c r="G1060" s="54" t="s">
        <v>1877</v>
      </c>
      <c r="H1060" s="54">
        <f>STOCK[[#This Row],[Precio Final]]</f>
        <v>20</v>
      </c>
      <c r="I1060" s="54">
        <f>STOCK[[#This Row],[Precio Venta Ideal (x1.5)]]</f>
        <v>15.57</v>
      </c>
      <c r="J1060" s="70">
        <v>1</v>
      </c>
      <c r="K1060" s="70">
        <f>SUMIFS(VENTAS[Cantidad],VENTAS[Código del producto Vendido],STOCK[[#This Row],[Code]])</f>
        <v>0</v>
      </c>
      <c r="L1060" s="70">
        <f>STOCK[[#This Row],[Entradas]]-STOCK[[#This Row],[Salidas]]</f>
        <v>1</v>
      </c>
      <c r="M1060" s="54">
        <f>STOCK[[#This Row],[Precio Final]]*10%</f>
        <v>2</v>
      </c>
      <c r="N1060" s="54">
        <v>0</v>
      </c>
      <c r="O1060" s="54">
        <v>0</v>
      </c>
      <c r="P1060" s="54">
        <v>7.78</v>
      </c>
      <c r="Q1060" s="70">
        <v>0</v>
      </c>
      <c r="R1060" s="54">
        <v>0</v>
      </c>
      <c r="S1060" s="54">
        <v>0.6</v>
      </c>
      <c r="T1060" s="53">
        <f>STOCK[[#This Row],[Costo Unitario (USD)]]+STOCK[[#This Row],[Costo Envío (USD)]]+STOCK[[#This Row],[Comisión 10%]]</f>
        <v>10.38</v>
      </c>
      <c r="U1060" s="54">
        <f>STOCK[[#This Row],[Costo total]]*1.5</f>
        <v>15.57</v>
      </c>
      <c r="V1060" s="54">
        <v>20</v>
      </c>
      <c r="W1060" s="54">
        <f>STOCK[[#This Row],[Precio Final]]-STOCK[[#This Row],[Costo total]]</f>
        <v>9.6199999999999992</v>
      </c>
      <c r="X1060" s="54">
        <f>STOCK[[#This Row],[Ganancia Unitaria]]*STOCK[[#This Row],[Salidas]]</f>
        <v>0</v>
      </c>
      <c r="Y1060" s="54" t="s">
        <v>2198</v>
      </c>
      <c r="AA1060" s="54">
        <f>STOCK[[#This Row],[Costo total]]*STOCK[[#This Row],[Entradas]]</f>
        <v>10.38</v>
      </c>
      <c r="AB1060" s="54">
        <f>STOCK[[#This Row],[Stock Actual]]*STOCK[[#This Row],[Costo total]]</f>
        <v>10.38</v>
      </c>
    </row>
    <row r="1061" spans="1:28" s="53" customFormat="1" ht="50" customHeight="1">
      <c r="A1061" s="53" t="s">
        <v>2199</v>
      </c>
      <c r="B1061" s="64"/>
      <c r="C1061" s="53" t="s">
        <v>32</v>
      </c>
      <c r="D1061" s="54" t="s">
        <v>38</v>
      </c>
      <c r="E1061" s="65" t="s">
        <v>2197</v>
      </c>
      <c r="F1061" s="53" t="s">
        <v>49</v>
      </c>
      <c r="G1061" s="53" t="s">
        <v>1877</v>
      </c>
      <c r="H1061" s="53">
        <f>STOCK[[#This Row],[Precio Final]]</f>
        <v>20</v>
      </c>
      <c r="I1061" s="53">
        <f>STOCK[[#This Row],[Precio Venta Ideal (x1.5)]]</f>
        <v>15.57</v>
      </c>
      <c r="J1061" s="69">
        <v>1</v>
      </c>
      <c r="K1061" s="69">
        <f>SUMIFS(VENTAS[Cantidad],VENTAS[Código del producto Vendido],STOCK[[#This Row],[Code]])</f>
        <v>0</v>
      </c>
      <c r="L1061" s="69">
        <f>STOCK[[#This Row],[Entradas]]-STOCK[[#This Row],[Salidas]]</f>
        <v>1</v>
      </c>
      <c r="M1061" s="53">
        <f>STOCK[[#This Row],[Precio Final]]*10%</f>
        <v>2</v>
      </c>
      <c r="N1061" s="53">
        <v>0</v>
      </c>
      <c r="O1061" s="53">
        <v>0</v>
      </c>
      <c r="P1061" s="53">
        <v>7.78</v>
      </c>
      <c r="Q1061" s="69">
        <v>0</v>
      </c>
      <c r="R1061" s="53">
        <v>0</v>
      </c>
      <c r="S1061" s="53">
        <v>0.6</v>
      </c>
      <c r="T1061" s="53">
        <f>STOCK[[#This Row],[Costo Unitario (USD)]]+STOCK[[#This Row],[Costo Envío (USD)]]+STOCK[[#This Row],[Comisión 10%]]</f>
        <v>10.38</v>
      </c>
      <c r="U1061" s="53">
        <f>STOCK[[#This Row],[Costo total]]*1.5</f>
        <v>15.57</v>
      </c>
      <c r="V1061" s="53">
        <v>20</v>
      </c>
      <c r="W1061" s="53">
        <f>STOCK[[#This Row],[Precio Final]]-STOCK[[#This Row],[Costo total]]</f>
        <v>9.6199999999999992</v>
      </c>
      <c r="X1061" s="53">
        <f>STOCK[[#This Row],[Ganancia Unitaria]]*STOCK[[#This Row],[Salidas]]</f>
        <v>0</v>
      </c>
      <c r="Y1061" s="53" t="s">
        <v>2200</v>
      </c>
      <c r="AA1061" s="54">
        <f>STOCK[[#This Row],[Costo total]]*STOCK[[#This Row],[Entradas]]</f>
        <v>10.38</v>
      </c>
      <c r="AB1061" s="54">
        <f>STOCK[[#This Row],[Stock Actual]]*STOCK[[#This Row],[Costo total]]</f>
        <v>10.38</v>
      </c>
    </row>
    <row r="1062" spans="1:28" s="54" customFormat="1" ht="50" customHeight="1">
      <c r="A1062" s="54" t="s">
        <v>2201</v>
      </c>
      <c r="B1062" s="64"/>
      <c r="C1062" s="54" t="s">
        <v>32</v>
      </c>
      <c r="D1062" s="54" t="s">
        <v>38</v>
      </c>
      <c r="E1062" s="66" t="s">
        <v>2197</v>
      </c>
      <c r="F1062" s="54" t="s">
        <v>62</v>
      </c>
      <c r="G1062" s="54" t="s">
        <v>1877</v>
      </c>
      <c r="H1062" s="54">
        <f>STOCK[[#This Row],[Precio Final]]</f>
        <v>20</v>
      </c>
      <c r="I1062" s="54">
        <f>STOCK[[#This Row],[Precio Venta Ideal (x1.5)]]</f>
        <v>15.57</v>
      </c>
      <c r="J1062" s="70">
        <v>1</v>
      </c>
      <c r="K1062" s="70">
        <f>SUMIFS(VENTAS[Cantidad],VENTAS[Código del producto Vendido],STOCK[[#This Row],[Code]])</f>
        <v>1</v>
      </c>
      <c r="L1062" s="70">
        <f>STOCK[[#This Row],[Entradas]]-STOCK[[#This Row],[Salidas]]</f>
        <v>0</v>
      </c>
      <c r="M1062" s="54">
        <f>STOCK[[#This Row],[Precio Final]]*10%</f>
        <v>2</v>
      </c>
      <c r="N1062" s="54">
        <v>0</v>
      </c>
      <c r="O1062" s="54">
        <v>0</v>
      </c>
      <c r="P1062" s="54">
        <v>7.78</v>
      </c>
      <c r="Q1062" s="70">
        <v>0</v>
      </c>
      <c r="R1062" s="54">
        <v>0</v>
      </c>
      <c r="S1062" s="54">
        <v>0.6</v>
      </c>
      <c r="T1062" s="53">
        <f>STOCK[[#This Row],[Costo Unitario (USD)]]+STOCK[[#This Row],[Costo Envío (USD)]]+STOCK[[#This Row],[Comisión 10%]]</f>
        <v>10.38</v>
      </c>
      <c r="U1062" s="54">
        <f>STOCK[[#This Row],[Costo total]]*1.5</f>
        <v>15.57</v>
      </c>
      <c r="V1062" s="54">
        <v>20</v>
      </c>
      <c r="W1062" s="54">
        <f>STOCK[[#This Row],[Precio Final]]-STOCK[[#This Row],[Costo total]]</f>
        <v>9.6199999999999992</v>
      </c>
      <c r="X1062" s="54">
        <f>STOCK[[#This Row],[Ganancia Unitaria]]*STOCK[[#This Row],[Salidas]]</f>
        <v>9.6199999999999992</v>
      </c>
      <c r="Y1062" s="54" t="s">
        <v>2202</v>
      </c>
      <c r="AA1062" s="54">
        <f>STOCK[[#This Row],[Costo total]]*STOCK[[#This Row],[Entradas]]</f>
        <v>10.38</v>
      </c>
      <c r="AB1062" s="54">
        <f>STOCK[[#This Row],[Stock Actual]]*STOCK[[#This Row],[Costo total]]</f>
        <v>0</v>
      </c>
    </row>
    <row r="1063" spans="1:28" s="53" customFormat="1" ht="50" customHeight="1">
      <c r="A1063" s="53" t="s">
        <v>2203</v>
      </c>
      <c r="B1063" s="64"/>
      <c r="C1063" s="53" t="s">
        <v>32</v>
      </c>
      <c r="D1063" s="53" t="s">
        <v>44</v>
      </c>
      <c r="E1063" s="65" t="s">
        <v>2204</v>
      </c>
      <c r="F1063" s="53" t="s">
        <v>62</v>
      </c>
      <c r="G1063" s="53" t="s">
        <v>1877</v>
      </c>
      <c r="H1063" s="53">
        <f>STOCK[[#This Row],[Precio Final]]</f>
        <v>30</v>
      </c>
      <c r="I1063" s="53">
        <f>STOCK[[#This Row],[Precio Venta Ideal (x1.5)]]</f>
        <v>26.985000000000003</v>
      </c>
      <c r="J1063" s="69">
        <v>1</v>
      </c>
      <c r="K1063" s="69">
        <f>SUMIFS(VENTAS[Cantidad],VENTAS[Código del producto Vendido],STOCK[[#This Row],[Code]])</f>
        <v>1</v>
      </c>
      <c r="L1063" s="69">
        <f>STOCK[[#This Row],[Entradas]]-STOCK[[#This Row],[Salidas]]</f>
        <v>0</v>
      </c>
      <c r="M1063" s="53">
        <f>STOCK[[#This Row],[Precio Final]]*10%</f>
        <v>3</v>
      </c>
      <c r="N1063" s="53">
        <v>0</v>
      </c>
      <c r="O1063" s="53">
        <v>0</v>
      </c>
      <c r="P1063" s="53">
        <v>14.39</v>
      </c>
      <c r="Q1063" s="69">
        <v>0</v>
      </c>
      <c r="R1063" s="53">
        <v>0</v>
      </c>
      <c r="S1063" s="53">
        <v>0.6</v>
      </c>
      <c r="T1063" s="53">
        <f>STOCK[[#This Row],[Costo Unitario (USD)]]+STOCK[[#This Row],[Costo Envío (USD)]]+STOCK[[#This Row],[Comisión 10%]]</f>
        <v>17.990000000000002</v>
      </c>
      <c r="U1063" s="53">
        <f>STOCK[[#This Row],[Costo total]]*1.5</f>
        <v>26.985000000000003</v>
      </c>
      <c r="V1063" s="53">
        <v>30</v>
      </c>
      <c r="W1063" s="53">
        <f>STOCK[[#This Row],[Precio Final]]-STOCK[[#This Row],[Costo total]]</f>
        <v>12.009999999999998</v>
      </c>
      <c r="X1063" s="53">
        <f>STOCK[[#This Row],[Ganancia Unitaria]]*STOCK[[#This Row],[Salidas]]</f>
        <v>12.009999999999998</v>
      </c>
      <c r="Y1063" s="53" t="s">
        <v>2205</v>
      </c>
      <c r="AA1063" s="54">
        <f>STOCK[[#This Row],[Costo total]]*STOCK[[#This Row],[Entradas]]</f>
        <v>17.990000000000002</v>
      </c>
      <c r="AB1063" s="54">
        <f>STOCK[[#This Row],[Stock Actual]]*STOCK[[#This Row],[Costo total]]</f>
        <v>0</v>
      </c>
    </row>
    <row r="1064" spans="1:28" s="54" customFormat="1" ht="50" customHeight="1">
      <c r="A1064" s="54" t="s">
        <v>2206</v>
      </c>
      <c r="B1064" s="64"/>
      <c r="C1064" s="54" t="s">
        <v>32</v>
      </c>
      <c r="D1064" s="54" t="s">
        <v>2119</v>
      </c>
      <c r="E1064" s="66" t="s">
        <v>2207</v>
      </c>
      <c r="F1064" s="54" t="s">
        <v>49</v>
      </c>
      <c r="G1064" s="54" t="s">
        <v>1877</v>
      </c>
      <c r="H1064" s="54">
        <f>STOCK[[#This Row],[Precio Final]]</f>
        <v>25</v>
      </c>
      <c r="I1064" s="54">
        <f>STOCK[[#This Row],[Precio Venta Ideal (x1.5)]]</f>
        <v>25.634999999999998</v>
      </c>
      <c r="J1064" s="70">
        <v>1</v>
      </c>
      <c r="K1064" s="70">
        <f>SUMIFS(VENTAS[Cantidad],VENTAS[Código del producto Vendido],STOCK[[#This Row],[Code]])</f>
        <v>1</v>
      </c>
      <c r="L1064" s="70">
        <f>STOCK[[#This Row],[Entradas]]-STOCK[[#This Row],[Salidas]]</f>
        <v>0</v>
      </c>
      <c r="M1064" s="54">
        <f>STOCK[[#This Row],[Precio Final]]*10%</f>
        <v>2.5</v>
      </c>
      <c r="N1064" s="54">
        <v>0</v>
      </c>
      <c r="O1064" s="54">
        <v>0</v>
      </c>
      <c r="P1064" s="54">
        <v>13.99</v>
      </c>
      <c r="Q1064" s="70">
        <v>0</v>
      </c>
      <c r="R1064" s="54">
        <v>0</v>
      </c>
      <c r="S1064" s="54">
        <v>0.6</v>
      </c>
      <c r="T1064" s="53">
        <f>STOCK[[#This Row],[Costo Unitario (USD)]]+STOCK[[#This Row],[Costo Envío (USD)]]+STOCK[[#This Row],[Comisión 10%]]</f>
        <v>17.09</v>
      </c>
      <c r="U1064" s="54">
        <f>STOCK[[#This Row],[Costo total]]*1.5</f>
        <v>25.634999999999998</v>
      </c>
      <c r="V1064" s="54">
        <v>25</v>
      </c>
      <c r="W1064" s="54">
        <f>STOCK[[#This Row],[Precio Final]]-STOCK[[#This Row],[Costo total]]</f>
        <v>7.91</v>
      </c>
      <c r="X1064" s="54">
        <f>STOCK[[#This Row],[Ganancia Unitaria]]*STOCK[[#This Row],[Salidas]]</f>
        <v>7.91</v>
      </c>
      <c r="Y1064" s="54" t="s">
        <v>2208</v>
      </c>
      <c r="AA1064" s="54">
        <f>STOCK[[#This Row],[Costo total]]*STOCK[[#This Row],[Entradas]]</f>
        <v>17.09</v>
      </c>
      <c r="AB1064" s="54">
        <f>STOCK[[#This Row],[Stock Actual]]*STOCK[[#This Row],[Costo total]]</f>
        <v>0</v>
      </c>
    </row>
    <row r="1065" spans="1:28" s="53" customFormat="1" ht="50" customHeight="1">
      <c r="A1065" s="53" t="s">
        <v>2209</v>
      </c>
      <c r="B1065" s="64"/>
      <c r="C1065" s="53" t="s">
        <v>32</v>
      </c>
      <c r="D1065" s="53" t="s">
        <v>2112</v>
      </c>
      <c r="E1065" s="65" t="s">
        <v>2210</v>
      </c>
      <c r="F1065" s="53" t="s">
        <v>1534</v>
      </c>
      <c r="G1065" s="53" t="s">
        <v>1877</v>
      </c>
      <c r="H1065" s="53">
        <f>STOCK[[#This Row],[Precio Final]]</f>
        <v>12</v>
      </c>
      <c r="I1065" s="53">
        <f>STOCK[[#This Row],[Precio Venta Ideal (x1.5)]]</f>
        <v>10.56</v>
      </c>
      <c r="J1065" s="69">
        <v>4</v>
      </c>
      <c r="K1065" s="69">
        <f>SUMIFS(VENTAS[Cantidad],VENTAS[Código del producto Vendido],STOCK[[#This Row],[Code]])</f>
        <v>2</v>
      </c>
      <c r="L1065" s="69">
        <f>STOCK[[#This Row],[Entradas]]-STOCK[[#This Row],[Salidas]]</f>
        <v>2</v>
      </c>
      <c r="M1065" s="53">
        <f>STOCK[[#This Row],[Precio Final]]*10%</f>
        <v>1.2000000000000002</v>
      </c>
      <c r="N1065" s="53">
        <v>0</v>
      </c>
      <c r="O1065" s="53">
        <v>0</v>
      </c>
      <c r="P1065" s="53">
        <v>5.24</v>
      </c>
      <c r="Q1065" s="69">
        <v>0</v>
      </c>
      <c r="R1065" s="53">
        <v>0</v>
      </c>
      <c r="S1065" s="53">
        <v>0.6</v>
      </c>
      <c r="T1065" s="53">
        <f>STOCK[[#This Row],[Costo Unitario (USD)]]+STOCK[[#This Row],[Costo Envío (USD)]]+STOCK[[#This Row],[Comisión 10%]]</f>
        <v>7.04</v>
      </c>
      <c r="U1065" s="53">
        <f>STOCK[[#This Row],[Costo total]]*1.5</f>
        <v>10.56</v>
      </c>
      <c r="V1065" s="53">
        <v>12</v>
      </c>
      <c r="W1065" s="53">
        <f>STOCK[[#This Row],[Precio Final]]-STOCK[[#This Row],[Costo total]]</f>
        <v>4.96</v>
      </c>
      <c r="X1065" s="53">
        <f>STOCK[[#This Row],[Ganancia Unitaria]]*STOCK[[#This Row],[Salidas]]</f>
        <v>9.92</v>
      </c>
      <c r="Y1065" s="53" t="s">
        <v>2211</v>
      </c>
      <c r="AA1065" s="54">
        <f>STOCK[[#This Row],[Costo total]]*STOCK[[#This Row],[Entradas]]</f>
        <v>28.16</v>
      </c>
      <c r="AB1065" s="54">
        <f>STOCK[[#This Row],[Stock Actual]]*STOCK[[#This Row],[Costo total]]</f>
        <v>14.08</v>
      </c>
    </row>
    <row r="1066" spans="1:28" s="54" customFormat="1" ht="50" customHeight="1">
      <c r="A1066" s="54" t="s">
        <v>2212</v>
      </c>
      <c r="B1066" s="64"/>
      <c r="C1066" s="54" t="s">
        <v>32</v>
      </c>
      <c r="D1066" s="54" t="s">
        <v>2119</v>
      </c>
      <c r="E1066" s="66" t="s">
        <v>2213</v>
      </c>
      <c r="F1066" s="54" t="s">
        <v>62</v>
      </c>
      <c r="G1066" s="54" t="s">
        <v>1877</v>
      </c>
      <c r="H1066" s="54">
        <f>STOCK[[#This Row],[Precio Final]]</f>
        <v>35</v>
      </c>
      <c r="I1066" s="54">
        <f>STOCK[[#This Row],[Precio Venta Ideal (x1.5)]]</f>
        <v>28.335000000000001</v>
      </c>
      <c r="J1066" s="70">
        <v>2</v>
      </c>
      <c r="K1066" s="70">
        <f>SUMIFS(VENTAS[Cantidad],VENTAS[Código del producto Vendido],STOCK[[#This Row],[Code]])</f>
        <v>2</v>
      </c>
      <c r="L1066" s="70">
        <f>STOCK[[#This Row],[Entradas]]-STOCK[[#This Row],[Salidas]]</f>
        <v>0</v>
      </c>
      <c r="M1066" s="54">
        <f>STOCK[[#This Row],[Precio Final]]*10%</f>
        <v>3.5</v>
      </c>
      <c r="N1066" s="54">
        <v>0</v>
      </c>
      <c r="O1066" s="54">
        <v>0</v>
      </c>
      <c r="P1066" s="54">
        <v>14.79</v>
      </c>
      <c r="Q1066" s="70">
        <v>0</v>
      </c>
      <c r="R1066" s="54">
        <v>0</v>
      </c>
      <c r="S1066" s="54">
        <v>0.6</v>
      </c>
      <c r="T1066" s="53">
        <f>STOCK[[#This Row],[Costo Unitario (USD)]]+STOCK[[#This Row],[Costo Envío (USD)]]+STOCK[[#This Row],[Comisión 10%]]</f>
        <v>18.89</v>
      </c>
      <c r="U1066" s="54">
        <f>STOCK[[#This Row],[Costo total]]*1.5</f>
        <v>28.335000000000001</v>
      </c>
      <c r="V1066" s="54">
        <v>35</v>
      </c>
      <c r="W1066" s="54">
        <f>STOCK[[#This Row],[Precio Final]]-STOCK[[#This Row],[Costo total]]</f>
        <v>16.11</v>
      </c>
      <c r="X1066" s="54">
        <f>STOCK[[#This Row],[Ganancia Unitaria]]*STOCK[[#This Row],[Salidas]]</f>
        <v>32.22</v>
      </c>
      <c r="Y1066" s="54" t="s">
        <v>2214</v>
      </c>
      <c r="AA1066" s="54">
        <f>STOCK[[#This Row],[Costo total]]*STOCK[[#This Row],[Entradas]]</f>
        <v>37.78</v>
      </c>
      <c r="AB1066" s="54">
        <f>STOCK[[#This Row],[Stock Actual]]*STOCK[[#This Row],[Costo total]]</f>
        <v>0</v>
      </c>
    </row>
    <row r="1067" spans="1:28" s="53" customFormat="1" ht="50" customHeight="1">
      <c r="A1067" s="53" t="s">
        <v>2215</v>
      </c>
      <c r="B1067" s="64"/>
      <c r="C1067" s="53" t="s">
        <v>32</v>
      </c>
      <c r="D1067" s="53" t="s">
        <v>1882</v>
      </c>
      <c r="E1067" s="65" t="s">
        <v>2216</v>
      </c>
      <c r="F1067" s="53" t="s">
        <v>2217</v>
      </c>
      <c r="G1067" s="53" t="s">
        <v>1877</v>
      </c>
      <c r="H1067" s="53">
        <f>STOCK[[#This Row],[Precio Final]]</f>
        <v>18</v>
      </c>
      <c r="I1067" s="53">
        <f>STOCK[[#This Row],[Precio Venta Ideal (x1.5)]]</f>
        <v>13.365</v>
      </c>
      <c r="J1067" s="69">
        <v>5</v>
      </c>
      <c r="K1067" s="69">
        <f>SUMIFS(VENTAS[Cantidad],VENTAS[Código del producto Vendido],STOCK[[#This Row],[Code]])</f>
        <v>5</v>
      </c>
      <c r="L1067" s="69">
        <f>STOCK[[#This Row],[Entradas]]-STOCK[[#This Row],[Salidas]]</f>
        <v>0</v>
      </c>
      <c r="M1067" s="53">
        <f>STOCK[[#This Row],[Precio Final]]*10%</f>
        <v>1.8</v>
      </c>
      <c r="N1067" s="53">
        <v>0</v>
      </c>
      <c r="O1067" s="53">
        <v>0</v>
      </c>
      <c r="P1067" s="53">
        <v>6.51</v>
      </c>
      <c r="Q1067" s="69">
        <v>0</v>
      </c>
      <c r="R1067" s="53">
        <v>0</v>
      </c>
      <c r="S1067" s="53">
        <v>0.6</v>
      </c>
      <c r="T1067" s="53">
        <f>STOCK[[#This Row],[Costo Unitario (USD)]]+STOCK[[#This Row],[Costo Envío (USD)]]+STOCK[[#This Row],[Comisión 10%]]</f>
        <v>8.91</v>
      </c>
      <c r="U1067" s="53">
        <f>STOCK[[#This Row],[Costo total]]*1.5</f>
        <v>13.365</v>
      </c>
      <c r="V1067" s="53">
        <v>18</v>
      </c>
      <c r="W1067" s="53">
        <f>STOCK[[#This Row],[Precio Final]]-STOCK[[#This Row],[Costo total]]</f>
        <v>9.09</v>
      </c>
      <c r="X1067" s="53">
        <f>STOCK[[#This Row],[Ganancia Unitaria]]*STOCK[[#This Row],[Salidas]]</f>
        <v>45.45</v>
      </c>
      <c r="Y1067" s="53" t="s">
        <v>2218</v>
      </c>
      <c r="AA1067" s="54">
        <f>STOCK[[#This Row],[Costo total]]*STOCK[[#This Row],[Entradas]]</f>
        <v>44.55</v>
      </c>
      <c r="AB1067" s="54">
        <f>STOCK[[#This Row],[Stock Actual]]*STOCK[[#This Row],[Costo total]]</f>
        <v>0</v>
      </c>
    </row>
    <row r="1068" spans="1:28" s="54" customFormat="1" ht="50" customHeight="1">
      <c r="A1068" s="54" t="s">
        <v>2219</v>
      </c>
      <c r="B1068" s="64"/>
      <c r="C1068" s="54" t="s">
        <v>32</v>
      </c>
      <c r="D1068" s="54" t="s">
        <v>2119</v>
      </c>
      <c r="E1068" s="66" t="s">
        <v>2220</v>
      </c>
      <c r="F1068" s="54" t="s">
        <v>46</v>
      </c>
      <c r="G1068" s="54" t="s">
        <v>1877</v>
      </c>
      <c r="H1068" s="54">
        <f>STOCK[[#This Row],[Precio Final]]</f>
        <v>30</v>
      </c>
      <c r="I1068" s="54">
        <f>STOCK[[#This Row],[Precio Venta Ideal (x1.5)]]</f>
        <v>28.634999999999998</v>
      </c>
      <c r="J1068" s="70">
        <v>1</v>
      </c>
      <c r="K1068" s="70">
        <f>SUMIFS(VENTAS[Cantidad],VENTAS[Código del producto Vendido],STOCK[[#This Row],[Code]])</f>
        <v>1</v>
      </c>
      <c r="L1068" s="70">
        <f>STOCK[[#This Row],[Entradas]]-STOCK[[#This Row],[Salidas]]</f>
        <v>0</v>
      </c>
      <c r="M1068" s="54">
        <f>STOCK[[#This Row],[Precio Final]]*10%</f>
        <v>3</v>
      </c>
      <c r="N1068" s="54">
        <v>0</v>
      </c>
      <c r="O1068" s="54">
        <v>0</v>
      </c>
      <c r="P1068" s="54">
        <v>15.49</v>
      </c>
      <c r="Q1068" s="70">
        <v>0</v>
      </c>
      <c r="R1068" s="54">
        <v>0</v>
      </c>
      <c r="S1068" s="54">
        <v>0.6</v>
      </c>
      <c r="T1068" s="53">
        <f>STOCK[[#This Row],[Costo Unitario (USD)]]+STOCK[[#This Row],[Costo Envío (USD)]]+STOCK[[#This Row],[Comisión 10%]]</f>
        <v>19.09</v>
      </c>
      <c r="U1068" s="54">
        <f>STOCK[[#This Row],[Costo total]]*1.5</f>
        <v>28.634999999999998</v>
      </c>
      <c r="V1068" s="54">
        <v>30</v>
      </c>
      <c r="W1068" s="54">
        <f>STOCK[[#This Row],[Precio Final]]-STOCK[[#This Row],[Costo total]]</f>
        <v>10.91</v>
      </c>
      <c r="X1068" s="54">
        <f>STOCK[[#This Row],[Ganancia Unitaria]]*STOCK[[#This Row],[Salidas]]</f>
        <v>10.91</v>
      </c>
      <c r="Y1068" s="54" t="s">
        <v>2221</v>
      </c>
      <c r="AA1068" s="54">
        <f>STOCK[[#This Row],[Costo total]]*STOCK[[#This Row],[Entradas]]</f>
        <v>19.09</v>
      </c>
      <c r="AB1068" s="54">
        <f>STOCK[[#This Row],[Stock Actual]]*STOCK[[#This Row],[Costo total]]</f>
        <v>0</v>
      </c>
    </row>
    <row r="1069" spans="1:28" s="53" customFormat="1" ht="50" customHeight="1">
      <c r="A1069" s="53" t="s">
        <v>2222</v>
      </c>
      <c r="B1069" s="64"/>
      <c r="C1069" s="53" t="s">
        <v>32</v>
      </c>
      <c r="D1069" s="54" t="s">
        <v>38</v>
      </c>
      <c r="E1069" s="65" t="s">
        <v>2223</v>
      </c>
      <c r="F1069" s="53" t="s">
        <v>46</v>
      </c>
      <c r="G1069" s="53" t="s">
        <v>1877</v>
      </c>
      <c r="H1069" s="53">
        <f>STOCK[[#This Row],[Precio Final]]</f>
        <v>25</v>
      </c>
      <c r="I1069" s="53">
        <f>STOCK[[#This Row],[Precio Venta Ideal (x1.5)]]</f>
        <v>21.225000000000001</v>
      </c>
      <c r="J1069" s="69">
        <v>2</v>
      </c>
      <c r="K1069" s="69">
        <f>SUMIFS(VENTAS[Cantidad],VENTAS[Código del producto Vendido],STOCK[[#This Row],[Code]])</f>
        <v>2</v>
      </c>
      <c r="L1069" s="69">
        <f>STOCK[[#This Row],[Entradas]]-STOCK[[#This Row],[Salidas]]</f>
        <v>0</v>
      </c>
      <c r="M1069" s="53">
        <f>STOCK[[#This Row],[Precio Final]]*10%</f>
        <v>2.5</v>
      </c>
      <c r="N1069" s="53">
        <v>0</v>
      </c>
      <c r="O1069" s="53">
        <v>0</v>
      </c>
      <c r="P1069" s="53">
        <v>11.05</v>
      </c>
      <c r="Q1069" s="69">
        <v>0</v>
      </c>
      <c r="R1069" s="53">
        <v>0</v>
      </c>
      <c r="S1069" s="53">
        <v>0.6</v>
      </c>
      <c r="T1069" s="53">
        <f>STOCK[[#This Row],[Costo Unitario (USD)]]+STOCK[[#This Row],[Costo Envío (USD)]]+STOCK[[#This Row],[Comisión 10%]]</f>
        <v>14.15</v>
      </c>
      <c r="U1069" s="53">
        <f>STOCK[[#This Row],[Costo total]]*1.5</f>
        <v>21.225000000000001</v>
      </c>
      <c r="V1069" s="53">
        <v>25</v>
      </c>
      <c r="W1069" s="53">
        <f>STOCK[[#This Row],[Precio Final]]-STOCK[[#This Row],[Costo total]]</f>
        <v>10.85</v>
      </c>
      <c r="X1069" s="53">
        <f>STOCK[[#This Row],[Ganancia Unitaria]]*STOCK[[#This Row],[Salidas]]</f>
        <v>21.7</v>
      </c>
      <c r="Y1069" s="53" t="s">
        <v>2224</v>
      </c>
      <c r="AA1069" s="54">
        <f>STOCK[[#This Row],[Costo total]]*STOCK[[#This Row],[Entradas]]</f>
        <v>28.3</v>
      </c>
      <c r="AB1069" s="54">
        <f>STOCK[[#This Row],[Stock Actual]]*STOCK[[#This Row],[Costo total]]</f>
        <v>0</v>
      </c>
    </row>
    <row r="1070" spans="1:28" s="54" customFormat="1" ht="50" customHeight="1">
      <c r="A1070" s="54" t="s">
        <v>2225</v>
      </c>
      <c r="B1070" s="64"/>
      <c r="C1070" s="54" t="s">
        <v>32</v>
      </c>
      <c r="D1070" s="54" t="s">
        <v>2119</v>
      </c>
      <c r="E1070" s="66" t="s">
        <v>2226</v>
      </c>
      <c r="F1070" s="54" t="s">
        <v>62</v>
      </c>
      <c r="G1070" s="54" t="s">
        <v>1877</v>
      </c>
      <c r="H1070" s="54">
        <f>STOCK[[#This Row],[Precio Final]]</f>
        <v>20</v>
      </c>
      <c r="I1070" s="54">
        <f>STOCK[[#This Row],[Precio Venta Ideal (x1.5)]]</f>
        <v>15.885</v>
      </c>
      <c r="J1070" s="70">
        <v>1</v>
      </c>
      <c r="K1070" s="70">
        <f>SUMIFS(VENTAS[Cantidad],VENTAS[Código del producto Vendido],STOCK[[#This Row],[Code]])</f>
        <v>1</v>
      </c>
      <c r="L1070" s="70">
        <f>STOCK[[#This Row],[Entradas]]-STOCK[[#This Row],[Salidas]]</f>
        <v>0</v>
      </c>
      <c r="M1070" s="54">
        <f>STOCK[[#This Row],[Precio Final]]*10%</f>
        <v>2</v>
      </c>
      <c r="N1070" s="54">
        <v>0</v>
      </c>
      <c r="O1070" s="54">
        <v>0</v>
      </c>
      <c r="P1070" s="54">
        <v>7.99</v>
      </c>
      <c r="Q1070" s="70">
        <v>0</v>
      </c>
      <c r="R1070" s="54">
        <v>0</v>
      </c>
      <c r="S1070" s="54">
        <v>0.6</v>
      </c>
      <c r="T1070" s="53">
        <f>STOCK[[#This Row],[Costo Unitario (USD)]]+STOCK[[#This Row],[Costo Envío (USD)]]+STOCK[[#This Row],[Comisión 10%]]</f>
        <v>10.59</v>
      </c>
      <c r="U1070" s="54">
        <f>STOCK[[#This Row],[Costo total]]*1.5</f>
        <v>15.885</v>
      </c>
      <c r="V1070" s="54">
        <v>20</v>
      </c>
      <c r="W1070" s="54">
        <f>STOCK[[#This Row],[Precio Final]]-STOCK[[#This Row],[Costo total]]</f>
        <v>9.41</v>
      </c>
      <c r="X1070" s="54">
        <f>STOCK[[#This Row],[Ganancia Unitaria]]*STOCK[[#This Row],[Salidas]]</f>
        <v>9.41</v>
      </c>
      <c r="Y1070" s="54" t="s">
        <v>2227</v>
      </c>
      <c r="AA1070" s="54">
        <f>STOCK[[#This Row],[Costo total]]*STOCK[[#This Row],[Entradas]]</f>
        <v>10.59</v>
      </c>
      <c r="AB1070" s="54">
        <f>STOCK[[#This Row],[Stock Actual]]*STOCK[[#This Row],[Costo total]]</f>
        <v>0</v>
      </c>
    </row>
    <row r="1071" spans="1:28" s="53" customFormat="1" ht="50" customHeight="1">
      <c r="A1071" s="53" t="s">
        <v>2228</v>
      </c>
      <c r="B1071" s="64"/>
      <c r="C1071" s="53" t="s">
        <v>32</v>
      </c>
      <c r="D1071" s="53" t="s">
        <v>1809</v>
      </c>
      <c r="E1071" s="65" t="s">
        <v>2229</v>
      </c>
      <c r="F1071" s="53" t="s">
        <v>525</v>
      </c>
      <c r="G1071" s="53" t="s">
        <v>1877</v>
      </c>
      <c r="H1071" s="53">
        <f>STOCK[[#This Row],[Precio Final]]</f>
        <v>10</v>
      </c>
      <c r="I1071" s="53">
        <f>STOCK[[#This Row],[Precio Venta Ideal (x1.5)]]</f>
        <v>6.42</v>
      </c>
      <c r="J1071" s="69">
        <v>5</v>
      </c>
      <c r="K1071" s="69">
        <f>SUMIFS(VENTAS[Cantidad],VENTAS[Código del producto Vendido],STOCK[[#This Row],[Code]])</f>
        <v>5</v>
      </c>
      <c r="L1071" s="69">
        <f>STOCK[[#This Row],[Entradas]]-STOCK[[#This Row],[Salidas]]</f>
        <v>0</v>
      </c>
      <c r="M1071" s="53">
        <f>STOCK[[#This Row],[Precio Final]]*10%</f>
        <v>1</v>
      </c>
      <c r="N1071" s="53">
        <v>0</v>
      </c>
      <c r="O1071" s="53">
        <v>0</v>
      </c>
      <c r="P1071" s="53">
        <v>2.68</v>
      </c>
      <c r="Q1071" s="69">
        <v>0</v>
      </c>
      <c r="R1071" s="53">
        <v>0</v>
      </c>
      <c r="S1071" s="53">
        <v>0.6</v>
      </c>
      <c r="T1071" s="53">
        <f>STOCK[[#This Row],[Costo Unitario (USD)]]+STOCK[[#This Row],[Costo Envío (USD)]]+STOCK[[#This Row],[Comisión 10%]]</f>
        <v>4.28</v>
      </c>
      <c r="U1071" s="53">
        <f>STOCK[[#This Row],[Costo total]]*1.5</f>
        <v>6.42</v>
      </c>
      <c r="V1071" s="53">
        <v>10</v>
      </c>
      <c r="W1071" s="53">
        <f>STOCK[[#This Row],[Precio Final]]-STOCK[[#This Row],[Costo total]]</f>
        <v>5.72</v>
      </c>
      <c r="X1071" s="53">
        <f>STOCK[[#This Row],[Ganancia Unitaria]]*STOCK[[#This Row],[Salidas]]</f>
        <v>28.599999999999998</v>
      </c>
      <c r="Y1071" s="53" t="s">
        <v>2230</v>
      </c>
      <c r="AA1071" s="54">
        <f>STOCK[[#This Row],[Costo total]]*STOCK[[#This Row],[Entradas]]</f>
        <v>21.400000000000002</v>
      </c>
      <c r="AB1071" s="54">
        <f>STOCK[[#This Row],[Stock Actual]]*STOCK[[#This Row],[Costo total]]</f>
        <v>0</v>
      </c>
    </row>
    <row r="1072" spans="1:28" s="54" customFormat="1" ht="50" customHeight="1">
      <c r="A1072" s="54" t="s">
        <v>2231</v>
      </c>
      <c r="B1072" s="64"/>
      <c r="C1072" s="54" t="s">
        <v>32</v>
      </c>
      <c r="D1072" s="54" t="s">
        <v>2119</v>
      </c>
      <c r="E1072" s="66" t="s">
        <v>2232</v>
      </c>
      <c r="F1072" s="54" t="s">
        <v>46</v>
      </c>
      <c r="G1072" s="54" t="s">
        <v>1877</v>
      </c>
      <c r="H1072" s="54">
        <f>STOCK[[#This Row],[Precio Final]]</f>
        <v>25</v>
      </c>
      <c r="I1072" s="54">
        <f>STOCK[[#This Row],[Precio Venta Ideal (x1.5)]]</f>
        <v>22.035</v>
      </c>
      <c r="J1072" s="70">
        <v>1</v>
      </c>
      <c r="K1072" s="70">
        <f>SUMIFS(VENTAS[Cantidad],VENTAS[Código del producto Vendido],STOCK[[#This Row],[Code]])</f>
        <v>1</v>
      </c>
      <c r="L1072" s="70">
        <f>STOCK[[#This Row],[Entradas]]-STOCK[[#This Row],[Salidas]]</f>
        <v>0</v>
      </c>
      <c r="M1072" s="54">
        <f>STOCK[[#This Row],[Precio Final]]*10%</f>
        <v>2.5</v>
      </c>
      <c r="N1072" s="54">
        <v>0</v>
      </c>
      <c r="O1072" s="54">
        <v>0</v>
      </c>
      <c r="P1072" s="54">
        <v>11.59</v>
      </c>
      <c r="Q1072" s="70">
        <v>0</v>
      </c>
      <c r="R1072" s="54">
        <v>0</v>
      </c>
      <c r="S1072" s="54">
        <v>0.6</v>
      </c>
      <c r="T1072" s="53">
        <f>STOCK[[#This Row],[Costo Unitario (USD)]]+STOCK[[#This Row],[Costo Envío (USD)]]+STOCK[[#This Row],[Comisión 10%]]</f>
        <v>14.69</v>
      </c>
      <c r="U1072" s="54">
        <f>STOCK[[#This Row],[Costo total]]*1.5</f>
        <v>22.035</v>
      </c>
      <c r="V1072" s="54">
        <v>25</v>
      </c>
      <c r="W1072" s="54">
        <f>STOCK[[#This Row],[Precio Final]]-STOCK[[#This Row],[Costo total]]</f>
        <v>10.31</v>
      </c>
      <c r="X1072" s="54">
        <f>STOCK[[#This Row],[Ganancia Unitaria]]*STOCK[[#This Row],[Salidas]]</f>
        <v>10.31</v>
      </c>
      <c r="Y1072" s="54" t="s">
        <v>2233</v>
      </c>
      <c r="AA1072" s="54">
        <f>STOCK[[#This Row],[Costo total]]*STOCK[[#This Row],[Entradas]]</f>
        <v>14.69</v>
      </c>
      <c r="AB1072" s="54">
        <f>STOCK[[#This Row],[Stock Actual]]*STOCK[[#This Row],[Costo total]]</f>
        <v>0</v>
      </c>
    </row>
    <row r="1073" spans="1:28" s="53" customFormat="1" ht="50" customHeight="1">
      <c r="A1073" s="53" t="s">
        <v>2234</v>
      </c>
      <c r="B1073" s="64"/>
      <c r="C1073" s="53" t="s">
        <v>32</v>
      </c>
      <c r="D1073" s="53" t="s">
        <v>2119</v>
      </c>
      <c r="E1073" s="65" t="s">
        <v>2235</v>
      </c>
      <c r="F1073" s="53" t="s">
        <v>49</v>
      </c>
      <c r="G1073" s="53" t="s">
        <v>1877</v>
      </c>
      <c r="H1073" s="53">
        <f>STOCK[[#This Row],[Precio Final]]</f>
        <v>25</v>
      </c>
      <c r="I1073" s="53">
        <f>STOCK[[#This Row],[Precio Venta Ideal (x1.5)]]</f>
        <v>22.035</v>
      </c>
      <c r="J1073" s="69">
        <v>3</v>
      </c>
      <c r="K1073" s="69">
        <f>SUMIFS(VENTAS[Cantidad],VENTAS[Código del producto Vendido],STOCK[[#This Row],[Code]])</f>
        <v>3</v>
      </c>
      <c r="L1073" s="69">
        <f>STOCK[[#This Row],[Entradas]]-STOCK[[#This Row],[Salidas]]</f>
        <v>0</v>
      </c>
      <c r="M1073" s="53">
        <f>STOCK[[#This Row],[Precio Final]]*10%</f>
        <v>2.5</v>
      </c>
      <c r="N1073" s="53">
        <v>0</v>
      </c>
      <c r="O1073" s="53">
        <v>0</v>
      </c>
      <c r="P1073" s="53">
        <v>11.59</v>
      </c>
      <c r="Q1073" s="69">
        <v>0</v>
      </c>
      <c r="R1073" s="53">
        <v>0</v>
      </c>
      <c r="S1073" s="53">
        <v>0.6</v>
      </c>
      <c r="T1073" s="53">
        <f>STOCK[[#This Row],[Costo Unitario (USD)]]+STOCK[[#This Row],[Costo Envío (USD)]]+STOCK[[#This Row],[Comisión 10%]]</f>
        <v>14.69</v>
      </c>
      <c r="U1073" s="53">
        <f>STOCK[[#This Row],[Costo total]]*1.5</f>
        <v>22.035</v>
      </c>
      <c r="V1073" s="53">
        <v>25</v>
      </c>
      <c r="W1073" s="53">
        <f>STOCK[[#This Row],[Precio Final]]-STOCK[[#This Row],[Costo total]]</f>
        <v>10.31</v>
      </c>
      <c r="X1073" s="53">
        <f>STOCK[[#This Row],[Ganancia Unitaria]]*STOCK[[#This Row],[Salidas]]</f>
        <v>30.93</v>
      </c>
      <c r="Y1073" s="53" t="s">
        <v>2236</v>
      </c>
      <c r="AA1073" s="54">
        <f>STOCK[[#This Row],[Costo total]]*STOCK[[#This Row],[Entradas]]</f>
        <v>44.07</v>
      </c>
      <c r="AB1073" s="54">
        <f>STOCK[[#This Row],[Stock Actual]]*STOCK[[#This Row],[Costo total]]</f>
        <v>0</v>
      </c>
    </row>
    <row r="1074" spans="1:28" s="54" customFormat="1" ht="50" customHeight="1">
      <c r="A1074" s="54" t="s">
        <v>2237</v>
      </c>
      <c r="B1074" s="72" t="e" vm="1">
        <f ca="1">_xlfn.DISPIMG("ID_D2291D47CB264014ADE660D65A2620A2",1)</f>
        <v>#NAME?</v>
      </c>
      <c r="C1074" s="54" t="s">
        <v>32</v>
      </c>
      <c r="D1074" s="54" t="s">
        <v>38</v>
      </c>
      <c r="E1074" s="66" t="s">
        <v>2223</v>
      </c>
      <c r="F1074" s="54" t="s">
        <v>2238</v>
      </c>
      <c r="G1074" s="54" t="s">
        <v>1877</v>
      </c>
      <c r="H1074" s="54">
        <f>STOCK[[#This Row],[Precio Final]]</f>
        <v>25</v>
      </c>
      <c r="I1074" s="54">
        <f>STOCK[[#This Row],[Precio Venta Ideal (x1.5)]]</f>
        <v>21.225000000000001</v>
      </c>
      <c r="J1074" s="70">
        <v>2</v>
      </c>
      <c r="K1074" s="70">
        <f>SUMIFS(VENTAS[Cantidad],VENTAS[Código del producto Vendido],STOCK[[#This Row],[Code]])</f>
        <v>0</v>
      </c>
      <c r="L1074" s="70">
        <f>STOCK[[#This Row],[Entradas]]-STOCK[[#This Row],[Salidas]]</f>
        <v>2</v>
      </c>
      <c r="M1074" s="54">
        <f>STOCK[[#This Row],[Precio Final]]*10%</f>
        <v>2.5</v>
      </c>
      <c r="N1074" s="54">
        <v>0</v>
      </c>
      <c r="O1074" s="54">
        <v>0</v>
      </c>
      <c r="P1074" s="54">
        <v>11.05</v>
      </c>
      <c r="Q1074" s="70">
        <v>0</v>
      </c>
      <c r="R1074" s="54">
        <v>0</v>
      </c>
      <c r="S1074" s="54">
        <v>0.6</v>
      </c>
      <c r="T1074" s="53">
        <f>STOCK[[#This Row],[Costo Unitario (USD)]]+STOCK[[#This Row],[Costo Envío (USD)]]+STOCK[[#This Row],[Comisión 10%]]</f>
        <v>14.15</v>
      </c>
      <c r="U1074" s="54">
        <f>STOCK[[#This Row],[Costo total]]*1.5</f>
        <v>21.225000000000001</v>
      </c>
      <c r="V1074" s="54">
        <v>25</v>
      </c>
      <c r="W1074" s="54">
        <f>STOCK[[#This Row],[Precio Final]]-STOCK[[#This Row],[Costo total]]</f>
        <v>10.85</v>
      </c>
      <c r="X1074" s="54">
        <f>STOCK[[#This Row],[Ganancia Unitaria]]*STOCK[[#This Row],[Salidas]]</f>
        <v>0</v>
      </c>
      <c r="Y1074" s="54" t="s">
        <v>2239</v>
      </c>
      <c r="AA1074" s="54">
        <f>STOCK[[#This Row],[Costo total]]*STOCK[[#This Row],[Entradas]]</f>
        <v>28.3</v>
      </c>
      <c r="AB1074" s="54">
        <f>STOCK[[#This Row],[Stock Actual]]*STOCK[[#This Row],[Costo total]]</f>
        <v>28.3</v>
      </c>
    </row>
    <row r="1075" spans="1:28" s="53" customFormat="1" ht="50" customHeight="1">
      <c r="A1075" s="54" t="s">
        <v>2240</v>
      </c>
      <c r="B1075" s="72" t="e" vm="1">
        <f ca="1">_xlfn.DISPIMG("ID_D2291D47CB264014ADE660D65A2620A2",1)</f>
        <v>#NAME?</v>
      </c>
      <c r="C1075" s="54" t="s">
        <v>32</v>
      </c>
      <c r="D1075" s="54" t="s">
        <v>38</v>
      </c>
      <c r="E1075" s="66" t="s">
        <v>2223</v>
      </c>
      <c r="F1075" s="53" t="s">
        <v>62</v>
      </c>
      <c r="H1075" s="54">
        <f>STOCK[[#This Row],[Precio Final]]</f>
        <v>25</v>
      </c>
      <c r="I1075" s="54">
        <f>STOCK[[#This Row],[Precio Venta Ideal (x1.5)]]</f>
        <v>20.325000000000003</v>
      </c>
      <c r="J1075" s="69">
        <v>1</v>
      </c>
      <c r="K1075" s="70">
        <f>SUMIFS(VENTAS[Cantidad],VENTAS[Código del producto Vendido],STOCK[[#This Row],[Code]])</f>
        <v>0</v>
      </c>
      <c r="L1075" s="70">
        <f>STOCK[[#This Row],[Entradas]]-STOCK[[#This Row],[Salidas]]</f>
        <v>1</v>
      </c>
      <c r="M1075" s="54">
        <f>STOCK[[#This Row],[Precio Final]]*10%</f>
        <v>2.5</v>
      </c>
      <c r="N1075" s="53">
        <v>0</v>
      </c>
      <c r="O1075" s="53">
        <v>0</v>
      </c>
      <c r="P1075" s="53">
        <v>11.05</v>
      </c>
      <c r="Q1075" s="69">
        <v>0</v>
      </c>
      <c r="R1075" s="53">
        <v>0</v>
      </c>
      <c r="S1075" s="53">
        <v>0</v>
      </c>
      <c r="T1075" s="53">
        <f>STOCK[[#This Row],[Costo Unitario (USD)]]+STOCK[[#This Row],[Costo Envío (USD)]]+STOCK[[#This Row],[Comisión 10%]]</f>
        <v>13.55</v>
      </c>
      <c r="U1075" s="54">
        <f>STOCK[[#This Row],[Costo total]]*1.5</f>
        <v>20.325000000000003</v>
      </c>
      <c r="V1075" s="53">
        <v>25</v>
      </c>
      <c r="W1075" s="54">
        <f>STOCK[[#This Row],[Precio Final]]-STOCK[[#This Row],[Costo total]]</f>
        <v>11.45</v>
      </c>
      <c r="X1075" s="54">
        <f>STOCK[[#This Row],[Ganancia Unitaria]]*STOCK[[#This Row],[Salidas]]</f>
        <v>0</v>
      </c>
      <c r="Y1075" s="54" t="s">
        <v>2241</v>
      </c>
      <c r="AA1075" s="54">
        <f>STOCK[[#This Row],[Costo total]]*STOCK[[#This Row],[Entradas]]</f>
        <v>13.55</v>
      </c>
      <c r="AB1075" s="54">
        <f>STOCK[[#This Row],[Stock Actual]]*STOCK[[#This Row],[Costo total]]</f>
        <v>13.55</v>
      </c>
    </row>
    <row r="1076" spans="1:28" s="53" customFormat="1" ht="50" customHeight="1">
      <c r="A1076" s="53" t="s">
        <v>2242</v>
      </c>
      <c r="B1076" s="64"/>
      <c r="C1076" s="53" t="s">
        <v>32</v>
      </c>
      <c r="D1076" s="53" t="s">
        <v>1882</v>
      </c>
      <c r="E1076" s="65" t="s">
        <v>2243</v>
      </c>
      <c r="F1076" s="53" t="s">
        <v>2109</v>
      </c>
      <c r="G1076" s="53" t="s">
        <v>1877</v>
      </c>
      <c r="H1076" s="53">
        <f>STOCK[[#This Row],[Precio Final]]</f>
        <v>25</v>
      </c>
      <c r="I1076" s="53">
        <f>STOCK[[#This Row],[Precio Venta Ideal (x1.5)]]</f>
        <v>20.384999999999998</v>
      </c>
      <c r="J1076" s="69">
        <v>5</v>
      </c>
      <c r="K1076" s="69">
        <f>SUMIFS(VENTAS[Cantidad],VENTAS[Código del producto Vendido],STOCK[[#This Row],[Code]])</f>
        <v>5</v>
      </c>
      <c r="L1076" s="69">
        <f>STOCK[[#This Row],[Entradas]]-STOCK[[#This Row],[Salidas]]</f>
        <v>0</v>
      </c>
      <c r="M1076" s="53">
        <f>STOCK[[#This Row],[Precio Final]]*10%</f>
        <v>2.5</v>
      </c>
      <c r="N1076" s="53">
        <v>0</v>
      </c>
      <c r="O1076" s="53">
        <v>0</v>
      </c>
      <c r="P1076" s="53">
        <v>10.49</v>
      </c>
      <c r="Q1076" s="69">
        <v>0</v>
      </c>
      <c r="R1076" s="53">
        <v>0</v>
      </c>
      <c r="S1076" s="53">
        <v>0.6</v>
      </c>
      <c r="T1076" s="53">
        <f>STOCK[[#This Row],[Costo Unitario (USD)]]+STOCK[[#This Row],[Costo Envío (USD)]]+STOCK[[#This Row],[Comisión 10%]]</f>
        <v>13.59</v>
      </c>
      <c r="U1076" s="53">
        <f>STOCK[[#This Row],[Costo total]]*1.5</f>
        <v>20.384999999999998</v>
      </c>
      <c r="V1076" s="53">
        <v>25</v>
      </c>
      <c r="W1076" s="53">
        <f>STOCK[[#This Row],[Precio Final]]-STOCK[[#This Row],[Costo total]]</f>
        <v>11.41</v>
      </c>
      <c r="X1076" s="53">
        <f>STOCK[[#This Row],[Ganancia Unitaria]]*STOCK[[#This Row],[Salidas]]</f>
        <v>57.05</v>
      </c>
      <c r="Y1076" s="53" t="s">
        <v>2241</v>
      </c>
      <c r="AA1076" s="54">
        <f>STOCK[[#This Row],[Costo total]]*STOCK[[#This Row],[Entradas]]</f>
        <v>67.95</v>
      </c>
      <c r="AB1076" s="54">
        <f>STOCK[[#This Row],[Stock Actual]]*STOCK[[#This Row],[Costo total]]</f>
        <v>0</v>
      </c>
    </row>
    <row r="1077" spans="1:28" s="54" customFormat="1" ht="50" customHeight="1">
      <c r="A1077" s="54" t="s">
        <v>2244</v>
      </c>
      <c r="B1077" s="64"/>
      <c r="C1077" s="54" t="s">
        <v>32</v>
      </c>
      <c r="D1077" s="54" t="s">
        <v>38</v>
      </c>
      <c r="E1077" s="66" t="s">
        <v>2125</v>
      </c>
      <c r="F1077" s="54" t="s">
        <v>49</v>
      </c>
      <c r="G1077" s="54" t="s">
        <v>1877</v>
      </c>
      <c r="H1077" s="54">
        <f>STOCK[[#This Row],[Precio Final]]</f>
        <v>25</v>
      </c>
      <c r="I1077" s="54">
        <f>STOCK[[#This Row],[Precio Venta Ideal (x1.5)]]</f>
        <v>19.934999999999999</v>
      </c>
      <c r="J1077" s="70">
        <v>2</v>
      </c>
      <c r="K1077" s="70">
        <f>SUMIFS(VENTAS[Cantidad],VENTAS[Código del producto Vendido],STOCK[[#This Row],[Code]])</f>
        <v>2</v>
      </c>
      <c r="L1077" s="70">
        <f>STOCK[[#This Row],[Entradas]]-STOCK[[#This Row],[Salidas]]</f>
        <v>0</v>
      </c>
      <c r="M1077" s="54">
        <f>STOCK[[#This Row],[Precio Final]]*10%</f>
        <v>2.5</v>
      </c>
      <c r="N1077" s="54">
        <v>0</v>
      </c>
      <c r="O1077" s="54">
        <v>0</v>
      </c>
      <c r="P1077" s="54">
        <v>10.19</v>
      </c>
      <c r="Q1077" s="70">
        <v>0</v>
      </c>
      <c r="R1077" s="54">
        <v>0</v>
      </c>
      <c r="S1077" s="54">
        <v>0.6</v>
      </c>
      <c r="T1077" s="53">
        <f>STOCK[[#This Row],[Costo Unitario (USD)]]+STOCK[[#This Row],[Costo Envío (USD)]]+STOCK[[#This Row],[Comisión 10%]]</f>
        <v>13.29</v>
      </c>
      <c r="U1077" s="54">
        <f>STOCK[[#This Row],[Costo total]]*1.5</f>
        <v>19.934999999999999</v>
      </c>
      <c r="V1077" s="54">
        <v>25</v>
      </c>
      <c r="W1077" s="54">
        <f>STOCK[[#This Row],[Precio Final]]-STOCK[[#This Row],[Costo total]]</f>
        <v>11.71</v>
      </c>
      <c r="X1077" s="54">
        <f>STOCK[[#This Row],[Ganancia Unitaria]]*STOCK[[#This Row],[Salidas]]</f>
        <v>23.42</v>
      </c>
      <c r="Y1077" s="54" t="s">
        <v>2245</v>
      </c>
      <c r="AA1077" s="54">
        <f>STOCK[[#This Row],[Costo total]]*STOCK[[#This Row],[Entradas]]</f>
        <v>26.58</v>
      </c>
      <c r="AB1077" s="54">
        <f>STOCK[[#This Row],[Stock Actual]]*STOCK[[#This Row],[Costo total]]</f>
        <v>0</v>
      </c>
    </row>
    <row r="1078" spans="1:28" s="53" customFormat="1" ht="50" customHeight="1">
      <c r="A1078" s="53" t="s">
        <v>2246</v>
      </c>
      <c r="B1078" s="64"/>
      <c r="C1078" s="53" t="s">
        <v>32</v>
      </c>
      <c r="D1078" s="54" t="s">
        <v>38</v>
      </c>
      <c r="E1078" s="65" t="s">
        <v>2247</v>
      </c>
      <c r="F1078" s="53" t="s">
        <v>62</v>
      </c>
      <c r="G1078" s="53" t="s">
        <v>1877</v>
      </c>
      <c r="H1078" s="53">
        <f>STOCK[[#This Row],[Precio Final]]</f>
        <v>15</v>
      </c>
      <c r="I1078" s="53">
        <f>STOCK[[#This Row],[Precio Venta Ideal (x1.5)]]</f>
        <v>9.2850000000000001</v>
      </c>
      <c r="J1078" s="69">
        <v>2</v>
      </c>
      <c r="K1078" s="69">
        <f>SUMIFS(VENTAS[Cantidad],VENTAS[Código del producto Vendido],STOCK[[#This Row],[Code]])</f>
        <v>0</v>
      </c>
      <c r="L1078" s="69">
        <f>STOCK[[#This Row],[Entradas]]-STOCK[[#This Row],[Salidas]]</f>
        <v>2</v>
      </c>
      <c r="M1078" s="53">
        <f>STOCK[[#This Row],[Precio Final]]*10%</f>
        <v>1.5</v>
      </c>
      <c r="N1078" s="53">
        <v>0</v>
      </c>
      <c r="O1078" s="53">
        <v>0</v>
      </c>
      <c r="P1078" s="53">
        <v>4.09</v>
      </c>
      <c r="Q1078" s="69">
        <v>0</v>
      </c>
      <c r="R1078" s="53">
        <v>0</v>
      </c>
      <c r="S1078" s="53">
        <v>0.6</v>
      </c>
      <c r="T1078" s="53">
        <f>STOCK[[#This Row],[Costo Unitario (USD)]]+STOCK[[#This Row],[Costo Envío (USD)]]+STOCK[[#This Row],[Comisión 10%]]</f>
        <v>6.1899999999999995</v>
      </c>
      <c r="U1078" s="53">
        <f>STOCK[[#This Row],[Costo total]]*1.5</f>
        <v>9.2850000000000001</v>
      </c>
      <c r="V1078" s="53">
        <v>15</v>
      </c>
      <c r="W1078" s="53">
        <f>STOCK[[#This Row],[Precio Final]]-STOCK[[#This Row],[Costo total]]</f>
        <v>8.81</v>
      </c>
      <c r="X1078" s="53">
        <f>STOCK[[#This Row],[Ganancia Unitaria]]*STOCK[[#This Row],[Salidas]]</f>
        <v>0</v>
      </c>
      <c r="Y1078" s="53" t="s">
        <v>2248</v>
      </c>
      <c r="AA1078" s="54">
        <f>STOCK[[#This Row],[Costo total]]*STOCK[[#This Row],[Entradas]]</f>
        <v>12.379999999999999</v>
      </c>
      <c r="AB1078" s="54">
        <f>STOCK[[#This Row],[Stock Actual]]*STOCK[[#This Row],[Costo total]]</f>
        <v>12.379999999999999</v>
      </c>
    </row>
    <row r="1079" spans="1:28" s="54" customFormat="1" ht="50" customHeight="1">
      <c r="A1079" s="54" t="s">
        <v>2249</v>
      </c>
      <c r="B1079" s="64"/>
      <c r="C1079" s="54" t="s">
        <v>32</v>
      </c>
      <c r="D1079" s="54" t="s">
        <v>38</v>
      </c>
      <c r="E1079" s="66" t="s">
        <v>2250</v>
      </c>
      <c r="F1079" s="54" t="s">
        <v>996</v>
      </c>
      <c r="G1079" s="54" t="s">
        <v>1877</v>
      </c>
      <c r="H1079" s="54">
        <f>STOCK[[#This Row],[Precio Final]]</f>
        <v>20</v>
      </c>
      <c r="I1079" s="54">
        <f>STOCK[[#This Row],[Precio Venta Ideal (x1.5)]]</f>
        <v>11.984999999999999</v>
      </c>
      <c r="J1079" s="70">
        <v>1</v>
      </c>
      <c r="K1079" s="70">
        <f>SUMIFS(VENTAS[Cantidad],VENTAS[Código del producto Vendido],STOCK[[#This Row],[Code]])</f>
        <v>1</v>
      </c>
      <c r="L1079" s="70">
        <f>STOCK[[#This Row],[Entradas]]-STOCK[[#This Row],[Salidas]]</f>
        <v>0</v>
      </c>
      <c r="M1079" s="54">
        <f>STOCK[[#This Row],[Precio Final]]*10%</f>
        <v>2</v>
      </c>
      <c r="N1079" s="54">
        <v>0</v>
      </c>
      <c r="O1079" s="54">
        <v>0</v>
      </c>
      <c r="P1079" s="54">
        <v>5.39</v>
      </c>
      <c r="Q1079" s="70">
        <v>0</v>
      </c>
      <c r="R1079" s="54">
        <v>0</v>
      </c>
      <c r="S1079" s="54">
        <v>0.6</v>
      </c>
      <c r="T1079" s="53">
        <f>STOCK[[#This Row],[Costo Unitario (USD)]]+STOCK[[#This Row],[Costo Envío (USD)]]+STOCK[[#This Row],[Comisión 10%]]</f>
        <v>7.9899999999999993</v>
      </c>
      <c r="U1079" s="54">
        <f>STOCK[[#This Row],[Costo total]]*1.5</f>
        <v>11.984999999999999</v>
      </c>
      <c r="V1079" s="54">
        <v>20</v>
      </c>
      <c r="W1079" s="54">
        <f>STOCK[[#This Row],[Precio Final]]-STOCK[[#This Row],[Costo total]]</f>
        <v>12.010000000000002</v>
      </c>
      <c r="X1079" s="54">
        <f>STOCK[[#This Row],[Ganancia Unitaria]]*STOCK[[#This Row],[Salidas]]</f>
        <v>12.010000000000002</v>
      </c>
      <c r="Y1079" s="54" t="s">
        <v>2251</v>
      </c>
      <c r="AA1079" s="54">
        <f>STOCK[[#This Row],[Costo total]]*STOCK[[#This Row],[Entradas]]</f>
        <v>7.9899999999999993</v>
      </c>
      <c r="AB1079" s="54">
        <f>STOCK[[#This Row],[Stock Actual]]*STOCK[[#This Row],[Costo total]]</f>
        <v>0</v>
      </c>
    </row>
    <row r="1080" spans="1:28" s="53" customFormat="1" ht="50" customHeight="1">
      <c r="A1080" s="53" t="s">
        <v>2252</v>
      </c>
      <c r="B1080" s="64"/>
      <c r="C1080" s="53" t="s">
        <v>32</v>
      </c>
      <c r="D1080" s="54" t="s">
        <v>38</v>
      </c>
      <c r="E1080" s="65" t="s">
        <v>2253</v>
      </c>
      <c r="F1080" s="53" t="s">
        <v>49</v>
      </c>
      <c r="G1080" s="53" t="s">
        <v>1877</v>
      </c>
      <c r="H1080" s="53">
        <f>STOCK[[#This Row],[Precio Final]]</f>
        <v>20</v>
      </c>
      <c r="I1080" s="53">
        <f>STOCK[[#This Row],[Precio Venta Ideal (x1.5)]]</f>
        <v>15.99</v>
      </c>
      <c r="J1080" s="69">
        <v>1</v>
      </c>
      <c r="K1080" s="69">
        <f>SUMIFS(VENTAS[Cantidad],VENTAS[Código del producto Vendido],STOCK[[#This Row],[Code]])</f>
        <v>1</v>
      </c>
      <c r="L1080" s="69">
        <f>STOCK[[#This Row],[Entradas]]-STOCK[[#This Row],[Salidas]]</f>
        <v>0</v>
      </c>
      <c r="M1080" s="53">
        <f>STOCK[[#This Row],[Precio Final]]*10%</f>
        <v>2</v>
      </c>
      <c r="N1080" s="53">
        <v>0</v>
      </c>
      <c r="O1080" s="53">
        <v>0</v>
      </c>
      <c r="P1080" s="53">
        <v>8.06</v>
      </c>
      <c r="Q1080" s="69">
        <v>0</v>
      </c>
      <c r="R1080" s="53">
        <v>0</v>
      </c>
      <c r="S1080" s="53">
        <v>0.6</v>
      </c>
      <c r="T1080" s="53">
        <f>STOCK[[#This Row],[Costo Unitario (USD)]]+STOCK[[#This Row],[Costo Envío (USD)]]+STOCK[[#This Row],[Comisión 10%]]</f>
        <v>10.66</v>
      </c>
      <c r="U1080" s="53">
        <f>STOCK[[#This Row],[Costo total]]*1.5</f>
        <v>15.99</v>
      </c>
      <c r="V1080" s="53">
        <v>20</v>
      </c>
      <c r="W1080" s="53">
        <f>STOCK[[#This Row],[Precio Final]]-STOCK[[#This Row],[Costo total]]</f>
        <v>9.34</v>
      </c>
      <c r="X1080" s="53">
        <f>STOCK[[#This Row],[Ganancia Unitaria]]*STOCK[[#This Row],[Salidas]]</f>
        <v>9.34</v>
      </c>
      <c r="Y1080" s="53" t="s">
        <v>2254</v>
      </c>
      <c r="AA1080" s="54">
        <f>STOCK[[#This Row],[Costo total]]*STOCK[[#This Row],[Entradas]]</f>
        <v>10.66</v>
      </c>
      <c r="AB1080" s="54">
        <f>STOCK[[#This Row],[Stock Actual]]*STOCK[[#This Row],[Costo total]]</f>
        <v>0</v>
      </c>
    </row>
    <row r="1081" spans="1:28" s="54" customFormat="1" ht="50" customHeight="1">
      <c r="A1081" s="54" t="s">
        <v>2255</v>
      </c>
      <c r="B1081" s="64"/>
      <c r="C1081" s="54" t="s">
        <v>32</v>
      </c>
      <c r="D1081" s="54" t="s">
        <v>2128</v>
      </c>
      <c r="E1081" s="66" t="s">
        <v>2253</v>
      </c>
      <c r="F1081" s="54" t="s">
        <v>62</v>
      </c>
      <c r="G1081" s="54" t="s">
        <v>1877</v>
      </c>
      <c r="H1081" s="54">
        <f>STOCK[[#This Row],[Precio Final]]</f>
        <v>20</v>
      </c>
      <c r="I1081" s="54">
        <f>STOCK[[#This Row],[Precio Venta Ideal (x1.5)]]</f>
        <v>15.99</v>
      </c>
      <c r="J1081" s="70">
        <v>1</v>
      </c>
      <c r="K1081" s="70">
        <f>SUMIFS(VENTAS[Cantidad],VENTAS[Código del producto Vendido],STOCK[[#This Row],[Code]])</f>
        <v>1</v>
      </c>
      <c r="L1081" s="70">
        <f>STOCK[[#This Row],[Entradas]]-STOCK[[#This Row],[Salidas]]</f>
        <v>0</v>
      </c>
      <c r="M1081" s="54">
        <f>STOCK[[#This Row],[Precio Final]]*10%</f>
        <v>2</v>
      </c>
      <c r="N1081" s="54">
        <v>0</v>
      </c>
      <c r="O1081" s="54">
        <v>0</v>
      </c>
      <c r="P1081" s="54">
        <v>8.06</v>
      </c>
      <c r="Q1081" s="70">
        <v>0</v>
      </c>
      <c r="R1081" s="54">
        <v>0</v>
      </c>
      <c r="S1081" s="54">
        <v>0.6</v>
      </c>
      <c r="T1081" s="53">
        <f>STOCK[[#This Row],[Costo Unitario (USD)]]+STOCK[[#This Row],[Costo Envío (USD)]]+STOCK[[#This Row],[Comisión 10%]]</f>
        <v>10.66</v>
      </c>
      <c r="U1081" s="54">
        <f>STOCK[[#This Row],[Costo total]]*1.5</f>
        <v>15.99</v>
      </c>
      <c r="V1081" s="54">
        <v>20</v>
      </c>
      <c r="W1081" s="54">
        <f>STOCK[[#This Row],[Precio Final]]-STOCK[[#This Row],[Costo total]]</f>
        <v>9.34</v>
      </c>
      <c r="X1081" s="54">
        <f>STOCK[[#This Row],[Ganancia Unitaria]]*STOCK[[#This Row],[Salidas]]</f>
        <v>9.34</v>
      </c>
      <c r="Y1081" s="54" t="s">
        <v>2256</v>
      </c>
      <c r="AA1081" s="54">
        <f>STOCK[[#This Row],[Costo total]]*STOCK[[#This Row],[Entradas]]</f>
        <v>10.66</v>
      </c>
      <c r="AB1081" s="54">
        <f>STOCK[[#This Row],[Stock Actual]]*STOCK[[#This Row],[Costo total]]</f>
        <v>0</v>
      </c>
    </row>
    <row r="1082" spans="1:28" s="53" customFormat="1" ht="50" customHeight="1">
      <c r="A1082" s="53" t="s">
        <v>2257</v>
      </c>
      <c r="B1082" s="64"/>
      <c r="C1082" s="53" t="s">
        <v>32</v>
      </c>
      <c r="D1082" s="53" t="s">
        <v>44</v>
      </c>
      <c r="E1082" s="65" t="s">
        <v>2213</v>
      </c>
      <c r="F1082" s="53" t="s">
        <v>40</v>
      </c>
      <c r="G1082" s="53" t="s">
        <v>1877</v>
      </c>
      <c r="H1082" s="53">
        <f>STOCK[[#This Row],[Precio Final]]</f>
        <v>35</v>
      </c>
      <c r="I1082" s="53">
        <f>STOCK[[#This Row],[Precio Venta Ideal (x1.5)]]</f>
        <v>28.335000000000001</v>
      </c>
      <c r="J1082" s="69">
        <v>2</v>
      </c>
      <c r="K1082" s="69">
        <f>SUMIFS(VENTAS[Cantidad],VENTAS[Código del producto Vendido],STOCK[[#This Row],[Code]])</f>
        <v>1</v>
      </c>
      <c r="L1082" s="69">
        <f>STOCK[[#This Row],[Entradas]]-STOCK[[#This Row],[Salidas]]</f>
        <v>1</v>
      </c>
      <c r="M1082" s="53">
        <f>STOCK[[#This Row],[Precio Final]]*10%</f>
        <v>3.5</v>
      </c>
      <c r="N1082" s="53">
        <v>0</v>
      </c>
      <c r="O1082" s="53">
        <v>0</v>
      </c>
      <c r="P1082" s="53">
        <v>14.79</v>
      </c>
      <c r="Q1082" s="69">
        <v>0</v>
      </c>
      <c r="R1082" s="53">
        <v>0</v>
      </c>
      <c r="S1082" s="53">
        <v>0.6</v>
      </c>
      <c r="T1082" s="53">
        <f>STOCK[[#This Row],[Costo Unitario (USD)]]+STOCK[[#This Row],[Costo Envío (USD)]]+STOCK[[#This Row],[Comisión 10%]]</f>
        <v>18.89</v>
      </c>
      <c r="U1082" s="53">
        <f>STOCK[[#This Row],[Costo total]]*1.5</f>
        <v>28.335000000000001</v>
      </c>
      <c r="V1082" s="53">
        <v>35</v>
      </c>
      <c r="W1082" s="53">
        <f>STOCK[[#This Row],[Precio Final]]-STOCK[[#This Row],[Costo total]]</f>
        <v>16.11</v>
      </c>
      <c r="X1082" s="53">
        <f>STOCK[[#This Row],[Ganancia Unitaria]]*STOCK[[#This Row],[Salidas]]</f>
        <v>16.11</v>
      </c>
      <c r="Y1082" s="53" t="s">
        <v>2258</v>
      </c>
      <c r="AA1082" s="54">
        <f>STOCK[[#This Row],[Costo total]]*STOCK[[#This Row],[Entradas]]</f>
        <v>37.78</v>
      </c>
      <c r="AB1082" s="54">
        <f>STOCK[[#This Row],[Stock Actual]]*STOCK[[#This Row],[Costo total]]</f>
        <v>18.89</v>
      </c>
    </row>
    <row r="1083" spans="1:28" s="54" customFormat="1" ht="50" customHeight="1">
      <c r="A1083" s="54" t="s">
        <v>2259</v>
      </c>
      <c r="B1083" s="64"/>
      <c r="C1083" s="54" t="s">
        <v>32</v>
      </c>
      <c r="D1083" s="54" t="s">
        <v>44</v>
      </c>
      <c r="E1083" s="66" t="s">
        <v>2260</v>
      </c>
      <c r="F1083" s="54" t="s">
        <v>49</v>
      </c>
      <c r="G1083" s="54" t="s">
        <v>1877</v>
      </c>
      <c r="H1083" s="54">
        <f>STOCK[[#This Row],[Precio Final]]</f>
        <v>30</v>
      </c>
      <c r="I1083" s="54">
        <f>STOCK[[#This Row],[Precio Venta Ideal (x1.5)]]</f>
        <v>22.664999999999999</v>
      </c>
      <c r="J1083" s="70">
        <v>0</v>
      </c>
      <c r="K1083" s="70">
        <f>SUMIFS(VENTAS[Cantidad],VENTAS[Código del producto Vendido],STOCK[[#This Row],[Code]])</f>
        <v>0</v>
      </c>
      <c r="L1083" s="70">
        <f>STOCK[[#This Row],[Entradas]]-STOCK[[#This Row],[Salidas]]</f>
        <v>0</v>
      </c>
      <c r="M1083" s="54">
        <f>STOCK[[#This Row],[Precio Final]]*10%</f>
        <v>3</v>
      </c>
      <c r="N1083" s="54">
        <v>0</v>
      </c>
      <c r="O1083" s="54">
        <v>0</v>
      </c>
      <c r="P1083" s="54">
        <v>11.51</v>
      </c>
      <c r="Q1083" s="70">
        <v>0</v>
      </c>
      <c r="R1083" s="54">
        <v>0</v>
      </c>
      <c r="S1083" s="54">
        <v>0.6</v>
      </c>
      <c r="T1083" s="53">
        <f>STOCK[[#This Row],[Costo Unitario (USD)]]+STOCK[[#This Row],[Costo Envío (USD)]]+STOCK[[#This Row],[Comisión 10%]]</f>
        <v>15.11</v>
      </c>
      <c r="U1083" s="54">
        <f>STOCK[[#This Row],[Costo total]]*1.5</f>
        <v>22.664999999999999</v>
      </c>
      <c r="V1083" s="54">
        <v>30</v>
      </c>
      <c r="W1083" s="54">
        <f>STOCK[[#This Row],[Precio Final]]-STOCK[[#This Row],[Costo total]]</f>
        <v>14.89</v>
      </c>
      <c r="X1083" s="54">
        <f>STOCK[[#This Row],[Ganancia Unitaria]]*STOCK[[#This Row],[Salidas]]</f>
        <v>0</v>
      </c>
      <c r="Y1083" s="54" t="s">
        <v>2261</v>
      </c>
      <c r="AA1083" s="54">
        <f>STOCK[[#This Row],[Costo total]]*STOCK[[#This Row],[Entradas]]</f>
        <v>0</v>
      </c>
      <c r="AB1083" s="54">
        <f>STOCK[[#This Row],[Stock Actual]]*STOCK[[#This Row],[Costo total]]</f>
        <v>0</v>
      </c>
    </row>
    <row r="1084" spans="1:28" s="53" customFormat="1" ht="50" customHeight="1">
      <c r="A1084" s="53" t="s">
        <v>2262</v>
      </c>
      <c r="B1084" s="64"/>
      <c r="C1084" s="53" t="s">
        <v>32</v>
      </c>
      <c r="D1084" s="53" t="s">
        <v>44</v>
      </c>
      <c r="E1084" s="65" t="s">
        <v>2260</v>
      </c>
      <c r="F1084" s="53" t="s">
        <v>46</v>
      </c>
      <c r="G1084" s="53" t="s">
        <v>1877</v>
      </c>
      <c r="H1084" s="53">
        <f>STOCK[[#This Row],[Precio Final]]</f>
        <v>30</v>
      </c>
      <c r="I1084" s="53">
        <f>STOCK[[#This Row],[Precio Venta Ideal (x1.5)]]</f>
        <v>22.664999999999999</v>
      </c>
      <c r="J1084" s="69">
        <v>0</v>
      </c>
      <c r="K1084" s="69">
        <f>SUMIFS(VENTAS[Cantidad],VENTAS[Código del producto Vendido],STOCK[[#This Row],[Code]])</f>
        <v>0</v>
      </c>
      <c r="L1084" s="69">
        <f>STOCK[[#This Row],[Entradas]]-STOCK[[#This Row],[Salidas]]</f>
        <v>0</v>
      </c>
      <c r="M1084" s="53">
        <f>STOCK[[#This Row],[Precio Final]]*10%</f>
        <v>3</v>
      </c>
      <c r="N1084" s="53">
        <v>0</v>
      </c>
      <c r="O1084" s="53">
        <v>0</v>
      </c>
      <c r="P1084" s="53">
        <v>11.51</v>
      </c>
      <c r="Q1084" s="69">
        <v>0</v>
      </c>
      <c r="R1084" s="53">
        <v>0</v>
      </c>
      <c r="S1084" s="53">
        <v>0.6</v>
      </c>
      <c r="T1084" s="53">
        <f>STOCK[[#This Row],[Costo Unitario (USD)]]+STOCK[[#This Row],[Costo Envío (USD)]]+STOCK[[#This Row],[Comisión 10%]]</f>
        <v>15.11</v>
      </c>
      <c r="U1084" s="53">
        <f>STOCK[[#This Row],[Costo total]]*1.5</f>
        <v>22.664999999999999</v>
      </c>
      <c r="V1084" s="53">
        <v>30</v>
      </c>
      <c r="W1084" s="53">
        <f>STOCK[[#This Row],[Precio Final]]-STOCK[[#This Row],[Costo total]]</f>
        <v>14.89</v>
      </c>
      <c r="X1084" s="53">
        <f>STOCK[[#This Row],[Ganancia Unitaria]]*STOCK[[#This Row],[Salidas]]</f>
        <v>0</v>
      </c>
      <c r="Y1084" s="53" t="s">
        <v>2263</v>
      </c>
      <c r="AA1084" s="54">
        <f>STOCK[[#This Row],[Costo total]]*STOCK[[#This Row],[Entradas]]</f>
        <v>0</v>
      </c>
      <c r="AB1084" s="54">
        <f>STOCK[[#This Row],[Stock Actual]]*STOCK[[#This Row],[Costo total]]</f>
        <v>0</v>
      </c>
    </row>
    <row r="1085" spans="1:28" s="54" customFormat="1" ht="50" customHeight="1">
      <c r="A1085" s="54" t="s">
        <v>2264</v>
      </c>
      <c r="B1085" s="64"/>
      <c r="C1085" s="54" t="s">
        <v>32</v>
      </c>
      <c r="D1085" s="54" t="s">
        <v>2265</v>
      </c>
      <c r="E1085" s="66" t="s">
        <v>2266</v>
      </c>
      <c r="F1085" s="54" t="s">
        <v>42</v>
      </c>
      <c r="G1085" s="54" t="s">
        <v>1877</v>
      </c>
      <c r="H1085" s="54">
        <f>STOCK[[#This Row],[Precio Final]]</f>
        <v>20</v>
      </c>
      <c r="I1085" s="54">
        <f>STOCK[[#This Row],[Precio Venta Ideal (x1.5)]]</f>
        <v>15.285</v>
      </c>
      <c r="J1085" s="70">
        <v>2</v>
      </c>
      <c r="K1085" s="70">
        <f>SUMIFS(VENTAS[Cantidad],VENTAS[Código del producto Vendido],STOCK[[#This Row],[Code]])</f>
        <v>0</v>
      </c>
      <c r="L1085" s="70">
        <f>STOCK[[#This Row],[Entradas]]-STOCK[[#This Row],[Salidas]]</f>
        <v>2</v>
      </c>
      <c r="M1085" s="54">
        <f>STOCK[[#This Row],[Precio Final]]*10%</f>
        <v>2</v>
      </c>
      <c r="N1085" s="54">
        <v>0</v>
      </c>
      <c r="O1085" s="54">
        <v>0</v>
      </c>
      <c r="P1085" s="54">
        <v>7.59</v>
      </c>
      <c r="Q1085" s="70">
        <v>0</v>
      </c>
      <c r="R1085" s="54">
        <v>0</v>
      </c>
      <c r="S1085" s="54">
        <v>0.6</v>
      </c>
      <c r="T1085" s="53">
        <f>STOCK[[#This Row],[Costo Unitario (USD)]]+STOCK[[#This Row],[Costo Envío (USD)]]+STOCK[[#This Row],[Comisión 10%]]</f>
        <v>10.19</v>
      </c>
      <c r="U1085" s="54">
        <f>STOCK[[#This Row],[Costo total]]*1.5</f>
        <v>15.285</v>
      </c>
      <c r="V1085" s="54">
        <v>20</v>
      </c>
      <c r="W1085" s="54">
        <f>STOCK[[#This Row],[Precio Final]]-STOCK[[#This Row],[Costo total]]</f>
        <v>9.81</v>
      </c>
      <c r="X1085" s="54">
        <f>STOCK[[#This Row],[Ganancia Unitaria]]*STOCK[[#This Row],[Salidas]]</f>
        <v>0</v>
      </c>
      <c r="Y1085" s="54" t="s">
        <v>2267</v>
      </c>
      <c r="AA1085" s="54">
        <f>STOCK[[#This Row],[Costo total]]*STOCK[[#This Row],[Entradas]]</f>
        <v>20.38</v>
      </c>
      <c r="AB1085" s="54">
        <f>STOCK[[#This Row],[Stock Actual]]*STOCK[[#This Row],[Costo total]]</f>
        <v>20.38</v>
      </c>
    </row>
    <row r="1086" spans="1:28" s="53" customFormat="1" ht="50" customHeight="1">
      <c r="A1086" s="53" t="s">
        <v>2268</v>
      </c>
      <c r="B1086" s="64"/>
      <c r="C1086" s="53" t="s">
        <v>32</v>
      </c>
      <c r="D1086" s="53" t="s">
        <v>2265</v>
      </c>
      <c r="E1086" s="65" t="s">
        <v>2266</v>
      </c>
      <c r="F1086" s="53" t="s">
        <v>46</v>
      </c>
      <c r="G1086" s="53" t="s">
        <v>1877</v>
      </c>
      <c r="H1086" s="53">
        <f>STOCK[[#This Row],[Precio Final]]</f>
        <v>20</v>
      </c>
      <c r="I1086" s="53">
        <f>STOCK[[#This Row],[Precio Venta Ideal (x1.5)]]</f>
        <v>15.285</v>
      </c>
      <c r="J1086" s="69">
        <v>2</v>
      </c>
      <c r="K1086" s="69">
        <f>SUMIFS(VENTAS[Cantidad],VENTAS[Código del producto Vendido],STOCK[[#This Row],[Code]])</f>
        <v>0</v>
      </c>
      <c r="L1086" s="69">
        <f>STOCK[[#This Row],[Entradas]]-STOCK[[#This Row],[Salidas]]</f>
        <v>2</v>
      </c>
      <c r="M1086" s="53">
        <f>STOCK[[#This Row],[Precio Final]]*10%</f>
        <v>2</v>
      </c>
      <c r="N1086" s="53">
        <v>0</v>
      </c>
      <c r="O1086" s="53">
        <v>0</v>
      </c>
      <c r="P1086" s="53">
        <v>7.59</v>
      </c>
      <c r="Q1086" s="69">
        <v>0</v>
      </c>
      <c r="R1086" s="53">
        <v>0</v>
      </c>
      <c r="S1086" s="53">
        <v>0.6</v>
      </c>
      <c r="T1086" s="53">
        <f>STOCK[[#This Row],[Costo Unitario (USD)]]+STOCK[[#This Row],[Costo Envío (USD)]]+STOCK[[#This Row],[Comisión 10%]]</f>
        <v>10.19</v>
      </c>
      <c r="U1086" s="53">
        <f>STOCK[[#This Row],[Costo total]]*1.5</f>
        <v>15.285</v>
      </c>
      <c r="V1086" s="53">
        <v>20</v>
      </c>
      <c r="W1086" s="53">
        <f>STOCK[[#This Row],[Precio Final]]-STOCK[[#This Row],[Costo total]]</f>
        <v>9.81</v>
      </c>
      <c r="X1086" s="53">
        <f>STOCK[[#This Row],[Ganancia Unitaria]]*STOCK[[#This Row],[Salidas]]</f>
        <v>0</v>
      </c>
      <c r="Y1086" s="53" t="s">
        <v>2269</v>
      </c>
      <c r="AA1086" s="54">
        <f>STOCK[[#This Row],[Costo total]]*STOCK[[#This Row],[Entradas]]</f>
        <v>20.38</v>
      </c>
      <c r="AB1086" s="54">
        <f>STOCK[[#This Row],[Stock Actual]]*STOCK[[#This Row],[Costo total]]</f>
        <v>20.38</v>
      </c>
    </row>
    <row r="1087" spans="1:28" s="54" customFormat="1" ht="50" customHeight="1">
      <c r="A1087" s="54" t="s">
        <v>2270</v>
      </c>
      <c r="B1087" s="64"/>
      <c r="C1087" s="54" t="s">
        <v>32</v>
      </c>
      <c r="D1087" s="54" t="s">
        <v>1212</v>
      </c>
      <c r="E1087" s="66" t="s">
        <v>2266</v>
      </c>
      <c r="F1087" s="54" t="s">
        <v>49</v>
      </c>
      <c r="G1087" s="54" t="s">
        <v>1877</v>
      </c>
      <c r="H1087" s="54">
        <f>STOCK[[#This Row],[Precio Final]]</f>
        <v>20</v>
      </c>
      <c r="I1087" s="54">
        <f>STOCK[[#This Row],[Precio Venta Ideal (x1.5)]]</f>
        <v>15.285</v>
      </c>
      <c r="J1087" s="70">
        <v>2</v>
      </c>
      <c r="K1087" s="70">
        <f>SUMIFS(VENTAS[Cantidad],VENTAS[Código del producto Vendido],STOCK[[#This Row],[Code]])</f>
        <v>0</v>
      </c>
      <c r="L1087" s="70">
        <f>STOCK[[#This Row],[Entradas]]-STOCK[[#This Row],[Salidas]]</f>
        <v>2</v>
      </c>
      <c r="M1087" s="54">
        <f>STOCK[[#This Row],[Precio Final]]*10%</f>
        <v>2</v>
      </c>
      <c r="N1087" s="54">
        <v>0</v>
      </c>
      <c r="O1087" s="54">
        <v>0</v>
      </c>
      <c r="P1087" s="54">
        <v>7.59</v>
      </c>
      <c r="Q1087" s="70">
        <v>0</v>
      </c>
      <c r="R1087" s="54">
        <v>0</v>
      </c>
      <c r="S1087" s="54">
        <v>0.6</v>
      </c>
      <c r="T1087" s="53">
        <f>STOCK[[#This Row],[Costo Unitario (USD)]]+STOCK[[#This Row],[Costo Envío (USD)]]+STOCK[[#This Row],[Comisión 10%]]</f>
        <v>10.19</v>
      </c>
      <c r="U1087" s="54">
        <f>STOCK[[#This Row],[Costo total]]*1.5</f>
        <v>15.285</v>
      </c>
      <c r="V1087" s="54">
        <v>20</v>
      </c>
      <c r="W1087" s="54">
        <f>STOCK[[#This Row],[Precio Final]]-STOCK[[#This Row],[Costo total]]</f>
        <v>9.81</v>
      </c>
      <c r="X1087" s="54">
        <f>STOCK[[#This Row],[Ganancia Unitaria]]*STOCK[[#This Row],[Salidas]]</f>
        <v>0</v>
      </c>
      <c r="Y1087" s="54" t="s">
        <v>2271</v>
      </c>
      <c r="AA1087" s="54">
        <f>STOCK[[#This Row],[Costo total]]*STOCK[[#This Row],[Entradas]]</f>
        <v>20.38</v>
      </c>
      <c r="AB1087" s="54">
        <f>STOCK[[#This Row],[Stock Actual]]*STOCK[[#This Row],[Costo total]]</f>
        <v>20.38</v>
      </c>
    </row>
    <row r="1088" spans="1:28" s="53" customFormat="1" ht="50" customHeight="1">
      <c r="A1088" s="53" t="s">
        <v>2272</v>
      </c>
      <c r="B1088" s="64"/>
      <c r="C1088" s="53" t="s">
        <v>32</v>
      </c>
      <c r="D1088" s="53" t="s">
        <v>1212</v>
      </c>
      <c r="E1088" s="65" t="s">
        <v>2266</v>
      </c>
      <c r="F1088" s="53" t="s">
        <v>62</v>
      </c>
      <c r="G1088" s="53" t="s">
        <v>1877</v>
      </c>
      <c r="H1088" s="53">
        <f>STOCK[[#This Row],[Precio Final]]</f>
        <v>20</v>
      </c>
      <c r="I1088" s="53">
        <f>STOCK[[#This Row],[Precio Venta Ideal (x1.5)]]</f>
        <v>15.285</v>
      </c>
      <c r="J1088" s="69">
        <v>2</v>
      </c>
      <c r="K1088" s="69">
        <f>SUMIFS(VENTAS[Cantidad],VENTAS[Código del producto Vendido],STOCK[[#This Row],[Code]])</f>
        <v>0</v>
      </c>
      <c r="L1088" s="69">
        <f>STOCK[[#This Row],[Entradas]]-STOCK[[#This Row],[Salidas]]</f>
        <v>2</v>
      </c>
      <c r="M1088" s="53">
        <f>STOCK[[#This Row],[Precio Final]]*10%</f>
        <v>2</v>
      </c>
      <c r="N1088" s="53">
        <v>0</v>
      </c>
      <c r="O1088" s="53">
        <v>0</v>
      </c>
      <c r="P1088" s="53">
        <v>7.59</v>
      </c>
      <c r="Q1088" s="69">
        <v>0</v>
      </c>
      <c r="R1088" s="53">
        <v>0</v>
      </c>
      <c r="S1088" s="53">
        <v>0.6</v>
      </c>
      <c r="T1088" s="53">
        <f>STOCK[[#This Row],[Costo Unitario (USD)]]+STOCK[[#This Row],[Costo Envío (USD)]]+STOCK[[#This Row],[Comisión 10%]]</f>
        <v>10.19</v>
      </c>
      <c r="U1088" s="53">
        <f>STOCK[[#This Row],[Costo total]]*1.5</f>
        <v>15.285</v>
      </c>
      <c r="V1088" s="53">
        <v>20</v>
      </c>
      <c r="W1088" s="53">
        <f>STOCK[[#This Row],[Precio Final]]-STOCK[[#This Row],[Costo total]]</f>
        <v>9.81</v>
      </c>
      <c r="X1088" s="53">
        <f>STOCK[[#This Row],[Ganancia Unitaria]]*STOCK[[#This Row],[Salidas]]</f>
        <v>0</v>
      </c>
      <c r="Y1088" s="53" t="s">
        <v>2273</v>
      </c>
      <c r="AA1088" s="54">
        <f>STOCK[[#This Row],[Costo total]]*STOCK[[#This Row],[Entradas]]</f>
        <v>20.38</v>
      </c>
      <c r="AB1088" s="54">
        <f>STOCK[[#This Row],[Stock Actual]]*STOCK[[#This Row],[Costo total]]</f>
        <v>20.38</v>
      </c>
    </row>
    <row r="1089" spans="1:28" s="54" customFormat="1" ht="50" customHeight="1">
      <c r="A1089" s="54" t="s">
        <v>2274</v>
      </c>
      <c r="B1089" s="64"/>
      <c r="C1089" s="54" t="s">
        <v>32</v>
      </c>
      <c r="D1089" s="54" t="s">
        <v>2112</v>
      </c>
      <c r="E1089" s="66" t="s">
        <v>2275</v>
      </c>
      <c r="F1089" s="54" t="s">
        <v>2109</v>
      </c>
      <c r="G1089" s="54" t="s">
        <v>1877</v>
      </c>
      <c r="H1089" s="54">
        <f>STOCK[[#This Row],[Precio Final]]</f>
        <v>15</v>
      </c>
      <c r="I1089" s="54">
        <f>STOCK[[#This Row],[Precio Venta Ideal (x1.5)]]</f>
        <v>12.585000000000001</v>
      </c>
      <c r="J1089" s="70">
        <v>3</v>
      </c>
      <c r="K1089" s="70">
        <f>SUMIFS(VENTAS[Cantidad],VENTAS[Código del producto Vendido],STOCK[[#This Row],[Code]])</f>
        <v>1</v>
      </c>
      <c r="L1089" s="70">
        <f>STOCK[[#This Row],[Entradas]]-STOCK[[#This Row],[Salidas]]</f>
        <v>2</v>
      </c>
      <c r="M1089" s="54">
        <f>STOCK[[#This Row],[Precio Final]]*10%</f>
        <v>1.5</v>
      </c>
      <c r="N1089" s="54">
        <v>0</v>
      </c>
      <c r="O1089" s="54">
        <v>0</v>
      </c>
      <c r="P1089" s="54">
        <v>6.29</v>
      </c>
      <c r="Q1089" s="70">
        <v>0</v>
      </c>
      <c r="R1089" s="54">
        <v>0</v>
      </c>
      <c r="S1089" s="54">
        <v>0.6</v>
      </c>
      <c r="T1089" s="53">
        <f>STOCK[[#This Row],[Costo Unitario (USD)]]+STOCK[[#This Row],[Costo Envío (USD)]]+STOCK[[#This Row],[Comisión 10%]]</f>
        <v>8.39</v>
      </c>
      <c r="U1089" s="54">
        <f>STOCK[[#This Row],[Costo total]]*1.5</f>
        <v>12.585000000000001</v>
      </c>
      <c r="V1089" s="54">
        <v>15</v>
      </c>
      <c r="W1089" s="54">
        <f>STOCK[[#This Row],[Precio Final]]-STOCK[[#This Row],[Costo total]]</f>
        <v>6.6099999999999994</v>
      </c>
      <c r="X1089" s="54">
        <f>STOCK[[#This Row],[Ganancia Unitaria]]*STOCK[[#This Row],[Salidas]]</f>
        <v>6.6099999999999994</v>
      </c>
      <c r="Y1089" s="54" t="s">
        <v>2276</v>
      </c>
      <c r="AA1089" s="54">
        <f>STOCK[[#This Row],[Costo total]]*STOCK[[#This Row],[Entradas]]</f>
        <v>25.17</v>
      </c>
      <c r="AB1089" s="54">
        <f>STOCK[[#This Row],[Stock Actual]]*STOCK[[#This Row],[Costo total]]</f>
        <v>16.78</v>
      </c>
    </row>
    <row r="1090" spans="1:28" s="53" customFormat="1" ht="50" customHeight="1">
      <c r="A1090" s="53" t="s">
        <v>2277</v>
      </c>
      <c r="B1090" s="64"/>
      <c r="C1090" s="53" t="s">
        <v>32</v>
      </c>
      <c r="D1090" s="53" t="s">
        <v>2112</v>
      </c>
      <c r="E1090" s="65" t="s">
        <v>2278</v>
      </c>
      <c r="F1090" s="53" t="s">
        <v>2109</v>
      </c>
      <c r="G1090" s="53" t="s">
        <v>1877</v>
      </c>
      <c r="H1090" s="53">
        <f>STOCK[[#This Row],[Precio Final]]</f>
        <v>15</v>
      </c>
      <c r="I1090" s="53">
        <f>STOCK[[#This Row],[Precio Venta Ideal (x1.5)]]</f>
        <v>12.585000000000001</v>
      </c>
      <c r="J1090" s="69">
        <v>3</v>
      </c>
      <c r="K1090" s="69">
        <f>SUMIFS(VENTAS[Cantidad],VENTAS[Código del producto Vendido],STOCK[[#This Row],[Code]])</f>
        <v>0</v>
      </c>
      <c r="L1090" s="69">
        <f>STOCK[[#This Row],[Entradas]]-STOCK[[#This Row],[Salidas]]</f>
        <v>3</v>
      </c>
      <c r="M1090" s="53">
        <f>STOCK[[#This Row],[Precio Final]]*10%</f>
        <v>1.5</v>
      </c>
      <c r="N1090" s="53">
        <v>0</v>
      </c>
      <c r="O1090" s="53">
        <v>0</v>
      </c>
      <c r="P1090" s="53">
        <v>6.29</v>
      </c>
      <c r="Q1090" s="69">
        <v>0</v>
      </c>
      <c r="R1090" s="53">
        <v>0</v>
      </c>
      <c r="S1090" s="53">
        <v>0.6</v>
      </c>
      <c r="T1090" s="53">
        <f>STOCK[[#This Row],[Costo Unitario (USD)]]+STOCK[[#This Row],[Costo Envío (USD)]]+STOCK[[#This Row],[Comisión 10%]]</f>
        <v>8.39</v>
      </c>
      <c r="U1090" s="53">
        <f>STOCK[[#This Row],[Costo total]]*1.5</f>
        <v>12.585000000000001</v>
      </c>
      <c r="V1090" s="53">
        <v>15</v>
      </c>
      <c r="W1090" s="53">
        <f>STOCK[[#This Row],[Precio Final]]-STOCK[[#This Row],[Costo total]]</f>
        <v>6.6099999999999994</v>
      </c>
      <c r="X1090" s="53">
        <f>STOCK[[#This Row],[Ganancia Unitaria]]*STOCK[[#This Row],[Salidas]]</f>
        <v>0</v>
      </c>
      <c r="Y1090" s="53" t="s">
        <v>2279</v>
      </c>
      <c r="AA1090" s="54">
        <f>STOCK[[#This Row],[Costo total]]*STOCK[[#This Row],[Entradas]]</f>
        <v>25.17</v>
      </c>
      <c r="AB1090" s="54">
        <f>STOCK[[#This Row],[Stock Actual]]*STOCK[[#This Row],[Costo total]]</f>
        <v>25.17</v>
      </c>
    </row>
    <row r="1091" spans="1:28" s="54" customFormat="1" ht="50" customHeight="1">
      <c r="A1091" s="54" t="s">
        <v>2280</v>
      </c>
      <c r="B1091" s="64"/>
      <c r="C1091" s="54" t="s">
        <v>32</v>
      </c>
      <c r="D1091" s="54" t="s">
        <v>2112</v>
      </c>
      <c r="E1091" s="66" t="s">
        <v>2281</v>
      </c>
      <c r="F1091" s="54" t="s">
        <v>2109</v>
      </c>
      <c r="G1091" s="54" t="s">
        <v>1877</v>
      </c>
      <c r="H1091" s="54">
        <f>STOCK[[#This Row],[Precio Final]]</f>
        <v>15</v>
      </c>
      <c r="I1091" s="54">
        <f>STOCK[[#This Row],[Precio Venta Ideal (x1.5)]]</f>
        <v>8.5949999999999989</v>
      </c>
      <c r="J1091" s="70">
        <v>0</v>
      </c>
      <c r="K1091" s="70">
        <f>SUMIFS(VENTAS[Cantidad],VENTAS[Código del producto Vendido],STOCK[[#This Row],[Code]])</f>
        <v>0</v>
      </c>
      <c r="L1091" s="70">
        <f>STOCK[[#This Row],[Entradas]]-STOCK[[#This Row],[Salidas]]</f>
        <v>0</v>
      </c>
      <c r="M1091" s="54">
        <f>STOCK[[#This Row],[Precio Final]]*10%</f>
        <v>1.5</v>
      </c>
      <c r="N1091" s="54">
        <v>0</v>
      </c>
      <c r="O1091" s="54">
        <v>0</v>
      </c>
      <c r="P1091" s="54">
        <v>3.63</v>
      </c>
      <c r="Q1091" s="70">
        <v>0</v>
      </c>
      <c r="R1091" s="54">
        <v>0</v>
      </c>
      <c r="S1091" s="54">
        <v>0.6</v>
      </c>
      <c r="T1091" s="53">
        <f>STOCK[[#This Row],[Costo Unitario (USD)]]+STOCK[[#This Row],[Costo Envío (USD)]]+STOCK[[#This Row],[Comisión 10%]]</f>
        <v>5.7299999999999995</v>
      </c>
      <c r="U1091" s="54">
        <f>STOCK[[#This Row],[Costo total]]*1.5</f>
        <v>8.5949999999999989</v>
      </c>
      <c r="V1091" s="54">
        <v>15</v>
      </c>
      <c r="W1091" s="54">
        <f>STOCK[[#This Row],[Precio Final]]-STOCK[[#This Row],[Costo total]]</f>
        <v>9.27</v>
      </c>
      <c r="X1091" s="54">
        <f>STOCK[[#This Row],[Ganancia Unitaria]]*STOCK[[#This Row],[Salidas]]</f>
        <v>0</v>
      </c>
      <c r="Y1091" s="54" t="s">
        <v>2282</v>
      </c>
      <c r="AA1091" s="54">
        <f>STOCK[[#This Row],[Costo total]]*STOCK[[#This Row],[Entradas]]</f>
        <v>0</v>
      </c>
      <c r="AB1091" s="54">
        <f>STOCK[[#This Row],[Stock Actual]]*STOCK[[#This Row],[Costo total]]</f>
        <v>0</v>
      </c>
    </row>
    <row r="1092" spans="1:28" s="53" customFormat="1" ht="50" customHeight="1">
      <c r="A1092" s="53" t="s">
        <v>2283</v>
      </c>
      <c r="B1092" s="64"/>
      <c r="C1092" s="53" t="s">
        <v>32</v>
      </c>
      <c r="D1092" s="53" t="s">
        <v>2112</v>
      </c>
      <c r="E1092" s="65" t="s">
        <v>2284</v>
      </c>
      <c r="F1092" s="53" t="s">
        <v>2109</v>
      </c>
      <c r="G1092" s="53" t="s">
        <v>1877</v>
      </c>
      <c r="H1092" s="53">
        <f>STOCK[[#This Row],[Precio Final]]</f>
        <v>10</v>
      </c>
      <c r="I1092" s="53">
        <f>STOCK[[#This Row],[Precio Venta Ideal (x1.5)]]</f>
        <v>6.57</v>
      </c>
      <c r="J1092" s="69">
        <v>0</v>
      </c>
      <c r="K1092" s="69">
        <f>SUMIFS(VENTAS[Cantidad],VENTAS[Código del producto Vendido],STOCK[[#This Row],[Code]])</f>
        <v>0</v>
      </c>
      <c r="L1092" s="69">
        <f>STOCK[[#This Row],[Entradas]]-STOCK[[#This Row],[Salidas]]</f>
        <v>0</v>
      </c>
      <c r="M1092" s="53">
        <f>STOCK[[#This Row],[Precio Final]]*10%</f>
        <v>1</v>
      </c>
      <c r="N1092" s="53">
        <v>0</v>
      </c>
      <c r="O1092" s="53">
        <v>0</v>
      </c>
      <c r="P1092" s="53">
        <v>2.78</v>
      </c>
      <c r="Q1092" s="69">
        <v>0</v>
      </c>
      <c r="R1092" s="53">
        <v>0</v>
      </c>
      <c r="S1092" s="53">
        <v>0.6</v>
      </c>
      <c r="T1092" s="53">
        <f>STOCK[[#This Row],[Costo Unitario (USD)]]+STOCK[[#This Row],[Costo Envío (USD)]]+STOCK[[#This Row],[Comisión 10%]]</f>
        <v>4.38</v>
      </c>
      <c r="U1092" s="53">
        <f>STOCK[[#This Row],[Costo total]]*1.5</f>
        <v>6.57</v>
      </c>
      <c r="V1092" s="53">
        <v>10</v>
      </c>
      <c r="W1092" s="53">
        <f>STOCK[[#This Row],[Precio Final]]-STOCK[[#This Row],[Costo total]]</f>
        <v>5.62</v>
      </c>
      <c r="X1092" s="53">
        <f>STOCK[[#This Row],[Ganancia Unitaria]]*STOCK[[#This Row],[Salidas]]</f>
        <v>0</v>
      </c>
      <c r="Y1092" s="53" t="s">
        <v>2285</v>
      </c>
      <c r="AA1092" s="54">
        <f>STOCK[[#This Row],[Costo total]]*STOCK[[#This Row],[Entradas]]</f>
        <v>0</v>
      </c>
      <c r="AB1092" s="54">
        <f>STOCK[[#This Row],[Stock Actual]]*STOCK[[#This Row],[Costo total]]</f>
        <v>0</v>
      </c>
    </row>
    <row r="1093" spans="1:28" s="54" customFormat="1" ht="50" customHeight="1">
      <c r="A1093" s="54" t="s">
        <v>2286</v>
      </c>
      <c r="B1093" s="64"/>
      <c r="C1093" s="54" t="s">
        <v>32</v>
      </c>
      <c r="D1093" s="54" t="s">
        <v>2112</v>
      </c>
      <c r="E1093" s="66" t="s">
        <v>2287</v>
      </c>
      <c r="F1093" s="54" t="s">
        <v>1534</v>
      </c>
      <c r="G1093" s="54" t="s">
        <v>1877</v>
      </c>
      <c r="H1093" s="54">
        <f>STOCK[[#This Row],[Precio Final]]</f>
        <v>12</v>
      </c>
      <c r="I1093" s="54">
        <f>STOCK[[#This Row],[Precio Venta Ideal (x1.5)]]</f>
        <v>8.1449999999999996</v>
      </c>
      <c r="J1093" s="70">
        <v>3</v>
      </c>
      <c r="K1093" s="70">
        <f>SUMIFS(VENTAS[Cantidad],VENTAS[Código del producto Vendido],STOCK[[#This Row],[Code]])</f>
        <v>3</v>
      </c>
      <c r="L1093" s="70">
        <f>STOCK[[#This Row],[Entradas]]-STOCK[[#This Row],[Salidas]]</f>
        <v>0</v>
      </c>
      <c r="M1093" s="54">
        <f>STOCK[[#This Row],[Precio Final]]*10%</f>
        <v>1.2000000000000002</v>
      </c>
      <c r="N1093" s="54">
        <v>0</v>
      </c>
      <c r="O1093" s="54">
        <v>0</v>
      </c>
      <c r="P1093" s="54">
        <v>3.63</v>
      </c>
      <c r="Q1093" s="70">
        <v>0</v>
      </c>
      <c r="R1093" s="54">
        <v>0</v>
      </c>
      <c r="S1093" s="54">
        <v>0.6</v>
      </c>
      <c r="T1093" s="53">
        <f>STOCK[[#This Row],[Costo Unitario (USD)]]+STOCK[[#This Row],[Costo Envío (USD)]]+STOCK[[#This Row],[Comisión 10%]]</f>
        <v>5.43</v>
      </c>
      <c r="U1093" s="54">
        <f>STOCK[[#This Row],[Costo total]]*1.5</f>
        <v>8.1449999999999996</v>
      </c>
      <c r="V1093" s="54">
        <v>12</v>
      </c>
      <c r="W1093" s="54">
        <f>STOCK[[#This Row],[Precio Final]]-STOCK[[#This Row],[Costo total]]</f>
        <v>6.57</v>
      </c>
      <c r="X1093" s="54">
        <f>STOCK[[#This Row],[Ganancia Unitaria]]*STOCK[[#This Row],[Salidas]]</f>
        <v>19.71</v>
      </c>
      <c r="Y1093" s="54" t="s">
        <v>2288</v>
      </c>
      <c r="AA1093" s="54">
        <f>STOCK[[#This Row],[Costo total]]*STOCK[[#This Row],[Entradas]]</f>
        <v>16.29</v>
      </c>
      <c r="AB1093" s="54">
        <f>STOCK[[#This Row],[Stock Actual]]*STOCK[[#This Row],[Costo total]]</f>
        <v>0</v>
      </c>
    </row>
    <row r="1094" spans="1:28" s="53" customFormat="1" ht="50" customHeight="1">
      <c r="A1094" s="53" t="s">
        <v>2289</v>
      </c>
      <c r="B1094" s="64"/>
      <c r="C1094" s="53" t="s">
        <v>32</v>
      </c>
      <c r="D1094" s="53" t="s">
        <v>2112</v>
      </c>
      <c r="E1094" s="65" t="s">
        <v>2290</v>
      </c>
      <c r="F1094" s="53" t="s">
        <v>1534</v>
      </c>
      <c r="G1094" s="53" t="s">
        <v>1877</v>
      </c>
      <c r="H1094" s="53">
        <f>STOCK[[#This Row],[Precio Final]]</f>
        <v>12</v>
      </c>
      <c r="I1094" s="53">
        <f>STOCK[[#This Row],[Precio Venta Ideal (x1.5)]]</f>
        <v>10.11</v>
      </c>
      <c r="J1094" s="69">
        <v>3</v>
      </c>
      <c r="K1094" s="69">
        <f>SUMIFS(VENTAS[Cantidad],VENTAS[Código del producto Vendido],STOCK[[#This Row],[Code]])</f>
        <v>3</v>
      </c>
      <c r="L1094" s="69">
        <f>STOCK[[#This Row],[Entradas]]-STOCK[[#This Row],[Salidas]]</f>
        <v>0</v>
      </c>
      <c r="M1094" s="53">
        <f>STOCK[[#This Row],[Precio Final]]*10%</f>
        <v>1.2000000000000002</v>
      </c>
      <c r="N1094" s="53">
        <v>0</v>
      </c>
      <c r="O1094" s="53">
        <v>0</v>
      </c>
      <c r="P1094" s="53">
        <v>4.9400000000000004</v>
      </c>
      <c r="Q1094" s="69">
        <v>0</v>
      </c>
      <c r="R1094" s="53">
        <v>0</v>
      </c>
      <c r="S1094" s="53">
        <v>0.6</v>
      </c>
      <c r="T1094" s="53">
        <f>STOCK[[#This Row],[Costo Unitario (USD)]]+STOCK[[#This Row],[Costo Envío (USD)]]+STOCK[[#This Row],[Comisión 10%]]</f>
        <v>6.74</v>
      </c>
      <c r="U1094" s="53">
        <f>STOCK[[#This Row],[Costo total]]*1.5</f>
        <v>10.11</v>
      </c>
      <c r="V1094" s="53">
        <v>12</v>
      </c>
      <c r="W1094" s="53">
        <f>STOCK[[#This Row],[Precio Final]]-STOCK[[#This Row],[Costo total]]</f>
        <v>5.26</v>
      </c>
      <c r="X1094" s="53">
        <f>STOCK[[#This Row],[Ganancia Unitaria]]*STOCK[[#This Row],[Salidas]]</f>
        <v>15.78</v>
      </c>
      <c r="Y1094" s="53" t="s">
        <v>2291</v>
      </c>
      <c r="AA1094" s="54">
        <f>STOCK[[#This Row],[Costo total]]*STOCK[[#This Row],[Entradas]]</f>
        <v>20.22</v>
      </c>
      <c r="AB1094" s="54">
        <f>STOCK[[#This Row],[Stock Actual]]*STOCK[[#This Row],[Costo total]]</f>
        <v>0</v>
      </c>
    </row>
    <row r="1095" spans="1:28" s="54" customFormat="1" ht="50" customHeight="1">
      <c r="A1095" s="54" t="s">
        <v>2292</v>
      </c>
      <c r="B1095" s="64"/>
      <c r="C1095" s="54" t="s">
        <v>32</v>
      </c>
      <c r="D1095" s="54" t="s">
        <v>2119</v>
      </c>
      <c r="E1095" s="66" t="s">
        <v>2293</v>
      </c>
      <c r="F1095" s="54" t="s">
        <v>62</v>
      </c>
      <c r="G1095" s="54" t="s">
        <v>1877</v>
      </c>
      <c r="H1095" s="54">
        <f>STOCK[[#This Row],[Precio Final]]</f>
        <v>35</v>
      </c>
      <c r="I1095" s="54">
        <f>STOCK[[#This Row],[Precio Venta Ideal (x1.5)]]</f>
        <v>24.284999999999997</v>
      </c>
      <c r="J1095" s="70">
        <v>1</v>
      </c>
      <c r="K1095" s="70">
        <f>SUMIFS(VENTAS[Cantidad],VENTAS[Código del producto Vendido],STOCK[[#This Row],[Code]])</f>
        <v>1</v>
      </c>
      <c r="L1095" s="70">
        <f>STOCK[[#This Row],[Entradas]]-STOCK[[#This Row],[Salidas]]</f>
        <v>0</v>
      </c>
      <c r="M1095" s="54">
        <f>STOCK[[#This Row],[Precio Final]]*10%</f>
        <v>3.5</v>
      </c>
      <c r="N1095" s="54">
        <v>0</v>
      </c>
      <c r="O1095" s="54">
        <v>0</v>
      </c>
      <c r="P1095" s="54">
        <v>12.09</v>
      </c>
      <c r="Q1095" s="70">
        <v>0</v>
      </c>
      <c r="R1095" s="54">
        <v>0</v>
      </c>
      <c r="S1095" s="54">
        <v>0.6</v>
      </c>
      <c r="T1095" s="53">
        <f>STOCK[[#This Row],[Costo Unitario (USD)]]+STOCK[[#This Row],[Costo Envío (USD)]]+STOCK[[#This Row],[Comisión 10%]]</f>
        <v>16.189999999999998</v>
      </c>
      <c r="U1095" s="54">
        <f>STOCK[[#This Row],[Costo total]]*1.5</f>
        <v>24.284999999999997</v>
      </c>
      <c r="V1095" s="54">
        <v>35</v>
      </c>
      <c r="W1095" s="54">
        <f>STOCK[[#This Row],[Precio Final]]-STOCK[[#This Row],[Costo total]]</f>
        <v>18.810000000000002</v>
      </c>
      <c r="X1095" s="54">
        <f>STOCK[[#This Row],[Ganancia Unitaria]]*STOCK[[#This Row],[Salidas]]</f>
        <v>18.810000000000002</v>
      </c>
      <c r="Y1095" s="54" t="s">
        <v>2294</v>
      </c>
      <c r="AA1095" s="54">
        <f>STOCK[[#This Row],[Costo total]]*STOCK[[#This Row],[Entradas]]</f>
        <v>16.189999999999998</v>
      </c>
      <c r="AB1095" s="54">
        <f>STOCK[[#This Row],[Stock Actual]]*STOCK[[#This Row],[Costo total]]</f>
        <v>0</v>
      </c>
    </row>
    <row r="1096" spans="1:28" s="53" customFormat="1" ht="50" customHeight="1">
      <c r="A1096" s="53" t="s">
        <v>2295</v>
      </c>
      <c r="B1096" s="64"/>
      <c r="C1096" s="53" t="s">
        <v>32</v>
      </c>
      <c r="D1096" s="54" t="s">
        <v>38</v>
      </c>
      <c r="E1096" s="65" t="s">
        <v>2296</v>
      </c>
      <c r="F1096" s="53" t="s">
        <v>42</v>
      </c>
      <c r="G1096" s="53" t="s">
        <v>1877</v>
      </c>
      <c r="H1096" s="53">
        <f>STOCK[[#This Row],[Precio Final]]</f>
        <v>25</v>
      </c>
      <c r="I1096" s="53">
        <f>STOCK[[#This Row],[Precio Venta Ideal (x1.5)]]</f>
        <v>20.82</v>
      </c>
      <c r="J1096" s="69">
        <v>1</v>
      </c>
      <c r="K1096" s="69">
        <f>SUMIFS(VENTAS[Cantidad],VENTAS[Código del producto Vendido],STOCK[[#This Row],[Code]])</f>
        <v>1</v>
      </c>
      <c r="L1096" s="69">
        <f>STOCK[[#This Row],[Entradas]]-STOCK[[#This Row],[Salidas]]</f>
        <v>0</v>
      </c>
      <c r="M1096" s="53">
        <f>STOCK[[#This Row],[Precio Final]]*10%</f>
        <v>2.5</v>
      </c>
      <c r="N1096" s="53">
        <v>0</v>
      </c>
      <c r="O1096" s="53">
        <v>0</v>
      </c>
      <c r="P1096" s="53">
        <v>10.78</v>
      </c>
      <c r="Q1096" s="69">
        <v>0</v>
      </c>
      <c r="R1096" s="53">
        <v>0</v>
      </c>
      <c r="S1096" s="53">
        <v>0.6</v>
      </c>
      <c r="T1096" s="53">
        <f>STOCK[[#This Row],[Costo Unitario (USD)]]+STOCK[[#This Row],[Costo Envío (USD)]]+STOCK[[#This Row],[Comisión 10%]]</f>
        <v>13.879999999999999</v>
      </c>
      <c r="U1096" s="53">
        <f>STOCK[[#This Row],[Costo total]]*1.5</f>
        <v>20.82</v>
      </c>
      <c r="V1096" s="53">
        <v>25</v>
      </c>
      <c r="W1096" s="53">
        <f>STOCK[[#This Row],[Precio Final]]-STOCK[[#This Row],[Costo total]]</f>
        <v>11.120000000000001</v>
      </c>
      <c r="X1096" s="53">
        <f>STOCK[[#This Row],[Ganancia Unitaria]]*STOCK[[#This Row],[Salidas]]</f>
        <v>11.120000000000001</v>
      </c>
      <c r="Y1096" s="53" t="s">
        <v>2297</v>
      </c>
      <c r="AA1096" s="54">
        <f>STOCK[[#This Row],[Costo total]]*STOCK[[#This Row],[Entradas]]</f>
        <v>13.879999999999999</v>
      </c>
      <c r="AB1096" s="54">
        <f>STOCK[[#This Row],[Stock Actual]]*STOCK[[#This Row],[Costo total]]</f>
        <v>0</v>
      </c>
    </row>
    <row r="1097" spans="1:28" s="54" customFormat="1" ht="50" customHeight="1">
      <c r="A1097" s="54" t="s">
        <v>2298</v>
      </c>
      <c r="B1097" s="64"/>
      <c r="C1097" s="54" t="s">
        <v>32</v>
      </c>
      <c r="D1097" s="54" t="s">
        <v>1212</v>
      </c>
      <c r="E1097" s="66" t="s">
        <v>2299</v>
      </c>
      <c r="F1097" s="54" t="s">
        <v>62</v>
      </c>
      <c r="G1097" s="54" t="s">
        <v>1877</v>
      </c>
      <c r="H1097" s="54">
        <f>STOCK[[#This Row],[Precio Final]]</f>
        <v>20</v>
      </c>
      <c r="I1097" s="54">
        <f>STOCK[[#This Row],[Precio Venta Ideal (x1.5)]]</f>
        <v>21.12</v>
      </c>
      <c r="J1097" s="70">
        <v>1</v>
      </c>
      <c r="K1097" s="70">
        <f>SUMIFS(VENTAS[Cantidad],VENTAS[Código del producto Vendido],STOCK[[#This Row],[Code]])</f>
        <v>0</v>
      </c>
      <c r="L1097" s="70">
        <f>STOCK[[#This Row],[Entradas]]-STOCK[[#This Row],[Salidas]]</f>
        <v>1</v>
      </c>
      <c r="M1097" s="54">
        <f>STOCK[[#This Row],[Precio Final]]*10%</f>
        <v>2</v>
      </c>
      <c r="N1097" s="54">
        <v>0</v>
      </c>
      <c r="O1097" s="54">
        <v>0</v>
      </c>
      <c r="P1097" s="54">
        <v>11.48</v>
      </c>
      <c r="Q1097" s="70">
        <v>0</v>
      </c>
      <c r="R1097" s="54">
        <v>0</v>
      </c>
      <c r="S1097" s="54">
        <v>0.6</v>
      </c>
      <c r="T1097" s="53">
        <f>STOCK[[#This Row],[Costo Unitario (USD)]]+STOCK[[#This Row],[Costo Envío (USD)]]+STOCK[[#This Row],[Comisión 10%]]</f>
        <v>14.08</v>
      </c>
      <c r="U1097" s="54">
        <f>STOCK[[#This Row],[Costo total]]*1.5</f>
        <v>21.12</v>
      </c>
      <c r="V1097" s="54">
        <v>20</v>
      </c>
      <c r="W1097" s="54">
        <f>STOCK[[#This Row],[Precio Final]]-STOCK[[#This Row],[Costo total]]</f>
        <v>5.92</v>
      </c>
      <c r="X1097" s="54">
        <f>STOCK[[#This Row],[Ganancia Unitaria]]*STOCK[[#This Row],[Salidas]]</f>
        <v>0</v>
      </c>
      <c r="Y1097" s="54" t="s">
        <v>2300</v>
      </c>
      <c r="AA1097" s="54">
        <f>STOCK[[#This Row],[Costo total]]*STOCK[[#This Row],[Entradas]]</f>
        <v>14.08</v>
      </c>
      <c r="AB1097" s="54">
        <f>STOCK[[#This Row],[Stock Actual]]*STOCK[[#This Row],[Costo total]]</f>
        <v>14.08</v>
      </c>
    </row>
    <row r="1098" spans="1:28" s="53" customFormat="1" ht="50" customHeight="1">
      <c r="A1098" s="53" t="s">
        <v>2301</v>
      </c>
      <c r="B1098" s="64"/>
      <c r="C1098" s="53" t="s">
        <v>32</v>
      </c>
      <c r="D1098" s="53" t="s">
        <v>2119</v>
      </c>
      <c r="E1098" s="65" t="s">
        <v>2302</v>
      </c>
      <c r="F1098" s="53" t="s">
        <v>62</v>
      </c>
      <c r="G1098" s="53" t="s">
        <v>1877</v>
      </c>
      <c r="H1098" s="53">
        <f>STOCK[[#This Row],[Precio Final]]</f>
        <v>30</v>
      </c>
      <c r="I1098" s="53">
        <f>STOCK[[#This Row],[Precio Venta Ideal (x1.5)]]</f>
        <v>30.884999999999998</v>
      </c>
      <c r="J1098" s="69">
        <v>1</v>
      </c>
      <c r="K1098" s="69">
        <f>SUMIFS(VENTAS[Cantidad],VENTAS[Código del producto Vendido],STOCK[[#This Row],[Code]])</f>
        <v>1</v>
      </c>
      <c r="L1098" s="69">
        <f>STOCK[[#This Row],[Entradas]]-STOCK[[#This Row],[Salidas]]</f>
        <v>0</v>
      </c>
      <c r="M1098" s="53">
        <f>STOCK[[#This Row],[Precio Final]]*10%</f>
        <v>3</v>
      </c>
      <c r="N1098" s="53">
        <v>0</v>
      </c>
      <c r="O1098" s="53">
        <v>0</v>
      </c>
      <c r="P1098" s="53">
        <v>16.989999999999998</v>
      </c>
      <c r="Q1098" s="69">
        <v>0</v>
      </c>
      <c r="R1098" s="53">
        <v>0</v>
      </c>
      <c r="S1098" s="53">
        <v>0.6</v>
      </c>
      <c r="T1098" s="53">
        <f>STOCK[[#This Row],[Costo Unitario (USD)]]+STOCK[[#This Row],[Costo Envío (USD)]]+STOCK[[#This Row],[Comisión 10%]]</f>
        <v>20.59</v>
      </c>
      <c r="U1098" s="53">
        <f>STOCK[[#This Row],[Costo total]]*1.5</f>
        <v>30.884999999999998</v>
      </c>
      <c r="V1098" s="53">
        <v>30</v>
      </c>
      <c r="W1098" s="53">
        <f>STOCK[[#This Row],[Precio Final]]-STOCK[[#This Row],[Costo total]]</f>
        <v>9.41</v>
      </c>
      <c r="X1098" s="53">
        <f>STOCK[[#This Row],[Ganancia Unitaria]]*STOCK[[#This Row],[Salidas]]</f>
        <v>9.41</v>
      </c>
      <c r="Y1098" s="53" t="s">
        <v>2303</v>
      </c>
      <c r="AA1098" s="54">
        <f>STOCK[[#This Row],[Costo total]]*STOCK[[#This Row],[Entradas]]</f>
        <v>20.59</v>
      </c>
      <c r="AB1098" s="54">
        <f>STOCK[[#This Row],[Stock Actual]]*STOCK[[#This Row],[Costo total]]</f>
        <v>0</v>
      </c>
    </row>
    <row r="1099" spans="1:28" s="54" customFormat="1" ht="50" customHeight="1">
      <c r="A1099" s="54" t="s">
        <v>2304</v>
      </c>
      <c r="B1099" s="64"/>
      <c r="C1099" s="54" t="s">
        <v>32</v>
      </c>
      <c r="D1099" s="54" t="s">
        <v>38</v>
      </c>
      <c r="E1099" s="66" t="s">
        <v>2305</v>
      </c>
      <c r="F1099" s="54" t="s">
        <v>46</v>
      </c>
      <c r="G1099" s="54" t="s">
        <v>1877</v>
      </c>
      <c r="H1099" s="54">
        <f>STOCK[[#This Row],[Precio Final]]</f>
        <v>18</v>
      </c>
      <c r="I1099" s="54">
        <f>STOCK[[#This Row],[Precio Venta Ideal (x1.5)]]</f>
        <v>19.214062500000001</v>
      </c>
      <c r="J1099" s="70">
        <v>1</v>
      </c>
      <c r="K1099" s="70">
        <f>SUMIFS(VENTAS[Cantidad],VENTAS[Código del producto Vendido],STOCK[[#This Row],[Code]])</f>
        <v>0</v>
      </c>
      <c r="L1099" s="70">
        <f>STOCK[[#This Row],[Entradas]]-STOCK[[#This Row],[Salidas]]</f>
        <v>1</v>
      </c>
      <c r="M1099" s="54">
        <f>STOCK[[#This Row],[Precio Final]]*10%</f>
        <v>1.8</v>
      </c>
      <c r="N1099" s="54">
        <v>153.59</v>
      </c>
      <c r="O1099" s="54">
        <v>16</v>
      </c>
      <c r="P1099" s="54">
        <v>9.5993750000000002</v>
      </c>
      <c r="Q1099" s="70">
        <v>0</v>
      </c>
      <c r="R1099" s="54">
        <v>0</v>
      </c>
      <c r="S1099" s="54">
        <v>1.41</v>
      </c>
      <c r="T1099" s="53">
        <f>STOCK[[#This Row],[Costo Unitario (USD)]]+STOCK[[#This Row],[Costo Envío (USD)]]+STOCK[[#This Row],[Comisión 10%]]</f>
        <v>12.809375000000001</v>
      </c>
      <c r="U1099" s="54">
        <f>STOCK[[#This Row],[Costo total]]*1.5</f>
        <v>19.214062500000001</v>
      </c>
      <c r="V1099" s="54">
        <v>18</v>
      </c>
      <c r="W1099" s="54">
        <f>STOCK[[#This Row],[Precio Final]]-STOCK[[#This Row],[Costo total]]</f>
        <v>5.1906249999999989</v>
      </c>
      <c r="X1099" s="54">
        <f>STOCK[[#This Row],[Ganancia Unitaria]]*STOCK[[#This Row],[Salidas]]</f>
        <v>0</v>
      </c>
      <c r="Y1099" s="54" t="s">
        <v>2306</v>
      </c>
      <c r="AA1099" s="54">
        <f>STOCK[[#This Row],[Costo total]]*STOCK[[#This Row],[Entradas]]</f>
        <v>12.809375000000001</v>
      </c>
      <c r="AB1099" s="54">
        <f>STOCK[[#This Row],[Stock Actual]]*STOCK[[#This Row],[Costo total]]</f>
        <v>12.809375000000001</v>
      </c>
    </row>
    <row r="1100" spans="1:28" s="53" customFormat="1" ht="50" customHeight="1">
      <c r="A1100" s="53" t="s">
        <v>2307</v>
      </c>
      <c r="B1100" s="64"/>
      <c r="C1100" s="53" t="s">
        <v>32</v>
      </c>
      <c r="D1100" s="54" t="s">
        <v>38</v>
      </c>
      <c r="E1100" s="65" t="s">
        <v>2305</v>
      </c>
      <c r="F1100" s="53" t="s">
        <v>62</v>
      </c>
      <c r="G1100" s="53" t="s">
        <v>1877</v>
      </c>
      <c r="H1100" s="53">
        <f>STOCK[[#This Row],[Precio Final]]</f>
        <v>18</v>
      </c>
      <c r="I1100" s="53">
        <f>STOCK[[#This Row],[Precio Venta Ideal (x1.5)]]</f>
        <v>19.214062500000001</v>
      </c>
      <c r="J1100" s="69">
        <v>1</v>
      </c>
      <c r="K1100" s="69">
        <f>SUMIFS(VENTAS[Cantidad],VENTAS[Código del producto Vendido],STOCK[[#This Row],[Code]])</f>
        <v>1</v>
      </c>
      <c r="L1100" s="69">
        <f>STOCK[[#This Row],[Entradas]]-STOCK[[#This Row],[Salidas]]</f>
        <v>0</v>
      </c>
      <c r="M1100" s="53">
        <f>STOCK[[#This Row],[Precio Final]]*10%</f>
        <v>1.8</v>
      </c>
      <c r="N1100" s="53">
        <v>153.59</v>
      </c>
      <c r="O1100" s="53">
        <v>16</v>
      </c>
      <c r="P1100" s="53">
        <v>9.5993750000000002</v>
      </c>
      <c r="Q1100" s="69">
        <v>0</v>
      </c>
      <c r="R1100" s="53">
        <v>0</v>
      </c>
      <c r="S1100" s="53">
        <v>1.41</v>
      </c>
      <c r="T1100" s="53">
        <f>STOCK[[#This Row],[Costo Unitario (USD)]]+STOCK[[#This Row],[Costo Envío (USD)]]+STOCK[[#This Row],[Comisión 10%]]</f>
        <v>12.809375000000001</v>
      </c>
      <c r="U1100" s="53">
        <f>STOCK[[#This Row],[Costo total]]*1.5</f>
        <v>19.214062500000001</v>
      </c>
      <c r="V1100" s="53">
        <v>18</v>
      </c>
      <c r="W1100" s="53">
        <f>STOCK[[#This Row],[Precio Final]]-STOCK[[#This Row],[Costo total]]</f>
        <v>5.1906249999999989</v>
      </c>
      <c r="X1100" s="53">
        <f>STOCK[[#This Row],[Ganancia Unitaria]]*STOCK[[#This Row],[Salidas]]</f>
        <v>5.1906249999999989</v>
      </c>
      <c r="Y1100" s="53" t="s">
        <v>2308</v>
      </c>
      <c r="AA1100" s="54">
        <f>STOCK[[#This Row],[Costo total]]*STOCK[[#This Row],[Entradas]]</f>
        <v>12.809375000000001</v>
      </c>
      <c r="AB1100" s="54">
        <f>STOCK[[#This Row],[Stock Actual]]*STOCK[[#This Row],[Costo total]]</f>
        <v>0</v>
      </c>
    </row>
    <row r="1101" spans="1:28" s="54" customFormat="1" ht="50" customHeight="1">
      <c r="A1101" s="54" t="s">
        <v>2309</v>
      </c>
      <c r="B1101" s="64"/>
      <c r="C1101" s="54" t="s">
        <v>32</v>
      </c>
      <c r="D1101" s="54" t="s">
        <v>38</v>
      </c>
      <c r="E1101" s="66" t="s">
        <v>2305</v>
      </c>
      <c r="F1101" s="54" t="s">
        <v>49</v>
      </c>
      <c r="G1101" s="54" t="s">
        <v>1877</v>
      </c>
      <c r="H1101" s="54">
        <f>STOCK[[#This Row],[Precio Final]]</f>
        <v>18</v>
      </c>
      <c r="I1101" s="54">
        <f>STOCK[[#This Row],[Precio Venta Ideal (x1.5)]]</f>
        <v>19.214062500000001</v>
      </c>
      <c r="J1101" s="70">
        <v>1</v>
      </c>
      <c r="K1101" s="70">
        <f>SUMIFS(VENTAS[Cantidad],VENTAS[Código del producto Vendido],STOCK[[#This Row],[Code]])</f>
        <v>0</v>
      </c>
      <c r="L1101" s="70">
        <f>STOCK[[#This Row],[Entradas]]-STOCK[[#This Row],[Salidas]]</f>
        <v>1</v>
      </c>
      <c r="M1101" s="54">
        <f>STOCK[[#This Row],[Precio Final]]*10%</f>
        <v>1.8</v>
      </c>
      <c r="N1101" s="54">
        <v>153.59</v>
      </c>
      <c r="O1101" s="54">
        <v>16</v>
      </c>
      <c r="P1101" s="54">
        <v>9.5993750000000002</v>
      </c>
      <c r="Q1101" s="70">
        <v>0</v>
      </c>
      <c r="R1101" s="54">
        <v>0</v>
      </c>
      <c r="S1101" s="54">
        <v>1.41</v>
      </c>
      <c r="T1101" s="53">
        <f>STOCK[[#This Row],[Costo Unitario (USD)]]+STOCK[[#This Row],[Costo Envío (USD)]]+STOCK[[#This Row],[Comisión 10%]]</f>
        <v>12.809375000000001</v>
      </c>
      <c r="U1101" s="54">
        <f>STOCK[[#This Row],[Costo total]]*1.5</f>
        <v>19.214062500000001</v>
      </c>
      <c r="V1101" s="54">
        <v>18</v>
      </c>
      <c r="W1101" s="54">
        <f>STOCK[[#This Row],[Precio Final]]-STOCK[[#This Row],[Costo total]]</f>
        <v>5.1906249999999989</v>
      </c>
      <c r="X1101" s="54">
        <f>STOCK[[#This Row],[Ganancia Unitaria]]*STOCK[[#This Row],[Salidas]]</f>
        <v>0</v>
      </c>
      <c r="Y1101" s="54" t="s">
        <v>2310</v>
      </c>
      <c r="AA1101" s="54">
        <f>STOCK[[#This Row],[Costo total]]*STOCK[[#This Row],[Entradas]]</f>
        <v>12.809375000000001</v>
      </c>
      <c r="AB1101" s="54">
        <f>STOCK[[#This Row],[Stock Actual]]*STOCK[[#This Row],[Costo total]]</f>
        <v>12.809375000000001</v>
      </c>
    </row>
    <row r="1102" spans="1:28" s="53" customFormat="1" ht="50" customHeight="1">
      <c r="A1102" s="53" t="s">
        <v>2311</v>
      </c>
      <c r="B1102" s="64"/>
      <c r="C1102" s="53" t="s">
        <v>32</v>
      </c>
      <c r="D1102" s="53" t="s">
        <v>1190</v>
      </c>
      <c r="E1102" s="65" t="s">
        <v>2312</v>
      </c>
      <c r="F1102" s="53" t="s">
        <v>49</v>
      </c>
      <c r="G1102" s="53" t="s">
        <v>1877</v>
      </c>
      <c r="H1102" s="53">
        <f>STOCK[[#This Row],[Precio Final]]</f>
        <v>15</v>
      </c>
      <c r="I1102" s="53">
        <f>STOCK[[#This Row],[Precio Venta Ideal (x1.5)]]</f>
        <v>15.349687499999998</v>
      </c>
      <c r="J1102" s="69">
        <v>1</v>
      </c>
      <c r="K1102" s="69">
        <f>SUMIFS(VENTAS[Cantidad],VENTAS[Código del producto Vendido],STOCK[[#This Row],[Code]])</f>
        <v>1</v>
      </c>
      <c r="L1102" s="69">
        <f>STOCK[[#This Row],[Entradas]]-STOCK[[#This Row],[Salidas]]</f>
        <v>0</v>
      </c>
      <c r="M1102" s="53">
        <f>STOCK[[#This Row],[Precio Final]]*10%</f>
        <v>1.5</v>
      </c>
      <c r="N1102" s="53">
        <v>117.17</v>
      </c>
      <c r="O1102" s="53">
        <v>16</v>
      </c>
      <c r="P1102" s="53">
        <v>7.3231250000000001</v>
      </c>
      <c r="Q1102" s="69">
        <v>0</v>
      </c>
      <c r="R1102" s="53">
        <v>0</v>
      </c>
      <c r="S1102" s="53">
        <v>1.41</v>
      </c>
      <c r="T1102" s="53">
        <f>STOCK[[#This Row],[Costo Unitario (USD)]]+STOCK[[#This Row],[Costo Envío (USD)]]+STOCK[[#This Row],[Comisión 10%]]</f>
        <v>10.233124999999999</v>
      </c>
      <c r="U1102" s="53">
        <f>STOCK[[#This Row],[Costo total]]*1.5</f>
        <v>15.349687499999998</v>
      </c>
      <c r="V1102" s="53">
        <v>15</v>
      </c>
      <c r="W1102" s="53">
        <f>STOCK[[#This Row],[Precio Final]]-STOCK[[#This Row],[Costo total]]</f>
        <v>4.7668750000000006</v>
      </c>
      <c r="X1102" s="53">
        <f>STOCK[[#This Row],[Ganancia Unitaria]]*STOCK[[#This Row],[Salidas]]</f>
        <v>4.7668750000000006</v>
      </c>
      <c r="Y1102" s="53" t="s">
        <v>2313</v>
      </c>
      <c r="AA1102" s="54">
        <f>STOCK[[#This Row],[Costo total]]*STOCK[[#This Row],[Entradas]]</f>
        <v>10.233124999999999</v>
      </c>
      <c r="AB1102" s="54">
        <f>STOCK[[#This Row],[Stock Actual]]*STOCK[[#This Row],[Costo total]]</f>
        <v>0</v>
      </c>
    </row>
    <row r="1103" spans="1:28" s="54" customFormat="1" ht="50" customHeight="1">
      <c r="A1103" s="54" t="s">
        <v>2314</v>
      </c>
      <c r="B1103" s="64"/>
      <c r="C1103" s="54" t="s">
        <v>32</v>
      </c>
      <c r="D1103" s="54" t="s">
        <v>1190</v>
      </c>
      <c r="E1103" s="66" t="s">
        <v>2312</v>
      </c>
      <c r="F1103" s="54" t="s">
        <v>46</v>
      </c>
      <c r="G1103" s="54" t="s">
        <v>1877</v>
      </c>
      <c r="H1103" s="54">
        <f>STOCK[[#This Row],[Precio Final]]</f>
        <v>15</v>
      </c>
      <c r="I1103" s="54">
        <f>STOCK[[#This Row],[Precio Venta Ideal (x1.5)]]</f>
        <v>15.349687499999998</v>
      </c>
      <c r="J1103" s="70">
        <v>1</v>
      </c>
      <c r="K1103" s="70">
        <f>SUMIFS(VENTAS[Cantidad],VENTAS[Código del producto Vendido],STOCK[[#This Row],[Code]])</f>
        <v>1</v>
      </c>
      <c r="L1103" s="70">
        <f>STOCK[[#This Row],[Entradas]]-STOCK[[#This Row],[Salidas]]</f>
        <v>0</v>
      </c>
      <c r="M1103" s="54">
        <f>STOCK[[#This Row],[Precio Final]]*10%</f>
        <v>1.5</v>
      </c>
      <c r="N1103" s="54">
        <v>117.17</v>
      </c>
      <c r="O1103" s="54">
        <v>16</v>
      </c>
      <c r="P1103" s="54">
        <v>7.3231250000000001</v>
      </c>
      <c r="Q1103" s="70">
        <v>0</v>
      </c>
      <c r="R1103" s="54">
        <v>0</v>
      </c>
      <c r="S1103" s="54">
        <v>1.41</v>
      </c>
      <c r="T1103" s="53">
        <f>STOCK[[#This Row],[Costo Unitario (USD)]]+STOCK[[#This Row],[Costo Envío (USD)]]+STOCK[[#This Row],[Comisión 10%]]</f>
        <v>10.233124999999999</v>
      </c>
      <c r="U1103" s="54">
        <f>STOCK[[#This Row],[Costo total]]*1.5</f>
        <v>15.349687499999998</v>
      </c>
      <c r="V1103" s="54">
        <v>15</v>
      </c>
      <c r="W1103" s="54">
        <f>STOCK[[#This Row],[Precio Final]]-STOCK[[#This Row],[Costo total]]</f>
        <v>4.7668750000000006</v>
      </c>
      <c r="X1103" s="54">
        <f>STOCK[[#This Row],[Ganancia Unitaria]]*STOCK[[#This Row],[Salidas]]</f>
        <v>4.7668750000000006</v>
      </c>
      <c r="Y1103" s="54" t="s">
        <v>2315</v>
      </c>
      <c r="AA1103" s="54">
        <f>STOCK[[#This Row],[Costo total]]*STOCK[[#This Row],[Entradas]]</f>
        <v>10.233124999999999</v>
      </c>
      <c r="AB1103" s="54">
        <f>STOCK[[#This Row],[Stock Actual]]*STOCK[[#This Row],[Costo total]]</f>
        <v>0</v>
      </c>
    </row>
    <row r="1104" spans="1:28" s="53" customFormat="1" ht="50" customHeight="1">
      <c r="A1104" s="53" t="s">
        <v>2316</v>
      </c>
      <c r="B1104" s="64"/>
      <c r="C1104" s="53" t="s">
        <v>32</v>
      </c>
      <c r="D1104" s="53" t="s">
        <v>1190</v>
      </c>
      <c r="E1104" s="65" t="s">
        <v>2312</v>
      </c>
      <c r="F1104" s="53" t="s">
        <v>62</v>
      </c>
      <c r="G1104" s="53" t="s">
        <v>1877</v>
      </c>
      <c r="H1104" s="53">
        <f>STOCK[[#This Row],[Precio Final]]</f>
        <v>15</v>
      </c>
      <c r="I1104" s="53">
        <f>STOCK[[#This Row],[Precio Venta Ideal (x1.5)]]</f>
        <v>15.349687499999998</v>
      </c>
      <c r="J1104" s="69">
        <v>1</v>
      </c>
      <c r="K1104" s="69">
        <f>SUMIFS(VENTAS[Cantidad],VENTAS[Código del producto Vendido],STOCK[[#This Row],[Code]])</f>
        <v>1</v>
      </c>
      <c r="L1104" s="69">
        <f>STOCK[[#This Row],[Entradas]]-STOCK[[#This Row],[Salidas]]</f>
        <v>0</v>
      </c>
      <c r="M1104" s="53">
        <f>STOCK[[#This Row],[Precio Final]]*10%</f>
        <v>1.5</v>
      </c>
      <c r="N1104" s="53">
        <v>117.17</v>
      </c>
      <c r="O1104" s="53">
        <v>16</v>
      </c>
      <c r="P1104" s="53">
        <v>7.3231250000000001</v>
      </c>
      <c r="Q1104" s="69">
        <v>0</v>
      </c>
      <c r="R1104" s="53">
        <v>0</v>
      </c>
      <c r="S1104" s="53">
        <v>1.41</v>
      </c>
      <c r="T1104" s="53">
        <f>STOCK[[#This Row],[Costo Unitario (USD)]]+STOCK[[#This Row],[Costo Envío (USD)]]+STOCK[[#This Row],[Comisión 10%]]</f>
        <v>10.233124999999999</v>
      </c>
      <c r="U1104" s="53">
        <f>STOCK[[#This Row],[Costo total]]*1.5</f>
        <v>15.349687499999998</v>
      </c>
      <c r="V1104" s="53">
        <v>15</v>
      </c>
      <c r="W1104" s="53">
        <f>STOCK[[#This Row],[Precio Final]]-STOCK[[#This Row],[Costo total]]</f>
        <v>4.7668750000000006</v>
      </c>
      <c r="X1104" s="53">
        <f>STOCK[[#This Row],[Ganancia Unitaria]]*STOCK[[#This Row],[Salidas]]</f>
        <v>4.7668750000000006</v>
      </c>
      <c r="Y1104" s="53" t="s">
        <v>2317</v>
      </c>
      <c r="AA1104" s="54">
        <f>STOCK[[#This Row],[Costo total]]*STOCK[[#This Row],[Entradas]]</f>
        <v>10.233124999999999</v>
      </c>
      <c r="AB1104" s="54">
        <f>STOCK[[#This Row],[Stock Actual]]*STOCK[[#This Row],[Costo total]]</f>
        <v>0</v>
      </c>
    </row>
    <row r="1105" spans="1:28" s="54" customFormat="1" ht="50" customHeight="1">
      <c r="A1105" s="54" t="s">
        <v>2318</v>
      </c>
      <c r="B1105" s="64"/>
      <c r="C1105" s="54" t="s">
        <v>32</v>
      </c>
      <c r="D1105" s="54" t="s">
        <v>2319</v>
      </c>
      <c r="E1105" s="66" t="s">
        <v>2320</v>
      </c>
      <c r="F1105" s="54" t="s">
        <v>42</v>
      </c>
      <c r="G1105" s="54" t="s">
        <v>1877</v>
      </c>
      <c r="H1105" s="54">
        <f>STOCK[[#This Row],[Precio Final]]</f>
        <v>30</v>
      </c>
      <c r="I1105" s="54">
        <f>STOCK[[#This Row],[Precio Venta Ideal (x1.5)]]</f>
        <v>26.526562499999997</v>
      </c>
      <c r="J1105" s="70">
        <v>2</v>
      </c>
      <c r="K1105" s="70">
        <f>SUMIFS(VENTAS[Cantidad],VENTAS[Código del producto Vendido],STOCK[[#This Row],[Code]])</f>
        <v>1</v>
      </c>
      <c r="L1105" s="70">
        <f>STOCK[[#This Row],[Entradas]]-STOCK[[#This Row],[Salidas]]</f>
        <v>1</v>
      </c>
      <c r="M1105" s="54">
        <f>STOCK[[#This Row],[Precio Final]]*10%</f>
        <v>3</v>
      </c>
      <c r="N1105" s="54">
        <v>212.39</v>
      </c>
      <c r="O1105" s="54">
        <v>16</v>
      </c>
      <c r="P1105" s="54">
        <v>13.274374999999999</v>
      </c>
      <c r="Q1105" s="70">
        <v>0</v>
      </c>
      <c r="R1105" s="54">
        <v>0</v>
      </c>
      <c r="S1105" s="54">
        <v>1.41</v>
      </c>
      <c r="T1105" s="53">
        <f>STOCK[[#This Row],[Costo Unitario (USD)]]+STOCK[[#This Row],[Costo Envío (USD)]]+STOCK[[#This Row],[Comisión 10%]]</f>
        <v>17.684374999999999</v>
      </c>
      <c r="U1105" s="54">
        <f>STOCK[[#This Row],[Costo total]]*1.5</f>
        <v>26.526562499999997</v>
      </c>
      <c r="V1105" s="54">
        <v>30</v>
      </c>
      <c r="W1105" s="54">
        <f>STOCK[[#This Row],[Precio Final]]-STOCK[[#This Row],[Costo total]]</f>
        <v>12.315625000000001</v>
      </c>
      <c r="X1105" s="54">
        <f>STOCK[[#This Row],[Ganancia Unitaria]]*STOCK[[#This Row],[Salidas]]</f>
        <v>12.315625000000001</v>
      </c>
      <c r="Y1105" s="54" t="s">
        <v>2321</v>
      </c>
      <c r="AA1105" s="54">
        <f>STOCK[[#This Row],[Costo total]]*STOCK[[#This Row],[Entradas]]</f>
        <v>35.368749999999999</v>
      </c>
      <c r="AB1105" s="54">
        <f>STOCK[[#This Row],[Stock Actual]]*STOCK[[#This Row],[Costo total]]</f>
        <v>17.684374999999999</v>
      </c>
    </row>
    <row r="1106" spans="1:28" s="53" customFormat="1" ht="50" customHeight="1">
      <c r="A1106" s="53" t="s">
        <v>2322</v>
      </c>
      <c r="B1106" s="64"/>
      <c r="C1106" s="53" t="s">
        <v>32</v>
      </c>
      <c r="D1106" s="53" t="s">
        <v>2119</v>
      </c>
      <c r="E1106" s="65" t="s">
        <v>2323</v>
      </c>
      <c r="F1106" s="53" t="s">
        <v>62</v>
      </c>
      <c r="G1106" s="53" t="s">
        <v>1877</v>
      </c>
      <c r="H1106" s="53">
        <f>STOCK[[#This Row],[Precio Final]]</f>
        <v>30</v>
      </c>
      <c r="I1106" s="53">
        <f>STOCK[[#This Row],[Precio Venta Ideal (x1.5)]]</f>
        <v>30.321562499999999</v>
      </c>
      <c r="J1106" s="69">
        <v>1</v>
      </c>
      <c r="K1106" s="69">
        <f>SUMIFS(VENTAS[Cantidad],VENTAS[Código del producto Vendido],STOCK[[#This Row],[Code]])</f>
        <v>1</v>
      </c>
      <c r="L1106" s="69">
        <f>STOCK[[#This Row],[Entradas]]-STOCK[[#This Row],[Salidas]]</f>
        <v>0</v>
      </c>
      <c r="M1106" s="53">
        <f>STOCK[[#This Row],[Precio Final]]*10%</f>
        <v>3</v>
      </c>
      <c r="N1106" s="53">
        <v>252.87</v>
      </c>
      <c r="O1106" s="53">
        <v>16</v>
      </c>
      <c r="P1106" s="53">
        <v>15.804375</v>
      </c>
      <c r="Q1106" s="69">
        <v>0</v>
      </c>
      <c r="R1106" s="53">
        <v>0</v>
      </c>
      <c r="S1106" s="53">
        <v>1.41</v>
      </c>
      <c r="T1106" s="53">
        <f>STOCK[[#This Row],[Costo Unitario (USD)]]+STOCK[[#This Row],[Costo Envío (USD)]]+STOCK[[#This Row],[Comisión 10%]]</f>
        <v>20.214375</v>
      </c>
      <c r="U1106" s="53">
        <f>STOCK[[#This Row],[Costo total]]*1.5</f>
        <v>30.321562499999999</v>
      </c>
      <c r="V1106" s="53">
        <v>30</v>
      </c>
      <c r="W1106" s="53">
        <f>STOCK[[#This Row],[Precio Final]]-STOCK[[#This Row],[Costo total]]</f>
        <v>9.7856249999999996</v>
      </c>
      <c r="X1106" s="53">
        <f>STOCK[[#This Row],[Ganancia Unitaria]]*STOCK[[#This Row],[Salidas]]</f>
        <v>9.7856249999999996</v>
      </c>
      <c r="Y1106" s="53" t="s">
        <v>2324</v>
      </c>
      <c r="AA1106" s="54">
        <f>STOCK[[#This Row],[Costo total]]*STOCK[[#This Row],[Entradas]]</f>
        <v>20.214375</v>
      </c>
      <c r="AB1106" s="54">
        <f>STOCK[[#This Row],[Stock Actual]]*STOCK[[#This Row],[Costo total]]</f>
        <v>0</v>
      </c>
    </row>
    <row r="1107" spans="1:28" s="54" customFormat="1" ht="50" customHeight="1">
      <c r="A1107" s="54" t="s">
        <v>2325</v>
      </c>
      <c r="B1107" s="64"/>
      <c r="C1107" s="54" t="s">
        <v>32</v>
      </c>
      <c r="D1107" s="54" t="s">
        <v>2138</v>
      </c>
      <c r="E1107" s="66" t="s">
        <v>2326</v>
      </c>
      <c r="F1107" s="54" t="s">
        <v>62</v>
      </c>
      <c r="G1107" s="54" t="s">
        <v>1877</v>
      </c>
      <c r="H1107" s="54">
        <f>STOCK[[#This Row],[Precio Final]]</f>
        <v>20</v>
      </c>
      <c r="I1107" s="54">
        <f>STOCK[[#This Row],[Precio Venta Ideal (x1.5)]]</f>
        <v>19.3715625</v>
      </c>
      <c r="J1107" s="70">
        <v>1</v>
      </c>
      <c r="K1107" s="70">
        <f>SUMIFS(VENTAS[Cantidad],VENTAS[Código del producto Vendido],STOCK[[#This Row],[Code]])</f>
        <v>1</v>
      </c>
      <c r="L1107" s="70">
        <f>STOCK[[#This Row],[Entradas]]-STOCK[[#This Row],[Salidas]]</f>
        <v>0</v>
      </c>
      <c r="M1107" s="54">
        <f>STOCK[[#This Row],[Precio Final]]*10%</f>
        <v>2</v>
      </c>
      <c r="N1107" s="54">
        <v>152.07</v>
      </c>
      <c r="O1107" s="54">
        <v>16</v>
      </c>
      <c r="P1107" s="54">
        <v>9.5043749999999996</v>
      </c>
      <c r="Q1107" s="70">
        <v>0</v>
      </c>
      <c r="R1107" s="54">
        <v>0</v>
      </c>
      <c r="S1107" s="54">
        <v>1.41</v>
      </c>
      <c r="T1107" s="53">
        <f>STOCK[[#This Row],[Costo Unitario (USD)]]+STOCK[[#This Row],[Costo Envío (USD)]]+STOCK[[#This Row],[Comisión 10%]]</f>
        <v>12.914375</v>
      </c>
      <c r="U1107" s="54">
        <f>STOCK[[#This Row],[Costo total]]*1.5</f>
        <v>19.3715625</v>
      </c>
      <c r="V1107" s="54">
        <v>20</v>
      </c>
      <c r="W1107" s="54">
        <f>STOCK[[#This Row],[Precio Final]]-STOCK[[#This Row],[Costo total]]</f>
        <v>7.0856250000000003</v>
      </c>
      <c r="X1107" s="54">
        <f>STOCK[[#This Row],[Ganancia Unitaria]]*STOCK[[#This Row],[Salidas]]</f>
        <v>7.0856250000000003</v>
      </c>
      <c r="Y1107" s="54" t="s">
        <v>2327</v>
      </c>
      <c r="AA1107" s="54">
        <f>STOCK[[#This Row],[Costo total]]*STOCK[[#This Row],[Entradas]]</f>
        <v>12.914375</v>
      </c>
      <c r="AB1107" s="54">
        <f>STOCK[[#This Row],[Stock Actual]]*STOCK[[#This Row],[Costo total]]</f>
        <v>0</v>
      </c>
    </row>
    <row r="1108" spans="1:28" s="53" customFormat="1" ht="50" customHeight="1">
      <c r="A1108" s="53" t="s">
        <v>2328</v>
      </c>
      <c r="B1108" s="64"/>
      <c r="C1108" s="53" t="s">
        <v>32</v>
      </c>
      <c r="D1108" s="53" t="s">
        <v>2138</v>
      </c>
      <c r="E1108" s="65" t="s">
        <v>2326</v>
      </c>
      <c r="F1108" s="53" t="s">
        <v>49</v>
      </c>
      <c r="G1108" s="53" t="s">
        <v>1877</v>
      </c>
      <c r="H1108" s="53">
        <f>STOCK[[#This Row],[Precio Final]]</f>
        <v>20</v>
      </c>
      <c r="I1108" s="53">
        <f>STOCK[[#This Row],[Precio Venta Ideal (x1.5)]]</f>
        <v>19.3715625</v>
      </c>
      <c r="J1108" s="69">
        <v>1</v>
      </c>
      <c r="K1108" s="69">
        <f>SUMIFS(VENTAS[Cantidad],VENTAS[Código del producto Vendido],STOCK[[#This Row],[Code]])</f>
        <v>1</v>
      </c>
      <c r="L1108" s="69">
        <f>STOCK[[#This Row],[Entradas]]-STOCK[[#This Row],[Salidas]]</f>
        <v>0</v>
      </c>
      <c r="M1108" s="53">
        <f>STOCK[[#This Row],[Precio Final]]*10%</f>
        <v>2</v>
      </c>
      <c r="N1108" s="53">
        <v>152.07</v>
      </c>
      <c r="O1108" s="53">
        <v>16</v>
      </c>
      <c r="P1108" s="53">
        <v>9.5043749999999996</v>
      </c>
      <c r="Q1108" s="69">
        <v>0</v>
      </c>
      <c r="R1108" s="53">
        <v>0</v>
      </c>
      <c r="S1108" s="53">
        <v>1.41</v>
      </c>
      <c r="T1108" s="53">
        <f>STOCK[[#This Row],[Costo Unitario (USD)]]+STOCK[[#This Row],[Costo Envío (USD)]]+STOCK[[#This Row],[Comisión 10%]]</f>
        <v>12.914375</v>
      </c>
      <c r="U1108" s="53">
        <f>STOCK[[#This Row],[Costo total]]*1.5</f>
        <v>19.3715625</v>
      </c>
      <c r="V1108" s="53">
        <v>20</v>
      </c>
      <c r="W1108" s="53">
        <f>STOCK[[#This Row],[Precio Final]]-STOCK[[#This Row],[Costo total]]</f>
        <v>7.0856250000000003</v>
      </c>
      <c r="X1108" s="53">
        <f>STOCK[[#This Row],[Ganancia Unitaria]]*STOCK[[#This Row],[Salidas]]</f>
        <v>7.0856250000000003</v>
      </c>
      <c r="Y1108" s="53" t="s">
        <v>2329</v>
      </c>
      <c r="AA1108" s="54">
        <f>STOCK[[#This Row],[Costo total]]*STOCK[[#This Row],[Entradas]]</f>
        <v>12.914375</v>
      </c>
      <c r="AB1108" s="54">
        <f>STOCK[[#This Row],[Stock Actual]]*STOCK[[#This Row],[Costo total]]</f>
        <v>0</v>
      </c>
    </row>
    <row r="1109" spans="1:28" s="54" customFormat="1" ht="50" customHeight="1">
      <c r="A1109" s="54" t="s">
        <v>2330</v>
      </c>
      <c r="B1109" s="64"/>
      <c r="C1109" s="54" t="s">
        <v>32</v>
      </c>
      <c r="D1109" s="54" t="s">
        <v>1212</v>
      </c>
      <c r="E1109" s="66" t="s">
        <v>2326</v>
      </c>
      <c r="F1109" s="54" t="s">
        <v>46</v>
      </c>
      <c r="G1109" s="54" t="s">
        <v>1877</v>
      </c>
      <c r="H1109" s="54">
        <f>STOCK[[#This Row],[Precio Final]]</f>
        <v>20</v>
      </c>
      <c r="I1109" s="54">
        <f>STOCK[[#This Row],[Precio Venta Ideal (x1.5)]]</f>
        <v>19.3715625</v>
      </c>
      <c r="J1109" s="70">
        <v>1</v>
      </c>
      <c r="K1109" s="70">
        <f>SUMIFS(VENTAS[Cantidad],VENTAS[Código del producto Vendido],STOCK[[#This Row],[Code]])</f>
        <v>1</v>
      </c>
      <c r="L1109" s="70">
        <f>STOCK[[#This Row],[Entradas]]-STOCK[[#This Row],[Salidas]]</f>
        <v>0</v>
      </c>
      <c r="M1109" s="54">
        <f>STOCK[[#This Row],[Precio Final]]*10%</f>
        <v>2</v>
      </c>
      <c r="N1109" s="54">
        <v>152.07</v>
      </c>
      <c r="O1109" s="54">
        <v>16</v>
      </c>
      <c r="P1109" s="54">
        <v>9.5043749999999996</v>
      </c>
      <c r="Q1109" s="70">
        <v>0</v>
      </c>
      <c r="R1109" s="54">
        <v>0</v>
      </c>
      <c r="S1109" s="54">
        <v>1.41</v>
      </c>
      <c r="T1109" s="53">
        <f>STOCK[[#This Row],[Costo Unitario (USD)]]+STOCK[[#This Row],[Costo Envío (USD)]]+STOCK[[#This Row],[Comisión 10%]]</f>
        <v>12.914375</v>
      </c>
      <c r="U1109" s="54">
        <f>STOCK[[#This Row],[Costo total]]*1.5</f>
        <v>19.3715625</v>
      </c>
      <c r="V1109" s="54">
        <v>20</v>
      </c>
      <c r="W1109" s="54">
        <f>STOCK[[#This Row],[Precio Final]]-STOCK[[#This Row],[Costo total]]</f>
        <v>7.0856250000000003</v>
      </c>
      <c r="X1109" s="54">
        <f>STOCK[[#This Row],[Ganancia Unitaria]]*STOCK[[#This Row],[Salidas]]</f>
        <v>7.0856250000000003</v>
      </c>
      <c r="Y1109" s="54" t="s">
        <v>2331</v>
      </c>
      <c r="AA1109" s="54">
        <f>STOCK[[#This Row],[Costo total]]*STOCK[[#This Row],[Entradas]]</f>
        <v>12.914375</v>
      </c>
      <c r="AB1109" s="54">
        <f>STOCK[[#This Row],[Stock Actual]]*STOCK[[#This Row],[Costo total]]</f>
        <v>0</v>
      </c>
    </row>
    <row r="1110" spans="1:28" s="53" customFormat="1" ht="50" customHeight="1">
      <c r="A1110" s="53" t="s">
        <v>2332</v>
      </c>
      <c r="B1110" s="64"/>
      <c r="C1110" s="53" t="s">
        <v>32</v>
      </c>
      <c r="D1110" s="53" t="s">
        <v>1212</v>
      </c>
      <c r="E1110" s="65" t="s">
        <v>2326</v>
      </c>
      <c r="F1110" s="53" t="s">
        <v>42</v>
      </c>
      <c r="G1110" s="53" t="s">
        <v>1877</v>
      </c>
      <c r="H1110" s="53">
        <f>STOCK[[#This Row],[Precio Final]]</f>
        <v>20</v>
      </c>
      <c r="I1110" s="53">
        <f>STOCK[[#This Row],[Precio Venta Ideal (x1.5)]]</f>
        <v>19.3715625</v>
      </c>
      <c r="J1110" s="69">
        <v>1</v>
      </c>
      <c r="K1110" s="69">
        <f>SUMIFS(VENTAS[Cantidad],VENTAS[Código del producto Vendido],STOCK[[#This Row],[Code]])</f>
        <v>1</v>
      </c>
      <c r="L1110" s="69">
        <f>STOCK[[#This Row],[Entradas]]-STOCK[[#This Row],[Salidas]]</f>
        <v>0</v>
      </c>
      <c r="M1110" s="53">
        <f>STOCK[[#This Row],[Precio Final]]*10%</f>
        <v>2</v>
      </c>
      <c r="N1110" s="53">
        <v>152.07</v>
      </c>
      <c r="O1110" s="53">
        <v>16</v>
      </c>
      <c r="P1110" s="53">
        <v>9.5043749999999996</v>
      </c>
      <c r="Q1110" s="69">
        <v>0</v>
      </c>
      <c r="R1110" s="53">
        <v>0</v>
      </c>
      <c r="S1110" s="53">
        <v>1.41</v>
      </c>
      <c r="T1110" s="53">
        <f>STOCK[[#This Row],[Costo Unitario (USD)]]+STOCK[[#This Row],[Costo Envío (USD)]]+STOCK[[#This Row],[Comisión 10%]]</f>
        <v>12.914375</v>
      </c>
      <c r="U1110" s="53">
        <f>STOCK[[#This Row],[Costo total]]*1.5</f>
        <v>19.3715625</v>
      </c>
      <c r="V1110" s="53">
        <v>20</v>
      </c>
      <c r="W1110" s="53">
        <f>STOCK[[#This Row],[Precio Final]]-STOCK[[#This Row],[Costo total]]</f>
        <v>7.0856250000000003</v>
      </c>
      <c r="X1110" s="53">
        <f>STOCK[[#This Row],[Ganancia Unitaria]]*STOCK[[#This Row],[Salidas]]</f>
        <v>7.0856250000000003</v>
      </c>
      <c r="Y1110" s="53" t="s">
        <v>2333</v>
      </c>
      <c r="AA1110" s="54">
        <f>STOCK[[#This Row],[Costo total]]*STOCK[[#This Row],[Entradas]]</f>
        <v>12.914375</v>
      </c>
      <c r="AB1110" s="54">
        <f>STOCK[[#This Row],[Stock Actual]]*STOCK[[#This Row],[Costo total]]</f>
        <v>0</v>
      </c>
    </row>
    <row r="1111" spans="1:28" s="54" customFormat="1" ht="50" customHeight="1">
      <c r="A1111" s="54" t="s">
        <v>2334</v>
      </c>
      <c r="B1111" s="64"/>
      <c r="C1111" s="54" t="s">
        <v>32</v>
      </c>
      <c r="D1111" s="54" t="s">
        <v>2335</v>
      </c>
      <c r="E1111" s="66" t="s">
        <v>2336</v>
      </c>
      <c r="F1111" s="54" t="s">
        <v>62</v>
      </c>
      <c r="G1111" s="54" t="s">
        <v>1877</v>
      </c>
      <c r="H1111" s="54">
        <f>STOCK[[#This Row],[Precio Final]]</f>
        <v>20</v>
      </c>
      <c r="I1111" s="54">
        <f>STOCK[[#This Row],[Precio Venta Ideal (x1.5)]]</f>
        <v>23.114062500000003</v>
      </c>
      <c r="J1111" s="70">
        <v>2</v>
      </c>
      <c r="K1111" s="70">
        <f>SUMIFS(VENTAS[Cantidad],VENTAS[Código del producto Vendido],STOCK[[#This Row],[Code]])</f>
        <v>2</v>
      </c>
      <c r="L1111" s="70">
        <f>STOCK[[#This Row],[Entradas]]-STOCK[[#This Row],[Salidas]]</f>
        <v>0</v>
      </c>
      <c r="M1111" s="54">
        <f>STOCK[[#This Row],[Precio Final]]*10%</f>
        <v>2</v>
      </c>
      <c r="N1111" s="54">
        <v>191.99</v>
      </c>
      <c r="O1111" s="54">
        <v>16</v>
      </c>
      <c r="P1111" s="54">
        <v>11.999375000000001</v>
      </c>
      <c r="Q1111" s="70">
        <v>0</v>
      </c>
      <c r="R1111" s="54">
        <v>0</v>
      </c>
      <c r="S1111" s="54">
        <v>1.41</v>
      </c>
      <c r="T1111" s="53">
        <f>STOCK[[#This Row],[Costo Unitario (USD)]]+STOCK[[#This Row],[Costo Envío (USD)]]+STOCK[[#This Row],[Comisión 10%]]</f>
        <v>15.409375000000001</v>
      </c>
      <c r="U1111" s="54">
        <f>STOCK[[#This Row],[Costo total]]*1.5</f>
        <v>23.114062500000003</v>
      </c>
      <c r="V1111" s="54">
        <v>20</v>
      </c>
      <c r="W1111" s="54">
        <f>STOCK[[#This Row],[Precio Final]]-STOCK[[#This Row],[Costo total]]</f>
        <v>4.5906249999999993</v>
      </c>
      <c r="X1111" s="54">
        <f>STOCK[[#This Row],[Ganancia Unitaria]]*STOCK[[#This Row],[Salidas]]</f>
        <v>9.1812499999999986</v>
      </c>
      <c r="Y1111" s="54" t="s">
        <v>2337</v>
      </c>
      <c r="AA1111" s="54">
        <f>STOCK[[#This Row],[Costo total]]*STOCK[[#This Row],[Entradas]]</f>
        <v>30.818750000000001</v>
      </c>
      <c r="AB1111" s="54">
        <f>STOCK[[#This Row],[Stock Actual]]*STOCK[[#This Row],[Costo total]]</f>
        <v>0</v>
      </c>
    </row>
    <row r="1112" spans="1:28" s="53" customFormat="1" ht="50" customHeight="1">
      <c r="A1112" s="53" t="s">
        <v>2338</v>
      </c>
      <c r="B1112" s="64"/>
      <c r="C1112" s="53" t="s">
        <v>32</v>
      </c>
      <c r="D1112" s="54" t="s">
        <v>38</v>
      </c>
      <c r="E1112" s="65" t="s">
        <v>2339</v>
      </c>
      <c r="F1112" s="53" t="s">
        <v>46</v>
      </c>
      <c r="G1112" s="53" t="s">
        <v>1877</v>
      </c>
      <c r="H1112" s="53">
        <f>STOCK[[#This Row],[Precio Final]]</f>
        <v>18</v>
      </c>
      <c r="I1112" s="53">
        <f>STOCK[[#This Row],[Precio Venta Ideal (x1.5)]]</f>
        <v>15.3515625</v>
      </c>
      <c r="J1112" s="69">
        <v>2</v>
      </c>
      <c r="K1112" s="69">
        <f>SUMIFS(VENTAS[Cantidad],VENTAS[Código del producto Vendido],STOCK[[#This Row],[Code]])</f>
        <v>0</v>
      </c>
      <c r="L1112" s="69">
        <f>STOCK[[#This Row],[Entradas]]-STOCK[[#This Row],[Salidas]]</f>
        <v>2</v>
      </c>
      <c r="M1112" s="53">
        <f>STOCK[[#This Row],[Precio Final]]*10%</f>
        <v>1.8</v>
      </c>
      <c r="N1112" s="53">
        <v>112.39</v>
      </c>
      <c r="O1112" s="53">
        <v>16</v>
      </c>
      <c r="P1112" s="53">
        <v>7.024375</v>
      </c>
      <c r="Q1112" s="69">
        <v>0</v>
      </c>
      <c r="R1112" s="53">
        <v>0</v>
      </c>
      <c r="S1112" s="53">
        <v>1.41</v>
      </c>
      <c r="T1112" s="53">
        <f>STOCK[[#This Row],[Costo Unitario (USD)]]+STOCK[[#This Row],[Costo Envío (USD)]]+STOCK[[#This Row],[Comisión 10%]]</f>
        <v>10.234375</v>
      </c>
      <c r="U1112" s="53">
        <f>STOCK[[#This Row],[Costo total]]*1.5</f>
        <v>15.3515625</v>
      </c>
      <c r="V1112" s="53">
        <v>18</v>
      </c>
      <c r="W1112" s="53">
        <f>STOCK[[#This Row],[Precio Final]]-STOCK[[#This Row],[Costo total]]</f>
        <v>7.765625</v>
      </c>
      <c r="X1112" s="53">
        <f>STOCK[[#This Row],[Ganancia Unitaria]]*STOCK[[#This Row],[Salidas]]</f>
        <v>0</v>
      </c>
      <c r="Y1112" s="53" t="s">
        <v>2340</v>
      </c>
      <c r="AA1112" s="54">
        <f>STOCK[[#This Row],[Costo total]]*STOCK[[#This Row],[Entradas]]</f>
        <v>20.46875</v>
      </c>
      <c r="AB1112" s="54">
        <f>STOCK[[#This Row],[Stock Actual]]*STOCK[[#This Row],[Costo total]]</f>
        <v>20.46875</v>
      </c>
    </row>
    <row r="1113" spans="1:28" s="54" customFormat="1" ht="50" customHeight="1">
      <c r="A1113" s="54" t="s">
        <v>2341</v>
      </c>
      <c r="B1113" s="64"/>
      <c r="C1113" s="54" t="s">
        <v>32</v>
      </c>
      <c r="D1113" s="54" t="s">
        <v>38</v>
      </c>
      <c r="E1113" s="66" t="s">
        <v>2339</v>
      </c>
      <c r="F1113" s="54" t="s">
        <v>62</v>
      </c>
      <c r="G1113" s="54" t="s">
        <v>1877</v>
      </c>
      <c r="H1113" s="54">
        <f>STOCK[[#This Row],[Precio Final]]</f>
        <v>18</v>
      </c>
      <c r="I1113" s="54">
        <f>STOCK[[#This Row],[Precio Venta Ideal (x1.5)]]</f>
        <v>15.3515625</v>
      </c>
      <c r="J1113" s="70">
        <v>2</v>
      </c>
      <c r="K1113" s="70">
        <f>SUMIFS(VENTAS[Cantidad],VENTAS[Código del producto Vendido],STOCK[[#This Row],[Code]])</f>
        <v>0</v>
      </c>
      <c r="L1113" s="70">
        <f>STOCK[[#This Row],[Entradas]]-STOCK[[#This Row],[Salidas]]</f>
        <v>2</v>
      </c>
      <c r="M1113" s="54">
        <f>STOCK[[#This Row],[Precio Final]]*10%</f>
        <v>1.8</v>
      </c>
      <c r="N1113" s="54">
        <v>112.39</v>
      </c>
      <c r="O1113" s="54">
        <v>16</v>
      </c>
      <c r="P1113" s="54">
        <v>7.024375</v>
      </c>
      <c r="Q1113" s="70">
        <v>0</v>
      </c>
      <c r="R1113" s="54">
        <v>0</v>
      </c>
      <c r="S1113" s="54">
        <v>1.41</v>
      </c>
      <c r="T1113" s="53">
        <f>STOCK[[#This Row],[Costo Unitario (USD)]]+STOCK[[#This Row],[Costo Envío (USD)]]+STOCK[[#This Row],[Comisión 10%]]</f>
        <v>10.234375</v>
      </c>
      <c r="U1113" s="54">
        <f>STOCK[[#This Row],[Costo total]]*1.5</f>
        <v>15.3515625</v>
      </c>
      <c r="V1113" s="54">
        <v>18</v>
      </c>
      <c r="W1113" s="54">
        <f>STOCK[[#This Row],[Precio Final]]-STOCK[[#This Row],[Costo total]]</f>
        <v>7.765625</v>
      </c>
      <c r="X1113" s="54">
        <f>STOCK[[#This Row],[Ganancia Unitaria]]*STOCK[[#This Row],[Salidas]]</f>
        <v>0</v>
      </c>
      <c r="Y1113" s="54" t="s">
        <v>2342</v>
      </c>
      <c r="AA1113" s="54">
        <f>STOCK[[#This Row],[Costo total]]*STOCK[[#This Row],[Entradas]]</f>
        <v>20.46875</v>
      </c>
      <c r="AB1113" s="54">
        <f>STOCK[[#This Row],[Stock Actual]]*STOCK[[#This Row],[Costo total]]</f>
        <v>20.46875</v>
      </c>
    </row>
    <row r="1114" spans="1:28" s="53" customFormat="1" ht="50" customHeight="1">
      <c r="A1114" s="53" t="s">
        <v>2343</v>
      </c>
      <c r="B1114" s="64"/>
      <c r="C1114" s="53" t="s">
        <v>32</v>
      </c>
      <c r="D1114" s="54" t="s">
        <v>38</v>
      </c>
      <c r="E1114" s="65" t="s">
        <v>2339</v>
      </c>
      <c r="F1114" s="53" t="s">
        <v>49</v>
      </c>
      <c r="G1114" s="53" t="s">
        <v>1877</v>
      </c>
      <c r="H1114" s="53">
        <f>STOCK[[#This Row],[Precio Final]]</f>
        <v>18</v>
      </c>
      <c r="I1114" s="53">
        <f>STOCK[[#This Row],[Precio Venta Ideal (x1.5)]]</f>
        <v>15.3515625</v>
      </c>
      <c r="J1114" s="69">
        <v>2</v>
      </c>
      <c r="K1114" s="69">
        <f>SUMIFS(VENTAS[Cantidad],VENTAS[Código del producto Vendido],STOCK[[#This Row],[Code]])</f>
        <v>0</v>
      </c>
      <c r="L1114" s="69">
        <f>STOCK[[#This Row],[Entradas]]-STOCK[[#This Row],[Salidas]]</f>
        <v>2</v>
      </c>
      <c r="M1114" s="53">
        <f>STOCK[[#This Row],[Precio Final]]*10%</f>
        <v>1.8</v>
      </c>
      <c r="N1114" s="53">
        <v>112.39</v>
      </c>
      <c r="O1114" s="53">
        <v>16</v>
      </c>
      <c r="P1114" s="53">
        <v>7.024375</v>
      </c>
      <c r="Q1114" s="69">
        <v>0</v>
      </c>
      <c r="R1114" s="53">
        <v>0</v>
      </c>
      <c r="S1114" s="53">
        <v>1.41</v>
      </c>
      <c r="T1114" s="53">
        <f>STOCK[[#This Row],[Costo Unitario (USD)]]+STOCK[[#This Row],[Costo Envío (USD)]]+STOCK[[#This Row],[Comisión 10%]]</f>
        <v>10.234375</v>
      </c>
      <c r="U1114" s="53">
        <f>STOCK[[#This Row],[Costo total]]*1.5</f>
        <v>15.3515625</v>
      </c>
      <c r="V1114" s="53">
        <v>18</v>
      </c>
      <c r="W1114" s="53">
        <f>STOCK[[#This Row],[Precio Final]]-STOCK[[#This Row],[Costo total]]</f>
        <v>7.765625</v>
      </c>
      <c r="X1114" s="53">
        <f>STOCK[[#This Row],[Ganancia Unitaria]]*STOCK[[#This Row],[Salidas]]</f>
        <v>0</v>
      </c>
      <c r="Y1114" s="53" t="s">
        <v>2344</v>
      </c>
      <c r="AA1114" s="54">
        <f>STOCK[[#This Row],[Costo total]]*STOCK[[#This Row],[Entradas]]</f>
        <v>20.46875</v>
      </c>
      <c r="AB1114" s="54">
        <f>STOCK[[#This Row],[Stock Actual]]*STOCK[[#This Row],[Costo total]]</f>
        <v>20.46875</v>
      </c>
    </row>
    <row r="1115" spans="1:28" s="54" customFormat="1" ht="50" customHeight="1">
      <c r="A1115" s="54" t="s">
        <v>2345</v>
      </c>
      <c r="B1115" s="64"/>
      <c r="C1115" s="54" t="s">
        <v>32</v>
      </c>
      <c r="D1115" s="54" t="s">
        <v>38</v>
      </c>
      <c r="E1115" s="66" t="s">
        <v>2346</v>
      </c>
      <c r="F1115" s="54" t="s">
        <v>46</v>
      </c>
      <c r="G1115" s="54" t="s">
        <v>1877</v>
      </c>
      <c r="H1115" s="54">
        <f>STOCK[[#This Row],[Precio Final]]</f>
        <v>28</v>
      </c>
      <c r="I1115" s="54">
        <f>STOCK[[#This Row],[Precio Venta Ideal (x1.5)]]</f>
        <v>30.698437499999997</v>
      </c>
      <c r="J1115" s="70">
        <v>1</v>
      </c>
      <c r="K1115" s="70">
        <f>SUMIFS(VENTAS[Cantidad],VENTAS[Código del producto Vendido],STOCK[[#This Row],[Code]])</f>
        <v>0</v>
      </c>
      <c r="L1115" s="70">
        <f>STOCK[[#This Row],[Entradas]]-STOCK[[#This Row],[Salidas]]</f>
        <v>1</v>
      </c>
      <c r="M1115" s="54">
        <f>STOCK[[#This Row],[Precio Final]]*10%</f>
        <v>2.8000000000000003</v>
      </c>
      <c r="N1115" s="54">
        <v>260.08999999999997</v>
      </c>
      <c r="O1115" s="54">
        <v>16</v>
      </c>
      <c r="P1115" s="54">
        <v>16.255624999999998</v>
      </c>
      <c r="Q1115" s="70">
        <v>0</v>
      </c>
      <c r="R1115" s="54">
        <v>0</v>
      </c>
      <c r="S1115" s="54">
        <v>1.41</v>
      </c>
      <c r="T1115" s="53">
        <f>STOCK[[#This Row],[Costo Unitario (USD)]]+STOCK[[#This Row],[Costo Envío (USD)]]+STOCK[[#This Row],[Comisión 10%]]</f>
        <v>20.465624999999999</v>
      </c>
      <c r="U1115" s="54">
        <f>STOCK[[#This Row],[Costo total]]*1.5</f>
        <v>30.698437499999997</v>
      </c>
      <c r="V1115" s="54">
        <v>28</v>
      </c>
      <c r="W1115" s="54">
        <f>STOCK[[#This Row],[Precio Final]]-STOCK[[#This Row],[Costo total]]</f>
        <v>7.5343750000000007</v>
      </c>
      <c r="X1115" s="54">
        <f>STOCK[[#This Row],[Ganancia Unitaria]]*STOCK[[#This Row],[Salidas]]</f>
        <v>0</v>
      </c>
      <c r="Y1115" s="54" t="s">
        <v>2347</v>
      </c>
      <c r="AA1115" s="54">
        <f>STOCK[[#This Row],[Costo total]]*STOCK[[#This Row],[Entradas]]</f>
        <v>20.465624999999999</v>
      </c>
      <c r="AB1115" s="54">
        <f>STOCK[[#This Row],[Stock Actual]]*STOCK[[#This Row],[Costo total]]</f>
        <v>20.465624999999999</v>
      </c>
    </row>
    <row r="1116" spans="1:28" s="53" customFormat="1" ht="50" customHeight="1">
      <c r="A1116" s="53" t="s">
        <v>2348</v>
      </c>
      <c r="B1116" s="64"/>
      <c r="C1116" s="53" t="s">
        <v>32</v>
      </c>
      <c r="D1116" s="54" t="s">
        <v>38</v>
      </c>
      <c r="E1116" s="65" t="s">
        <v>2346</v>
      </c>
      <c r="F1116" s="53" t="s">
        <v>49</v>
      </c>
      <c r="G1116" s="53" t="s">
        <v>1877</v>
      </c>
      <c r="H1116" s="53">
        <f>STOCK[[#This Row],[Precio Final]]</f>
        <v>28</v>
      </c>
      <c r="I1116" s="53">
        <f>STOCK[[#This Row],[Precio Venta Ideal (x1.5)]]</f>
        <v>30.698437499999997</v>
      </c>
      <c r="J1116" s="69">
        <v>1</v>
      </c>
      <c r="K1116" s="69">
        <f>SUMIFS(VENTAS[Cantidad],VENTAS[Código del producto Vendido],STOCK[[#This Row],[Code]])</f>
        <v>0</v>
      </c>
      <c r="L1116" s="69">
        <f>STOCK[[#This Row],[Entradas]]-STOCK[[#This Row],[Salidas]]</f>
        <v>1</v>
      </c>
      <c r="M1116" s="53">
        <f>STOCK[[#This Row],[Precio Final]]*10%</f>
        <v>2.8000000000000003</v>
      </c>
      <c r="N1116" s="53">
        <v>260.08999999999997</v>
      </c>
      <c r="O1116" s="53">
        <v>16</v>
      </c>
      <c r="P1116" s="53">
        <v>16.255624999999998</v>
      </c>
      <c r="Q1116" s="69">
        <v>0</v>
      </c>
      <c r="R1116" s="53">
        <v>0</v>
      </c>
      <c r="S1116" s="53">
        <v>1.41</v>
      </c>
      <c r="T1116" s="53">
        <f>STOCK[[#This Row],[Costo Unitario (USD)]]+STOCK[[#This Row],[Costo Envío (USD)]]+STOCK[[#This Row],[Comisión 10%]]</f>
        <v>20.465624999999999</v>
      </c>
      <c r="U1116" s="53">
        <f>STOCK[[#This Row],[Costo total]]*1.5</f>
        <v>30.698437499999997</v>
      </c>
      <c r="V1116" s="53">
        <v>28</v>
      </c>
      <c r="W1116" s="53">
        <f>STOCK[[#This Row],[Precio Final]]-STOCK[[#This Row],[Costo total]]</f>
        <v>7.5343750000000007</v>
      </c>
      <c r="X1116" s="53">
        <f>STOCK[[#This Row],[Ganancia Unitaria]]*STOCK[[#This Row],[Salidas]]</f>
        <v>0</v>
      </c>
      <c r="Y1116" s="53" t="s">
        <v>2349</v>
      </c>
      <c r="AA1116" s="54">
        <f>STOCK[[#This Row],[Costo total]]*STOCK[[#This Row],[Entradas]]</f>
        <v>20.465624999999999</v>
      </c>
      <c r="AB1116" s="54">
        <f>STOCK[[#This Row],[Stock Actual]]*STOCK[[#This Row],[Costo total]]</f>
        <v>20.465624999999999</v>
      </c>
    </row>
    <row r="1117" spans="1:28" s="54" customFormat="1" ht="50" customHeight="1">
      <c r="A1117" s="54" t="s">
        <v>2350</v>
      </c>
      <c r="B1117" s="64"/>
      <c r="C1117" s="54" t="s">
        <v>32</v>
      </c>
      <c r="D1117" s="54" t="s">
        <v>38</v>
      </c>
      <c r="E1117" s="66" t="s">
        <v>2346</v>
      </c>
      <c r="F1117" s="54" t="s">
        <v>62</v>
      </c>
      <c r="G1117" s="54" t="s">
        <v>1877</v>
      </c>
      <c r="H1117" s="54">
        <f>STOCK[[#This Row],[Precio Final]]</f>
        <v>28</v>
      </c>
      <c r="I1117" s="54">
        <f>STOCK[[#This Row],[Precio Venta Ideal (x1.5)]]</f>
        <v>30.698437499999997</v>
      </c>
      <c r="J1117" s="70">
        <v>1</v>
      </c>
      <c r="K1117" s="70">
        <f>SUMIFS(VENTAS[Cantidad],VENTAS[Código del producto Vendido],STOCK[[#This Row],[Code]])</f>
        <v>0</v>
      </c>
      <c r="L1117" s="70">
        <f>STOCK[[#This Row],[Entradas]]-STOCK[[#This Row],[Salidas]]</f>
        <v>1</v>
      </c>
      <c r="M1117" s="54">
        <f>STOCK[[#This Row],[Precio Final]]*10%</f>
        <v>2.8000000000000003</v>
      </c>
      <c r="N1117" s="54">
        <v>260.08999999999997</v>
      </c>
      <c r="O1117" s="54">
        <v>16</v>
      </c>
      <c r="P1117" s="54">
        <v>16.255624999999998</v>
      </c>
      <c r="Q1117" s="70">
        <v>0</v>
      </c>
      <c r="R1117" s="54">
        <v>0</v>
      </c>
      <c r="S1117" s="54">
        <v>1.41</v>
      </c>
      <c r="T1117" s="53">
        <f>STOCK[[#This Row],[Costo Unitario (USD)]]+STOCK[[#This Row],[Costo Envío (USD)]]+STOCK[[#This Row],[Comisión 10%]]</f>
        <v>20.465624999999999</v>
      </c>
      <c r="U1117" s="54">
        <f>STOCK[[#This Row],[Costo total]]*1.5</f>
        <v>30.698437499999997</v>
      </c>
      <c r="V1117" s="54">
        <v>28</v>
      </c>
      <c r="W1117" s="54">
        <f>STOCK[[#This Row],[Precio Final]]-STOCK[[#This Row],[Costo total]]</f>
        <v>7.5343750000000007</v>
      </c>
      <c r="X1117" s="54">
        <f>STOCK[[#This Row],[Ganancia Unitaria]]*STOCK[[#This Row],[Salidas]]</f>
        <v>0</v>
      </c>
      <c r="Y1117" s="54" t="s">
        <v>2351</v>
      </c>
      <c r="AA1117" s="54">
        <f>STOCK[[#This Row],[Costo total]]*STOCK[[#This Row],[Entradas]]</f>
        <v>20.465624999999999</v>
      </c>
      <c r="AB1117" s="54">
        <f>STOCK[[#This Row],[Stock Actual]]*STOCK[[#This Row],[Costo total]]</f>
        <v>20.465624999999999</v>
      </c>
    </row>
    <row r="1118" spans="1:28" s="53" customFormat="1" ht="50" customHeight="1">
      <c r="A1118" s="53" t="s">
        <v>2352</v>
      </c>
      <c r="B1118" s="64"/>
      <c r="C1118" s="53" t="s">
        <v>32</v>
      </c>
      <c r="D1118" s="53" t="s">
        <v>2335</v>
      </c>
      <c r="E1118" s="65" t="s">
        <v>2346</v>
      </c>
      <c r="F1118" s="53" t="s">
        <v>40</v>
      </c>
      <c r="G1118" s="53" t="s">
        <v>1877</v>
      </c>
      <c r="H1118" s="53">
        <f>STOCK[[#This Row],[Precio Final]]</f>
        <v>28</v>
      </c>
      <c r="I1118" s="53">
        <f>STOCK[[#This Row],[Precio Venta Ideal (x1.5)]]</f>
        <v>30.698437499999997</v>
      </c>
      <c r="J1118" s="69">
        <v>1</v>
      </c>
      <c r="K1118" s="69">
        <f>SUMIFS(VENTAS[Cantidad],VENTAS[Código del producto Vendido],STOCK[[#This Row],[Code]])</f>
        <v>1</v>
      </c>
      <c r="L1118" s="69">
        <f>STOCK[[#This Row],[Entradas]]-STOCK[[#This Row],[Salidas]]</f>
        <v>0</v>
      </c>
      <c r="M1118" s="53">
        <f>STOCK[[#This Row],[Precio Final]]*10%</f>
        <v>2.8000000000000003</v>
      </c>
      <c r="N1118" s="53">
        <v>260.08999999999997</v>
      </c>
      <c r="O1118" s="53">
        <v>16</v>
      </c>
      <c r="P1118" s="53">
        <v>16.255624999999998</v>
      </c>
      <c r="Q1118" s="69">
        <v>0</v>
      </c>
      <c r="R1118" s="53">
        <v>0</v>
      </c>
      <c r="S1118" s="53">
        <v>1.41</v>
      </c>
      <c r="T1118" s="53">
        <f>STOCK[[#This Row],[Costo Unitario (USD)]]+STOCK[[#This Row],[Costo Envío (USD)]]+STOCK[[#This Row],[Comisión 10%]]</f>
        <v>20.465624999999999</v>
      </c>
      <c r="U1118" s="53">
        <f>STOCK[[#This Row],[Costo total]]*1.5</f>
        <v>30.698437499999997</v>
      </c>
      <c r="V1118" s="53">
        <v>28</v>
      </c>
      <c r="W1118" s="53">
        <f>STOCK[[#This Row],[Precio Final]]-STOCK[[#This Row],[Costo total]]</f>
        <v>7.5343750000000007</v>
      </c>
      <c r="X1118" s="53">
        <f>STOCK[[#This Row],[Ganancia Unitaria]]*STOCK[[#This Row],[Salidas]]</f>
        <v>7.5343750000000007</v>
      </c>
      <c r="Y1118" s="53" t="s">
        <v>2353</v>
      </c>
      <c r="AA1118" s="54">
        <f>STOCK[[#This Row],[Costo total]]*STOCK[[#This Row],[Entradas]]</f>
        <v>20.465624999999999</v>
      </c>
      <c r="AB1118" s="54">
        <f>STOCK[[#This Row],[Stock Actual]]*STOCK[[#This Row],[Costo total]]</f>
        <v>0</v>
      </c>
    </row>
    <row r="1119" spans="1:28" s="54" customFormat="1" ht="50" customHeight="1">
      <c r="A1119" s="54" t="s">
        <v>2354</v>
      </c>
      <c r="B1119" s="64"/>
      <c r="C1119" s="54" t="s">
        <v>32</v>
      </c>
      <c r="D1119" s="54" t="s">
        <v>1809</v>
      </c>
      <c r="E1119" s="66" t="s">
        <v>2355</v>
      </c>
      <c r="F1119" s="54" t="s">
        <v>525</v>
      </c>
      <c r="G1119" s="54" t="s">
        <v>1877</v>
      </c>
      <c r="H1119" s="54">
        <f>STOCK[[#This Row],[Precio Final]]</f>
        <v>10</v>
      </c>
      <c r="I1119" s="54">
        <f>STOCK[[#This Row],[Precio Venta Ideal (x1.5)]]</f>
        <v>10.996874999999999</v>
      </c>
      <c r="J1119" s="70">
        <v>1</v>
      </c>
      <c r="K1119" s="70">
        <f>SUMIFS(VENTAS[Cantidad],VENTAS[Código del producto Vendido],STOCK[[#This Row],[Code]])</f>
        <v>0</v>
      </c>
      <c r="L1119" s="70">
        <f>STOCK[[#This Row],[Entradas]]-STOCK[[#This Row],[Salidas]]</f>
        <v>1</v>
      </c>
      <c r="M1119" s="54">
        <f>STOCK[[#This Row],[Precio Final]]*10%</f>
        <v>1</v>
      </c>
      <c r="N1119" s="54">
        <v>78.739999999999995</v>
      </c>
      <c r="O1119" s="54">
        <v>16</v>
      </c>
      <c r="P1119" s="54">
        <v>4.9212499999999997</v>
      </c>
      <c r="Q1119" s="70">
        <v>0</v>
      </c>
      <c r="R1119" s="54">
        <v>0</v>
      </c>
      <c r="S1119" s="54">
        <v>1.41</v>
      </c>
      <c r="T1119" s="53">
        <f>STOCK[[#This Row],[Costo Unitario (USD)]]+STOCK[[#This Row],[Costo Envío (USD)]]+STOCK[[#This Row],[Comisión 10%]]</f>
        <v>7.3312499999999998</v>
      </c>
      <c r="U1119" s="54">
        <f>STOCK[[#This Row],[Costo total]]*1.5</f>
        <v>10.996874999999999</v>
      </c>
      <c r="V1119" s="54">
        <v>10</v>
      </c>
      <c r="W1119" s="54">
        <f>STOCK[[#This Row],[Precio Final]]-STOCK[[#This Row],[Costo total]]</f>
        <v>2.6687500000000002</v>
      </c>
      <c r="X1119" s="54">
        <f>STOCK[[#This Row],[Ganancia Unitaria]]*STOCK[[#This Row],[Salidas]]</f>
        <v>0</v>
      </c>
      <c r="Y1119" s="54" t="s">
        <v>2356</v>
      </c>
      <c r="AA1119" s="54">
        <f>STOCK[[#This Row],[Costo total]]*STOCK[[#This Row],[Entradas]]</f>
        <v>7.3312499999999998</v>
      </c>
      <c r="AB1119" s="54">
        <f>STOCK[[#This Row],[Stock Actual]]*STOCK[[#This Row],[Costo total]]</f>
        <v>7.3312499999999998</v>
      </c>
    </row>
    <row r="1120" spans="1:28" s="53" customFormat="1" ht="50" customHeight="1">
      <c r="A1120" s="53" t="s">
        <v>2357</v>
      </c>
      <c r="B1120" s="64"/>
      <c r="C1120" s="53" t="s">
        <v>32</v>
      </c>
      <c r="D1120" s="53" t="s">
        <v>1809</v>
      </c>
      <c r="E1120" s="65" t="s">
        <v>2358</v>
      </c>
      <c r="F1120" s="53" t="s">
        <v>525</v>
      </c>
      <c r="G1120" s="53" t="s">
        <v>1877</v>
      </c>
      <c r="H1120" s="53">
        <f>STOCK[[#This Row],[Precio Final]]</f>
        <v>10</v>
      </c>
      <c r="I1120" s="53">
        <f>STOCK[[#This Row],[Precio Venta Ideal (x1.5)]]</f>
        <v>10.321875</v>
      </c>
      <c r="J1120" s="69">
        <v>2</v>
      </c>
      <c r="K1120" s="69">
        <f>SUMIFS(VENTAS[Cantidad],VENTAS[Código del producto Vendido],STOCK[[#This Row],[Code]])</f>
        <v>0</v>
      </c>
      <c r="L1120" s="69">
        <f>STOCK[[#This Row],[Entradas]]-STOCK[[#This Row],[Salidas]]</f>
        <v>2</v>
      </c>
      <c r="M1120" s="53">
        <f>STOCK[[#This Row],[Precio Final]]*10%</f>
        <v>1</v>
      </c>
      <c r="N1120" s="53">
        <v>71.540000000000006</v>
      </c>
      <c r="O1120" s="53">
        <v>16</v>
      </c>
      <c r="P1120" s="53">
        <v>4.4712500000000004</v>
      </c>
      <c r="Q1120" s="69">
        <v>0</v>
      </c>
      <c r="R1120" s="53">
        <v>0</v>
      </c>
      <c r="S1120" s="53">
        <v>1.41</v>
      </c>
      <c r="T1120" s="53">
        <f>STOCK[[#This Row],[Costo Unitario (USD)]]+STOCK[[#This Row],[Costo Envío (USD)]]+STOCK[[#This Row],[Comisión 10%]]</f>
        <v>6.8812500000000005</v>
      </c>
      <c r="U1120" s="53">
        <f>STOCK[[#This Row],[Costo total]]*1.5</f>
        <v>10.321875</v>
      </c>
      <c r="V1120" s="53">
        <v>10</v>
      </c>
      <c r="W1120" s="53">
        <f>STOCK[[#This Row],[Precio Final]]-STOCK[[#This Row],[Costo total]]</f>
        <v>3.1187499999999995</v>
      </c>
      <c r="X1120" s="53">
        <f>STOCK[[#This Row],[Ganancia Unitaria]]*STOCK[[#This Row],[Salidas]]</f>
        <v>0</v>
      </c>
      <c r="Y1120" s="53" t="s">
        <v>2359</v>
      </c>
      <c r="AA1120" s="54">
        <f>STOCK[[#This Row],[Costo total]]*STOCK[[#This Row],[Entradas]]</f>
        <v>13.762500000000001</v>
      </c>
      <c r="AB1120" s="54">
        <f>STOCK[[#This Row],[Stock Actual]]*STOCK[[#This Row],[Costo total]]</f>
        <v>13.762500000000001</v>
      </c>
    </row>
    <row r="1121" spans="1:28" s="54" customFormat="1" ht="50" customHeight="1">
      <c r="A1121" s="54" t="s">
        <v>2360</v>
      </c>
      <c r="B1121" s="64"/>
      <c r="C1121" s="54" t="s">
        <v>32</v>
      </c>
      <c r="D1121" s="54" t="s">
        <v>1809</v>
      </c>
      <c r="E1121" s="66" t="s">
        <v>2361</v>
      </c>
      <c r="F1121" s="54" t="s">
        <v>525</v>
      </c>
      <c r="G1121" s="54" t="s">
        <v>1877</v>
      </c>
      <c r="H1121" s="54">
        <f>STOCK[[#This Row],[Precio Final]]</f>
        <v>10</v>
      </c>
      <c r="I1121" s="54">
        <f>STOCK[[#This Row],[Precio Venta Ideal (x1.5)]]</f>
        <v>10.996874999999999</v>
      </c>
      <c r="J1121" s="70">
        <v>2</v>
      </c>
      <c r="K1121" s="70">
        <f>SUMIFS(VENTAS[Cantidad],VENTAS[Código del producto Vendido],STOCK[[#This Row],[Code]])</f>
        <v>2</v>
      </c>
      <c r="L1121" s="70">
        <f>STOCK[[#This Row],[Entradas]]-STOCK[[#This Row],[Salidas]]</f>
        <v>0</v>
      </c>
      <c r="M1121" s="54">
        <f>STOCK[[#This Row],[Precio Final]]*10%</f>
        <v>1</v>
      </c>
      <c r="N1121" s="54">
        <v>78.739999999999995</v>
      </c>
      <c r="O1121" s="54">
        <v>16</v>
      </c>
      <c r="P1121" s="54">
        <v>4.9212499999999997</v>
      </c>
      <c r="Q1121" s="70">
        <v>0</v>
      </c>
      <c r="R1121" s="54">
        <v>0</v>
      </c>
      <c r="S1121" s="54">
        <v>1.41</v>
      </c>
      <c r="T1121" s="53">
        <f>STOCK[[#This Row],[Costo Unitario (USD)]]+STOCK[[#This Row],[Costo Envío (USD)]]+STOCK[[#This Row],[Comisión 10%]]</f>
        <v>7.3312499999999998</v>
      </c>
      <c r="U1121" s="54">
        <f>STOCK[[#This Row],[Costo total]]*1.5</f>
        <v>10.996874999999999</v>
      </c>
      <c r="V1121" s="54">
        <v>10</v>
      </c>
      <c r="W1121" s="54">
        <f>STOCK[[#This Row],[Precio Final]]-STOCK[[#This Row],[Costo total]]</f>
        <v>2.6687500000000002</v>
      </c>
      <c r="X1121" s="54">
        <f>STOCK[[#This Row],[Ganancia Unitaria]]*STOCK[[#This Row],[Salidas]]</f>
        <v>5.3375000000000004</v>
      </c>
      <c r="Y1121" s="54" t="s">
        <v>2362</v>
      </c>
      <c r="AA1121" s="54">
        <f>STOCK[[#This Row],[Costo total]]*STOCK[[#This Row],[Entradas]]</f>
        <v>14.6625</v>
      </c>
      <c r="AB1121" s="54">
        <f>STOCK[[#This Row],[Stock Actual]]*STOCK[[#This Row],[Costo total]]</f>
        <v>0</v>
      </c>
    </row>
    <row r="1122" spans="1:28" s="53" customFormat="1" ht="50" customHeight="1">
      <c r="A1122" s="53" t="s">
        <v>2363</v>
      </c>
      <c r="B1122" s="64"/>
      <c r="C1122" s="53" t="s">
        <v>32</v>
      </c>
      <c r="D1122" s="53" t="s">
        <v>1809</v>
      </c>
      <c r="E1122" s="65" t="s">
        <v>2364</v>
      </c>
      <c r="F1122" s="53" t="s">
        <v>525</v>
      </c>
      <c r="G1122" s="53" t="s">
        <v>1877</v>
      </c>
      <c r="H1122" s="53">
        <f>STOCK[[#This Row],[Precio Final]]</f>
        <v>10</v>
      </c>
      <c r="I1122" s="53">
        <f>STOCK[[#This Row],[Precio Venta Ideal (x1.5)]]</f>
        <v>9.1828125000000007</v>
      </c>
      <c r="J1122" s="69">
        <v>2</v>
      </c>
      <c r="K1122" s="69">
        <f>SUMIFS(VENTAS[Cantidad],VENTAS[Código del producto Vendido],STOCK[[#This Row],[Code]])</f>
        <v>2</v>
      </c>
      <c r="L1122" s="69">
        <f>STOCK[[#This Row],[Entradas]]-STOCK[[#This Row],[Salidas]]</f>
        <v>0</v>
      </c>
      <c r="M1122" s="53">
        <f>STOCK[[#This Row],[Precio Final]]*10%</f>
        <v>1</v>
      </c>
      <c r="N1122" s="53">
        <v>59.39</v>
      </c>
      <c r="O1122" s="53">
        <v>16</v>
      </c>
      <c r="P1122" s="53">
        <v>3.711875</v>
      </c>
      <c r="Q1122" s="69">
        <v>0</v>
      </c>
      <c r="R1122" s="53">
        <v>0</v>
      </c>
      <c r="S1122" s="53">
        <v>1.41</v>
      </c>
      <c r="T1122" s="53">
        <f>STOCK[[#This Row],[Costo Unitario (USD)]]+STOCK[[#This Row],[Costo Envío (USD)]]+STOCK[[#This Row],[Comisión 10%]]</f>
        <v>6.1218750000000002</v>
      </c>
      <c r="U1122" s="53">
        <f>STOCK[[#This Row],[Costo total]]*1.5</f>
        <v>9.1828125000000007</v>
      </c>
      <c r="V1122" s="53">
        <v>10</v>
      </c>
      <c r="W1122" s="53">
        <f>STOCK[[#This Row],[Precio Final]]-STOCK[[#This Row],[Costo total]]</f>
        <v>3.8781249999999998</v>
      </c>
      <c r="X1122" s="53">
        <f>STOCK[[#This Row],[Ganancia Unitaria]]*STOCK[[#This Row],[Salidas]]</f>
        <v>7.7562499999999996</v>
      </c>
      <c r="Y1122" s="53" t="s">
        <v>2365</v>
      </c>
      <c r="AA1122" s="54">
        <f>STOCK[[#This Row],[Costo total]]*STOCK[[#This Row],[Entradas]]</f>
        <v>12.24375</v>
      </c>
      <c r="AB1122" s="54">
        <f>STOCK[[#This Row],[Stock Actual]]*STOCK[[#This Row],[Costo total]]</f>
        <v>0</v>
      </c>
    </row>
    <row r="1123" spans="1:28" s="54" customFormat="1" ht="50" customHeight="1">
      <c r="A1123" s="54" t="s">
        <v>2366</v>
      </c>
      <c r="B1123" s="64"/>
      <c r="C1123" s="54" t="s">
        <v>32</v>
      </c>
      <c r="D1123" s="54" t="s">
        <v>546</v>
      </c>
      <c r="E1123" s="66" t="s">
        <v>2367</v>
      </c>
      <c r="F1123" s="54" t="s">
        <v>525</v>
      </c>
      <c r="G1123" s="54" t="s">
        <v>1877</v>
      </c>
      <c r="H1123" s="54">
        <f>STOCK[[#This Row],[Precio Final]]</f>
        <v>5</v>
      </c>
      <c r="I1123" s="54">
        <f>STOCK[[#This Row],[Precio Venta Ideal (x1.5)]]</f>
        <v>5.7534374999999995</v>
      </c>
      <c r="J1123" s="70">
        <v>3</v>
      </c>
      <c r="K1123" s="70">
        <f>SUMIFS(VENTAS[Cantidad],VENTAS[Código del producto Vendido],STOCK[[#This Row],[Code]])</f>
        <v>2</v>
      </c>
      <c r="L1123" s="70">
        <f>STOCK[[#This Row],[Entradas]]-STOCK[[#This Row],[Salidas]]</f>
        <v>1</v>
      </c>
      <c r="M1123" s="54">
        <f>STOCK[[#This Row],[Precio Final]]*10%</f>
        <v>0.5</v>
      </c>
      <c r="N1123" s="54">
        <v>30.81</v>
      </c>
      <c r="O1123" s="54">
        <v>16</v>
      </c>
      <c r="P1123" s="54">
        <v>1.9256249999999999</v>
      </c>
      <c r="Q1123" s="70">
        <v>0</v>
      </c>
      <c r="R1123" s="54">
        <v>0</v>
      </c>
      <c r="S1123" s="54">
        <v>1.41</v>
      </c>
      <c r="T1123" s="53">
        <f>STOCK[[#This Row],[Costo Unitario (USD)]]+STOCK[[#This Row],[Costo Envío (USD)]]+STOCK[[#This Row],[Comisión 10%]]</f>
        <v>3.8356249999999998</v>
      </c>
      <c r="U1123" s="54">
        <f>STOCK[[#This Row],[Costo total]]*1.5</f>
        <v>5.7534374999999995</v>
      </c>
      <c r="V1123" s="54">
        <v>5</v>
      </c>
      <c r="W1123" s="54">
        <f>STOCK[[#This Row],[Precio Final]]-STOCK[[#This Row],[Costo total]]</f>
        <v>1.1643750000000002</v>
      </c>
      <c r="X1123" s="54">
        <f>STOCK[[#This Row],[Ganancia Unitaria]]*STOCK[[#This Row],[Salidas]]</f>
        <v>2.3287500000000003</v>
      </c>
      <c r="Y1123" s="54" t="s">
        <v>2368</v>
      </c>
      <c r="AA1123" s="54">
        <f>STOCK[[#This Row],[Costo total]]*STOCK[[#This Row],[Entradas]]</f>
        <v>11.506874999999999</v>
      </c>
      <c r="AB1123" s="54">
        <f>STOCK[[#This Row],[Stock Actual]]*STOCK[[#This Row],[Costo total]]</f>
        <v>3.8356249999999998</v>
      </c>
    </row>
    <row r="1124" spans="1:28" s="53" customFormat="1" ht="50" customHeight="1">
      <c r="A1124" s="53" t="s">
        <v>2369</v>
      </c>
      <c r="B1124" s="64"/>
      <c r="C1124" s="53" t="s">
        <v>32</v>
      </c>
      <c r="D1124" s="53" t="s">
        <v>1809</v>
      </c>
      <c r="E1124" s="65" t="s">
        <v>2370</v>
      </c>
      <c r="F1124" s="53" t="s">
        <v>525</v>
      </c>
      <c r="G1124" s="53" t="s">
        <v>1877</v>
      </c>
      <c r="H1124" s="53">
        <f>STOCK[[#This Row],[Precio Final]]</f>
        <v>15</v>
      </c>
      <c r="I1124" s="53">
        <f>STOCK[[#This Row],[Precio Venta Ideal (x1.5)]]</f>
        <v>15.077812499999999</v>
      </c>
      <c r="J1124" s="69">
        <v>4</v>
      </c>
      <c r="K1124" s="69">
        <f>SUMIFS(VENTAS[Cantidad],VENTAS[Código del producto Vendido],STOCK[[#This Row],[Code]])</f>
        <v>4</v>
      </c>
      <c r="L1124" s="69">
        <f>STOCK[[#This Row],[Entradas]]-STOCK[[#This Row],[Salidas]]</f>
        <v>0</v>
      </c>
      <c r="M1124" s="53">
        <f>STOCK[[#This Row],[Precio Final]]*10%</f>
        <v>1.5</v>
      </c>
      <c r="N1124" s="53">
        <v>114.27</v>
      </c>
      <c r="O1124" s="53">
        <v>16</v>
      </c>
      <c r="P1124" s="53">
        <v>7.1418749999999998</v>
      </c>
      <c r="Q1124" s="69">
        <v>0</v>
      </c>
      <c r="R1124" s="53">
        <v>0</v>
      </c>
      <c r="S1124" s="53">
        <v>1.41</v>
      </c>
      <c r="T1124" s="53">
        <f>STOCK[[#This Row],[Costo Unitario (USD)]]+STOCK[[#This Row],[Costo Envío (USD)]]+STOCK[[#This Row],[Comisión 10%]]</f>
        <v>10.051874999999999</v>
      </c>
      <c r="U1124" s="53">
        <f>STOCK[[#This Row],[Costo total]]*1.5</f>
        <v>15.077812499999999</v>
      </c>
      <c r="V1124" s="53">
        <v>15</v>
      </c>
      <c r="W1124" s="53">
        <f>STOCK[[#This Row],[Precio Final]]-STOCK[[#This Row],[Costo total]]</f>
        <v>4.948125000000001</v>
      </c>
      <c r="X1124" s="53">
        <f>STOCK[[#This Row],[Ganancia Unitaria]]*STOCK[[#This Row],[Salidas]]</f>
        <v>19.792500000000004</v>
      </c>
      <c r="Y1124" s="53" t="s">
        <v>2371</v>
      </c>
      <c r="AA1124" s="54">
        <f>STOCK[[#This Row],[Costo total]]*STOCK[[#This Row],[Entradas]]</f>
        <v>40.207499999999996</v>
      </c>
      <c r="AB1124" s="54">
        <f>STOCK[[#This Row],[Stock Actual]]*STOCK[[#This Row],[Costo total]]</f>
        <v>0</v>
      </c>
    </row>
    <row r="1125" spans="1:28" s="54" customFormat="1" ht="50" customHeight="1">
      <c r="A1125" s="54" t="s">
        <v>2372</v>
      </c>
      <c r="B1125" s="64"/>
      <c r="C1125" s="54" t="s">
        <v>32</v>
      </c>
      <c r="D1125" s="54" t="s">
        <v>2373</v>
      </c>
      <c r="E1125" s="66" t="s">
        <v>2374</v>
      </c>
      <c r="F1125" s="54" t="s">
        <v>46</v>
      </c>
      <c r="G1125" s="54" t="s">
        <v>1877</v>
      </c>
      <c r="H1125" s="54">
        <f>STOCK[[#This Row],[Precio Final]]</f>
        <v>17</v>
      </c>
      <c r="I1125" s="54">
        <f>STOCK[[#This Row],[Precio Venta Ideal (x1.5)]]</f>
        <v>18.782812500000002</v>
      </c>
      <c r="J1125" s="70">
        <v>1</v>
      </c>
      <c r="K1125" s="70">
        <f>SUMIFS(VENTAS[Cantidad],VENTAS[Código del producto Vendido],STOCK[[#This Row],[Code]])</f>
        <v>1</v>
      </c>
      <c r="L1125" s="70">
        <f>STOCK[[#This Row],[Entradas]]-STOCK[[#This Row],[Salidas]]</f>
        <v>0</v>
      </c>
      <c r="M1125" s="54">
        <f>STOCK[[#This Row],[Precio Final]]*10%</f>
        <v>1.7000000000000002</v>
      </c>
      <c r="N1125" s="54">
        <v>150.59</v>
      </c>
      <c r="O1125" s="54">
        <v>16</v>
      </c>
      <c r="P1125" s="54">
        <v>9.4118750000000002</v>
      </c>
      <c r="Q1125" s="70">
        <v>0</v>
      </c>
      <c r="R1125" s="54">
        <v>0</v>
      </c>
      <c r="S1125" s="54">
        <v>1.41</v>
      </c>
      <c r="T1125" s="53">
        <f>STOCK[[#This Row],[Costo Unitario (USD)]]+STOCK[[#This Row],[Costo Envío (USD)]]+STOCK[[#This Row],[Comisión 10%]]</f>
        <v>12.521875000000001</v>
      </c>
      <c r="U1125" s="54">
        <f>STOCK[[#This Row],[Costo total]]*1.5</f>
        <v>18.782812500000002</v>
      </c>
      <c r="V1125" s="54">
        <v>17</v>
      </c>
      <c r="W1125" s="54">
        <f>STOCK[[#This Row],[Precio Final]]-STOCK[[#This Row],[Costo total]]</f>
        <v>4.4781249999999986</v>
      </c>
      <c r="X1125" s="54">
        <f>STOCK[[#This Row],[Ganancia Unitaria]]*STOCK[[#This Row],[Salidas]]</f>
        <v>4.4781249999999986</v>
      </c>
      <c r="Y1125" s="54" t="s">
        <v>2375</v>
      </c>
      <c r="AA1125" s="54">
        <f>STOCK[[#This Row],[Costo total]]*STOCK[[#This Row],[Entradas]]</f>
        <v>12.521875000000001</v>
      </c>
      <c r="AB1125" s="54">
        <f>STOCK[[#This Row],[Stock Actual]]*STOCK[[#This Row],[Costo total]]</f>
        <v>0</v>
      </c>
    </row>
    <row r="1126" spans="1:28" s="53" customFormat="1" ht="50" customHeight="1">
      <c r="A1126" s="53" t="s">
        <v>2376</v>
      </c>
      <c r="B1126" s="64"/>
      <c r="C1126" s="53" t="s">
        <v>32</v>
      </c>
      <c r="D1126" s="53" t="s">
        <v>1190</v>
      </c>
      <c r="E1126" s="65" t="s">
        <v>2374</v>
      </c>
      <c r="F1126" s="53" t="s">
        <v>49</v>
      </c>
      <c r="G1126" s="53" t="s">
        <v>1877</v>
      </c>
      <c r="H1126" s="53">
        <f>STOCK[[#This Row],[Precio Final]]</f>
        <v>17</v>
      </c>
      <c r="I1126" s="53">
        <f>STOCK[[#This Row],[Precio Venta Ideal (x1.5)]]</f>
        <v>18.782812500000002</v>
      </c>
      <c r="J1126" s="69">
        <v>1</v>
      </c>
      <c r="K1126" s="69">
        <f>SUMIFS(VENTAS[Cantidad],VENTAS[Código del producto Vendido],STOCK[[#This Row],[Code]])</f>
        <v>1</v>
      </c>
      <c r="L1126" s="69">
        <f>STOCK[[#This Row],[Entradas]]-STOCK[[#This Row],[Salidas]]</f>
        <v>0</v>
      </c>
      <c r="M1126" s="53">
        <f>STOCK[[#This Row],[Precio Final]]*10%</f>
        <v>1.7000000000000002</v>
      </c>
      <c r="N1126" s="53">
        <v>150.59</v>
      </c>
      <c r="O1126" s="53">
        <v>16</v>
      </c>
      <c r="P1126" s="53">
        <v>9.4118750000000002</v>
      </c>
      <c r="Q1126" s="69">
        <v>0</v>
      </c>
      <c r="R1126" s="53">
        <v>0</v>
      </c>
      <c r="S1126" s="53">
        <v>1.41</v>
      </c>
      <c r="T1126" s="53">
        <f>STOCK[[#This Row],[Costo Unitario (USD)]]+STOCK[[#This Row],[Costo Envío (USD)]]+STOCK[[#This Row],[Comisión 10%]]</f>
        <v>12.521875000000001</v>
      </c>
      <c r="U1126" s="53">
        <f>STOCK[[#This Row],[Costo total]]*1.5</f>
        <v>18.782812500000002</v>
      </c>
      <c r="V1126" s="53">
        <v>17</v>
      </c>
      <c r="W1126" s="53">
        <f>STOCK[[#This Row],[Precio Final]]-STOCK[[#This Row],[Costo total]]</f>
        <v>4.4781249999999986</v>
      </c>
      <c r="X1126" s="53">
        <f>STOCK[[#This Row],[Ganancia Unitaria]]*STOCK[[#This Row],[Salidas]]</f>
        <v>4.4781249999999986</v>
      </c>
      <c r="Y1126" s="53" t="s">
        <v>2377</v>
      </c>
      <c r="AA1126" s="54">
        <f>STOCK[[#This Row],[Costo total]]*STOCK[[#This Row],[Entradas]]</f>
        <v>12.521875000000001</v>
      </c>
      <c r="AB1126" s="54">
        <f>STOCK[[#This Row],[Stock Actual]]*STOCK[[#This Row],[Costo total]]</f>
        <v>0</v>
      </c>
    </row>
    <row r="1127" spans="1:28" s="54" customFormat="1" ht="50" customHeight="1">
      <c r="A1127" s="54" t="s">
        <v>2378</v>
      </c>
      <c r="B1127" s="64"/>
      <c r="C1127" s="54" t="s">
        <v>32</v>
      </c>
      <c r="D1127" s="54" t="s">
        <v>2379</v>
      </c>
      <c r="E1127" s="66" t="s">
        <v>2380</v>
      </c>
      <c r="F1127" s="54" t="s">
        <v>42</v>
      </c>
      <c r="G1127" s="54" t="s">
        <v>1877</v>
      </c>
      <c r="H1127" s="54">
        <f>STOCK[[#This Row],[Precio Final]]</f>
        <v>35</v>
      </c>
      <c r="I1127" s="54">
        <f>STOCK[[#This Row],[Precio Venta Ideal (x1.5)]]</f>
        <v>42.1640625</v>
      </c>
      <c r="J1127" s="70">
        <v>1</v>
      </c>
      <c r="K1127" s="70">
        <f>SUMIFS(VENTAS[Cantidad],VENTAS[Código del producto Vendido],STOCK[[#This Row],[Code]])</f>
        <v>1</v>
      </c>
      <c r="L1127" s="70">
        <f>STOCK[[#This Row],[Entradas]]-STOCK[[#This Row],[Salidas]]</f>
        <v>0</v>
      </c>
      <c r="M1127" s="54">
        <f>STOCK[[#This Row],[Precio Final]]*10%</f>
        <v>3.5</v>
      </c>
      <c r="N1127" s="54">
        <v>371.19</v>
      </c>
      <c r="O1127" s="54">
        <v>16</v>
      </c>
      <c r="P1127" s="54">
        <v>23.199375</v>
      </c>
      <c r="Q1127" s="70">
        <v>0</v>
      </c>
      <c r="R1127" s="54">
        <v>0</v>
      </c>
      <c r="S1127" s="54">
        <v>1.41</v>
      </c>
      <c r="T1127" s="53">
        <f>STOCK[[#This Row],[Costo Unitario (USD)]]+STOCK[[#This Row],[Costo Envío (USD)]]+STOCK[[#This Row],[Comisión 10%]]</f>
        <v>28.109375</v>
      </c>
      <c r="U1127" s="54">
        <f>STOCK[[#This Row],[Costo total]]*1.5</f>
        <v>42.1640625</v>
      </c>
      <c r="V1127" s="54">
        <v>35</v>
      </c>
      <c r="W1127" s="54">
        <f>STOCK[[#This Row],[Precio Final]]-STOCK[[#This Row],[Costo total]]</f>
        <v>6.890625</v>
      </c>
      <c r="X1127" s="54">
        <f>STOCK[[#This Row],[Ganancia Unitaria]]*STOCK[[#This Row],[Salidas]]</f>
        <v>6.890625</v>
      </c>
      <c r="Y1127" s="54" t="s">
        <v>2381</v>
      </c>
      <c r="AA1127" s="54">
        <f>STOCK[[#This Row],[Costo total]]*STOCK[[#This Row],[Entradas]]</f>
        <v>28.109375</v>
      </c>
      <c r="AB1127" s="54">
        <f>STOCK[[#This Row],[Stock Actual]]*STOCK[[#This Row],[Costo total]]</f>
        <v>0</v>
      </c>
    </row>
    <row r="1128" spans="1:28" s="53" customFormat="1" ht="50" customHeight="1">
      <c r="A1128" s="53" t="s">
        <v>2382</v>
      </c>
      <c r="B1128" s="64"/>
      <c r="C1128" s="53" t="s">
        <v>32</v>
      </c>
      <c r="D1128" s="53" t="s">
        <v>2119</v>
      </c>
      <c r="E1128" s="65" t="s">
        <v>2380</v>
      </c>
      <c r="F1128" s="53" t="s">
        <v>49</v>
      </c>
      <c r="G1128" s="53" t="s">
        <v>1877</v>
      </c>
      <c r="H1128" s="53">
        <f>STOCK[[#This Row],[Precio Final]]</f>
        <v>35</v>
      </c>
      <c r="I1128" s="53">
        <f>STOCK[[#This Row],[Precio Venta Ideal (x1.5)]]</f>
        <v>42.1640625</v>
      </c>
      <c r="J1128" s="69">
        <v>1</v>
      </c>
      <c r="K1128" s="69">
        <f>SUMIFS(VENTAS[Cantidad],VENTAS[Código del producto Vendido],STOCK[[#This Row],[Code]])</f>
        <v>1</v>
      </c>
      <c r="L1128" s="69">
        <f>STOCK[[#This Row],[Entradas]]-STOCK[[#This Row],[Salidas]]</f>
        <v>0</v>
      </c>
      <c r="M1128" s="53">
        <f>STOCK[[#This Row],[Precio Final]]*10%</f>
        <v>3.5</v>
      </c>
      <c r="N1128" s="53">
        <v>371.19</v>
      </c>
      <c r="O1128" s="53">
        <v>16</v>
      </c>
      <c r="P1128" s="53">
        <v>23.199375</v>
      </c>
      <c r="Q1128" s="69">
        <v>0</v>
      </c>
      <c r="R1128" s="53">
        <v>0</v>
      </c>
      <c r="S1128" s="53">
        <v>1.41</v>
      </c>
      <c r="T1128" s="53">
        <f>STOCK[[#This Row],[Costo Unitario (USD)]]+STOCK[[#This Row],[Costo Envío (USD)]]+STOCK[[#This Row],[Comisión 10%]]</f>
        <v>28.109375</v>
      </c>
      <c r="U1128" s="53">
        <f>STOCK[[#This Row],[Costo total]]*1.5</f>
        <v>42.1640625</v>
      </c>
      <c r="V1128" s="53">
        <v>35</v>
      </c>
      <c r="W1128" s="53">
        <f>STOCK[[#This Row],[Precio Final]]-STOCK[[#This Row],[Costo total]]</f>
        <v>6.890625</v>
      </c>
      <c r="X1128" s="53">
        <f>STOCK[[#This Row],[Ganancia Unitaria]]*STOCK[[#This Row],[Salidas]]</f>
        <v>6.890625</v>
      </c>
      <c r="Y1128" s="53" t="s">
        <v>2383</v>
      </c>
      <c r="AA1128" s="54">
        <f>STOCK[[#This Row],[Costo total]]*STOCK[[#This Row],[Entradas]]</f>
        <v>28.109375</v>
      </c>
      <c r="AB1128" s="54">
        <f>STOCK[[#This Row],[Stock Actual]]*STOCK[[#This Row],[Costo total]]</f>
        <v>0</v>
      </c>
    </row>
    <row r="1129" spans="1:28" s="54" customFormat="1" ht="50" customHeight="1">
      <c r="A1129" s="54" t="s">
        <v>2384</v>
      </c>
      <c r="B1129" s="64"/>
      <c r="C1129" s="54" t="s">
        <v>32</v>
      </c>
      <c r="D1129" s="54" t="s">
        <v>2119</v>
      </c>
      <c r="E1129" s="66" t="s">
        <v>2380</v>
      </c>
      <c r="F1129" s="54" t="s">
        <v>62</v>
      </c>
      <c r="G1129" s="54" t="s">
        <v>1877</v>
      </c>
      <c r="H1129" s="54">
        <f>STOCK[[#This Row],[Precio Final]]</f>
        <v>35</v>
      </c>
      <c r="I1129" s="54">
        <f>STOCK[[#This Row],[Precio Venta Ideal (x1.5)]]</f>
        <v>42.1640625</v>
      </c>
      <c r="J1129" s="70">
        <v>1</v>
      </c>
      <c r="K1129" s="70">
        <f>SUMIFS(VENTAS[Cantidad],VENTAS[Código del producto Vendido],STOCK[[#This Row],[Code]])</f>
        <v>1</v>
      </c>
      <c r="L1129" s="70">
        <f>STOCK[[#This Row],[Entradas]]-STOCK[[#This Row],[Salidas]]</f>
        <v>0</v>
      </c>
      <c r="M1129" s="54">
        <f>STOCK[[#This Row],[Precio Final]]*10%</f>
        <v>3.5</v>
      </c>
      <c r="N1129" s="54">
        <v>371.19</v>
      </c>
      <c r="O1129" s="54">
        <v>16</v>
      </c>
      <c r="P1129" s="54">
        <v>23.199375</v>
      </c>
      <c r="Q1129" s="70">
        <v>0</v>
      </c>
      <c r="R1129" s="54">
        <v>0</v>
      </c>
      <c r="S1129" s="54">
        <v>1.41</v>
      </c>
      <c r="T1129" s="53">
        <f>STOCK[[#This Row],[Costo Unitario (USD)]]+STOCK[[#This Row],[Costo Envío (USD)]]+STOCK[[#This Row],[Comisión 10%]]</f>
        <v>28.109375</v>
      </c>
      <c r="U1129" s="54">
        <f>STOCK[[#This Row],[Costo total]]*1.5</f>
        <v>42.1640625</v>
      </c>
      <c r="V1129" s="54">
        <v>35</v>
      </c>
      <c r="W1129" s="54">
        <f>STOCK[[#This Row],[Precio Final]]-STOCK[[#This Row],[Costo total]]</f>
        <v>6.890625</v>
      </c>
      <c r="X1129" s="54">
        <f>STOCK[[#This Row],[Ganancia Unitaria]]*STOCK[[#This Row],[Salidas]]</f>
        <v>6.890625</v>
      </c>
      <c r="Y1129" s="54" t="s">
        <v>2385</v>
      </c>
      <c r="AA1129" s="54">
        <f>STOCK[[#This Row],[Costo total]]*STOCK[[#This Row],[Entradas]]</f>
        <v>28.109375</v>
      </c>
      <c r="AB1129" s="54">
        <f>STOCK[[#This Row],[Stock Actual]]*STOCK[[#This Row],[Costo total]]</f>
        <v>0</v>
      </c>
    </row>
    <row r="1130" spans="1:28" s="53" customFormat="1" ht="50" customHeight="1">
      <c r="A1130" s="53" t="s">
        <v>2386</v>
      </c>
      <c r="B1130" s="64"/>
      <c r="C1130" s="53" t="s">
        <v>32</v>
      </c>
      <c r="D1130" s="53" t="s">
        <v>1809</v>
      </c>
      <c r="E1130" s="65" t="s">
        <v>2387</v>
      </c>
      <c r="F1130" s="53" t="s">
        <v>525</v>
      </c>
      <c r="G1130" s="53" t="s">
        <v>1877</v>
      </c>
      <c r="H1130" s="53">
        <f>STOCK[[#This Row],[Precio Final]]</f>
        <v>10</v>
      </c>
      <c r="I1130" s="53">
        <f>STOCK[[#This Row],[Precio Venta Ideal (x1.5)]]</f>
        <v>8.5912500000000005</v>
      </c>
      <c r="J1130" s="69">
        <v>3</v>
      </c>
      <c r="K1130" s="69">
        <f>SUMIFS(VENTAS[Cantidad],VENTAS[Código del producto Vendido],STOCK[[#This Row],[Code]])</f>
        <v>1</v>
      </c>
      <c r="L1130" s="69">
        <f>STOCK[[#This Row],[Entradas]]-STOCK[[#This Row],[Salidas]]</f>
        <v>2</v>
      </c>
      <c r="M1130" s="53">
        <f>STOCK[[#This Row],[Precio Final]]*10%</f>
        <v>1</v>
      </c>
      <c r="N1130" s="53">
        <v>53.08</v>
      </c>
      <c r="O1130" s="53">
        <v>16</v>
      </c>
      <c r="P1130" s="53">
        <v>3.3174999999999999</v>
      </c>
      <c r="Q1130" s="69">
        <v>0</v>
      </c>
      <c r="R1130" s="53">
        <v>0</v>
      </c>
      <c r="S1130" s="53">
        <v>1.41</v>
      </c>
      <c r="T1130" s="53">
        <f>STOCK[[#This Row],[Costo Unitario (USD)]]+STOCK[[#This Row],[Costo Envío (USD)]]+STOCK[[#This Row],[Comisión 10%]]</f>
        <v>5.7275</v>
      </c>
      <c r="U1130" s="53">
        <f>STOCK[[#This Row],[Costo total]]*1.5</f>
        <v>8.5912500000000005</v>
      </c>
      <c r="V1130" s="53">
        <v>10</v>
      </c>
      <c r="W1130" s="53">
        <f>STOCK[[#This Row],[Precio Final]]-STOCK[[#This Row],[Costo total]]</f>
        <v>4.2725</v>
      </c>
      <c r="X1130" s="53">
        <f>STOCK[[#This Row],[Ganancia Unitaria]]*STOCK[[#This Row],[Salidas]]</f>
        <v>4.2725</v>
      </c>
      <c r="Y1130" s="53" t="s">
        <v>2388</v>
      </c>
      <c r="AA1130" s="54">
        <f>STOCK[[#This Row],[Costo total]]*STOCK[[#This Row],[Entradas]]</f>
        <v>17.182500000000001</v>
      </c>
      <c r="AB1130" s="54">
        <f>STOCK[[#This Row],[Stock Actual]]*STOCK[[#This Row],[Costo total]]</f>
        <v>11.455</v>
      </c>
    </row>
    <row r="1131" spans="1:28" s="54" customFormat="1" ht="50" customHeight="1">
      <c r="A1131" s="54" t="s">
        <v>2389</v>
      </c>
      <c r="B1131" s="64"/>
      <c r="C1131" s="54" t="s">
        <v>32</v>
      </c>
      <c r="D1131" s="54" t="s">
        <v>515</v>
      </c>
      <c r="E1131" s="66" t="s">
        <v>2390</v>
      </c>
      <c r="F1131" s="54" t="s">
        <v>540</v>
      </c>
      <c r="G1131" s="54" t="s">
        <v>1296</v>
      </c>
      <c r="H1131" s="54">
        <f>STOCK[[#This Row],[Precio Final]]</f>
        <v>30</v>
      </c>
      <c r="I1131" s="54">
        <f>STOCK[[#This Row],[Precio Venta Ideal (x1.5)]]</f>
        <v>23.25</v>
      </c>
      <c r="J1131" s="70">
        <v>1</v>
      </c>
      <c r="K1131" s="70">
        <f>SUMIFS(VENTAS[Cantidad],VENTAS[Código del producto Vendido],STOCK[[#This Row],[Code]])</f>
        <v>1</v>
      </c>
      <c r="L1131" s="70">
        <f>STOCK[[#This Row],[Entradas]]-STOCK[[#This Row],[Salidas]]</f>
        <v>0</v>
      </c>
      <c r="M1131" s="54">
        <f>STOCK[[#This Row],[Precio Final]]*10%</f>
        <v>3</v>
      </c>
      <c r="N1131" s="54">
        <v>200</v>
      </c>
      <c r="O1131" s="54">
        <v>16</v>
      </c>
      <c r="P1131" s="54">
        <v>12.5</v>
      </c>
      <c r="Q1131" s="70"/>
      <c r="S1131" s="54">
        <v>0</v>
      </c>
      <c r="T1131" s="53">
        <f>STOCK[[#This Row],[Costo Unitario (USD)]]+STOCK[[#This Row],[Costo Envío (USD)]]+STOCK[[#This Row],[Comisión 10%]]</f>
        <v>15.5</v>
      </c>
      <c r="U1131" s="54">
        <f>STOCK[[#This Row],[Costo total]]*1.5</f>
        <v>23.25</v>
      </c>
      <c r="V1131" s="54">
        <v>30</v>
      </c>
      <c r="W1131" s="54">
        <f>STOCK[[#This Row],[Precio Final]]-STOCK[[#This Row],[Costo total]]</f>
        <v>14.5</v>
      </c>
      <c r="X1131" s="54">
        <f>STOCK[[#This Row],[Ganancia Unitaria]]*STOCK[[#This Row],[Salidas]]</f>
        <v>14.5</v>
      </c>
      <c r="AA1131" s="54">
        <f>STOCK[[#This Row],[Costo total]]*STOCK[[#This Row],[Entradas]]</f>
        <v>15.5</v>
      </c>
      <c r="AB1131" s="54">
        <f>STOCK[[#This Row],[Stock Actual]]*STOCK[[#This Row],[Costo total]]</f>
        <v>0</v>
      </c>
    </row>
    <row r="1132" spans="1:28" s="53" customFormat="1" ht="50" customHeight="1">
      <c r="A1132" s="53" t="s">
        <v>2391</v>
      </c>
      <c r="B1132" s="74"/>
      <c r="C1132" s="53" t="s">
        <v>32</v>
      </c>
      <c r="D1132" s="53" t="s">
        <v>174</v>
      </c>
      <c r="E1132" s="65" t="s">
        <v>1171</v>
      </c>
      <c r="F1132" s="53" t="s">
        <v>211</v>
      </c>
      <c r="G1132" s="53" t="s">
        <v>36</v>
      </c>
      <c r="H1132" s="53">
        <f>STOCK[[#This Row],[Precio Final]]</f>
        <v>13</v>
      </c>
      <c r="I1132" s="53">
        <f>STOCK[[#This Row],[Precio Venta Ideal (x1.5)]]</f>
        <v>14.865</v>
      </c>
      <c r="J1132" s="69">
        <v>2</v>
      </c>
      <c r="K1132" s="69">
        <f>SUMIFS(VENTAS[Cantidad],VENTAS[Código del producto Vendido],STOCK[[#This Row],[Code]])</f>
        <v>2</v>
      </c>
      <c r="L1132" s="69">
        <f>STOCK[[#This Row],[Entradas]]-STOCK[[#This Row],[Salidas]]</f>
        <v>0</v>
      </c>
      <c r="M1132" s="53">
        <f>STOCK[[#This Row],[Precio Final]]*10%</f>
        <v>1.3</v>
      </c>
      <c r="N1132" s="53">
        <v>4.72</v>
      </c>
      <c r="O1132" s="53">
        <v>0</v>
      </c>
      <c r="P1132" s="53">
        <v>7.61</v>
      </c>
      <c r="Q1132" s="69">
        <v>0</v>
      </c>
      <c r="R1132" s="53">
        <v>0</v>
      </c>
      <c r="S1132" s="53">
        <v>1</v>
      </c>
      <c r="T1132" s="53">
        <f>STOCK[[#This Row],[Costo Unitario (USD)]]+STOCK[[#This Row],[Costo Envío (USD)]]+STOCK[[#This Row],[Comisión 10%]]</f>
        <v>9.91</v>
      </c>
      <c r="U1132" s="53">
        <f>STOCK[[#This Row],[Costo total]]*1.5</f>
        <v>14.865</v>
      </c>
      <c r="V1132" s="53">
        <v>13</v>
      </c>
      <c r="W1132" s="53">
        <f>STOCK[[#This Row],[Precio Final]]-STOCK[[#This Row],[Costo total]]</f>
        <v>3.09</v>
      </c>
      <c r="X1132" s="53">
        <f>STOCK[[#This Row],[Ganancia Unitaria]]*STOCK[[#This Row],[Salidas]]</f>
        <v>6.18</v>
      </c>
      <c r="Y1132" s="53" t="s">
        <v>1159</v>
      </c>
      <c r="AA1132" s="54">
        <f>STOCK[[#This Row],[Costo total]]*STOCK[[#This Row],[Entradas]]</f>
        <v>19.82</v>
      </c>
      <c r="AB1132" s="54">
        <f>STOCK[[#This Row],[Stock Actual]]*STOCK[[#This Row],[Costo total]]</f>
        <v>0</v>
      </c>
    </row>
    <row r="1133" spans="1:28" s="54" customFormat="1" ht="50" customHeight="1">
      <c r="A1133" s="54" t="s">
        <v>2392</v>
      </c>
      <c r="B1133" s="64"/>
      <c r="C1133" s="54" t="s">
        <v>32</v>
      </c>
      <c r="D1133" s="54" t="s">
        <v>174</v>
      </c>
      <c r="E1133" s="66" t="s">
        <v>1500</v>
      </c>
      <c r="F1133" s="54" t="s">
        <v>88</v>
      </c>
      <c r="G1133" s="54" t="s">
        <v>36</v>
      </c>
      <c r="H1133" s="54">
        <f>STOCK[[#This Row],[Precio Final]]</f>
        <v>13</v>
      </c>
      <c r="I1133" s="54">
        <f>STOCK[[#This Row],[Precio Venta Ideal (x1.5)]]</f>
        <v>13.365</v>
      </c>
      <c r="J1133" s="70">
        <v>2</v>
      </c>
      <c r="K1133" s="70">
        <f>SUMIFS(VENTAS[Cantidad],VENTAS[Código del producto Vendido],STOCK[[#This Row],[Code]])</f>
        <v>2</v>
      </c>
      <c r="L1133" s="70">
        <f>STOCK[[#This Row],[Entradas]]-STOCK[[#This Row],[Salidas]]</f>
        <v>0</v>
      </c>
      <c r="M1133" s="54">
        <f>STOCK[[#This Row],[Precio Final]]*10%</f>
        <v>1.3</v>
      </c>
      <c r="N1133" s="54">
        <v>4.72</v>
      </c>
      <c r="O1133" s="54">
        <v>0</v>
      </c>
      <c r="P1133" s="54">
        <v>7.61</v>
      </c>
      <c r="Q1133" s="70">
        <v>0</v>
      </c>
      <c r="R1133" s="54">
        <v>0</v>
      </c>
      <c r="S1133" s="54">
        <v>0</v>
      </c>
      <c r="T1133" s="53">
        <f>STOCK[[#This Row],[Costo Unitario (USD)]]+STOCK[[#This Row],[Costo Envío (USD)]]+STOCK[[#This Row],[Comisión 10%]]</f>
        <v>8.91</v>
      </c>
      <c r="U1133" s="54">
        <f>STOCK[[#This Row],[Costo total]]*1.5</f>
        <v>13.365</v>
      </c>
      <c r="V1133" s="54">
        <v>13</v>
      </c>
      <c r="W1133" s="54">
        <f>STOCK[[#This Row],[Precio Final]]-STOCK[[#This Row],[Costo total]]</f>
        <v>4.09</v>
      </c>
      <c r="X1133" s="54">
        <f>STOCK[[#This Row],[Ganancia Unitaria]]*STOCK[[#This Row],[Salidas]]</f>
        <v>8.18</v>
      </c>
      <c r="AA1133" s="54">
        <f>STOCK[[#This Row],[Costo total]]*STOCK[[#This Row],[Entradas]]</f>
        <v>17.82</v>
      </c>
      <c r="AB1133" s="54">
        <f>STOCK[[#This Row],[Stock Actual]]*STOCK[[#This Row],[Costo total]]</f>
        <v>0</v>
      </c>
    </row>
    <row r="1134" spans="1:28" s="53" customFormat="1" ht="50" customHeight="1">
      <c r="A1134" s="53" t="s">
        <v>2393</v>
      </c>
      <c r="B1134" s="64"/>
      <c r="C1134" s="53" t="s">
        <v>32</v>
      </c>
      <c r="D1134" s="53" t="s">
        <v>2394</v>
      </c>
      <c r="E1134" s="65" t="s">
        <v>2395</v>
      </c>
      <c r="F1134" s="53" t="s">
        <v>517</v>
      </c>
      <c r="G1134" s="53" t="s">
        <v>2396</v>
      </c>
      <c r="H1134" s="53">
        <f>STOCK[[#This Row],[Precio Final]]</f>
        <v>35</v>
      </c>
      <c r="I1134" s="53">
        <f>STOCK[[#This Row],[Precio Venta Ideal (x1.5)]]</f>
        <v>31.1280317273796</v>
      </c>
      <c r="J1134" s="69">
        <v>1</v>
      </c>
      <c r="K1134" s="69">
        <f>SUMIFS(VENTAS[Cantidad],VENTAS[Código del producto Vendido],STOCK[[#This Row],[Code]])</f>
        <v>1</v>
      </c>
      <c r="L1134" s="69">
        <f>STOCK[[#This Row],[Entradas]]-STOCK[[#This Row],[Salidas]]</f>
        <v>0</v>
      </c>
      <c r="M1134" s="53">
        <f>STOCK[[#This Row],[Precio Final]]*10%</f>
        <v>3.5</v>
      </c>
      <c r="N1134" s="53">
        <v>260.10000000000002</v>
      </c>
      <c r="O1134" s="53">
        <v>17.02</v>
      </c>
      <c r="P1134" s="53">
        <v>15.282021151586401</v>
      </c>
      <c r="Q1134" s="69">
        <v>0</v>
      </c>
      <c r="R1134" s="53">
        <v>0</v>
      </c>
      <c r="S1134" s="53">
        <v>1.97</v>
      </c>
      <c r="T1134" s="53">
        <f>STOCK[[#This Row],[Costo Unitario (USD)]]+STOCK[[#This Row],[Costo Envío (USD)]]+STOCK[[#This Row],[Comisión 10%]]</f>
        <v>20.752021151586401</v>
      </c>
      <c r="U1134" s="53">
        <f>STOCK[[#This Row],[Costo total]]*1.5</f>
        <v>31.1280317273796</v>
      </c>
      <c r="V1134" s="53">
        <v>35</v>
      </c>
      <c r="W1134" s="53">
        <f>STOCK[[#This Row],[Precio Final]]-STOCK[[#This Row],[Costo total]]</f>
        <v>14.247978848413599</v>
      </c>
      <c r="X1134" s="53">
        <f>STOCK[[#This Row],[Ganancia Unitaria]]*STOCK[[#This Row],[Salidas]]</f>
        <v>14.247978848413599</v>
      </c>
      <c r="Y1134" s="53" t="s">
        <v>2397</v>
      </c>
      <c r="AA1134" s="54">
        <f>STOCK[[#This Row],[Costo total]]*STOCK[[#This Row],[Entradas]]</f>
        <v>20.752021151586401</v>
      </c>
      <c r="AB1134" s="54">
        <f>STOCK[[#This Row],[Stock Actual]]*STOCK[[#This Row],[Costo total]]</f>
        <v>0</v>
      </c>
    </row>
    <row r="1135" spans="1:28" s="54" customFormat="1" ht="50" customHeight="1">
      <c r="A1135" s="54" t="s">
        <v>2398</v>
      </c>
      <c r="B1135" s="64"/>
      <c r="C1135" s="54" t="s">
        <v>32</v>
      </c>
      <c r="D1135" s="53" t="s">
        <v>2394</v>
      </c>
      <c r="E1135" s="66" t="s">
        <v>2399</v>
      </c>
      <c r="F1135" s="54" t="s">
        <v>765</v>
      </c>
      <c r="G1135" s="54" t="s">
        <v>2396</v>
      </c>
      <c r="H1135" s="54">
        <f>STOCK[[#This Row],[Precio Final]]</f>
        <v>35</v>
      </c>
      <c r="I1135" s="54">
        <f>STOCK[[#This Row],[Precio Venta Ideal (x1.5)]]</f>
        <v>31.1280317273796</v>
      </c>
      <c r="J1135" s="70">
        <v>1</v>
      </c>
      <c r="K1135" s="70">
        <f>SUMIFS(VENTAS[Cantidad],VENTAS[Código del producto Vendido],STOCK[[#This Row],[Code]])</f>
        <v>1</v>
      </c>
      <c r="L1135" s="70">
        <f>STOCK[[#This Row],[Entradas]]-STOCK[[#This Row],[Salidas]]</f>
        <v>0</v>
      </c>
      <c r="M1135" s="54">
        <f>STOCK[[#This Row],[Precio Final]]*10%</f>
        <v>3.5</v>
      </c>
      <c r="N1135" s="54">
        <v>260.10000000000002</v>
      </c>
      <c r="O1135" s="54">
        <v>17.02</v>
      </c>
      <c r="P1135" s="54">
        <v>15.282021151586401</v>
      </c>
      <c r="Q1135" s="70">
        <v>0</v>
      </c>
      <c r="R1135" s="54">
        <v>0</v>
      </c>
      <c r="S1135" s="54">
        <v>1.97</v>
      </c>
      <c r="T1135" s="53">
        <f>STOCK[[#This Row],[Costo Unitario (USD)]]+STOCK[[#This Row],[Costo Envío (USD)]]+STOCK[[#This Row],[Comisión 10%]]</f>
        <v>20.752021151586401</v>
      </c>
      <c r="U1135" s="54">
        <f>STOCK[[#This Row],[Costo total]]*1.5</f>
        <v>31.1280317273796</v>
      </c>
      <c r="V1135" s="54">
        <v>35</v>
      </c>
      <c r="W1135" s="54">
        <f>STOCK[[#This Row],[Precio Final]]-STOCK[[#This Row],[Costo total]]</f>
        <v>14.247978848413599</v>
      </c>
      <c r="X1135" s="54">
        <f>STOCK[[#This Row],[Ganancia Unitaria]]*STOCK[[#This Row],[Salidas]]</f>
        <v>14.247978848413599</v>
      </c>
      <c r="Y1135" s="54" t="s">
        <v>2400</v>
      </c>
      <c r="AA1135" s="54">
        <f>STOCK[[#This Row],[Costo total]]*STOCK[[#This Row],[Entradas]]</f>
        <v>20.752021151586401</v>
      </c>
      <c r="AB1135" s="54">
        <f>STOCK[[#This Row],[Stock Actual]]*STOCK[[#This Row],[Costo total]]</f>
        <v>0</v>
      </c>
    </row>
    <row r="1136" spans="1:28" s="53" customFormat="1" ht="50" customHeight="1">
      <c r="A1136" s="53" t="s">
        <v>2401</v>
      </c>
      <c r="B1136" s="64"/>
      <c r="C1136" s="53" t="s">
        <v>32</v>
      </c>
      <c r="D1136" s="53" t="s">
        <v>2394</v>
      </c>
      <c r="E1136" s="65" t="s">
        <v>2399</v>
      </c>
      <c r="F1136" s="53" t="s">
        <v>540</v>
      </c>
      <c r="G1136" s="53" t="s">
        <v>2396</v>
      </c>
      <c r="H1136" s="53">
        <f>STOCK[[#This Row],[Precio Final]]</f>
        <v>35</v>
      </c>
      <c r="I1136" s="53">
        <f>STOCK[[#This Row],[Precio Venta Ideal (x1.5)]]</f>
        <v>31.1280317273796</v>
      </c>
      <c r="J1136" s="69">
        <v>1</v>
      </c>
      <c r="K1136" s="69">
        <f>SUMIFS(VENTAS[Cantidad],VENTAS[Código del producto Vendido],STOCK[[#This Row],[Code]])</f>
        <v>1</v>
      </c>
      <c r="L1136" s="69">
        <f>STOCK[[#This Row],[Entradas]]-STOCK[[#This Row],[Salidas]]</f>
        <v>0</v>
      </c>
      <c r="M1136" s="53">
        <f>STOCK[[#This Row],[Precio Final]]*10%</f>
        <v>3.5</v>
      </c>
      <c r="N1136" s="53">
        <v>260.10000000000002</v>
      </c>
      <c r="O1136" s="53">
        <v>17.02</v>
      </c>
      <c r="P1136" s="53">
        <v>15.282021151586401</v>
      </c>
      <c r="Q1136" s="69">
        <v>0</v>
      </c>
      <c r="R1136" s="53">
        <v>0</v>
      </c>
      <c r="S1136" s="53">
        <v>1.97</v>
      </c>
      <c r="T1136" s="53">
        <f>STOCK[[#This Row],[Costo Unitario (USD)]]+STOCK[[#This Row],[Costo Envío (USD)]]+STOCK[[#This Row],[Comisión 10%]]</f>
        <v>20.752021151586401</v>
      </c>
      <c r="U1136" s="53">
        <f>STOCK[[#This Row],[Costo total]]*1.5</f>
        <v>31.1280317273796</v>
      </c>
      <c r="V1136" s="53">
        <v>35</v>
      </c>
      <c r="W1136" s="53">
        <f>STOCK[[#This Row],[Precio Final]]-STOCK[[#This Row],[Costo total]]</f>
        <v>14.247978848413599</v>
      </c>
      <c r="X1136" s="53">
        <f>STOCK[[#This Row],[Ganancia Unitaria]]*STOCK[[#This Row],[Salidas]]</f>
        <v>14.247978848413599</v>
      </c>
      <c r="Y1136" s="53" t="s">
        <v>2402</v>
      </c>
      <c r="AA1136" s="54">
        <f>STOCK[[#This Row],[Costo total]]*STOCK[[#This Row],[Entradas]]</f>
        <v>20.752021151586401</v>
      </c>
      <c r="AB1136" s="54">
        <f>STOCK[[#This Row],[Stock Actual]]*STOCK[[#This Row],[Costo total]]</f>
        <v>0</v>
      </c>
    </row>
    <row r="1137" spans="1:28" s="54" customFormat="1" ht="50" customHeight="1">
      <c r="A1137" s="54" t="s">
        <v>2403</v>
      </c>
      <c r="B1137" s="64"/>
      <c r="C1137" s="54" t="s">
        <v>32</v>
      </c>
      <c r="D1137" s="53" t="s">
        <v>2394</v>
      </c>
      <c r="E1137" s="66" t="s">
        <v>2399</v>
      </c>
      <c r="F1137" s="54" t="s">
        <v>1102</v>
      </c>
      <c r="G1137" s="54" t="s">
        <v>2396</v>
      </c>
      <c r="H1137" s="54">
        <f>STOCK[[#This Row],[Precio Final]]</f>
        <v>35</v>
      </c>
      <c r="I1137" s="54">
        <f>STOCK[[#This Row],[Precio Venta Ideal (x1.5)]]</f>
        <v>31.1280317273796</v>
      </c>
      <c r="J1137" s="70">
        <v>1</v>
      </c>
      <c r="K1137" s="70">
        <f>SUMIFS(VENTAS[Cantidad],VENTAS[Código del producto Vendido],STOCK[[#This Row],[Code]])</f>
        <v>1</v>
      </c>
      <c r="L1137" s="70">
        <f>STOCK[[#This Row],[Entradas]]-STOCK[[#This Row],[Salidas]]</f>
        <v>0</v>
      </c>
      <c r="M1137" s="54">
        <f>STOCK[[#This Row],[Precio Final]]*10%</f>
        <v>3.5</v>
      </c>
      <c r="N1137" s="54">
        <v>260.10000000000002</v>
      </c>
      <c r="O1137" s="54">
        <v>17.02</v>
      </c>
      <c r="P1137" s="54">
        <v>15.282021151586401</v>
      </c>
      <c r="Q1137" s="70">
        <v>0</v>
      </c>
      <c r="R1137" s="54">
        <v>0</v>
      </c>
      <c r="S1137" s="54">
        <v>1.97</v>
      </c>
      <c r="T1137" s="53">
        <f>STOCK[[#This Row],[Costo Unitario (USD)]]+STOCK[[#This Row],[Costo Envío (USD)]]+STOCK[[#This Row],[Comisión 10%]]</f>
        <v>20.752021151586401</v>
      </c>
      <c r="U1137" s="54">
        <f>STOCK[[#This Row],[Costo total]]*1.5</f>
        <v>31.1280317273796</v>
      </c>
      <c r="V1137" s="54">
        <v>35</v>
      </c>
      <c r="W1137" s="54">
        <f>STOCK[[#This Row],[Precio Final]]-STOCK[[#This Row],[Costo total]]</f>
        <v>14.247978848413599</v>
      </c>
      <c r="X1137" s="54">
        <f>STOCK[[#This Row],[Ganancia Unitaria]]*STOCK[[#This Row],[Salidas]]</f>
        <v>14.247978848413599</v>
      </c>
      <c r="Y1137" s="54" t="s">
        <v>2404</v>
      </c>
      <c r="AA1137" s="54">
        <f>STOCK[[#This Row],[Costo total]]*STOCK[[#This Row],[Entradas]]</f>
        <v>20.752021151586401</v>
      </c>
      <c r="AB1137" s="54">
        <f>STOCK[[#This Row],[Stock Actual]]*STOCK[[#This Row],[Costo total]]</f>
        <v>0</v>
      </c>
    </row>
    <row r="1138" spans="1:28" s="53" customFormat="1" ht="50" customHeight="1">
      <c r="A1138" s="53" t="s">
        <v>2405</v>
      </c>
      <c r="B1138" s="64"/>
      <c r="C1138" s="53" t="s">
        <v>32</v>
      </c>
      <c r="D1138" s="53" t="s">
        <v>2394</v>
      </c>
      <c r="E1138" s="65" t="s">
        <v>2399</v>
      </c>
      <c r="F1138" s="53" t="s">
        <v>759</v>
      </c>
      <c r="G1138" s="53" t="s">
        <v>2396</v>
      </c>
      <c r="H1138" s="53">
        <f>STOCK[[#This Row],[Precio Final]]</f>
        <v>35</v>
      </c>
      <c r="I1138" s="53">
        <f>STOCK[[#This Row],[Precio Venta Ideal (x1.5)]]</f>
        <v>31.1280317273796</v>
      </c>
      <c r="J1138" s="69">
        <v>1</v>
      </c>
      <c r="K1138" s="69">
        <f>SUMIFS(VENTAS[Cantidad],VENTAS[Código del producto Vendido],STOCK[[#This Row],[Code]])</f>
        <v>1</v>
      </c>
      <c r="L1138" s="69">
        <f>STOCK[[#This Row],[Entradas]]-STOCK[[#This Row],[Salidas]]</f>
        <v>0</v>
      </c>
      <c r="M1138" s="53">
        <f>STOCK[[#This Row],[Precio Final]]*10%</f>
        <v>3.5</v>
      </c>
      <c r="N1138" s="53">
        <v>260.10000000000002</v>
      </c>
      <c r="O1138" s="53">
        <v>17.02</v>
      </c>
      <c r="P1138" s="53">
        <v>15.282021151586401</v>
      </c>
      <c r="Q1138" s="69">
        <v>0</v>
      </c>
      <c r="R1138" s="53">
        <v>0</v>
      </c>
      <c r="S1138" s="53">
        <v>1.97</v>
      </c>
      <c r="T1138" s="53">
        <f>STOCK[[#This Row],[Costo Unitario (USD)]]+STOCK[[#This Row],[Costo Envío (USD)]]+STOCK[[#This Row],[Comisión 10%]]</f>
        <v>20.752021151586401</v>
      </c>
      <c r="U1138" s="53">
        <f>STOCK[[#This Row],[Costo total]]*1.5</f>
        <v>31.1280317273796</v>
      </c>
      <c r="V1138" s="53">
        <v>35</v>
      </c>
      <c r="W1138" s="53">
        <f>STOCK[[#This Row],[Precio Final]]-STOCK[[#This Row],[Costo total]]</f>
        <v>14.247978848413599</v>
      </c>
      <c r="X1138" s="53">
        <f>STOCK[[#This Row],[Ganancia Unitaria]]*STOCK[[#This Row],[Salidas]]</f>
        <v>14.247978848413599</v>
      </c>
      <c r="Y1138" s="53" t="s">
        <v>2406</v>
      </c>
      <c r="AA1138" s="54">
        <f>STOCK[[#This Row],[Costo total]]*STOCK[[#This Row],[Entradas]]</f>
        <v>20.752021151586401</v>
      </c>
      <c r="AB1138" s="54">
        <f>STOCK[[#This Row],[Stock Actual]]*STOCK[[#This Row],[Costo total]]</f>
        <v>0</v>
      </c>
    </row>
    <row r="1139" spans="1:28" s="54" customFormat="1" ht="50" customHeight="1">
      <c r="A1139" s="54" t="s">
        <v>2407</v>
      </c>
      <c r="B1139" s="64"/>
      <c r="C1139" s="54" t="s">
        <v>32</v>
      </c>
      <c r="D1139" s="53" t="s">
        <v>1388</v>
      </c>
      <c r="E1139" s="66" t="s">
        <v>2408</v>
      </c>
      <c r="F1139" s="54" t="s">
        <v>40</v>
      </c>
      <c r="G1139" s="54" t="s">
        <v>2396</v>
      </c>
      <c r="H1139" s="54">
        <f>STOCK[[#This Row],[Precio Final]]</f>
        <v>35</v>
      </c>
      <c r="I1139" s="54">
        <f>STOCK[[#This Row],[Precio Venta Ideal (x1.5)]]</f>
        <v>31.1280317273796</v>
      </c>
      <c r="J1139" s="70">
        <v>2</v>
      </c>
      <c r="K1139" s="70">
        <f>SUMIFS(VENTAS[Cantidad],VENTAS[Código del producto Vendido],STOCK[[#This Row],[Code]])</f>
        <v>2</v>
      </c>
      <c r="L1139" s="70">
        <f>STOCK[[#This Row],[Entradas]]-STOCK[[#This Row],[Salidas]]</f>
        <v>0</v>
      </c>
      <c r="M1139" s="54">
        <f>STOCK[[#This Row],[Precio Final]]*10%</f>
        <v>3.5</v>
      </c>
      <c r="N1139" s="54">
        <v>260.10000000000002</v>
      </c>
      <c r="O1139" s="54">
        <v>17.02</v>
      </c>
      <c r="P1139" s="54">
        <v>15.282021151586401</v>
      </c>
      <c r="Q1139" s="70">
        <v>0</v>
      </c>
      <c r="R1139" s="54">
        <v>0</v>
      </c>
      <c r="S1139" s="54">
        <v>1.97</v>
      </c>
      <c r="T1139" s="53">
        <f>STOCK[[#This Row],[Costo Unitario (USD)]]+STOCK[[#This Row],[Costo Envío (USD)]]+STOCK[[#This Row],[Comisión 10%]]</f>
        <v>20.752021151586401</v>
      </c>
      <c r="U1139" s="54">
        <f>STOCK[[#This Row],[Costo total]]*1.5</f>
        <v>31.1280317273796</v>
      </c>
      <c r="V1139" s="54">
        <v>35</v>
      </c>
      <c r="W1139" s="54">
        <f>STOCK[[#This Row],[Precio Final]]-STOCK[[#This Row],[Costo total]]</f>
        <v>14.247978848413599</v>
      </c>
      <c r="X1139" s="54">
        <f>STOCK[[#This Row],[Ganancia Unitaria]]*STOCK[[#This Row],[Salidas]]</f>
        <v>28.495957696827197</v>
      </c>
      <c r="Y1139" s="54" t="s">
        <v>2409</v>
      </c>
      <c r="AA1139" s="54">
        <f>STOCK[[#This Row],[Costo total]]*STOCK[[#This Row],[Entradas]]</f>
        <v>41.504042303172803</v>
      </c>
      <c r="AB1139" s="54">
        <f>STOCK[[#This Row],[Stock Actual]]*STOCK[[#This Row],[Costo total]]</f>
        <v>0</v>
      </c>
    </row>
    <row r="1140" spans="1:28" s="53" customFormat="1" ht="50" customHeight="1">
      <c r="A1140" s="53" t="s">
        <v>2410</v>
      </c>
      <c r="B1140" s="64"/>
      <c r="C1140" s="53" t="s">
        <v>32</v>
      </c>
      <c r="D1140" s="53" t="s">
        <v>1388</v>
      </c>
      <c r="E1140" s="65" t="s">
        <v>2408</v>
      </c>
      <c r="F1140" s="53" t="s">
        <v>62</v>
      </c>
      <c r="G1140" s="53" t="s">
        <v>2396</v>
      </c>
      <c r="H1140" s="53">
        <f>STOCK[[#This Row],[Precio Final]]</f>
        <v>35</v>
      </c>
      <c r="I1140" s="53">
        <f>STOCK[[#This Row],[Precio Venta Ideal (x1.5)]]</f>
        <v>31.1280317273796</v>
      </c>
      <c r="J1140" s="69">
        <v>2</v>
      </c>
      <c r="K1140" s="69">
        <f>SUMIFS(VENTAS[Cantidad],VENTAS[Código del producto Vendido],STOCK[[#This Row],[Code]])</f>
        <v>2</v>
      </c>
      <c r="L1140" s="69">
        <f>STOCK[[#This Row],[Entradas]]-STOCK[[#This Row],[Salidas]]</f>
        <v>0</v>
      </c>
      <c r="M1140" s="53">
        <f>STOCK[[#This Row],[Precio Final]]*10%</f>
        <v>3.5</v>
      </c>
      <c r="N1140" s="53">
        <v>260.10000000000002</v>
      </c>
      <c r="O1140" s="53">
        <v>17.02</v>
      </c>
      <c r="P1140" s="53">
        <v>15.282021151586401</v>
      </c>
      <c r="Q1140" s="69">
        <v>0</v>
      </c>
      <c r="R1140" s="53">
        <v>0</v>
      </c>
      <c r="S1140" s="53">
        <v>1.97</v>
      </c>
      <c r="T1140" s="53">
        <f>STOCK[[#This Row],[Costo Unitario (USD)]]+STOCK[[#This Row],[Costo Envío (USD)]]+STOCK[[#This Row],[Comisión 10%]]</f>
        <v>20.752021151586401</v>
      </c>
      <c r="U1140" s="53">
        <f>STOCK[[#This Row],[Costo total]]*1.5</f>
        <v>31.1280317273796</v>
      </c>
      <c r="V1140" s="53">
        <v>35</v>
      </c>
      <c r="W1140" s="53">
        <f>STOCK[[#This Row],[Precio Final]]-STOCK[[#This Row],[Costo total]]</f>
        <v>14.247978848413599</v>
      </c>
      <c r="X1140" s="53">
        <f>STOCK[[#This Row],[Ganancia Unitaria]]*STOCK[[#This Row],[Salidas]]</f>
        <v>28.495957696827197</v>
      </c>
      <c r="Y1140" s="53" t="s">
        <v>2411</v>
      </c>
      <c r="AA1140" s="54">
        <f>STOCK[[#This Row],[Costo total]]*STOCK[[#This Row],[Entradas]]</f>
        <v>41.504042303172803</v>
      </c>
      <c r="AB1140" s="54">
        <f>STOCK[[#This Row],[Stock Actual]]*STOCK[[#This Row],[Costo total]]</f>
        <v>0</v>
      </c>
    </row>
    <row r="1141" spans="1:28" s="54" customFormat="1" ht="50" customHeight="1">
      <c r="A1141" s="54" t="s">
        <v>2412</v>
      </c>
      <c r="B1141" s="64"/>
      <c r="C1141" s="54" t="s">
        <v>32</v>
      </c>
      <c r="D1141" s="53" t="s">
        <v>1388</v>
      </c>
      <c r="E1141" s="66" t="s">
        <v>2408</v>
      </c>
      <c r="F1141" s="54" t="s">
        <v>49</v>
      </c>
      <c r="G1141" s="54" t="s">
        <v>2396</v>
      </c>
      <c r="H1141" s="54">
        <f>STOCK[[#This Row],[Precio Final]]</f>
        <v>35</v>
      </c>
      <c r="I1141" s="54">
        <f>STOCK[[#This Row],[Precio Venta Ideal (x1.5)]]</f>
        <v>31.1280317273796</v>
      </c>
      <c r="J1141" s="70">
        <v>3</v>
      </c>
      <c r="K1141" s="70">
        <f>SUMIFS(VENTAS[Cantidad],VENTAS[Código del producto Vendido],STOCK[[#This Row],[Code]])</f>
        <v>3</v>
      </c>
      <c r="L1141" s="70">
        <f>STOCK[[#This Row],[Entradas]]-STOCK[[#This Row],[Salidas]]</f>
        <v>0</v>
      </c>
      <c r="M1141" s="54">
        <f>STOCK[[#This Row],[Precio Final]]*10%</f>
        <v>3.5</v>
      </c>
      <c r="N1141" s="54">
        <v>260.10000000000002</v>
      </c>
      <c r="O1141" s="54">
        <v>17.02</v>
      </c>
      <c r="P1141" s="54">
        <v>15.282021151586401</v>
      </c>
      <c r="Q1141" s="70">
        <v>0</v>
      </c>
      <c r="R1141" s="54">
        <v>0</v>
      </c>
      <c r="S1141" s="54">
        <v>1.97</v>
      </c>
      <c r="T1141" s="53">
        <f>STOCK[[#This Row],[Costo Unitario (USD)]]+STOCK[[#This Row],[Costo Envío (USD)]]+STOCK[[#This Row],[Comisión 10%]]</f>
        <v>20.752021151586401</v>
      </c>
      <c r="U1141" s="54">
        <f>STOCK[[#This Row],[Costo total]]*1.5</f>
        <v>31.1280317273796</v>
      </c>
      <c r="V1141" s="54">
        <v>35</v>
      </c>
      <c r="W1141" s="54">
        <f>STOCK[[#This Row],[Precio Final]]-STOCK[[#This Row],[Costo total]]</f>
        <v>14.247978848413599</v>
      </c>
      <c r="X1141" s="54">
        <f>STOCK[[#This Row],[Ganancia Unitaria]]*STOCK[[#This Row],[Salidas]]</f>
        <v>42.7439365452408</v>
      </c>
      <c r="Y1141" s="54" t="s">
        <v>2413</v>
      </c>
      <c r="AA1141" s="54">
        <f>STOCK[[#This Row],[Costo total]]*STOCK[[#This Row],[Entradas]]</f>
        <v>62.2560634547592</v>
      </c>
      <c r="AB1141" s="54">
        <f>STOCK[[#This Row],[Stock Actual]]*STOCK[[#This Row],[Costo total]]</f>
        <v>0</v>
      </c>
    </row>
    <row r="1142" spans="1:28" s="53" customFormat="1" ht="50" customHeight="1">
      <c r="A1142" s="53" t="s">
        <v>2414</v>
      </c>
      <c r="B1142" s="64"/>
      <c r="C1142" s="53" t="s">
        <v>32</v>
      </c>
      <c r="D1142" s="53" t="s">
        <v>1388</v>
      </c>
      <c r="E1142" s="65" t="s">
        <v>2408</v>
      </c>
      <c r="F1142" s="53" t="s">
        <v>46</v>
      </c>
      <c r="G1142" s="53" t="s">
        <v>2396</v>
      </c>
      <c r="H1142" s="53">
        <f>STOCK[[#This Row],[Precio Final]]</f>
        <v>35</v>
      </c>
      <c r="I1142" s="53">
        <f>STOCK[[#This Row],[Precio Venta Ideal (x1.5)]]</f>
        <v>31.1280317273796</v>
      </c>
      <c r="J1142" s="69">
        <v>1</v>
      </c>
      <c r="K1142" s="69">
        <f>SUMIFS(VENTAS[Cantidad],VENTAS[Código del producto Vendido],STOCK[[#This Row],[Code]])</f>
        <v>1</v>
      </c>
      <c r="L1142" s="69">
        <f>STOCK[[#This Row],[Entradas]]-STOCK[[#This Row],[Salidas]]</f>
        <v>0</v>
      </c>
      <c r="M1142" s="53">
        <f>STOCK[[#This Row],[Precio Final]]*10%</f>
        <v>3.5</v>
      </c>
      <c r="N1142" s="53">
        <v>260.10000000000002</v>
      </c>
      <c r="O1142" s="53">
        <v>17.02</v>
      </c>
      <c r="P1142" s="53">
        <v>15.282021151586401</v>
      </c>
      <c r="Q1142" s="69">
        <v>0</v>
      </c>
      <c r="R1142" s="53">
        <v>0</v>
      </c>
      <c r="S1142" s="53">
        <v>1.97</v>
      </c>
      <c r="T1142" s="53">
        <f>STOCK[[#This Row],[Costo Unitario (USD)]]+STOCK[[#This Row],[Costo Envío (USD)]]+STOCK[[#This Row],[Comisión 10%]]</f>
        <v>20.752021151586401</v>
      </c>
      <c r="U1142" s="53">
        <f>STOCK[[#This Row],[Costo total]]*1.5</f>
        <v>31.1280317273796</v>
      </c>
      <c r="V1142" s="53">
        <v>35</v>
      </c>
      <c r="W1142" s="53">
        <f>STOCK[[#This Row],[Precio Final]]-STOCK[[#This Row],[Costo total]]</f>
        <v>14.247978848413599</v>
      </c>
      <c r="X1142" s="53">
        <f>STOCK[[#This Row],[Ganancia Unitaria]]*STOCK[[#This Row],[Salidas]]</f>
        <v>14.247978848413599</v>
      </c>
      <c r="Y1142" s="53" t="s">
        <v>2415</v>
      </c>
      <c r="AA1142" s="54">
        <f>STOCK[[#This Row],[Costo total]]*STOCK[[#This Row],[Entradas]]</f>
        <v>20.752021151586401</v>
      </c>
      <c r="AB1142" s="54">
        <f>STOCK[[#This Row],[Stock Actual]]*STOCK[[#This Row],[Costo total]]</f>
        <v>0</v>
      </c>
    </row>
    <row r="1143" spans="1:28" s="54" customFormat="1" ht="50" customHeight="1">
      <c r="A1143" s="54" t="s">
        <v>2416</v>
      </c>
      <c r="B1143" s="64"/>
      <c r="C1143" s="54" t="s">
        <v>32</v>
      </c>
      <c r="D1143" s="54" t="s">
        <v>2417</v>
      </c>
      <c r="E1143" s="66" t="s">
        <v>2408</v>
      </c>
      <c r="F1143" s="54" t="s">
        <v>42</v>
      </c>
      <c r="G1143" s="54" t="s">
        <v>2396</v>
      </c>
      <c r="H1143" s="54">
        <f>STOCK[[#This Row],[Precio Final]]</f>
        <v>35</v>
      </c>
      <c r="I1143" s="54">
        <f>STOCK[[#This Row],[Precio Venta Ideal (x1.5)]]</f>
        <v>31.1280317273796</v>
      </c>
      <c r="J1143" s="70">
        <v>2</v>
      </c>
      <c r="K1143" s="70">
        <f>SUMIFS(VENTAS[Cantidad],VENTAS[Código del producto Vendido],STOCK[[#This Row],[Code]])</f>
        <v>1</v>
      </c>
      <c r="L1143" s="70">
        <f>STOCK[[#This Row],[Entradas]]-STOCK[[#This Row],[Salidas]]</f>
        <v>1</v>
      </c>
      <c r="M1143" s="54">
        <f>STOCK[[#This Row],[Precio Final]]*10%</f>
        <v>3.5</v>
      </c>
      <c r="N1143" s="54">
        <v>260.10000000000002</v>
      </c>
      <c r="O1143" s="54">
        <v>17.02</v>
      </c>
      <c r="P1143" s="54">
        <v>15.282021151586401</v>
      </c>
      <c r="Q1143" s="70">
        <v>0</v>
      </c>
      <c r="R1143" s="54">
        <v>0</v>
      </c>
      <c r="S1143" s="54">
        <v>1.97</v>
      </c>
      <c r="T1143" s="53">
        <f>STOCK[[#This Row],[Costo Unitario (USD)]]+STOCK[[#This Row],[Costo Envío (USD)]]+STOCK[[#This Row],[Comisión 10%]]</f>
        <v>20.752021151586401</v>
      </c>
      <c r="U1143" s="54">
        <f>STOCK[[#This Row],[Costo total]]*1.5</f>
        <v>31.1280317273796</v>
      </c>
      <c r="V1143" s="54">
        <v>35</v>
      </c>
      <c r="W1143" s="54">
        <f>STOCK[[#This Row],[Precio Final]]-STOCK[[#This Row],[Costo total]]</f>
        <v>14.247978848413599</v>
      </c>
      <c r="X1143" s="54">
        <f>STOCK[[#This Row],[Ganancia Unitaria]]*STOCK[[#This Row],[Salidas]]</f>
        <v>14.247978848413599</v>
      </c>
      <c r="Y1143" s="54" t="s">
        <v>2418</v>
      </c>
      <c r="AA1143" s="54">
        <f>STOCK[[#This Row],[Costo total]]*STOCK[[#This Row],[Entradas]]</f>
        <v>41.504042303172803</v>
      </c>
      <c r="AB1143" s="54">
        <f>STOCK[[#This Row],[Stock Actual]]*STOCK[[#This Row],[Costo total]]</f>
        <v>20.752021151586401</v>
      </c>
    </row>
    <row r="1144" spans="1:28" s="53" customFormat="1" ht="50" customHeight="1">
      <c r="A1144" s="53" t="s">
        <v>2419</v>
      </c>
      <c r="B1144" s="64"/>
      <c r="C1144" s="53" t="s">
        <v>32</v>
      </c>
      <c r="D1144" s="53" t="s">
        <v>779</v>
      </c>
      <c r="E1144" s="65" t="s">
        <v>2420</v>
      </c>
      <c r="F1144" s="53" t="s">
        <v>62</v>
      </c>
      <c r="G1144" s="53" t="s">
        <v>2396</v>
      </c>
      <c r="H1144" s="53">
        <f>STOCK[[#This Row],[Precio Final]]</f>
        <v>25</v>
      </c>
      <c r="I1144" s="53">
        <f>STOCK[[#This Row],[Precio Venta Ideal (x1.5)]]</f>
        <v>30.421216216216198</v>
      </c>
      <c r="J1144" s="69">
        <v>3</v>
      </c>
      <c r="K1144" s="69">
        <f>SUMIFS(VENTAS[Cantidad],VENTAS[Código del producto Vendido],STOCK[[#This Row],[Code]])</f>
        <v>3</v>
      </c>
      <c r="L1144" s="69">
        <f>STOCK[[#This Row],[Entradas]]-STOCK[[#This Row],[Salidas]]</f>
        <v>0</v>
      </c>
      <c r="M1144" s="53">
        <f>STOCK[[#This Row],[Precio Final]]*10%</f>
        <v>2.5</v>
      </c>
      <c r="N1144" s="53">
        <v>269.10000000000002</v>
      </c>
      <c r="O1144" s="53">
        <v>17.02</v>
      </c>
      <c r="P1144" s="53">
        <v>15.8108108108108</v>
      </c>
      <c r="Q1144" s="69">
        <v>0</v>
      </c>
      <c r="R1144" s="53">
        <v>0</v>
      </c>
      <c r="S1144" s="53">
        <v>1.97</v>
      </c>
      <c r="T1144" s="53">
        <f>STOCK[[#This Row],[Costo Unitario (USD)]]+STOCK[[#This Row],[Costo Envío (USD)]]+STOCK[[#This Row],[Comisión 10%]]</f>
        <v>20.280810810810799</v>
      </c>
      <c r="U1144" s="53">
        <f>STOCK[[#This Row],[Costo total]]*1.5</f>
        <v>30.421216216216198</v>
      </c>
      <c r="V1144" s="53">
        <v>25</v>
      </c>
      <c r="W1144" s="53">
        <f>STOCK[[#This Row],[Precio Final]]-STOCK[[#This Row],[Costo total]]</f>
        <v>4.7191891891892013</v>
      </c>
      <c r="X1144" s="53">
        <f>STOCK[[#This Row],[Ganancia Unitaria]]*STOCK[[#This Row],[Salidas]]</f>
        <v>14.157567567567604</v>
      </c>
      <c r="Y1144" s="53" t="s">
        <v>2421</v>
      </c>
      <c r="AA1144" s="54">
        <f>STOCK[[#This Row],[Costo total]]*STOCK[[#This Row],[Entradas]]</f>
        <v>60.842432432432396</v>
      </c>
      <c r="AB1144" s="54">
        <f>STOCK[[#This Row],[Stock Actual]]*STOCK[[#This Row],[Costo total]]</f>
        <v>0</v>
      </c>
    </row>
    <row r="1145" spans="1:28" s="54" customFormat="1" ht="50" customHeight="1">
      <c r="A1145" s="54" t="s">
        <v>2422</v>
      </c>
      <c r="B1145" s="64"/>
      <c r="C1145" s="54" t="s">
        <v>32</v>
      </c>
      <c r="D1145" s="53" t="s">
        <v>779</v>
      </c>
      <c r="E1145" s="66" t="s">
        <v>2420</v>
      </c>
      <c r="F1145" s="54" t="s">
        <v>49</v>
      </c>
      <c r="G1145" s="54" t="s">
        <v>2396</v>
      </c>
      <c r="H1145" s="54">
        <f>STOCK[[#This Row],[Precio Final]]</f>
        <v>25</v>
      </c>
      <c r="I1145" s="54">
        <f>STOCK[[#This Row],[Precio Venta Ideal (x1.5)]]</f>
        <v>30.421216216216198</v>
      </c>
      <c r="J1145" s="70">
        <v>3</v>
      </c>
      <c r="K1145" s="70">
        <f>SUMIFS(VENTAS[Cantidad],VENTAS[Código del producto Vendido],STOCK[[#This Row],[Code]])</f>
        <v>3</v>
      </c>
      <c r="L1145" s="70">
        <f>STOCK[[#This Row],[Entradas]]-STOCK[[#This Row],[Salidas]]</f>
        <v>0</v>
      </c>
      <c r="M1145" s="54">
        <f>STOCK[[#This Row],[Precio Final]]*10%</f>
        <v>2.5</v>
      </c>
      <c r="N1145" s="54">
        <v>269.10000000000002</v>
      </c>
      <c r="O1145" s="54">
        <v>17.02</v>
      </c>
      <c r="P1145" s="54">
        <v>15.8108108108108</v>
      </c>
      <c r="Q1145" s="70">
        <v>0</v>
      </c>
      <c r="R1145" s="54">
        <v>0</v>
      </c>
      <c r="S1145" s="54">
        <v>1.97</v>
      </c>
      <c r="T1145" s="53">
        <f>STOCK[[#This Row],[Costo Unitario (USD)]]+STOCK[[#This Row],[Costo Envío (USD)]]+STOCK[[#This Row],[Comisión 10%]]</f>
        <v>20.280810810810799</v>
      </c>
      <c r="U1145" s="54">
        <f>STOCK[[#This Row],[Costo total]]*1.5</f>
        <v>30.421216216216198</v>
      </c>
      <c r="V1145" s="54">
        <v>25</v>
      </c>
      <c r="W1145" s="54">
        <f>STOCK[[#This Row],[Precio Final]]-STOCK[[#This Row],[Costo total]]</f>
        <v>4.7191891891892013</v>
      </c>
      <c r="X1145" s="54">
        <f>STOCK[[#This Row],[Ganancia Unitaria]]*STOCK[[#This Row],[Salidas]]</f>
        <v>14.157567567567604</v>
      </c>
      <c r="Y1145" s="54" t="s">
        <v>2423</v>
      </c>
      <c r="AA1145" s="54">
        <f>STOCK[[#This Row],[Costo total]]*STOCK[[#This Row],[Entradas]]</f>
        <v>60.842432432432396</v>
      </c>
      <c r="AB1145" s="54">
        <f>STOCK[[#This Row],[Stock Actual]]*STOCK[[#This Row],[Costo total]]</f>
        <v>0</v>
      </c>
    </row>
    <row r="1146" spans="1:28" s="53" customFormat="1" ht="50" customHeight="1">
      <c r="A1146" s="53" t="s">
        <v>2424</v>
      </c>
      <c r="B1146" s="64"/>
      <c r="C1146" s="53" t="s">
        <v>32</v>
      </c>
      <c r="D1146" s="53" t="s">
        <v>779</v>
      </c>
      <c r="E1146" s="65" t="s">
        <v>2420</v>
      </c>
      <c r="F1146" s="53" t="s">
        <v>46</v>
      </c>
      <c r="G1146" s="53" t="s">
        <v>2396</v>
      </c>
      <c r="H1146" s="53">
        <f>STOCK[[#This Row],[Precio Final]]</f>
        <v>25</v>
      </c>
      <c r="I1146" s="53">
        <f>STOCK[[#This Row],[Precio Venta Ideal (x1.5)]]</f>
        <v>30.421216216216198</v>
      </c>
      <c r="J1146" s="69">
        <v>3</v>
      </c>
      <c r="K1146" s="69">
        <f>SUMIFS(VENTAS[Cantidad],VENTAS[Código del producto Vendido],STOCK[[#This Row],[Code]])</f>
        <v>0</v>
      </c>
      <c r="L1146" s="69">
        <f>STOCK[[#This Row],[Entradas]]-STOCK[[#This Row],[Salidas]]</f>
        <v>3</v>
      </c>
      <c r="M1146" s="53">
        <f>STOCK[[#This Row],[Precio Final]]*10%</f>
        <v>2.5</v>
      </c>
      <c r="N1146" s="53">
        <v>269.10000000000002</v>
      </c>
      <c r="O1146" s="53">
        <v>17.02</v>
      </c>
      <c r="P1146" s="53">
        <v>15.8108108108108</v>
      </c>
      <c r="Q1146" s="69">
        <v>0</v>
      </c>
      <c r="R1146" s="53">
        <v>0</v>
      </c>
      <c r="S1146" s="53">
        <v>1.97</v>
      </c>
      <c r="T1146" s="53">
        <f>STOCK[[#This Row],[Costo Unitario (USD)]]+STOCK[[#This Row],[Costo Envío (USD)]]+STOCK[[#This Row],[Comisión 10%]]</f>
        <v>20.280810810810799</v>
      </c>
      <c r="U1146" s="53">
        <f>STOCK[[#This Row],[Costo total]]*1.5</f>
        <v>30.421216216216198</v>
      </c>
      <c r="V1146" s="53">
        <v>25</v>
      </c>
      <c r="W1146" s="53">
        <f>STOCK[[#This Row],[Precio Final]]-STOCK[[#This Row],[Costo total]]</f>
        <v>4.7191891891892013</v>
      </c>
      <c r="X1146" s="53">
        <f>STOCK[[#This Row],[Ganancia Unitaria]]*STOCK[[#This Row],[Salidas]]</f>
        <v>0</v>
      </c>
      <c r="Y1146" s="53" t="s">
        <v>2425</v>
      </c>
      <c r="AA1146" s="54">
        <f>STOCK[[#This Row],[Costo total]]*STOCK[[#This Row],[Entradas]]</f>
        <v>60.842432432432396</v>
      </c>
      <c r="AB1146" s="54">
        <f>STOCK[[#This Row],[Stock Actual]]*STOCK[[#This Row],[Costo total]]</f>
        <v>60.842432432432396</v>
      </c>
    </row>
    <row r="1147" spans="1:28" s="54" customFormat="1" ht="50" customHeight="1">
      <c r="A1147" s="54" t="s">
        <v>2426</v>
      </c>
      <c r="B1147" s="64"/>
      <c r="C1147" s="54" t="s">
        <v>32</v>
      </c>
      <c r="D1147" s="53" t="s">
        <v>1388</v>
      </c>
      <c r="E1147" s="66" t="s">
        <v>2427</v>
      </c>
      <c r="F1147" s="54" t="s">
        <v>40</v>
      </c>
      <c r="G1147" s="54" t="s">
        <v>2396</v>
      </c>
      <c r="H1147" s="54">
        <f>STOCK[[#This Row],[Precio Final]]</f>
        <v>23</v>
      </c>
      <c r="I1147" s="54">
        <f>STOCK[[#This Row],[Precio Venta Ideal (x1.5)]]</f>
        <v>20.603002350176268</v>
      </c>
      <c r="J1147" s="70">
        <v>2</v>
      </c>
      <c r="K1147" s="70">
        <f>SUMIFS(VENTAS[Cantidad],VENTAS[Código del producto Vendido],STOCK[[#This Row],[Code]])</f>
        <v>2</v>
      </c>
      <c r="L1147" s="70">
        <f>STOCK[[#This Row],[Entradas]]-STOCK[[#This Row],[Salidas]]</f>
        <v>0</v>
      </c>
      <c r="M1147" s="54">
        <f>STOCK[[#This Row],[Precio Final]]*10%</f>
        <v>2.3000000000000003</v>
      </c>
      <c r="N1147" s="54">
        <v>161.1</v>
      </c>
      <c r="O1147" s="54">
        <v>17.02</v>
      </c>
      <c r="P1147" s="54">
        <v>9.4653349001175098</v>
      </c>
      <c r="Q1147" s="70">
        <v>0</v>
      </c>
      <c r="R1147" s="54">
        <v>0</v>
      </c>
      <c r="S1147" s="54">
        <v>1.97</v>
      </c>
      <c r="T1147" s="53">
        <f>STOCK[[#This Row],[Costo Unitario (USD)]]+STOCK[[#This Row],[Costo Envío (USD)]]+STOCK[[#This Row],[Comisión 10%]]</f>
        <v>13.735334900117511</v>
      </c>
      <c r="U1147" s="54">
        <f>STOCK[[#This Row],[Costo total]]*1.5</f>
        <v>20.603002350176268</v>
      </c>
      <c r="V1147" s="54">
        <v>23</v>
      </c>
      <c r="W1147" s="54">
        <f>STOCK[[#This Row],[Precio Final]]-STOCK[[#This Row],[Costo total]]</f>
        <v>9.2646650998824889</v>
      </c>
      <c r="X1147" s="54">
        <f>STOCK[[#This Row],[Ganancia Unitaria]]*STOCK[[#This Row],[Salidas]]</f>
        <v>18.529330199764978</v>
      </c>
      <c r="Y1147" s="54" t="s">
        <v>2428</v>
      </c>
      <c r="AA1147" s="54">
        <f>STOCK[[#This Row],[Costo total]]*STOCK[[#This Row],[Entradas]]</f>
        <v>27.470669800235022</v>
      </c>
      <c r="AB1147" s="54">
        <f>STOCK[[#This Row],[Stock Actual]]*STOCK[[#This Row],[Costo total]]</f>
        <v>0</v>
      </c>
    </row>
    <row r="1148" spans="1:28" s="53" customFormat="1" ht="50" customHeight="1">
      <c r="A1148" s="53" t="s">
        <v>2429</v>
      </c>
      <c r="B1148" s="64"/>
      <c r="C1148" s="53" t="s">
        <v>32</v>
      </c>
      <c r="D1148" s="53" t="s">
        <v>1388</v>
      </c>
      <c r="E1148" s="65" t="s">
        <v>2427</v>
      </c>
      <c r="F1148" s="53" t="s">
        <v>62</v>
      </c>
      <c r="G1148" s="53" t="s">
        <v>2396</v>
      </c>
      <c r="H1148" s="53">
        <f>STOCK[[#This Row],[Precio Final]]</f>
        <v>23</v>
      </c>
      <c r="I1148" s="53">
        <f>STOCK[[#This Row],[Precio Venta Ideal (x1.5)]]</f>
        <v>20.603002350176268</v>
      </c>
      <c r="J1148" s="69">
        <v>1</v>
      </c>
      <c r="K1148" s="69">
        <f>SUMIFS(VENTAS[Cantidad],VENTAS[Código del producto Vendido],STOCK[[#This Row],[Code]])</f>
        <v>1</v>
      </c>
      <c r="L1148" s="69">
        <f>STOCK[[#This Row],[Entradas]]-STOCK[[#This Row],[Salidas]]</f>
        <v>0</v>
      </c>
      <c r="M1148" s="53">
        <f>STOCK[[#This Row],[Precio Final]]*10%</f>
        <v>2.3000000000000003</v>
      </c>
      <c r="N1148" s="53">
        <v>161.1</v>
      </c>
      <c r="O1148" s="53">
        <v>17.02</v>
      </c>
      <c r="P1148" s="53">
        <v>9.4653349001175098</v>
      </c>
      <c r="Q1148" s="69">
        <v>0</v>
      </c>
      <c r="R1148" s="53">
        <v>0</v>
      </c>
      <c r="S1148" s="53">
        <v>1.97</v>
      </c>
      <c r="T1148" s="53">
        <f>STOCK[[#This Row],[Costo Unitario (USD)]]+STOCK[[#This Row],[Costo Envío (USD)]]+STOCK[[#This Row],[Comisión 10%]]</f>
        <v>13.735334900117511</v>
      </c>
      <c r="U1148" s="53">
        <f>STOCK[[#This Row],[Costo total]]*1.5</f>
        <v>20.603002350176268</v>
      </c>
      <c r="V1148" s="53">
        <v>23</v>
      </c>
      <c r="W1148" s="53">
        <f>STOCK[[#This Row],[Precio Final]]-STOCK[[#This Row],[Costo total]]</f>
        <v>9.2646650998824889</v>
      </c>
      <c r="X1148" s="53">
        <f>STOCK[[#This Row],[Ganancia Unitaria]]*STOCK[[#This Row],[Salidas]]</f>
        <v>9.2646650998824889</v>
      </c>
      <c r="Y1148" s="53" t="s">
        <v>2430</v>
      </c>
      <c r="AA1148" s="54">
        <f>STOCK[[#This Row],[Costo total]]*STOCK[[#This Row],[Entradas]]</f>
        <v>13.735334900117511</v>
      </c>
      <c r="AB1148" s="54">
        <f>STOCK[[#This Row],[Stock Actual]]*STOCK[[#This Row],[Costo total]]</f>
        <v>0</v>
      </c>
    </row>
    <row r="1149" spans="1:28" s="54" customFormat="1" ht="50" customHeight="1">
      <c r="A1149" s="54" t="s">
        <v>2431</v>
      </c>
      <c r="B1149" s="64"/>
      <c r="C1149" s="54" t="s">
        <v>32</v>
      </c>
      <c r="D1149" s="53" t="s">
        <v>1388</v>
      </c>
      <c r="E1149" s="66" t="s">
        <v>2427</v>
      </c>
      <c r="F1149" s="54" t="s">
        <v>49</v>
      </c>
      <c r="G1149" s="54" t="s">
        <v>2396</v>
      </c>
      <c r="H1149" s="54">
        <f>STOCK[[#This Row],[Precio Final]]</f>
        <v>23</v>
      </c>
      <c r="I1149" s="54">
        <f>STOCK[[#This Row],[Precio Venta Ideal (x1.5)]]</f>
        <v>20.603002350176268</v>
      </c>
      <c r="J1149" s="70">
        <v>2</v>
      </c>
      <c r="K1149" s="70">
        <f>SUMIFS(VENTAS[Cantidad],VENTAS[Código del producto Vendido],STOCK[[#This Row],[Code]])</f>
        <v>3</v>
      </c>
      <c r="L1149" s="70">
        <f>STOCK[[#This Row],[Entradas]]-STOCK[[#This Row],[Salidas]]</f>
        <v>-1</v>
      </c>
      <c r="M1149" s="54">
        <f>STOCK[[#This Row],[Precio Final]]*10%</f>
        <v>2.3000000000000003</v>
      </c>
      <c r="N1149" s="54">
        <v>161.1</v>
      </c>
      <c r="O1149" s="54">
        <v>17.02</v>
      </c>
      <c r="P1149" s="54">
        <v>9.4653349001175098</v>
      </c>
      <c r="Q1149" s="70">
        <v>0</v>
      </c>
      <c r="R1149" s="54">
        <v>0</v>
      </c>
      <c r="S1149" s="54">
        <v>1.97</v>
      </c>
      <c r="T1149" s="53">
        <f>STOCK[[#This Row],[Costo Unitario (USD)]]+STOCK[[#This Row],[Costo Envío (USD)]]+STOCK[[#This Row],[Comisión 10%]]</f>
        <v>13.735334900117511</v>
      </c>
      <c r="U1149" s="54">
        <f>STOCK[[#This Row],[Costo total]]*1.5</f>
        <v>20.603002350176268</v>
      </c>
      <c r="V1149" s="54">
        <v>23</v>
      </c>
      <c r="W1149" s="54">
        <f>STOCK[[#This Row],[Precio Final]]-STOCK[[#This Row],[Costo total]]</f>
        <v>9.2646650998824889</v>
      </c>
      <c r="X1149" s="54">
        <f>STOCK[[#This Row],[Ganancia Unitaria]]*STOCK[[#This Row],[Salidas]]</f>
        <v>27.793995299647467</v>
      </c>
      <c r="Y1149" s="54" t="s">
        <v>2432</v>
      </c>
      <c r="AA1149" s="54">
        <f>STOCK[[#This Row],[Costo total]]*STOCK[[#This Row],[Entradas]]</f>
        <v>27.470669800235022</v>
      </c>
      <c r="AB1149" s="54">
        <f>STOCK[[#This Row],[Stock Actual]]*STOCK[[#This Row],[Costo total]]</f>
        <v>-13.735334900117511</v>
      </c>
    </row>
    <row r="1150" spans="1:28" s="53" customFormat="1" ht="50" customHeight="1">
      <c r="A1150" s="53" t="s">
        <v>2433</v>
      </c>
      <c r="B1150" s="64"/>
      <c r="C1150" s="53" t="s">
        <v>32</v>
      </c>
      <c r="D1150" s="53" t="s">
        <v>1388</v>
      </c>
      <c r="E1150" s="65" t="s">
        <v>2427</v>
      </c>
      <c r="F1150" s="53" t="s">
        <v>46</v>
      </c>
      <c r="G1150" s="53" t="s">
        <v>2396</v>
      </c>
      <c r="H1150" s="53">
        <f>STOCK[[#This Row],[Precio Final]]</f>
        <v>23</v>
      </c>
      <c r="I1150" s="53">
        <f>STOCK[[#This Row],[Precio Venta Ideal (x1.5)]]</f>
        <v>20.603002350176268</v>
      </c>
      <c r="J1150" s="69">
        <v>2</v>
      </c>
      <c r="K1150" s="69">
        <f>SUMIFS(VENTAS[Cantidad],VENTAS[Código del producto Vendido],STOCK[[#This Row],[Code]])</f>
        <v>2</v>
      </c>
      <c r="L1150" s="69">
        <f>STOCK[[#This Row],[Entradas]]-STOCK[[#This Row],[Salidas]]</f>
        <v>0</v>
      </c>
      <c r="M1150" s="53">
        <f>STOCK[[#This Row],[Precio Final]]*10%</f>
        <v>2.3000000000000003</v>
      </c>
      <c r="N1150" s="53">
        <v>161.1</v>
      </c>
      <c r="O1150" s="53">
        <v>17.02</v>
      </c>
      <c r="P1150" s="53">
        <v>9.4653349001175098</v>
      </c>
      <c r="Q1150" s="69">
        <v>0</v>
      </c>
      <c r="R1150" s="53">
        <v>0</v>
      </c>
      <c r="S1150" s="53">
        <v>1.97</v>
      </c>
      <c r="T1150" s="53">
        <f>STOCK[[#This Row],[Costo Unitario (USD)]]+STOCK[[#This Row],[Costo Envío (USD)]]+STOCK[[#This Row],[Comisión 10%]]</f>
        <v>13.735334900117511</v>
      </c>
      <c r="U1150" s="53">
        <f>STOCK[[#This Row],[Costo total]]*1.5</f>
        <v>20.603002350176268</v>
      </c>
      <c r="V1150" s="53">
        <v>23</v>
      </c>
      <c r="W1150" s="53">
        <f>STOCK[[#This Row],[Precio Final]]-STOCK[[#This Row],[Costo total]]</f>
        <v>9.2646650998824889</v>
      </c>
      <c r="X1150" s="53">
        <f>STOCK[[#This Row],[Ganancia Unitaria]]*STOCK[[#This Row],[Salidas]]</f>
        <v>18.529330199764978</v>
      </c>
      <c r="Y1150" s="53" t="s">
        <v>2434</v>
      </c>
      <c r="AA1150" s="54">
        <f>STOCK[[#This Row],[Costo total]]*STOCK[[#This Row],[Entradas]]</f>
        <v>27.470669800235022</v>
      </c>
      <c r="AB1150" s="54">
        <f>STOCK[[#This Row],[Stock Actual]]*STOCK[[#This Row],[Costo total]]</f>
        <v>0</v>
      </c>
    </row>
    <row r="1151" spans="1:28" s="54" customFormat="1" ht="50" customHeight="1">
      <c r="A1151" s="54" t="s">
        <v>2435</v>
      </c>
      <c r="B1151" s="64"/>
      <c r="C1151" s="54" t="s">
        <v>32</v>
      </c>
      <c r="D1151" s="53" t="s">
        <v>1388</v>
      </c>
      <c r="E1151" s="66" t="s">
        <v>2427</v>
      </c>
      <c r="F1151" s="54" t="s">
        <v>42</v>
      </c>
      <c r="G1151" s="54" t="s">
        <v>2396</v>
      </c>
      <c r="H1151" s="54">
        <f>STOCK[[#This Row],[Precio Final]]</f>
        <v>23</v>
      </c>
      <c r="I1151" s="54">
        <f>STOCK[[#This Row],[Precio Venta Ideal (x1.5)]]</f>
        <v>20.603002350176268</v>
      </c>
      <c r="J1151" s="70">
        <v>2</v>
      </c>
      <c r="K1151" s="70">
        <f>SUMIFS(VENTAS[Cantidad],VENTAS[Código del producto Vendido],STOCK[[#This Row],[Code]])</f>
        <v>2</v>
      </c>
      <c r="L1151" s="70">
        <f>STOCK[[#This Row],[Entradas]]-STOCK[[#This Row],[Salidas]]</f>
        <v>0</v>
      </c>
      <c r="M1151" s="54">
        <f>STOCK[[#This Row],[Precio Final]]*10%</f>
        <v>2.3000000000000003</v>
      </c>
      <c r="N1151" s="54">
        <v>161.1</v>
      </c>
      <c r="O1151" s="54">
        <v>17.02</v>
      </c>
      <c r="P1151" s="54">
        <v>9.4653349001175098</v>
      </c>
      <c r="Q1151" s="70">
        <v>0</v>
      </c>
      <c r="R1151" s="54">
        <v>0</v>
      </c>
      <c r="S1151" s="54">
        <v>1.97</v>
      </c>
      <c r="T1151" s="53">
        <f>STOCK[[#This Row],[Costo Unitario (USD)]]+STOCK[[#This Row],[Costo Envío (USD)]]+STOCK[[#This Row],[Comisión 10%]]</f>
        <v>13.735334900117511</v>
      </c>
      <c r="U1151" s="54">
        <f>STOCK[[#This Row],[Costo total]]*1.5</f>
        <v>20.603002350176268</v>
      </c>
      <c r="V1151" s="54">
        <v>23</v>
      </c>
      <c r="W1151" s="54">
        <f>STOCK[[#This Row],[Precio Final]]-STOCK[[#This Row],[Costo total]]</f>
        <v>9.2646650998824889</v>
      </c>
      <c r="X1151" s="54">
        <f>STOCK[[#This Row],[Ganancia Unitaria]]*STOCK[[#This Row],[Salidas]]</f>
        <v>18.529330199764978</v>
      </c>
      <c r="Y1151" s="54" t="s">
        <v>2436</v>
      </c>
      <c r="AA1151" s="54">
        <f>STOCK[[#This Row],[Costo total]]*STOCK[[#This Row],[Entradas]]</f>
        <v>27.470669800235022</v>
      </c>
      <c r="AB1151" s="54">
        <f>STOCK[[#This Row],[Stock Actual]]*STOCK[[#This Row],[Costo total]]</f>
        <v>0</v>
      </c>
    </row>
    <row r="1152" spans="1:28" s="53" customFormat="1" ht="50" customHeight="1">
      <c r="A1152" s="53" t="s">
        <v>2437</v>
      </c>
      <c r="B1152" s="64"/>
      <c r="C1152" s="53" t="s">
        <v>32</v>
      </c>
      <c r="D1152" s="53" t="s">
        <v>1388</v>
      </c>
      <c r="E1152" s="65" t="s">
        <v>2438</v>
      </c>
      <c r="F1152" s="53" t="s">
        <v>49</v>
      </c>
      <c r="G1152" s="53" t="s">
        <v>2396</v>
      </c>
      <c r="H1152" s="53">
        <f>STOCK[[#This Row],[Precio Final]]</f>
        <v>35</v>
      </c>
      <c r="I1152" s="53">
        <f>STOCK[[#This Row],[Precio Venta Ideal (x1.5)]]</f>
        <v>29.541662749706248</v>
      </c>
      <c r="J1152" s="69">
        <v>3</v>
      </c>
      <c r="K1152" s="69">
        <f>SUMIFS(VENTAS[Cantidad],VENTAS[Código del producto Vendido],STOCK[[#This Row],[Code]])</f>
        <v>2</v>
      </c>
      <c r="L1152" s="69">
        <f>STOCK[[#This Row],[Entradas]]-STOCK[[#This Row],[Salidas]]</f>
        <v>1</v>
      </c>
      <c r="M1152" s="53">
        <f>STOCK[[#This Row],[Precio Final]]*10%</f>
        <v>3.5</v>
      </c>
      <c r="N1152" s="53">
        <v>242.1</v>
      </c>
      <c r="O1152" s="53">
        <v>17.02</v>
      </c>
      <c r="P1152" s="53">
        <v>14.224441833137501</v>
      </c>
      <c r="Q1152" s="69">
        <v>0</v>
      </c>
      <c r="R1152" s="53">
        <v>0</v>
      </c>
      <c r="S1152" s="53">
        <v>1.97</v>
      </c>
      <c r="T1152" s="53">
        <f>STOCK[[#This Row],[Costo Unitario (USD)]]+STOCK[[#This Row],[Costo Envío (USD)]]+STOCK[[#This Row],[Comisión 10%]]</f>
        <v>19.6944418331375</v>
      </c>
      <c r="U1152" s="53">
        <f>STOCK[[#This Row],[Costo total]]*1.5</f>
        <v>29.541662749706248</v>
      </c>
      <c r="V1152" s="53">
        <v>35</v>
      </c>
      <c r="W1152" s="53">
        <f>STOCK[[#This Row],[Precio Final]]-STOCK[[#This Row],[Costo total]]</f>
        <v>15.3055581668625</v>
      </c>
      <c r="X1152" s="53">
        <f>STOCK[[#This Row],[Ganancia Unitaria]]*STOCK[[#This Row],[Salidas]]</f>
        <v>30.611116333725001</v>
      </c>
      <c r="Y1152" s="53" t="s">
        <v>2439</v>
      </c>
      <c r="AA1152" s="54">
        <f>STOCK[[#This Row],[Costo total]]*STOCK[[#This Row],[Entradas]]</f>
        <v>59.083325499412496</v>
      </c>
      <c r="AB1152" s="54">
        <f>STOCK[[#This Row],[Stock Actual]]*STOCK[[#This Row],[Costo total]]</f>
        <v>19.6944418331375</v>
      </c>
    </row>
    <row r="1153" spans="1:29" s="54" customFormat="1" ht="50" customHeight="1">
      <c r="A1153" s="54" t="s">
        <v>2440</v>
      </c>
      <c r="B1153" s="64"/>
      <c r="C1153" s="54" t="s">
        <v>32</v>
      </c>
      <c r="D1153" s="53" t="s">
        <v>1388</v>
      </c>
      <c r="E1153" s="66" t="s">
        <v>2438</v>
      </c>
      <c r="F1153" s="54" t="s">
        <v>62</v>
      </c>
      <c r="G1153" s="54" t="s">
        <v>2396</v>
      </c>
      <c r="H1153" s="54">
        <f>STOCK[[#This Row],[Precio Final]]</f>
        <v>35</v>
      </c>
      <c r="I1153" s="54">
        <f>STOCK[[#This Row],[Precio Venta Ideal (x1.5)]]</f>
        <v>29.541662749706248</v>
      </c>
      <c r="J1153" s="70">
        <v>3</v>
      </c>
      <c r="K1153" s="70">
        <f>SUMIFS(VENTAS[Cantidad],VENTAS[Código del producto Vendido],STOCK[[#This Row],[Code]])</f>
        <v>1</v>
      </c>
      <c r="L1153" s="70">
        <f>STOCK[[#This Row],[Entradas]]-STOCK[[#This Row],[Salidas]]</f>
        <v>2</v>
      </c>
      <c r="M1153" s="54">
        <f>STOCK[[#This Row],[Precio Final]]*10%</f>
        <v>3.5</v>
      </c>
      <c r="N1153" s="54">
        <v>242.1</v>
      </c>
      <c r="O1153" s="54">
        <v>17.02</v>
      </c>
      <c r="P1153" s="54">
        <v>14.224441833137501</v>
      </c>
      <c r="Q1153" s="70">
        <v>0</v>
      </c>
      <c r="R1153" s="54">
        <v>0</v>
      </c>
      <c r="S1153" s="54">
        <v>1.97</v>
      </c>
      <c r="T1153" s="53">
        <f>STOCK[[#This Row],[Costo Unitario (USD)]]+STOCK[[#This Row],[Costo Envío (USD)]]+STOCK[[#This Row],[Comisión 10%]]</f>
        <v>19.6944418331375</v>
      </c>
      <c r="U1153" s="54">
        <f>STOCK[[#This Row],[Costo total]]*1.5</f>
        <v>29.541662749706248</v>
      </c>
      <c r="V1153" s="54">
        <v>35</v>
      </c>
      <c r="W1153" s="54">
        <f>STOCK[[#This Row],[Precio Final]]-STOCK[[#This Row],[Costo total]]</f>
        <v>15.3055581668625</v>
      </c>
      <c r="X1153" s="54">
        <f>STOCK[[#This Row],[Ganancia Unitaria]]*STOCK[[#This Row],[Salidas]]</f>
        <v>15.3055581668625</v>
      </c>
      <c r="Y1153" s="54" t="s">
        <v>2441</v>
      </c>
      <c r="AA1153" s="54">
        <f>STOCK[[#This Row],[Costo total]]*STOCK[[#This Row],[Entradas]]</f>
        <v>59.083325499412496</v>
      </c>
      <c r="AB1153" s="54">
        <f>STOCK[[#This Row],[Stock Actual]]*STOCK[[#This Row],[Costo total]]</f>
        <v>39.388883666274999</v>
      </c>
    </row>
    <row r="1154" spans="1:29" s="53" customFormat="1" ht="50" customHeight="1">
      <c r="A1154" s="53" t="s">
        <v>2442</v>
      </c>
      <c r="B1154" s="64"/>
      <c r="C1154" s="53" t="s">
        <v>32</v>
      </c>
      <c r="D1154" s="53" t="s">
        <v>1388</v>
      </c>
      <c r="E1154" s="65" t="s">
        <v>2443</v>
      </c>
      <c r="F1154" s="53" t="s">
        <v>49</v>
      </c>
      <c r="G1154" s="53" t="s">
        <v>2396</v>
      </c>
      <c r="H1154" s="53">
        <f>STOCK[[#This Row],[Precio Final]]</f>
        <v>35</v>
      </c>
      <c r="I1154" s="53">
        <f>STOCK[[#This Row],[Precio Venta Ideal (x1.5)]]</f>
        <v>28.173031727379598</v>
      </c>
      <c r="J1154" s="69">
        <v>2</v>
      </c>
      <c r="K1154" s="69">
        <f>SUMIFS(VENTAS[Cantidad],VENTAS[Código del producto Vendido],STOCK[[#This Row],[Code]])</f>
        <v>2</v>
      </c>
      <c r="L1154" s="69">
        <f>STOCK[[#This Row],[Entradas]]-STOCK[[#This Row],[Salidas]]</f>
        <v>0</v>
      </c>
      <c r="M1154" s="53">
        <f>STOCK[[#This Row],[Precio Final]]*10%</f>
        <v>3.5</v>
      </c>
      <c r="N1154" s="53">
        <v>260.10000000000002</v>
      </c>
      <c r="O1154" s="53">
        <v>17.02</v>
      </c>
      <c r="P1154" s="53">
        <v>15.282021151586401</v>
      </c>
      <c r="Q1154" s="69">
        <v>0</v>
      </c>
      <c r="R1154" s="53">
        <v>0</v>
      </c>
      <c r="S1154" s="53">
        <v>0</v>
      </c>
      <c r="T1154" s="53">
        <f>STOCK[[#This Row],[Costo Unitario (USD)]]+STOCK[[#This Row],[Costo Envío (USD)]]+STOCK[[#This Row],[Comisión 10%]]</f>
        <v>18.782021151586399</v>
      </c>
      <c r="U1154" s="53">
        <f>STOCK[[#This Row],[Costo total]]*1.5</f>
        <v>28.173031727379598</v>
      </c>
      <c r="V1154" s="53">
        <v>35</v>
      </c>
      <c r="W1154" s="53">
        <f>STOCK[[#This Row],[Precio Final]]-STOCK[[#This Row],[Costo total]]</f>
        <v>16.217978848413601</v>
      </c>
      <c r="X1154" s="53">
        <f>STOCK[[#This Row],[Ganancia Unitaria]]*STOCK[[#This Row],[Salidas]]</f>
        <v>32.435957696827202</v>
      </c>
      <c r="Y1154" s="53" t="s">
        <v>2444</v>
      </c>
      <c r="AA1154" s="54">
        <f>STOCK[[#This Row],[Costo total]]*STOCK[[#This Row],[Entradas]]</f>
        <v>37.564042303172798</v>
      </c>
      <c r="AB1154" s="54">
        <f>STOCK[[#This Row],[Stock Actual]]*STOCK[[#This Row],[Costo total]]</f>
        <v>0</v>
      </c>
    </row>
    <row r="1155" spans="1:29" s="54" customFormat="1" ht="50" customHeight="1">
      <c r="A1155" s="54" t="s">
        <v>2445</v>
      </c>
      <c r="B1155" s="64"/>
      <c r="C1155" s="54" t="s">
        <v>32</v>
      </c>
      <c r="D1155" s="53" t="s">
        <v>1388</v>
      </c>
      <c r="E1155" s="65" t="s">
        <v>2443</v>
      </c>
      <c r="F1155" s="54" t="s">
        <v>42</v>
      </c>
      <c r="G1155" s="54" t="s">
        <v>2396</v>
      </c>
      <c r="H1155" s="54">
        <f>STOCK[[#This Row],[Precio Final]]</f>
        <v>35</v>
      </c>
      <c r="I1155" s="54">
        <f>STOCK[[#This Row],[Precio Venta Ideal (x1.5)]]</f>
        <v>28.173031727379598</v>
      </c>
      <c r="J1155" s="70">
        <v>2</v>
      </c>
      <c r="K1155" s="70">
        <f>SUMIFS(VENTAS[Cantidad],VENTAS[Código del producto Vendido],STOCK[[#This Row],[Code]])</f>
        <v>1</v>
      </c>
      <c r="L1155" s="70">
        <f>STOCK[[#This Row],[Entradas]]-STOCK[[#This Row],[Salidas]]</f>
        <v>1</v>
      </c>
      <c r="M1155" s="54">
        <f>STOCK[[#This Row],[Precio Final]]*10%</f>
        <v>3.5</v>
      </c>
      <c r="N1155" s="54">
        <v>260.10000000000002</v>
      </c>
      <c r="O1155" s="54">
        <v>17.02</v>
      </c>
      <c r="P1155" s="54">
        <v>15.282021151586401</v>
      </c>
      <c r="Q1155" s="70">
        <v>0</v>
      </c>
      <c r="R1155" s="54">
        <v>0</v>
      </c>
      <c r="S1155" s="54">
        <v>0</v>
      </c>
      <c r="T1155" s="53">
        <f>STOCK[[#This Row],[Costo Unitario (USD)]]+STOCK[[#This Row],[Costo Envío (USD)]]+STOCK[[#This Row],[Comisión 10%]]</f>
        <v>18.782021151586399</v>
      </c>
      <c r="U1155" s="54">
        <f>STOCK[[#This Row],[Costo total]]*1.5</f>
        <v>28.173031727379598</v>
      </c>
      <c r="V1155" s="54">
        <v>35</v>
      </c>
      <c r="W1155" s="54">
        <f>STOCK[[#This Row],[Precio Final]]-STOCK[[#This Row],[Costo total]]</f>
        <v>16.217978848413601</v>
      </c>
      <c r="X1155" s="54">
        <f>STOCK[[#This Row],[Ganancia Unitaria]]*STOCK[[#This Row],[Salidas]]</f>
        <v>16.217978848413601</v>
      </c>
      <c r="Y1155" s="54" t="s">
        <v>2446</v>
      </c>
      <c r="AA1155" s="54">
        <f>STOCK[[#This Row],[Costo total]]*STOCK[[#This Row],[Entradas]]</f>
        <v>37.564042303172798</v>
      </c>
      <c r="AB1155" s="54">
        <f>STOCK[[#This Row],[Stock Actual]]*STOCK[[#This Row],[Costo total]]</f>
        <v>18.782021151586399</v>
      </c>
    </row>
    <row r="1156" spans="1:29" s="53" customFormat="1" ht="50" customHeight="1">
      <c r="A1156" s="53" t="s">
        <v>2447</v>
      </c>
      <c r="B1156" s="64"/>
      <c r="C1156" s="53" t="s">
        <v>32</v>
      </c>
      <c r="D1156" s="53" t="s">
        <v>1388</v>
      </c>
      <c r="E1156" s="65" t="s">
        <v>2443</v>
      </c>
      <c r="F1156" s="53" t="s">
        <v>46</v>
      </c>
      <c r="G1156" s="53" t="s">
        <v>2396</v>
      </c>
      <c r="H1156" s="53">
        <f>STOCK[[#This Row],[Precio Final]]</f>
        <v>35</v>
      </c>
      <c r="I1156" s="53">
        <f>STOCK[[#This Row],[Precio Venta Ideal (x1.5)]]</f>
        <v>28.173031727379598</v>
      </c>
      <c r="J1156" s="69">
        <v>2</v>
      </c>
      <c r="K1156" s="69">
        <f>SUMIFS(VENTAS[Cantidad],VENTAS[Código del producto Vendido],STOCK[[#This Row],[Code]])</f>
        <v>0</v>
      </c>
      <c r="L1156" s="69">
        <f>STOCK[[#This Row],[Entradas]]-STOCK[[#This Row],[Salidas]]</f>
        <v>2</v>
      </c>
      <c r="M1156" s="53">
        <f>STOCK[[#This Row],[Precio Final]]*10%</f>
        <v>3.5</v>
      </c>
      <c r="N1156" s="53">
        <v>260.10000000000002</v>
      </c>
      <c r="O1156" s="53">
        <v>17.02</v>
      </c>
      <c r="P1156" s="53">
        <v>15.282021151586401</v>
      </c>
      <c r="Q1156" s="69">
        <v>0</v>
      </c>
      <c r="R1156" s="53">
        <v>0</v>
      </c>
      <c r="S1156" s="53">
        <v>0</v>
      </c>
      <c r="T1156" s="53">
        <f>STOCK[[#This Row],[Costo Unitario (USD)]]+STOCK[[#This Row],[Costo Envío (USD)]]+STOCK[[#This Row],[Comisión 10%]]</f>
        <v>18.782021151586399</v>
      </c>
      <c r="U1156" s="53">
        <f>STOCK[[#This Row],[Costo total]]*1.5</f>
        <v>28.173031727379598</v>
      </c>
      <c r="V1156" s="53">
        <v>35</v>
      </c>
      <c r="W1156" s="53">
        <f>STOCK[[#This Row],[Precio Final]]-STOCK[[#This Row],[Costo total]]</f>
        <v>16.217978848413601</v>
      </c>
      <c r="X1156" s="53">
        <f>STOCK[[#This Row],[Ganancia Unitaria]]*STOCK[[#This Row],[Salidas]]</f>
        <v>0</v>
      </c>
      <c r="Y1156" s="53" t="s">
        <v>2448</v>
      </c>
      <c r="AA1156" s="54">
        <f>STOCK[[#This Row],[Costo total]]*STOCK[[#This Row],[Entradas]]</f>
        <v>37.564042303172798</v>
      </c>
      <c r="AB1156" s="54">
        <f>STOCK[[#This Row],[Stock Actual]]*STOCK[[#This Row],[Costo total]]</f>
        <v>37.564042303172798</v>
      </c>
    </row>
    <row r="1157" spans="1:29" s="54" customFormat="1" ht="50" customHeight="1">
      <c r="A1157" s="53" t="s">
        <v>2449</v>
      </c>
      <c r="B1157" s="64"/>
      <c r="C1157" s="53" t="s">
        <v>32</v>
      </c>
      <c r="D1157" s="53" t="s">
        <v>1482</v>
      </c>
      <c r="E1157" s="66" t="s">
        <v>2450</v>
      </c>
      <c r="F1157" s="53" t="s">
        <v>2451</v>
      </c>
      <c r="G1157" s="53" t="s">
        <v>2452</v>
      </c>
      <c r="H1157" s="53">
        <f>STOCK[[#This Row],[Precio Final]]</f>
        <v>35</v>
      </c>
      <c r="I1157" s="53">
        <f>STOCK[[#This Row],[Precio Venta Ideal (x1.5)]]</f>
        <v>34.454999999999998</v>
      </c>
      <c r="J1157" s="69">
        <v>3</v>
      </c>
      <c r="K1157" s="69">
        <f>SUMIFS(VENTAS[Cantidad],VENTAS[Código del producto Vendido],STOCK[[#This Row],[Code]])</f>
        <v>3</v>
      </c>
      <c r="L1157" s="69">
        <f>STOCK[[#This Row],[Entradas]]-STOCK[[#This Row],[Salidas]]</f>
        <v>0</v>
      </c>
      <c r="M1157" s="53">
        <f>STOCK[[#This Row],[Precio Final]]*10%</f>
        <v>3.5</v>
      </c>
      <c r="N1157" s="53">
        <v>0</v>
      </c>
      <c r="O1157" s="53">
        <v>0</v>
      </c>
      <c r="P1157" s="53">
        <v>17.5</v>
      </c>
      <c r="Q1157" s="69">
        <v>730</v>
      </c>
      <c r="R1157" s="53">
        <v>7.81</v>
      </c>
      <c r="S1157" s="53">
        <v>1.97</v>
      </c>
      <c r="T1157" s="53">
        <f>STOCK[[#This Row],[Costo Unitario (USD)]]+STOCK[[#This Row],[Costo Envío (USD)]]+STOCK[[#This Row],[Comisión 10%]]</f>
        <v>22.97</v>
      </c>
      <c r="U1157" s="53">
        <f>STOCK[[#This Row],[Costo total]]*1.5</f>
        <v>34.454999999999998</v>
      </c>
      <c r="V1157" s="53">
        <v>35</v>
      </c>
      <c r="W1157" s="53">
        <f>STOCK[[#This Row],[Precio Final]]-STOCK[[#This Row],[Costo total]]</f>
        <v>12.030000000000001</v>
      </c>
      <c r="X1157" s="53">
        <f>STOCK[[#This Row],[Ganancia Unitaria]]*STOCK[[#This Row],[Salidas]]</f>
        <v>36.090000000000003</v>
      </c>
      <c r="Y1157" s="53" t="s">
        <v>2453</v>
      </c>
      <c r="Z1157" s="53"/>
      <c r="AA1157" s="54">
        <f>STOCK[[#This Row],[Costo total]]*STOCK[[#This Row],[Entradas]]</f>
        <v>68.91</v>
      </c>
      <c r="AB1157" s="54">
        <f>STOCK[[#This Row],[Stock Actual]]*STOCK[[#This Row],[Costo total]]</f>
        <v>0</v>
      </c>
      <c r="AC1157" s="53">
        <v>30</v>
      </c>
    </row>
    <row r="1158" spans="1:29" s="53" customFormat="1" ht="50" customHeight="1">
      <c r="A1158" s="53" t="s">
        <v>2454</v>
      </c>
      <c r="B1158" s="64"/>
      <c r="C1158" s="53" t="s">
        <v>32</v>
      </c>
      <c r="D1158" s="53" t="s">
        <v>1482</v>
      </c>
      <c r="E1158" s="66" t="s">
        <v>2450</v>
      </c>
      <c r="F1158" s="53" t="s">
        <v>2455</v>
      </c>
      <c r="G1158" s="53" t="s">
        <v>2452</v>
      </c>
      <c r="H1158" s="53">
        <f>STOCK[[#This Row],[Precio Final]]</f>
        <v>36</v>
      </c>
      <c r="I1158" s="53">
        <f>STOCK[[#This Row],[Precio Venta Ideal (x1.5)]]</f>
        <v>34.605000000000004</v>
      </c>
      <c r="J1158" s="69">
        <v>3</v>
      </c>
      <c r="K1158" s="69">
        <f>SUMIFS(VENTAS[Cantidad],VENTAS[Código del producto Vendido],STOCK[[#This Row],[Code]])</f>
        <v>3</v>
      </c>
      <c r="L1158" s="69">
        <f>STOCK[[#This Row],[Entradas]]-STOCK[[#This Row],[Salidas]]</f>
        <v>0</v>
      </c>
      <c r="M1158" s="53">
        <f>STOCK[[#This Row],[Precio Final]]*10%</f>
        <v>3.6</v>
      </c>
      <c r="N1158" s="53">
        <v>0</v>
      </c>
      <c r="O1158" s="53">
        <v>0</v>
      </c>
      <c r="P1158" s="53">
        <v>17.5</v>
      </c>
      <c r="Q1158" s="69">
        <v>730</v>
      </c>
      <c r="R1158" s="53">
        <v>7.81</v>
      </c>
      <c r="S1158" s="53">
        <v>1.97</v>
      </c>
      <c r="T1158" s="53">
        <f>STOCK[[#This Row],[Costo Unitario (USD)]]+STOCK[[#This Row],[Costo Envío (USD)]]+STOCK[[#This Row],[Comisión 10%]]</f>
        <v>23.07</v>
      </c>
      <c r="U1158" s="53">
        <f>STOCK[[#This Row],[Costo total]]*1.5</f>
        <v>34.605000000000004</v>
      </c>
      <c r="V1158" s="53">
        <v>36</v>
      </c>
      <c r="W1158" s="53">
        <f>STOCK[[#This Row],[Precio Final]]-STOCK[[#This Row],[Costo total]]</f>
        <v>12.93</v>
      </c>
      <c r="X1158" s="53">
        <f>STOCK[[#This Row],[Ganancia Unitaria]]*STOCK[[#This Row],[Salidas]]</f>
        <v>38.79</v>
      </c>
      <c r="Y1158" s="53" t="s">
        <v>2453</v>
      </c>
      <c r="AA1158" s="54">
        <f>STOCK[[#This Row],[Costo total]]*STOCK[[#This Row],[Entradas]]</f>
        <v>69.210000000000008</v>
      </c>
      <c r="AB1158" s="54">
        <f>STOCK[[#This Row],[Stock Actual]]*STOCK[[#This Row],[Costo total]]</f>
        <v>0</v>
      </c>
    </row>
    <row r="1159" spans="1:29" s="53" customFormat="1" ht="50" customHeight="1">
      <c r="A1159" s="54" t="s">
        <v>2456</v>
      </c>
      <c r="B1159" s="64"/>
      <c r="C1159" s="54" t="s">
        <v>32</v>
      </c>
      <c r="D1159" s="53" t="s">
        <v>1482</v>
      </c>
      <c r="E1159" s="66" t="s">
        <v>2457</v>
      </c>
      <c r="F1159" s="54" t="s">
        <v>540</v>
      </c>
      <c r="G1159" s="54" t="s">
        <v>2452</v>
      </c>
      <c r="H1159" s="54">
        <f>STOCK[[#This Row],[Precio Final]]</f>
        <v>35</v>
      </c>
      <c r="I1159" s="54">
        <f>STOCK[[#This Row],[Precio Venta Ideal (x1.5)]]</f>
        <v>38.204999999999998</v>
      </c>
      <c r="J1159" s="70">
        <v>3</v>
      </c>
      <c r="K1159" s="70">
        <f>SUMIFS(VENTAS[Cantidad],VENTAS[Código del producto Vendido],STOCK[[#This Row],[Code]])</f>
        <v>3</v>
      </c>
      <c r="L1159" s="70">
        <f>STOCK[[#This Row],[Entradas]]-STOCK[[#This Row],[Salidas]]</f>
        <v>0</v>
      </c>
      <c r="M1159" s="54">
        <f>STOCK[[#This Row],[Precio Final]]*10%</f>
        <v>3.5</v>
      </c>
      <c r="N1159" s="54">
        <v>0</v>
      </c>
      <c r="O1159" s="54">
        <v>0</v>
      </c>
      <c r="P1159" s="54">
        <v>20</v>
      </c>
      <c r="Q1159" s="70">
        <v>540</v>
      </c>
      <c r="R1159" s="54">
        <v>7.81</v>
      </c>
      <c r="S1159" s="53">
        <v>1.97</v>
      </c>
      <c r="T1159" s="53">
        <f>STOCK[[#This Row],[Costo Unitario (USD)]]+STOCK[[#This Row],[Costo Envío (USD)]]+STOCK[[#This Row],[Comisión 10%]]</f>
        <v>25.47</v>
      </c>
      <c r="U1159" s="54">
        <f>STOCK[[#This Row],[Costo total]]*1.5</f>
        <v>38.204999999999998</v>
      </c>
      <c r="V1159" s="54">
        <v>35</v>
      </c>
      <c r="W1159" s="54">
        <f>STOCK[[#This Row],[Precio Final]]-STOCK[[#This Row],[Costo total]]</f>
        <v>9.5300000000000011</v>
      </c>
      <c r="X1159" s="54">
        <f>STOCK[[#This Row],[Ganancia Unitaria]]*STOCK[[#This Row],[Salidas]]</f>
        <v>28.590000000000003</v>
      </c>
      <c r="Y1159" s="54" t="s">
        <v>2453</v>
      </c>
      <c r="Z1159" s="54"/>
      <c r="AA1159" s="54">
        <f>STOCK[[#This Row],[Costo total]]*STOCK[[#This Row],[Entradas]]</f>
        <v>76.41</v>
      </c>
      <c r="AB1159" s="54">
        <f>STOCK[[#This Row],[Stock Actual]]*STOCK[[#This Row],[Costo total]]</f>
        <v>0</v>
      </c>
      <c r="AC1159" s="54"/>
    </row>
    <row r="1160" spans="1:29" s="54" customFormat="1" ht="50" customHeight="1">
      <c r="A1160" s="53" t="s">
        <v>2458</v>
      </c>
      <c r="B1160" s="64"/>
      <c r="C1160" s="53" t="s">
        <v>32</v>
      </c>
      <c r="D1160" s="53" t="s">
        <v>1482</v>
      </c>
      <c r="E1160" s="65" t="s">
        <v>2457</v>
      </c>
      <c r="F1160" s="53" t="s">
        <v>765</v>
      </c>
      <c r="G1160" s="53" t="s">
        <v>2452</v>
      </c>
      <c r="H1160" s="53">
        <f>STOCK[[#This Row],[Precio Final]]</f>
        <v>35</v>
      </c>
      <c r="I1160" s="53">
        <f>STOCK[[#This Row],[Precio Venta Ideal (x1.5)]]</f>
        <v>38.204999999999998</v>
      </c>
      <c r="J1160" s="69">
        <v>2</v>
      </c>
      <c r="K1160" s="69">
        <f>SUMIFS(VENTAS[Cantidad],VENTAS[Código del producto Vendido],STOCK[[#This Row],[Code]])</f>
        <v>2</v>
      </c>
      <c r="L1160" s="69">
        <f>STOCK[[#This Row],[Entradas]]-STOCK[[#This Row],[Salidas]]</f>
        <v>0</v>
      </c>
      <c r="M1160" s="53">
        <f>STOCK[[#This Row],[Precio Final]]*10%</f>
        <v>3.5</v>
      </c>
      <c r="N1160" s="53">
        <v>0</v>
      </c>
      <c r="O1160" s="53">
        <v>0</v>
      </c>
      <c r="P1160" s="53">
        <v>20</v>
      </c>
      <c r="Q1160" s="69">
        <v>540</v>
      </c>
      <c r="R1160" s="53">
        <v>7.81</v>
      </c>
      <c r="S1160" s="53">
        <v>1.97</v>
      </c>
      <c r="T1160" s="53">
        <f>STOCK[[#This Row],[Costo Unitario (USD)]]+STOCK[[#This Row],[Costo Envío (USD)]]+STOCK[[#This Row],[Comisión 10%]]</f>
        <v>25.47</v>
      </c>
      <c r="U1160" s="53">
        <f>STOCK[[#This Row],[Costo total]]*1.5</f>
        <v>38.204999999999998</v>
      </c>
      <c r="V1160" s="53">
        <v>35</v>
      </c>
      <c r="W1160" s="53">
        <f>STOCK[[#This Row],[Precio Final]]-STOCK[[#This Row],[Costo total]]</f>
        <v>9.5300000000000011</v>
      </c>
      <c r="X1160" s="53">
        <f>STOCK[[#This Row],[Ganancia Unitaria]]*STOCK[[#This Row],[Salidas]]</f>
        <v>19.060000000000002</v>
      </c>
      <c r="Y1160" s="53" t="s">
        <v>2453</v>
      </c>
      <c r="Z1160" s="53"/>
      <c r="AA1160" s="54">
        <f>STOCK[[#This Row],[Costo total]]*STOCK[[#This Row],[Entradas]]</f>
        <v>50.94</v>
      </c>
      <c r="AB1160" s="54">
        <f>STOCK[[#This Row],[Stock Actual]]*STOCK[[#This Row],[Costo total]]</f>
        <v>0</v>
      </c>
      <c r="AC1160" s="53"/>
    </row>
    <row r="1161" spans="1:29" s="53" customFormat="1" ht="50" customHeight="1">
      <c r="A1161" s="54" t="s">
        <v>2459</v>
      </c>
      <c r="B1161" s="64"/>
      <c r="C1161" s="54" t="s">
        <v>32</v>
      </c>
      <c r="D1161" s="53" t="s">
        <v>1482</v>
      </c>
      <c r="E1161" s="66" t="s">
        <v>2457</v>
      </c>
      <c r="F1161" s="54" t="s">
        <v>517</v>
      </c>
      <c r="G1161" s="54" t="s">
        <v>2452</v>
      </c>
      <c r="H1161" s="54">
        <f>STOCK[[#This Row],[Precio Final]]</f>
        <v>35</v>
      </c>
      <c r="I1161" s="54">
        <f>STOCK[[#This Row],[Precio Venta Ideal (x1.5)]]</f>
        <v>38.204999999999998</v>
      </c>
      <c r="J1161" s="70">
        <v>2</v>
      </c>
      <c r="K1161" s="70">
        <f>SUMIFS(VENTAS[Cantidad],VENTAS[Código del producto Vendido],STOCK[[#This Row],[Code]])</f>
        <v>2</v>
      </c>
      <c r="L1161" s="70">
        <f>STOCK[[#This Row],[Entradas]]-STOCK[[#This Row],[Salidas]]</f>
        <v>0</v>
      </c>
      <c r="M1161" s="54">
        <f>STOCK[[#This Row],[Precio Final]]*10%</f>
        <v>3.5</v>
      </c>
      <c r="N1161" s="54">
        <v>0</v>
      </c>
      <c r="O1161" s="54">
        <v>0</v>
      </c>
      <c r="P1161" s="54">
        <v>20</v>
      </c>
      <c r="Q1161" s="70">
        <v>540</v>
      </c>
      <c r="R1161" s="54">
        <v>7.81</v>
      </c>
      <c r="S1161" s="53">
        <v>1.97</v>
      </c>
      <c r="T1161" s="53">
        <f>STOCK[[#This Row],[Costo Unitario (USD)]]+STOCK[[#This Row],[Costo Envío (USD)]]+STOCK[[#This Row],[Comisión 10%]]</f>
        <v>25.47</v>
      </c>
      <c r="U1161" s="54">
        <f>STOCK[[#This Row],[Costo total]]*1.5</f>
        <v>38.204999999999998</v>
      </c>
      <c r="V1161" s="54">
        <v>35</v>
      </c>
      <c r="W1161" s="54">
        <f>STOCK[[#This Row],[Precio Final]]-STOCK[[#This Row],[Costo total]]</f>
        <v>9.5300000000000011</v>
      </c>
      <c r="X1161" s="54">
        <f>STOCK[[#This Row],[Ganancia Unitaria]]*STOCK[[#This Row],[Salidas]]</f>
        <v>19.060000000000002</v>
      </c>
      <c r="Y1161" s="54" t="s">
        <v>2453</v>
      </c>
      <c r="Z1161" s="54"/>
      <c r="AA1161" s="54">
        <f>STOCK[[#This Row],[Costo total]]*STOCK[[#This Row],[Entradas]]</f>
        <v>50.94</v>
      </c>
      <c r="AB1161" s="54">
        <f>STOCK[[#This Row],[Stock Actual]]*STOCK[[#This Row],[Costo total]]</f>
        <v>0</v>
      </c>
      <c r="AC1161" s="54"/>
    </row>
    <row r="1162" spans="1:29" s="54" customFormat="1" ht="50" customHeight="1">
      <c r="A1162" s="53" t="s">
        <v>2460</v>
      </c>
      <c r="B1162" s="64"/>
      <c r="C1162" s="53" t="s">
        <v>32</v>
      </c>
      <c r="D1162" s="53" t="s">
        <v>1482</v>
      </c>
      <c r="E1162" s="65" t="s">
        <v>2457</v>
      </c>
      <c r="F1162" s="53" t="s">
        <v>1102</v>
      </c>
      <c r="G1162" s="53" t="s">
        <v>2452</v>
      </c>
      <c r="H1162" s="53">
        <f>STOCK[[#This Row],[Precio Final]]</f>
        <v>35</v>
      </c>
      <c r="I1162" s="53">
        <f>STOCK[[#This Row],[Precio Venta Ideal (x1.5)]]</f>
        <v>38.204999999999998</v>
      </c>
      <c r="J1162" s="69">
        <v>2</v>
      </c>
      <c r="K1162" s="69">
        <f>SUMIFS(VENTAS[Cantidad],VENTAS[Código del producto Vendido],STOCK[[#This Row],[Code]])</f>
        <v>2</v>
      </c>
      <c r="L1162" s="69">
        <f>STOCK[[#This Row],[Entradas]]-STOCK[[#This Row],[Salidas]]</f>
        <v>0</v>
      </c>
      <c r="M1162" s="53">
        <f>STOCK[[#This Row],[Precio Final]]*10%</f>
        <v>3.5</v>
      </c>
      <c r="N1162" s="53">
        <v>0</v>
      </c>
      <c r="O1162" s="53">
        <v>0</v>
      </c>
      <c r="P1162" s="53">
        <v>20</v>
      </c>
      <c r="Q1162" s="69">
        <v>540</v>
      </c>
      <c r="R1162" s="53">
        <v>7.81</v>
      </c>
      <c r="S1162" s="53">
        <v>1.97</v>
      </c>
      <c r="T1162" s="53">
        <f>STOCK[[#This Row],[Costo Unitario (USD)]]+STOCK[[#This Row],[Costo Envío (USD)]]+STOCK[[#This Row],[Comisión 10%]]</f>
        <v>25.47</v>
      </c>
      <c r="U1162" s="53">
        <f>STOCK[[#This Row],[Costo total]]*1.5</f>
        <v>38.204999999999998</v>
      </c>
      <c r="V1162" s="53">
        <v>35</v>
      </c>
      <c r="W1162" s="53">
        <f>STOCK[[#This Row],[Precio Final]]-STOCK[[#This Row],[Costo total]]</f>
        <v>9.5300000000000011</v>
      </c>
      <c r="X1162" s="53">
        <f>STOCK[[#This Row],[Ganancia Unitaria]]*STOCK[[#This Row],[Salidas]]</f>
        <v>19.060000000000002</v>
      </c>
      <c r="Y1162" s="53" t="s">
        <v>2453</v>
      </c>
      <c r="Z1162" s="53"/>
      <c r="AA1162" s="54">
        <f>STOCK[[#This Row],[Costo total]]*STOCK[[#This Row],[Entradas]]</f>
        <v>50.94</v>
      </c>
      <c r="AB1162" s="54">
        <f>STOCK[[#This Row],[Stock Actual]]*STOCK[[#This Row],[Costo total]]</f>
        <v>0</v>
      </c>
      <c r="AC1162" s="53"/>
    </row>
    <row r="1163" spans="1:29" s="53" customFormat="1" ht="50" customHeight="1">
      <c r="A1163" s="53" t="s">
        <v>2461</v>
      </c>
      <c r="B1163" s="64"/>
      <c r="C1163" s="53" t="s">
        <v>32</v>
      </c>
      <c r="D1163" s="53" t="s">
        <v>1482</v>
      </c>
      <c r="E1163" s="65" t="s">
        <v>2462</v>
      </c>
      <c r="F1163" s="53" t="s">
        <v>1102</v>
      </c>
      <c r="G1163" s="53" t="s">
        <v>2452</v>
      </c>
      <c r="H1163" s="53">
        <f>STOCK[[#This Row],[Precio Final]]</f>
        <v>45</v>
      </c>
      <c r="I1163" s="53">
        <f>STOCK[[#This Row],[Precio Venta Ideal (x1.5)]]</f>
        <v>43.454999999999998</v>
      </c>
      <c r="J1163" s="69">
        <v>2</v>
      </c>
      <c r="K1163" s="69">
        <f>SUMIFS(VENTAS[Cantidad],VENTAS[Código del producto Vendido],STOCK[[#This Row],[Code]])</f>
        <v>1</v>
      </c>
      <c r="L1163" s="69">
        <f>STOCK[[#This Row],[Entradas]]-STOCK[[#This Row],[Salidas]]</f>
        <v>1</v>
      </c>
      <c r="M1163" s="53">
        <f>STOCK[[#This Row],[Precio Final]]*10%</f>
        <v>4.5</v>
      </c>
      <c r="N1163" s="53">
        <v>0</v>
      </c>
      <c r="O1163" s="53">
        <v>0</v>
      </c>
      <c r="P1163" s="53">
        <v>22.5</v>
      </c>
      <c r="Q1163" s="69">
        <v>0</v>
      </c>
      <c r="R1163" s="53">
        <v>7.81</v>
      </c>
      <c r="S1163" s="53">
        <v>1.97</v>
      </c>
      <c r="T1163" s="53">
        <f>STOCK[[#This Row],[Costo Unitario (USD)]]+STOCK[[#This Row],[Costo Envío (USD)]]+STOCK[[#This Row],[Comisión 10%]]</f>
        <v>28.97</v>
      </c>
      <c r="U1163" s="53">
        <f>STOCK[[#This Row],[Costo total]]*1.5</f>
        <v>43.454999999999998</v>
      </c>
      <c r="V1163" s="53">
        <v>45</v>
      </c>
      <c r="W1163" s="53">
        <f>STOCK[[#This Row],[Precio Final]]-STOCK[[#This Row],[Costo total]]</f>
        <v>16.03</v>
      </c>
      <c r="X1163" s="53">
        <f>STOCK[[#This Row],[Ganancia Unitaria]]*STOCK[[#This Row],[Salidas]]</f>
        <v>16.03</v>
      </c>
      <c r="Y1163" s="53" t="s">
        <v>2453</v>
      </c>
      <c r="AA1163" s="54">
        <f>STOCK[[#This Row],[Costo total]]*STOCK[[#This Row],[Entradas]]</f>
        <v>57.94</v>
      </c>
      <c r="AB1163" s="54">
        <f>STOCK[[#This Row],[Stock Actual]]*STOCK[[#This Row],[Costo total]]</f>
        <v>28.97</v>
      </c>
    </row>
    <row r="1164" spans="1:29" s="54" customFormat="1" ht="50" customHeight="1">
      <c r="A1164" s="54" t="s">
        <v>2463</v>
      </c>
      <c r="B1164" s="64"/>
      <c r="C1164" s="54" t="s">
        <v>32</v>
      </c>
      <c r="D1164" s="53" t="s">
        <v>1482</v>
      </c>
      <c r="E1164" s="66" t="s">
        <v>2462</v>
      </c>
      <c r="F1164" s="54" t="s">
        <v>759</v>
      </c>
      <c r="G1164" s="54" t="s">
        <v>2452</v>
      </c>
      <c r="H1164" s="54">
        <f>STOCK[[#This Row],[Precio Final]]</f>
        <v>45</v>
      </c>
      <c r="I1164" s="54">
        <f>STOCK[[#This Row],[Precio Venta Ideal (x1.5)]]</f>
        <v>43.454999999999998</v>
      </c>
      <c r="J1164" s="70">
        <v>2</v>
      </c>
      <c r="K1164" s="70">
        <f>SUMIFS(VENTAS[Cantidad],VENTAS[Código del producto Vendido],STOCK[[#This Row],[Code]])</f>
        <v>0</v>
      </c>
      <c r="L1164" s="70">
        <f>STOCK[[#This Row],[Entradas]]-STOCK[[#This Row],[Salidas]]</f>
        <v>2</v>
      </c>
      <c r="M1164" s="54">
        <f>STOCK[[#This Row],[Precio Final]]*10%</f>
        <v>4.5</v>
      </c>
      <c r="N1164" s="54">
        <v>0</v>
      </c>
      <c r="O1164" s="54">
        <v>0</v>
      </c>
      <c r="P1164" s="54">
        <v>22.5</v>
      </c>
      <c r="Q1164" s="70">
        <v>0</v>
      </c>
      <c r="R1164" s="54">
        <v>7.81</v>
      </c>
      <c r="S1164" s="53">
        <v>1.97</v>
      </c>
      <c r="T1164" s="53">
        <f>STOCK[[#This Row],[Costo Unitario (USD)]]+STOCK[[#This Row],[Costo Envío (USD)]]+STOCK[[#This Row],[Comisión 10%]]</f>
        <v>28.97</v>
      </c>
      <c r="U1164" s="54">
        <f>STOCK[[#This Row],[Costo total]]*1.5</f>
        <v>43.454999999999998</v>
      </c>
      <c r="V1164" s="54">
        <v>45</v>
      </c>
      <c r="W1164" s="54">
        <f>STOCK[[#This Row],[Precio Final]]-STOCK[[#This Row],[Costo total]]</f>
        <v>16.03</v>
      </c>
      <c r="X1164" s="54">
        <f>STOCK[[#This Row],[Ganancia Unitaria]]*STOCK[[#This Row],[Salidas]]</f>
        <v>0</v>
      </c>
      <c r="Y1164" s="54" t="s">
        <v>2453</v>
      </c>
      <c r="AA1164" s="54">
        <f>STOCK[[#This Row],[Costo total]]*STOCK[[#This Row],[Entradas]]</f>
        <v>57.94</v>
      </c>
      <c r="AB1164" s="54">
        <f>STOCK[[#This Row],[Stock Actual]]*STOCK[[#This Row],[Costo total]]</f>
        <v>57.94</v>
      </c>
    </row>
    <row r="1165" spans="1:29" s="53" customFormat="1" ht="50" customHeight="1">
      <c r="A1165" s="53" t="s">
        <v>2464</v>
      </c>
      <c r="B1165" s="64"/>
      <c r="C1165" s="53" t="s">
        <v>32</v>
      </c>
      <c r="D1165" s="53" t="s">
        <v>1482</v>
      </c>
      <c r="E1165" s="65" t="s">
        <v>2465</v>
      </c>
      <c r="F1165" s="53" t="s">
        <v>1102</v>
      </c>
      <c r="G1165" s="53" t="s">
        <v>2452</v>
      </c>
      <c r="H1165" s="53">
        <f>STOCK[[#This Row],[Precio Final]]</f>
        <v>35</v>
      </c>
      <c r="I1165" s="53">
        <f>STOCK[[#This Row],[Precio Venta Ideal (x1.5)]]</f>
        <v>38.204999999999998</v>
      </c>
      <c r="J1165" s="69">
        <v>2</v>
      </c>
      <c r="K1165" s="69">
        <f>SUMIFS(VENTAS[Cantidad],VENTAS[Código del producto Vendido],STOCK[[#This Row],[Code]])</f>
        <v>2</v>
      </c>
      <c r="L1165" s="69">
        <f>STOCK[[#This Row],[Entradas]]-STOCK[[#This Row],[Salidas]]</f>
        <v>0</v>
      </c>
      <c r="M1165" s="53">
        <f>STOCK[[#This Row],[Precio Final]]*10%</f>
        <v>3.5</v>
      </c>
      <c r="N1165" s="53">
        <v>0</v>
      </c>
      <c r="O1165" s="53">
        <v>0</v>
      </c>
      <c r="P1165" s="53">
        <v>20</v>
      </c>
      <c r="Q1165" s="69">
        <v>0</v>
      </c>
      <c r="R1165" s="53">
        <v>7.81</v>
      </c>
      <c r="S1165" s="53">
        <v>1.97</v>
      </c>
      <c r="T1165" s="53">
        <f>STOCK[[#This Row],[Costo Unitario (USD)]]+STOCK[[#This Row],[Costo Envío (USD)]]+STOCK[[#This Row],[Comisión 10%]]</f>
        <v>25.47</v>
      </c>
      <c r="U1165" s="53">
        <f>STOCK[[#This Row],[Costo total]]*1.5</f>
        <v>38.204999999999998</v>
      </c>
      <c r="V1165" s="53">
        <v>35</v>
      </c>
      <c r="W1165" s="53">
        <f>STOCK[[#This Row],[Precio Final]]-STOCK[[#This Row],[Costo total]]</f>
        <v>9.5300000000000011</v>
      </c>
      <c r="X1165" s="53">
        <f>STOCK[[#This Row],[Ganancia Unitaria]]*STOCK[[#This Row],[Salidas]]</f>
        <v>19.060000000000002</v>
      </c>
      <c r="Y1165" s="53" t="s">
        <v>2453</v>
      </c>
      <c r="AA1165" s="54">
        <f>STOCK[[#This Row],[Costo total]]*STOCK[[#This Row],[Entradas]]</f>
        <v>50.94</v>
      </c>
      <c r="AB1165" s="54">
        <f>STOCK[[#This Row],[Stock Actual]]*STOCK[[#This Row],[Costo total]]</f>
        <v>0</v>
      </c>
    </row>
    <row r="1166" spans="1:29" s="54" customFormat="1" ht="50" customHeight="1">
      <c r="A1166" s="54" t="s">
        <v>2466</v>
      </c>
      <c r="B1166" s="64"/>
      <c r="C1166" s="54" t="s">
        <v>32</v>
      </c>
      <c r="D1166" s="53" t="s">
        <v>1482</v>
      </c>
      <c r="E1166" s="66" t="s">
        <v>2465</v>
      </c>
      <c r="F1166" s="54" t="s">
        <v>517</v>
      </c>
      <c r="G1166" s="54" t="s">
        <v>2452</v>
      </c>
      <c r="H1166" s="54">
        <f>STOCK[[#This Row],[Precio Final]]</f>
        <v>35</v>
      </c>
      <c r="I1166" s="54">
        <f>STOCK[[#This Row],[Precio Venta Ideal (x1.5)]]</f>
        <v>38.204999999999998</v>
      </c>
      <c r="J1166" s="70">
        <v>2</v>
      </c>
      <c r="K1166" s="70">
        <f>SUMIFS(VENTAS[Cantidad],VENTAS[Código del producto Vendido],STOCK[[#This Row],[Code]])</f>
        <v>2</v>
      </c>
      <c r="L1166" s="70">
        <f>STOCK[[#This Row],[Entradas]]-STOCK[[#This Row],[Salidas]]</f>
        <v>0</v>
      </c>
      <c r="M1166" s="54">
        <f>STOCK[[#This Row],[Precio Final]]*10%</f>
        <v>3.5</v>
      </c>
      <c r="N1166" s="54">
        <v>0</v>
      </c>
      <c r="O1166" s="54">
        <v>0</v>
      </c>
      <c r="P1166" s="54">
        <v>20</v>
      </c>
      <c r="Q1166" s="70">
        <v>0</v>
      </c>
      <c r="R1166" s="54">
        <v>7.81</v>
      </c>
      <c r="S1166" s="54">
        <v>1.97</v>
      </c>
      <c r="T1166" s="53">
        <f>STOCK[[#This Row],[Costo Unitario (USD)]]+STOCK[[#This Row],[Costo Envío (USD)]]+STOCK[[#This Row],[Comisión 10%]]</f>
        <v>25.47</v>
      </c>
      <c r="U1166" s="54">
        <f>STOCK[[#This Row],[Costo total]]*1.5</f>
        <v>38.204999999999998</v>
      </c>
      <c r="V1166" s="54">
        <v>35</v>
      </c>
      <c r="W1166" s="54">
        <f>STOCK[[#This Row],[Precio Final]]-STOCK[[#This Row],[Costo total]]</f>
        <v>9.5300000000000011</v>
      </c>
      <c r="X1166" s="54">
        <f>STOCK[[#This Row],[Ganancia Unitaria]]*STOCK[[#This Row],[Salidas]]</f>
        <v>19.060000000000002</v>
      </c>
      <c r="Y1166" s="54" t="s">
        <v>2453</v>
      </c>
      <c r="AA1166" s="54">
        <f>STOCK[[#This Row],[Costo total]]*STOCK[[#This Row],[Entradas]]</f>
        <v>50.94</v>
      </c>
      <c r="AB1166" s="54">
        <f>STOCK[[#This Row],[Stock Actual]]*STOCK[[#This Row],[Costo total]]</f>
        <v>0</v>
      </c>
    </row>
    <row r="1167" spans="1:29" s="53" customFormat="1" ht="50" customHeight="1">
      <c r="A1167" s="53" t="s">
        <v>2467</v>
      </c>
      <c r="B1167" s="64"/>
      <c r="C1167" s="53" t="s">
        <v>32</v>
      </c>
      <c r="D1167" s="53" t="s">
        <v>1482</v>
      </c>
      <c r="E1167" s="65" t="s">
        <v>2465</v>
      </c>
      <c r="F1167" s="53" t="s">
        <v>540</v>
      </c>
      <c r="G1167" s="53" t="s">
        <v>2452</v>
      </c>
      <c r="H1167" s="53">
        <f>STOCK[[#This Row],[Precio Final]]</f>
        <v>35</v>
      </c>
      <c r="I1167" s="53">
        <f>STOCK[[#This Row],[Precio Venta Ideal (x1.5)]]</f>
        <v>38.204999999999998</v>
      </c>
      <c r="J1167" s="69">
        <v>2</v>
      </c>
      <c r="K1167" s="69">
        <f>SUMIFS(VENTAS[Cantidad],VENTAS[Código del producto Vendido],STOCK[[#This Row],[Code]])</f>
        <v>2</v>
      </c>
      <c r="L1167" s="69">
        <f>STOCK[[#This Row],[Entradas]]-STOCK[[#This Row],[Salidas]]</f>
        <v>0</v>
      </c>
      <c r="M1167" s="53">
        <f>STOCK[[#This Row],[Precio Final]]*10%</f>
        <v>3.5</v>
      </c>
      <c r="N1167" s="53">
        <v>0</v>
      </c>
      <c r="O1167" s="53">
        <v>0</v>
      </c>
      <c r="P1167" s="53">
        <v>20</v>
      </c>
      <c r="Q1167" s="69">
        <v>0</v>
      </c>
      <c r="R1167" s="53">
        <v>7.81</v>
      </c>
      <c r="S1167" s="53">
        <v>1.97</v>
      </c>
      <c r="T1167" s="53">
        <f>STOCK[[#This Row],[Costo Unitario (USD)]]+STOCK[[#This Row],[Costo Envío (USD)]]+STOCK[[#This Row],[Comisión 10%]]</f>
        <v>25.47</v>
      </c>
      <c r="U1167" s="53">
        <f>STOCK[[#This Row],[Costo total]]*1.5</f>
        <v>38.204999999999998</v>
      </c>
      <c r="V1167" s="53">
        <v>35</v>
      </c>
      <c r="W1167" s="53">
        <f>STOCK[[#This Row],[Precio Final]]-STOCK[[#This Row],[Costo total]]</f>
        <v>9.5300000000000011</v>
      </c>
      <c r="X1167" s="53">
        <f>STOCK[[#This Row],[Ganancia Unitaria]]*STOCK[[#This Row],[Salidas]]</f>
        <v>19.060000000000002</v>
      </c>
      <c r="Y1167" s="53" t="s">
        <v>2453</v>
      </c>
      <c r="AA1167" s="54">
        <f>STOCK[[#This Row],[Costo total]]*STOCK[[#This Row],[Entradas]]</f>
        <v>50.94</v>
      </c>
      <c r="AB1167" s="54">
        <f>STOCK[[#This Row],[Stock Actual]]*STOCK[[#This Row],[Costo total]]</f>
        <v>0</v>
      </c>
    </row>
    <row r="1168" spans="1:29" s="54" customFormat="1" ht="50" customHeight="1">
      <c r="A1168" s="54" t="s">
        <v>2468</v>
      </c>
      <c r="B1168" s="64"/>
      <c r="C1168" s="54" t="s">
        <v>32</v>
      </c>
      <c r="D1168" s="53" t="s">
        <v>1482</v>
      </c>
      <c r="E1168" s="66" t="s">
        <v>2465</v>
      </c>
      <c r="F1168" s="54" t="s">
        <v>765</v>
      </c>
      <c r="G1168" s="54" t="s">
        <v>2452</v>
      </c>
      <c r="H1168" s="54">
        <f>STOCK[[#This Row],[Precio Final]]</f>
        <v>35</v>
      </c>
      <c r="I1168" s="54">
        <f>STOCK[[#This Row],[Precio Venta Ideal (x1.5)]]</f>
        <v>38.204999999999998</v>
      </c>
      <c r="J1168" s="70">
        <v>2</v>
      </c>
      <c r="K1168" s="70">
        <f>SUMIFS(VENTAS[Cantidad],VENTAS[Código del producto Vendido],STOCK[[#This Row],[Code]])</f>
        <v>2</v>
      </c>
      <c r="L1168" s="70">
        <f>STOCK[[#This Row],[Entradas]]-STOCK[[#This Row],[Salidas]]</f>
        <v>0</v>
      </c>
      <c r="M1168" s="54">
        <f>STOCK[[#This Row],[Precio Final]]*10%</f>
        <v>3.5</v>
      </c>
      <c r="N1168" s="54">
        <v>0</v>
      </c>
      <c r="O1168" s="54">
        <v>0</v>
      </c>
      <c r="P1168" s="54">
        <v>20</v>
      </c>
      <c r="Q1168" s="70">
        <v>0</v>
      </c>
      <c r="R1168" s="54">
        <v>7.81</v>
      </c>
      <c r="S1168" s="54">
        <v>1.97</v>
      </c>
      <c r="T1168" s="53">
        <f>STOCK[[#This Row],[Costo Unitario (USD)]]+STOCK[[#This Row],[Costo Envío (USD)]]+STOCK[[#This Row],[Comisión 10%]]</f>
        <v>25.47</v>
      </c>
      <c r="U1168" s="54">
        <f>STOCK[[#This Row],[Costo total]]*1.5</f>
        <v>38.204999999999998</v>
      </c>
      <c r="V1168" s="54">
        <v>35</v>
      </c>
      <c r="W1168" s="54">
        <f>STOCK[[#This Row],[Precio Final]]-STOCK[[#This Row],[Costo total]]</f>
        <v>9.5300000000000011</v>
      </c>
      <c r="X1168" s="54">
        <f>STOCK[[#This Row],[Ganancia Unitaria]]*STOCK[[#This Row],[Salidas]]</f>
        <v>19.060000000000002</v>
      </c>
      <c r="Y1168" s="54" t="s">
        <v>2453</v>
      </c>
      <c r="AA1168" s="54">
        <f>STOCK[[#This Row],[Costo total]]*STOCK[[#This Row],[Entradas]]</f>
        <v>50.94</v>
      </c>
      <c r="AB1168" s="54">
        <f>STOCK[[#This Row],[Stock Actual]]*STOCK[[#This Row],[Costo total]]</f>
        <v>0</v>
      </c>
    </row>
    <row r="1169" spans="1:28" s="53" customFormat="1" ht="50" customHeight="1">
      <c r="A1169" s="53" t="s">
        <v>2469</v>
      </c>
      <c r="B1169" s="64"/>
      <c r="C1169" s="53" t="s">
        <v>32</v>
      </c>
      <c r="D1169" s="53" t="s">
        <v>1482</v>
      </c>
      <c r="E1169" s="65" t="s">
        <v>2470</v>
      </c>
      <c r="F1169" s="53" t="s">
        <v>765</v>
      </c>
      <c r="G1169" s="53" t="s">
        <v>2452</v>
      </c>
      <c r="H1169" s="53">
        <f>STOCK[[#This Row],[Precio Final]]</f>
        <v>40</v>
      </c>
      <c r="I1169" s="53">
        <f>STOCK[[#This Row],[Precio Venta Ideal (x1.5)]]</f>
        <v>35.131050000000002</v>
      </c>
      <c r="J1169" s="69">
        <v>1</v>
      </c>
      <c r="K1169" s="69">
        <f>SUMIFS(VENTAS[Cantidad],VENTAS[Código del producto Vendido],STOCK[[#This Row],[Code]])</f>
        <v>0</v>
      </c>
      <c r="L1169" s="69">
        <f>STOCK[[#This Row],[Entradas]]-STOCK[[#This Row],[Salidas]]</f>
        <v>1</v>
      </c>
      <c r="M1169" s="53">
        <f>STOCK[[#This Row],[Precio Final]]*10%</f>
        <v>4</v>
      </c>
      <c r="N1169" s="53">
        <v>0</v>
      </c>
      <c r="O1169" s="53">
        <v>0</v>
      </c>
      <c r="P1169" s="53">
        <v>15.75</v>
      </c>
      <c r="Q1169" s="69">
        <v>470</v>
      </c>
      <c r="R1169" s="53">
        <v>7.81</v>
      </c>
      <c r="S1169" s="53">
        <v>3.6707000000000001</v>
      </c>
      <c r="T1169" s="53">
        <f>STOCK[[#This Row],[Costo Unitario (USD)]]+STOCK[[#This Row],[Costo Envío (USD)]]+STOCK[[#This Row],[Comisión 10%]]</f>
        <v>23.4207</v>
      </c>
      <c r="U1169" s="53">
        <f>STOCK[[#This Row],[Costo total]]*1.5</f>
        <v>35.131050000000002</v>
      </c>
      <c r="V1169" s="53">
        <v>40</v>
      </c>
      <c r="W1169" s="53">
        <f>STOCK[[#This Row],[Precio Final]]-STOCK[[#This Row],[Costo total]]</f>
        <v>16.5793</v>
      </c>
      <c r="X1169" s="53">
        <f>STOCK[[#This Row],[Ganancia Unitaria]]*STOCK[[#This Row],[Salidas]]</f>
        <v>0</v>
      </c>
      <c r="Y1169" s="53" t="s">
        <v>2453</v>
      </c>
      <c r="AA1169" s="54">
        <f>STOCK[[#This Row],[Costo total]]*STOCK[[#This Row],[Entradas]]</f>
        <v>23.4207</v>
      </c>
      <c r="AB1169" s="54">
        <f>STOCK[[#This Row],[Stock Actual]]*STOCK[[#This Row],[Costo total]]</f>
        <v>23.4207</v>
      </c>
    </row>
    <row r="1170" spans="1:28" s="54" customFormat="1" ht="50" customHeight="1">
      <c r="A1170" s="54" t="s">
        <v>2471</v>
      </c>
      <c r="B1170" s="64"/>
      <c r="C1170" s="54" t="s">
        <v>32</v>
      </c>
      <c r="D1170" s="53" t="s">
        <v>1482</v>
      </c>
      <c r="E1170" s="66" t="s">
        <v>2472</v>
      </c>
      <c r="F1170" s="54" t="s">
        <v>765</v>
      </c>
      <c r="G1170" s="54" t="s">
        <v>2452</v>
      </c>
      <c r="H1170" s="54">
        <f>STOCK[[#This Row],[Precio Final]]</f>
        <v>35</v>
      </c>
      <c r="I1170" s="54">
        <f>STOCK[[#This Row],[Precio Venta Ideal (x1.5)]]</f>
        <v>36.947474999999997</v>
      </c>
      <c r="J1170" s="70">
        <v>1</v>
      </c>
      <c r="K1170" s="70">
        <f>SUMIFS(VENTAS[Cantidad],VENTAS[Código del producto Vendido],STOCK[[#This Row],[Code]])</f>
        <v>1</v>
      </c>
      <c r="L1170" s="70">
        <f>STOCK[[#This Row],[Entradas]]-STOCK[[#This Row],[Salidas]]</f>
        <v>0</v>
      </c>
      <c r="M1170" s="54">
        <f>STOCK[[#This Row],[Precio Final]]*10%</f>
        <v>3.5</v>
      </c>
      <c r="N1170" s="54">
        <v>0</v>
      </c>
      <c r="O1170" s="54">
        <v>0</v>
      </c>
      <c r="P1170" s="54">
        <v>17.5</v>
      </c>
      <c r="Q1170" s="70">
        <v>465</v>
      </c>
      <c r="R1170" s="54">
        <v>7.81</v>
      </c>
      <c r="S1170" s="54">
        <v>3.63165</v>
      </c>
      <c r="T1170" s="53">
        <f>STOCK[[#This Row],[Costo Unitario (USD)]]+STOCK[[#This Row],[Costo Envío (USD)]]+STOCK[[#This Row],[Comisión 10%]]</f>
        <v>24.63165</v>
      </c>
      <c r="U1170" s="54">
        <f>STOCK[[#This Row],[Costo total]]*1.5</f>
        <v>36.947474999999997</v>
      </c>
      <c r="V1170" s="54">
        <v>35</v>
      </c>
      <c r="W1170" s="54">
        <f>STOCK[[#This Row],[Precio Final]]-STOCK[[#This Row],[Costo total]]</f>
        <v>10.36835</v>
      </c>
      <c r="X1170" s="54">
        <f>STOCK[[#This Row],[Ganancia Unitaria]]*STOCK[[#This Row],[Salidas]]</f>
        <v>10.36835</v>
      </c>
      <c r="Y1170" s="54" t="s">
        <v>2453</v>
      </c>
      <c r="AA1170" s="54">
        <f>STOCK[[#This Row],[Costo total]]*STOCK[[#This Row],[Entradas]]</f>
        <v>24.63165</v>
      </c>
      <c r="AB1170" s="54">
        <f>STOCK[[#This Row],[Stock Actual]]*STOCK[[#This Row],[Costo total]]</f>
        <v>0</v>
      </c>
    </row>
    <row r="1171" spans="1:28" s="53" customFormat="1" ht="50" customHeight="1">
      <c r="A1171" s="53" t="s">
        <v>2473</v>
      </c>
      <c r="B1171" s="64"/>
      <c r="C1171" s="53" t="s">
        <v>32</v>
      </c>
      <c r="D1171" s="53" t="s">
        <v>1482</v>
      </c>
      <c r="E1171" s="65" t="s">
        <v>2472</v>
      </c>
      <c r="F1171" s="53" t="s">
        <v>517</v>
      </c>
      <c r="G1171" s="53" t="s">
        <v>2452</v>
      </c>
      <c r="H1171" s="53">
        <f>STOCK[[#This Row],[Precio Final]]</f>
        <v>35</v>
      </c>
      <c r="I1171" s="53">
        <f>STOCK[[#This Row],[Precio Venta Ideal (x1.5)]]</f>
        <v>36.947474999999997</v>
      </c>
      <c r="J1171" s="69">
        <v>1</v>
      </c>
      <c r="K1171" s="69">
        <f>SUMIFS(VENTAS[Cantidad],VENTAS[Código del producto Vendido],STOCK[[#This Row],[Code]])</f>
        <v>0</v>
      </c>
      <c r="L1171" s="69">
        <f>STOCK[[#This Row],[Entradas]]-STOCK[[#This Row],[Salidas]]</f>
        <v>1</v>
      </c>
      <c r="M1171" s="53">
        <f>STOCK[[#This Row],[Precio Final]]*10%</f>
        <v>3.5</v>
      </c>
      <c r="N1171" s="53">
        <v>0</v>
      </c>
      <c r="O1171" s="53">
        <v>0</v>
      </c>
      <c r="P1171" s="53">
        <v>17.5</v>
      </c>
      <c r="Q1171" s="69">
        <v>465</v>
      </c>
      <c r="R1171" s="53">
        <v>7.81</v>
      </c>
      <c r="S1171" s="53">
        <v>3.63165</v>
      </c>
      <c r="T1171" s="53">
        <f>STOCK[[#This Row],[Costo Unitario (USD)]]+STOCK[[#This Row],[Costo Envío (USD)]]+STOCK[[#This Row],[Comisión 10%]]</f>
        <v>24.63165</v>
      </c>
      <c r="U1171" s="53">
        <f>STOCK[[#This Row],[Costo total]]*1.5</f>
        <v>36.947474999999997</v>
      </c>
      <c r="V1171" s="53">
        <v>35</v>
      </c>
      <c r="W1171" s="53">
        <f>STOCK[[#This Row],[Precio Final]]-STOCK[[#This Row],[Costo total]]</f>
        <v>10.36835</v>
      </c>
      <c r="X1171" s="53">
        <f>STOCK[[#This Row],[Ganancia Unitaria]]*STOCK[[#This Row],[Salidas]]</f>
        <v>0</v>
      </c>
      <c r="Y1171" s="53" t="s">
        <v>2453</v>
      </c>
      <c r="AA1171" s="54">
        <f>STOCK[[#This Row],[Costo total]]*STOCK[[#This Row],[Entradas]]</f>
        <v>24.63165</v>
      </c>
      <c r="AB1171" s="54">
        <f>STOCK[[#This Row],[Stock Actual]]*STOCK[[#This Row],[Costo total]]</f>
        <v>24.63165</v>
      </c>
    </row>
    <row r="1172" spans="1:28" s="54" customFormat="1" ht="50" customHeight="1">
      <c r="A1172" s="54" t="s">
        <v>2474</v>
      </c>
      <c r="B1172" s="64"/>
      <c r="C1172" s="54" t="s">
        <v>32</v>
      </c>
      <c r="D1172" s="53" t="s">
        <v>1482</v>
      </c>
      <c r="E1172" s="66" t="s">
        <v>2475</v>
      </c>
      <c r="F1172" s="54" t="s">
        <v>540</v>
      </c>
      <c r="G1172" s="54" t="s">
        <v>2452</v>
      </c>
      <c r="H1172" s="54">
        <f>STOCK[[#This Row],[Precio Final]]</f>
        <v>30</v>
      </c>
      <c r="I1172" s="54">
        <f>STOCK[[#This Row],[Precio Venta Ideal (x1.5)]]</f>
        <v>50</v>
      </c>
      <c r="J1172" s="70">
        <v>1</v>
      </c>
      <c r="K1172" s="70">
        <f>SUMIFS(VENTAS[Cantidad],VENTAS[Código del producto Vendido],STOCK[[#This Row],[Code]])</f>
        <v>1</v>
      </c>
      <c r="L1172" s="70">
        <f>STOCK[[#This Row],[Entradas]]-STOCK[[#This Row],[Salidas]]</f>
        <v>0</v>
      </c>
      <c r="M1172" s="54">
        <f>STOCK[[#This Row],[Precio Final]]*10%</f>
        <v>3</v>
      </c>
      <c r="N1172" s="54">
        <v>0</v>
      </c>
      <c r="O1172" s="54">
        <v>0</v>
      </c>
      <c r="P1172" s="54">
        <v>27.5</v>
      </c>
      <c r="Q1172" s="70">
        <v>0</v>
      </c>
      <c r="R1172" s="54">
        <v>7.81</v>
      </c>
      <c r="S1172" s="54">
        <v>1.97</v>
      </c>
      <c r="T1172" s="53">
        <f>STOCK[[#This Row],[Costo Unitario (USD)]]+STOCK[[#This Row],[Costo Envío (USD)]]+STOCK[[#This Row],[Comisión 10%]]</f>
        <v>32.47</v>
      </c>
      <c r="U1172" s="54">
        <v>50</v>
      </c>
      <c r="V1172" s="54">
        <v>30</v>
      </c>
      <c r="W1172" s="54">
        <f>STOCK[[#This Row],[Precio Final]]-STOCK[[#This Row],[Costo total]]</f>
        <v>-2.4699999999999989</v>
      </c>
      <c r="X1172" s="54">
        <f>STOCK[[#This Row],[Ganancia Unitaria]]*STOCK[[#This Row],[Salidas]]</f>
        <v>-2.4699999999999989</v>
      </c>
      <c r="Y1172" s="54" t="s">
        <v>2453</v>
      </c>
      <c r="AA1172" s="54">
        <f>STOCK[[#This Row],[Costo total]]*STOCK[[#This Row],[Entradas]]</f>
        <v>32.47</v>
      </c>
      <c r="AB1172" s="54">
        <f>STOCK[[#This Row],[Stock Actual]]*STOCK[[#This Row],[Costo total]]</f>
        <v>0</v>
      </c>
    </row>
    <row r="1173" spans="1:28" s="53" customFormat="1" ht="50" customHeight="1">
      <c r="A1173" s="53" t="s">
        <v>2476</v>
      </c>
      <c r="B1173" s="64"/>
      <c r="C1173" s="53" t="s">
        <v>32</v>
      </c>
      <c r="D1173" s="53" t="s">
        <v>1482</v>
      </c>
      <c r="E1173" s="65" t="s">
        <v>2477</v>
      </c>
      <c r="F1173" s="53" t="s">
        <v>765</v>
      </c>
      <c r="G1173" s="53" t="s">
        <v>2452</v>
      </c>
      <c r="H1173" s="53">
        <f>STOCK[[#This Row],[Precio Final]]</f>
        <v>45</v>
      </c>
      <c r="I1173" s="53">
        <f>STOCK[[#This Row],[Precio Venta Ideal (x1.5)]]</f>
        <v>54.677550000000004</v>
      </c>
      <c r="J1173" s="69">
        <v>1</v>
      </c>
      <c r="K1173" s="69">
        <f>SUMIFS(VENTAS[Cantidad],VENTAS[Código del producto Vendido],STOCK[[#This Row],[Code]])</f>
        <v>1</v>
      </c>
      <c r="L1173" s="69">
        <f>STOCK[[#This Row],[Entradas]]-STOCK[[#This Row],[Salidas]]</f>
        <v>0</v>
      </c>
      <c r="M1173" s="53">
        <f>STOCK[[#This Row],[Precio Final]]*10%</f>
        <v>4.5</v>
      </c>
      <c r="N1173" s="53">
        <v>0</v>
      </c>
      <c r="O1173" s="53">
        <v>0</v>
      </c>
      <c r="P1173" s="53">
        <v>27.5</v>
      </c>
      <c r="Q1173" s="69">
        <v>570</v>
      </c>
      <c r="R1173" s="53">
        <v>7.81</v>
      </c>
      <c r="S1173" s="53">
        <v>4.4516999999999998</v>
      </c>
      <c r="T1173" s="53">
        <f>STOCK[[#This Row],[Costo Unitario (USD)]]+STOCK[[#This Row],[Costo Envío (USD)]]+STOCK[[#This Row],[Comisión 10%]]</f>
        <v>36.451700000000002</v>
      </c>
      <c r="U1173" s="53">
        <f>STOCK[[#This Row],[Costo total]]*1.5</f>
        <v>54.677550000000004</v>
      </c>
      <c r="V1173" s="53">
        <v>45</v>
      </c>
      <c r="W1173" s="53">
        <f>STOCK[[#This Row],[Precio Final]]-STOCK[[#This Row],[Costo total]]</f>
        <v>8.5482999999999976</v>
      </c>
      <c r="X1173" s="53">
        <f>STOCK[[#This Row],[Ganancia Unitaria]]*STOCK[[#This Row],[Salidas]]</f>
        <v>8.5482999999999976</v>
      </c>
      <c r="Y1173" s="53" t="s">
        <v>2453</v>
      </c>
      <c r="AA1173" s="54">
        <f>STOCK[[#This Row],[Costo total]]*STOCK[[#This Row],[Entradas]]</f>
        <v>36.451700000000002</v>
      </c>
      <c r="AB1173" s="54">
        <f>STOCK[[#This Row],[Stock Actual]]*STOCK[[#This Row],[Costo total]]</f>
        <v>0</v>
      </c>
    </row>
    <row r="1174" spans="1:28" s="54" customFormat="1" ht="50" customHeight="1">
      <c r="A1174" s="54" t="s">
        <v>2478</v>
      </c>
      <c r="B1174" s="64"/>
      <c r="C1174" s="54" t="s">
        <v>32</v>
      </c>
      <c r="D1174" s="53" t="s">
        <v>1482</v>
      </c>
      <c r="E1174" s="66" t="s">
        <v>2477</v>
      </c>
      <c r="F1174" s="54" t="s">
        <v>540</v>
      </c>
      <c r="G1174" s="54" t="s">
        <v>2452</v>
      </c>
      <c r="H1174" s="54">
        <f>STOCK[[#This Row],[Precio Final]]</f>
        <v>45</v>
      </c>
      <c r="I1174" s="54">
        <f>STOCK[[#This Row],[Precio Venta Ideal (x1.5)]]</f>
        <v>54.677550000000004</v>
      </c>
      <c r="J1174" s="70">
        <v>2</v>
      </c>
      <c r="K1174" s="70">
        <f>SUMIFS(VENTAS[Cantidad],VENTAS[Código del producto Vendido],STOCK[[#This Row],[Code]])</f>
        <v>2</v>
      </c>
      <c r="L1174" s="70">
        <f>STOCK[[#This Row],[Entradas]]-STOCK[[#This Row],[Salidas]]</f>
        <v>0</v>
      </c>
      <c r="M1174" s="54">
        <f>STOCK[[#This Row],[Precio Final]]*10%</f>
        <v>4.5</v>
      </c>
      <c r="N1174" s="54">
        <v>0</v>
      </c>
      <c r="O1174" s="54">
        <v>0</v>
      </c>
      <c r="P1174" s="54">
        <v>27.5</v>
      </c>
      <c r="Q1174" s="70">
        <v>570</v>
      </c>
      <c r="R1174" s="54">
        <v>7.81</v>
      </c>
      <c r="S1174" s="54">
        <v>4.4516999999999998</v>
      </c>
      <c r="T1174" s="53">
        <f>STOCK[[#This Row],[Costo Unitario (USD)]]+STOCK[[#This Row],[Costo Envío (USD)]]+STOCK[[#This Row],[Comisión 10%]]</f>
        <v>36.451700000000002</v>
      </c>
      <c r="U1174" s="54">
        <f>STOCK[[#This Row],[Costo total]]*1.5</f>
        <v>54.677550000000004</v>
      </c>
      <c r="V1174" s="54">
        <v>45</v>
      </c>
      <c r="W1174" s="54">
        <f>STOCK[[#This Row],[Precio Final]]-STOCK[[#This Row],[Costo total]]</f>
        <v>8.5482999999999976</v>
      </c>
      <c r="X1174" s="54">
        <f>STOCK[[#This Row],[Ganancia Unitaria]]*STOCK[[#This Row],[Salidas]]</f>
        <v>17.096599999999995</v>
      </c>
      <c r="Y1174" s="54" t="s">
        <v>2453</v>
      </c>
      <c r="AA1174" s="54">
        <f>STOCK[[#This Row],[Costo total]]*STOCK[[#This Row],[Entradas]]</f>
        <v>72.903400000000005</v>
      </c>
      <c r="AB1174" s="54">
        <f>STOCK[[#This Row],[Stock Actual]]*STOCK[[#This Row],[Costo total]]</f>
        <v>0</v>
      </c>
    </row>
    <row r="1175" spans="1:28" s="53" customFormat="1" ht="50" customHeight="1">
      <c r="A1175" s="53" t="s">
        <v>2479</v>
      </c>
      <c r="B1175" s="64"/>
      <c r="C1175" s="53" t="s">
        <v>32</v>
      </c>
      <c r="D1175" s="53" t="s">
        <v>1482</v>
      </c>
      <c r="E1175" s="65" t="s">
        <v>2480</v>
      </c>
      <c r="F1175" s="53" t="s">
        <v>540</v>
      </c>
      <c r="G1175" s="53" t="s">
        <v>2452</v>
      </c>
      <c r="H1175" s="53">
        <f>STOCK[[#This Row],[Precio Final]]</f>
        <v>35</v>
      </c>
      <c r="I1175" s="53">
        <f>STOCK[[#This Row],[Precio Venta Ideal (x1.5)]]</f>
        <v>27.279</v>
      </c>
      <c r="J1175" s="69">
        <v>1</v>
      </c>
      <c r="K1175" s="69">
        <f>SUMIFS(VENTAS[Cantidad],VENTAS[Código del producto Vendido],STOCK[[#This Row],[Code]])</f>
        <v>0</v>
      </c>
      <c r="L1175" s="69">
        <f>STOCK[[#This Row],[Entradas]]-STOCK[[#This Row],[Salidas]]</f>
        <v>1</v>
      </c>
      <c r="M1175" s="53">
        <f>STOCK[[#This Row],[Precio Final]]*10%</f>
        <v>3.5</v>
      </c>
      <c r="N1175" s="53">
        <v>0</v>
      </c>
      <c r="O1175" s="53">
        <v>0</v>
      </c>
      <c r="P1175" s="53">
        <v>10</v>
      </c>
      <c r="Q1175" s="69">
        <v>600</v>
      </c>
      <c r="R1175" s="53">
        <v>7.81</v>
      </c>
      <c r="S1175" s="53">
        <v>4.6859999999999999</v>
      </c>
      <c r="T1175" s="53">
        <f>STOCK[[#This Row],[Costo Unitario (USD)]]+STOCK[[#This Row],[Costo Envío (USD)]]+STOCK[[#This Row],[Comisión 10%]]</f>
        <v>18.186</v>
      </c>
      <c r="U1175" s="53">
        <f>STOCK[[#This Row],[Costo total]]*1.5</f>
        <v>27.279</v>
      </c>
      <c r="V1175" s="53">
        <v>35</v>
      </c>
      <c r="W1175" s="53">
        <f>STOCK[[#This Row],[Precio Final]]-STOCK[[#This Row],[Costo total]]</f>
        <v>16.814</v>
      </c>
      <c r="X1175" s="53">
        <f>STOCK[[#This Row],[Ganancia Unitaria]]*STOCK[[#This Row],[Salidas]]</f>
        <v>0</v>
      </c>
      <c r="Y1175" s="53" t="s">
        <v>2453</v>
      </c>
      <c r="AA1175" s="54">
        <f>STOCK[[#This Row],[Costo total]]*STOCK[[#This Row],[Entradas]]</f>
        <v>18.186</v>
      </c>
      <c r="AB1175" s="54">
        <f>STOCK[[#This Row],[Stock Actual]]*STOCK[[#This Row],[Costo total]]</f>
        <v>18.186</v>
      </c>
    </row>
    <row r="1176" spans="1:28" s="54" customFormat="1" ht="50" customHeight="1">
      <c r="A1176" s="54" t="s">
        <v>2481</v>
      </c>
      <c r="B1176" s="64"/>
      <c r="C1176" s="54" t="s">
        <v>32</v>
      </c>
      <c r="D1176" s="53" t="s">
        <v>1482</v>
      </c>
      <c r="E1176" s="66" t="s">
        <v>2482</v>
      </c>
      <c r="F1176" s="54" t="s">
        <v>517</v>
      </c>
      <c r="G1176" s="54" t="s">
        <v>2452</v>
      </c>
      <c r="H1176" s="54">
        <f>STOCK[[#This Row],[Precio Final]]</f>
        <v>40</v>
      </c>
      <c r="I1176" s="54">
        <f>STOCK[[#This Row],[Precio Venta Ideal (x1.5)]]</f>
        <v>37.228875000000002</v>
      </c>
      <c r="J1176" s="70">
        <v>1</v>
      </c>
      <c r="K1176" s="70">
        <f>SUMIFS(VENTAS[Cantidad],VENTAS[Código del producto Vendido],STOCK[[#This Row],[Code]])</f>
        <v>1</v>
      </c>
      <c r="L1176" s="70">
        <f>STOCK[[#This Row],[Entradas]]-STOCK[[#This Row],[Salidas]]</f>
        <v>0</v>
      </c>
      <c r="M1176" s="54">
        <f>STOCK[[#This Row],[Precio Final]]*10%</f>
        <v>4</v>
      </c>
      <c r="N1176" s="54">
        <v>0</v>
      </c>
      <c r="O1176" s="54">
        <v>0</v>
      </c>
      <c r="P1176" s="54">
        <v>17.5</v>
      </c>
      <c r="Q1176" s="70">
        <v>425</v>
      </c>
      <c r="R1176" s="54">
        <v>7.81</v>
      </c>
      <c r="S1176" s="54">
        <v>3.3192499999999998</v>
      </c>
      <c r="T1176" s="53">
        <f>STOCK[[#This Row],[Costo Unitario (USD)]]+STOCK[[#This Row],[Costo Envío (USD)]]+STOCK[[#This Row],[Comisión 10%]]</f>
        <v>24.81925</v>
      </c>
      <c r="U1176" s="54">
        <f>STOCK[[#This Row],[Costo total]]*1.5</f>
        <v>37.228875000000002</v>
      </c>
      <c r="V1176" s="54">
        <v>40</v>
      </c>
      <c r="W1176" s="54">
        <f>STOCK[[#This Row],[Precio Final]]-STOCK[[#This Row],[Costo total]]</f>
        <v>15.18075</v>
      </c>
      <c r="X1176" s="54">
        <f>STOCK[[#This Row],[Ganancia Unitaria]]*STOCK[[#This Row],[Salidas]]</f>
        <v>15.18075</v>
      </c>
      <c r="Y1176" s="54" t="s">
        <v>2453</v>
      </c>
      <c r="AA1176" s="54">
        <f>STOCK[[#This Row],[Costo total]]*STOCK[[#This Row],[Entradas]]</f>
        <v>24.81925</v>
      </c>
      <c r="AB1176" s="54">
        <f>STOCK[[#This Row],[Stock Actual]]*STOCK[[#This Row],[Costo total]]</f>
        <v>0</v>
      </c>
    </row>
    <row r="1177" spans="1:28" s="53" customFormat="1" ht="50" customHeight="1">
      <c r="A1177" s="53" t="s">
        <v>2483</v>
      </c>
      <c r="B1177" s="64"/>
      <c r="C1177" s="53" t="s">
        <v>32</v>
      </c>
      <c r="D1177" s="53" t="s">
        <v>1482</v>
      </c>
      <c r="E1177" s="65" t="s">
        <v>2482</v>
      </c>
      <c r="F1177" s="53" t="s">
        <v>765</v>
      </c>
      <c r="G1177" s="53" t="s">
        <v>2452</v>
      </c>
      <c r="H1177" s="53">
        <f>STOCK[[#This Row],[Precio Final]]</f>
        <v>40</v>
      </c>
      <c r="I1177" s="53">
        <f>STOCK[[#This Row],[Precio Venta Ideal (x1.5)]]</f>
        <v>37.228875000000002</v>
      </c>
      <c r="J1177" s="69">
        <v>1</v>
      </c>
      <c r="K1177" s="69">
        <f>SUMIFS(VENTAS[Cantidad],VENTAS[Código del producto Vendido],STOCK[[#This Row],[Code]])</f>
        <v>1</v>
      </c>
      <c r="L1177" s="69">
        <f>STOCK[[#This Row],[Entradas]]-STOCK[[#This Row],[Salidas]]</f>
        <v>0</v>
      </c>
      <c r="M1177" s="53">
        <f>STOCK[[#This Row],[Precio Final]]*10%</f>
        <v>4</v>
      </c>
      <c r="N1177" s="53">
        <v>0</v>
      </c>
      <c r="O1177" s="53">
        <v>0</v>
      </c>
      <c r="P1177" s="53">
        <v>17.5</v>
      </c>
      <c r="Q1177" s="69">
        <v>425</v>
      </c>
      <c r="R1177" s="53">
        <v>7.81</v>
      </c>
      <c r="S1177" s="53">
        <v>3.3192499999999998</v>
      </c>
      <c r="T1177" s="53">
        <f>STOCK[[#This Row],[Costo Unitario (USD)]]+STOCK[[#This Row],[Costo Envío (USD)]]+STOCK[[#This Row],[Comisión 10%]]</f>
        <v>24.81925</v>
      </c>
      <c r="U1177" s="53">
        <f>STOCK[[#This Row],[Costo total]]*1.5</f>
        <v>37.228875000000002</v>
      </c>
      <c r="V1177" s="53">
        <v>40</v>
      </c>
      <c r="W1177" s="53">
        <f>STOCK[[#This Row],[Precio Final]]-STOCK[[#This Row],[Costo total]]</f>
        <v>15.18075</v>
      </c>
      <c r="X1177" s="53">
        <f>STOCK[[#This Row],[Ganancia Unitaria]]*STOCK[[#This Row],[Salidas]]</f>
        <v>15.18075</v>
      </c>
      <c r="Y1177" s="53" t="s">
        <v>2453</v>
      </c>
      <c r="AA1177" s="54">
        <f>STOCK[[#This Row],[Costo total]]*STOCK[[#This Row],[Entradas]]</f>
        <v>24.81925</v>
      </c>
      <c r="AB1177" s="54">
        <f>STOCK[[#This Row],[Stock Actual]]*STOCK[[#This Row],[Costo total]]</f>
        <v>0</v>
      </c>
    </row>
    <row r="1178" spans="1:28" s="54" customFormat="1" ht="50" customHeight="1">
      <c r="A1178" s="54" t="s">
        <v>2484</v>
      </c>
      <c r="B1178" s="64"/>
      <c r="C1178" s="54" t="s">
        <v>32</v>
      </c>
      <c r="D1178" s="53" t="s">
        <v>1482</v>
      </c>
      <c r="E1178" s="66" t="s">
        <v>2485</v>
      </c>
      <c r="F1178" s="54" t="s">
        <v>540</v>
      </c>
      <c r="G1178" s="54" t="s">
        <v>2452</v>
      </c>
      <c r="H1178" s="54">
        <f>STOCK[[#This Row],[Precio Final]]</f>
        <v>50</v>
      </c>
      <c r="I1178" s="54">
        <f>STOCK[[#This Row],[Precio Venta Ideal (x1.5)]]</f>
        <v>52.416075000000006</v>
      </c>
      <c r="J1178" s="70">
        <v>1</v>
      </c>
      <c r="K1178" s="70">
        <f>SUMIFS(VENTAS[Cantidad],VENTAS[Código del producto Vendido],STOCK[[#This Row],[Code]])</f>
        <v>0</v>
      </c>
      <c r="L1178" s="70">
        <f>STOCK[[#This Row],[Entradas]]-STOCK[[#This Row],[Salidas]]</f>
        <v>1</v>
      </c>
      <c r="M1178" s="54">
        <f>STOCK[[#This Row],[Precio Final]]*10%</f>
        <v>5</v>
      </c>
      <c r="N1178" s="54">
        <v>0</v>
      </c>
      <c r="O1178" s="54">
        <v>0</v>
      </c>
      <c r="P1178" s="54">
        <v>26</v>
      </c>
      <c r="Q1178" s="70">
        <v>505</v>
      </c>
      <c r="R1178" s="54">
        <v>7.81</v>
      </c>
      <c r="S1178" s="54">
        <v>3.9440499999999998</v>
      </c>
      <c r="T1178" s="53">
        <f>STOCK[[#This Row],[Costo Unitario (USD)]]+STOCK[[#This Row],[Costo Envío (USD)]]+STOCK[[#This Row],[Comisión 10%]]</f>
        <v>34.944050000000004</v>
      </c>
      <c r="U1178" s="54">
        <f>STOCK[[#This Row],[Costo total]]*1.5</f>
        <v>52.416075000000006</v>
      </c>
      <c r="V1178" s="54">
        <v>50</v>
      </c>
      <c r="W1178" s="54">
        <f>STOCK[[#This Row],[Precio Final]]-STOCK[[#This Row],[Costo total]]</f>
        <v>15.055949999999996</v>
      </c>
      <c r="X1178" s="54">
        <f>STOCK[[#This Row],[Ganancia Unitaria]]*STOCK[[#This Row],[Salidas]]</f>
        <v>0</v>
      </c>
      <c r="Y1178" s="54" t="s">
        <v>2453</v>
      </c>
      <c r="AA1178" s="54">
        <f>STOCK[[#This Row],[Costo total]]*STOCK[[#This Row],[Entradas]]</f>
        <v>34.944050000000004</v>
      </c>
      <c r="AB1178" s="54">
        <f>STOCK[[#This Row],[Stock Actual]]*STOCK[[#This Row],[Costo total]]</f>
        <v>34.944050000000004</v>
      </c>
    </row>
    <row r="1179" spans="1:28" s="53" customFormat="1" ht="50" customHeight="1">
      <c r="A1179" s="53" t="s">
        <v>2486</v>
      </c>
      <c r="B1179" s="64"/>
      <c r="C1179" s="53" t="s">
        <v>32</v>
      </c>
      <c r="D1179" s="53" t="s">
        <v>1482</v>
      </c>
      <c r="E1179" s="65" t="s">
        <v>2487</v>
      </c>
      <c r="F1179" s="53" t="s">
        <v>540</v>
      </c>
      <c r="G1179" s="53" t="s">
        <v>2452</v>
      </c>
      <c r="H1179" s="53">
        <f>STOCK[[#This Row],[Precio Final]]</f>
        <v>40</v>
      </c>
      <c r="I1179" s="53">
        <f>STOCK[[#This Row],[Precio Venta Ideal (x1.5)]]</f>
        <v>37.671075000000002</v>
      </c>
      <c r="J1179" s="69">
        <v>1</v>
      </c>
      <c r="K1179" s="69">
        <f>SUMIFS(VENTAS[Cantidad],VENTAS[Código del producto Vendido],STOCK[[#This Row],[Code]])</f>
        <v>1</v>
      </c>
      <c r="L1179" s="69">
        <f>STOCK[[#This Row],[Entradas]]-STOCK[[#This Row],[Salidas]]</f>
        <v>0</v>
      </c>
      <c r="M1179" s="53">
        <f>STOCK[[#This Row],[Precio Final]]*10%</f>
        <v>4</v>
      </c>
      <c r="N1179" s="53">
        <v>0</v>
      </c>
      <c r="O1179" s="53">
        <v>0</v>
      </c>
      <c r="P1179" s="53">
        <v>17.170000000000002</v>
      </c>
      <c r="Q1179" s="69">
        <v>505</v>
      </c>
      <c r="R1179" s="53">
        <v>7.81</v>
      </c>
      <c r="S1179" s="53">
        <v>3.9440499999999998</v>
      </c>
      <c r="T1179" s="53">
        <f>STOCK[[#This Row],[Costo Unitario (USD)]]+STOCK[[#This Row],[Costo Envío (USD)]]+STOCK[[#This Row],[Comisión 10%]]</f>
        <v>25.114050000000002</v>
      </c>
      <c r="U1179" s="53">
        <f>STOCK[[#This Row],[Costo total]]*1.5</f>
        <v>37.671075000000002</v>
      </c>
      <c r="V1179" s="53">
        <v>40</v>
      </c>
      <c r="W1179" s="53">
        <f>STOCK[[#This Row],[Precio Final]]-STOCK[[#This Row],[Costo total]]</f>
        <v>14.885949999999998</v>
      </c>
      <c r="X1179" s="53">
        <f>STOCK[[#This Row],[Ganancia Unitaria]]*STOCK[[#This Row],[Salidas]]</f>
        <v>14.885949999999998</v>
      </c>
      <c r="Y1179" s="53" t="s">
        <v>2453</v>
      </c>
      <c r="AA1179" s="54">
        <f>STOCK[[#This Row],[Costo total]]*STOCK[[#This Row],[Entradas]]</f>
        <v>25.114050000000002</v>
      </c>
      <c r="AB1179" s="54">
        <f>STOCK[[#This Row],[Stock Actual]]*STOCK[[#This Row],[Costo total]]</f>
        <v>0</v>
      </c>
    </row>
    <row r="1180" spans="1:28" s="54" customFormat="1" ht="50" customHeight="1">
      <c r="A1180" s="54" t="s">
        <v>2488</v>
      </c>
      <c r="B1180" s="64"/>
      <c r="C1180" s="54" t="s">
        <v>32</v>
      </c>
      <c r="D1180" s="53" t="s">
        <v>1482</v>
      </c>
      <c r="E1180" s="66" t="s">
        <v>2489</v>
      </c>
      <c r="F1180" s="54" t="s">
        <v>517</v>
      </c>
      <c r="G1180" s="54" t="s">
        <v>2452</v>
      </c>
      <c r="H1180" s="54">
        <f>STOCK[[#This Row],[Precio Final]]</f>
        <v>35</v>
      </c>
      <c r="I1180" s="54">
        <f>STOCK[[#This Row],[Precio Venta Ideal (x1.5)]]</f>
        <v>41.576099999999997</v>
      </c>
      <c r="J1180" s="70">
        <v>2</v>
      </c>
      <c r="K1180" s="70">
        <f>SUMIFS(VENTAS[Cantidad],VENTAS[Código del producto Vendido],STOCK[[#This Row],[Code]])</f>
        <v>1</v>
      </c>
      <c r="L1180" s="70">
        <f>STOCK[[#This Row],[Entradas]]-STOCK[[#This Row],[Salidas]]</f>
        <v>1</v>
      </c>
      <c r="M1180" s="54">
        <f>STOCK[[#This Row],[Precio Final]]*10%</f>
        <v>3.5</v>
      </c>
      <c r="N1180" s="54">
        <v>0</v>
      </c>
      <c r="O1180" s="54">
        <v>0</v>
      </c>
      <c r="P1180" s="54">
        <v>20</v>
      </c>
      <c r="Q1180" s="70">
        <v>540</v>
      </c>
      <c r="R1180" s="54">
        <v>7.81</v>
      </c>
      <c r="S1180" s="54">
        <v>4.2173999999999996</v>
      </c>
      <c r="T1180" s="53">
        <f>STOCK[[#This Row],[Costo Unitario (USD)]]+STOCK[[#This Row],[Costo Envío (USD)]]+STOCK[[#This Row],[Comisión 10%]]</f>
        <v>27.717399999999998</v>
      </c>
      <c r="U1180" s="54">
        <f>STOCK[[#This Row],[Costo total]]*1.5</f>
        <v>41.576099999999997</v>
      </c>
      <c r="V1180" s="54">
        <v>35</v>
      </c>
      <c r="W1180" s="54">
        <f>STOCK[[#This Row],[Precio Final]]-STOCK[[#This Row],[Costo total]]</f>
        <v>7.2826000000000022</v>
      </c>
      <c r="X1180" s="54">
        <f>STOCK[[#This Row],[Ganancia Unitaria]]*STOCK[[#This Row],[Salidas]]</f>
        <v>7.2826000000000022</v>
      </c>
      <c r="Y1180" s="54" t="s">
        <v>2453</v>
      </c>
      <c r="AA1180" s="54">
        <f>STOCK[[#This Row],[Costo total]]*STOCK[[#This Row],[Entradas]]</f>
        <v>55.434799999999996</v>
      </c>
      <c r="AB1180" s="54">
        <f>STOCK[[#This Row],[Stock Actual]]*STOCK[[#This Row],[Costo total]]</f>
        <v>27.717399999999998</v>
      </c>
    </row>
    <row r="1181" spans="1:28" s="53" customFormat="1" ht="50" customHeight="1">
      <c r="A1181" s="53" t="s">
        <v>2490</v>
      </c>
      <c r="B1181" s="64"/>
      <c r="C1181" s="53" t="s">
        <v>32</v>
      </c>
      <c r="D1181" s="53" t="s">
        <v>1482</v>
      </c>
      <c r="E1181" s="65" t="s">
        <v>2489</v>
      </c>
      <c r="F1181" s="53" t="s">
        <v>765</v>
      </c>
      <c r="G1181" s="53" t="s">
        <v>2452</v>
      </c>
      <c r="H1181" s="53">
        <f>STOCK[[#This Row],[Precio Final]]</f>
        <v>35</v>
      </c>
      <c r="I1181" s="53">
        <f>STOCK[[#This Row],[Precio Venta Ideal (x1.5)]]</f>
        <v>41.576099999999997</v>
      </c>
      <c r="J1181" s="69">
        <v>2</v>
      </c>
      <c r="K1181" s="69">
        <f>SUMIFS(VENTAS[Cantidad],VENTAS[Código del producto Vendido],STOCK[[#This Row],[Code]])</f>
        <v>2</v>
      </c>
      <c r="L1181" s="69">
        <f>STOCK[[#This Row],[Entradas]]-STOCK[[#This Row],[Salidas]]</f>
        <v>0</v>
      </c>
      <c r="M1181" s="53">
        <f>STOCK[[#This Row],[Precio Final]]*10%</f>
        <v>3.5</v>
      </c>
      <c r="N1181" s="53">
        <v>0</v>
      </c>
      <c r="O1181" s="53">
        <v>0</v>
      </c>
      <c r="P1181" s="53">
        <v>20</v>
      </c>
      <c r="Q1181" s="69">
        <v>540</v>
      </c>
      <c r="R1181" s="53">
        <v>7.81</v>
      </c>
      <c r="S1181" s="53">
        <v>4.2173999999999996</v>
      </c>
      <c r="T1181" s="53">
        <f>STOCK[[#This Row],[Costo Unitario (USD)]]+STOCK[[#This Row],[Costo Envío (USD)]]+STOCK[[#This Row],[Comisión 10%]]</f>
        <v>27.717399999999998</v>
      </c>
      <c r="U1181" s="53">
        <f>STOCK[[#This Row],[Costo total]]*1.5</f>
        <v>41.576099999999997</v>
      </c>
      <c r="V1181" s="53">
        <v>35</v>
      </c>
      <c r="W1181" s="53">
        <f>STOCK[[#This Row],[Precio Final]]-STOCK[[#This Row],[Costo total]]</f>
        <v>7.2826000000000022</v>
      </c>
      <c r="X1181" s="53">
        <f>STOCK[[#This Row],[Ganancia Unitaria]]*STOCK[[#This Row],[Salidas]]</f>
        <v>14.565200000000004</v>
      </c>
      <c r="Y1181" s="53" t="s">
        <v>2453</v>
      </c>
      <c r="AA1181" s="54">
        <f>STOCK[[#This Row],[Costo total]]*STOCK[[#This Row],[Entradas]]</f>
        <v>55.434799999999996</v>
      </c>
      <c r="AB1181" s="54">
        <f>STOCK[[#This Row],[Stock Actual]]*STOCK[[#This Row],[Costo total]]</f>
        <v>0</v>
      </c>
    </row>
    <row r="1182" spans="1:28" s="54" customFormat="1" ht="50" customHeight="1">
      <c r="A1182" s="54" t="s">
        <v>2491</v>
      </c>
      <c r="B1182" s="64"/>
      <c r="C1182" s="54" t="s">
        <v>32</v>
      </c>
      <c r="D1182" s="53" t="s">
        <v>1482</v>
      </c>
      <c r="E1182" s="66" t="s">
        <v>2489</v>
      </c>
      <c r="F1182" s="54" t="s">
        <v>540</v>
      </c>
      <c r="G1182" s="54" t="s">
        <v>2452</v>
      </c>
      <c r="H1182" s="54">
        <f>STOCK[[#This Row],[Precio Final]]</f>
        <v>35</v>
      </c>
      <c r="I1182" s="54">
        <f>STOCK[[#This Row],[Precio Venta Ideal (x1.5)]]</f>
        <v>41.576099999999997</v>
      </c>
      <c r="J1182" s="70">
        <v>2</v>
      </c>
      <c r="K1182" s="70">
        <f>SUMIFS(VENTAS[Cantidad],VENTAS[Código del producto Vendido],STOCK[[#This Row],[Code]])</f>
        <v>2</v>
      </c>
      <c r="L1182" s="70">
        <f>STOCK[[#This Row],[Entradas]]-STOCK[[#This Row],[Salidas]]</f>
        <v>0</v>
      </c>
      <c r="M1182" s="54">
        <f>STOCK[[#This Row],[Precio Final]]*10%</f>
        <v>3.5</v>
      </c>
      <c r="N1182" s="54">
        <v>0</v>
      </c>
      <c r="O1182" s="54">
        <v>0</v>
      </c>
      <c r="P1182" s="54">
        <v>20</v>
      </c>
      <c r="Q1182" s="70">
        <v>540</v>
      </c>
      <c r="R1182" s="54">
        <v>7.81</v>
      </c>
      <c r="S1182" s="54">
        <v>4.2173999999999996</v>
      </c>
      <c r="T1182" s="53">
        <f>STOCK[[#This Row],[Costo Unitario (USD)]]+STOCK[[#This Row],[Costo Envío (USD)]]+STOCK[[#This Row],[Comisión 10%]]</f>
        <v>27.717399999999998</v>
      </c>
      <c r="U1182" s="54">
        <f>STOCK[[#This Row],[Costo total]]*1.5</f>
        <v>41.576099999999997</v>
      </c>
      <c r="V1182" s="54">
        <v>35</v>
      </c>
      <c r="W1182" s="54">
        <f>STOCK[[#This Row],[Precio Final]]-STOCK[[#This Row],[Costo total]]</f>
        <v>7.2826000000000022</v>
      </c>
      <c r="X1182" s="54">
        <f>STOCK[[#This Row],[Ganancia Unitaria]]*STOCK[[#This Row],[Salidas]]</f>
        <v>14.565200000000004</v>
      </c>
      <c r="Y1182" s="54" t="s">
        <v>2453</v>
      </c>
      <c r="AA1182" s="54">
        <f>STOCK[[#This Row],[Costo total]]*STOCK[[#This Row],[Entradas]]</f>
        <v>55.434799999999996</v>
      </c>
      <c r="AB1182" s="54">
        <f>STOCK[[#This Row],[Stock Actual]]*STOCK[[#This Row],[Costo total]]</f>
        <v>0</v>
      </c>
    </row>
    <row r="1183" spans="1:28" s="53" customFormat="1" ht="50" customHeight="1">
      <c r="A1183" s="53" t="s">
        <v>2492</v>
      </c>
      <c r="B1183" s="64"/>
      <c r="C1183" s="53" t="s">
        <v>32</v>
      </c>
      <c r="D1183" s="53" t="s">
        <v>1482</v>
      </c>
      <c r="E1183" s="65" t="s">
        <v>2489</v>
      </c>
      <c r="F1183" s="53" t="s">
        <v>1102</v>
      </c>
      <c r="G1183" s="53" t="s">
        <v>2452</v>
      </c>
      <c r="H1183" s="53">
        <f>STOCK[[#This Row],[Precio Final]]</f>
        <v>35</v>
      </c>
      <c r="I1183" s="53">
        <f>STOCK[[#This Row],[Precio Venta Ideal (x1.5)]]</f>
        <v>41.576099999999997</v>
      </c>
      <c r="J1183" s="69">
        <v>3</v>
      </c>
      <c r="K1183" s="69">
        <f>SUMIFS(VENTAS[Cantidad],VENTAS[Código del producto Vendido],STOCK[[#This Row],[Code]])</f>
        <v>3</v>
      </c>
      <c r="L1183" s="69">
        <f>STOCK[[#This Row],[Entradas]]-STOCK[[#This Row],[Salidas]]</f>
        <v>0</v>
      </c>
      <c r="M1183" s="53">
        <f>STOCK[[#This Row],[Precio Final]]*10%</f>
        <v>3.5</v>
      </c>
      <c r="N1183" s="53">
        <v>0</v>
      </c>
      <c r="O1183" s="53">
        <v>0</v>
      </c>
      <c r="P1183" s="53">
        <v>20</v>
      </c>
      <c r="Q1183" s="69">
        <v>540</v>
      </c>
      <c r="R1183" s="53">
        <v>7.81</v>
      </c>
      <c r="S1183" s="53">
        <v>4.2173999999999996</v>
      </c>
      <c r="T1183" s="53">
        <f>STOCK[[#This Row],[Costo Unitario (USD)]]+STOCK[[#This Row],[Costo Envío (USD)]]+STOCK[[#This Row],[Comisión 10%]]</f>
        <v>27.717399999999998</v>
      </c>
      <c r="U1183" s="53">
        <f>STOCK[[#This Row],[Costo total]]*1.5</f>
        <v>41.576099999999997</v>
      </c>
      <c r="V1183" s="53">
        <v>35</v>
      </c>
      <c r="W1183" s="53">
        <f>STOCK[[#This Row],[Precio Final]]-STOCK[[#This Row],[Costo total]]</f>
        <v>7.2826000000000022</v>
      </c>
      <c r="X1183" s="53">
        <f>STOCK[[#This Row],[Ganancia Unitaria]]*STOCK[[#This Row],[Salidas]]</f>
        <v>21.847800000000007</v>
      </c>
      <c r="Y1183" s="53" t="s">
        <v>2453</v>
      </c>
      <c r="AA1183" s="54">
        <f>STOCK[[#This Row],[Costo total]]*STOCK[[#This Row],[Entradas]]</f>
        <v>83.152199999999993</v>
      </c>
      <c r="AB1183" s="54">
        <f>STOCK[[#This Row],[Stock Actual]]*STOCK[[#This Row],[Costo total]]</f>
        <v>0</v>
      </c>
    </row>
    <row r="1184" spans="1:28" s="54" customFormat="1" ht="50" customHeight="1">
      <c r="A1184" s="54" t="s">
        <v>2493</v>
      </c>
      <c r="B1184" s="64"/>
      <c r="C1184" s="54" t="s">
        <v>32</v>
      </c>
      <c r="D1184" s="54" t="s">
        <v>174</v>
      </c>
      <c r="E1184" s="66" t="s">
        <v>2494</v>
      </c>
      <c r="F1184" s="54" t="s">
        <v>40</v>
      </c>
      <c r="G1184" s="54" t="s">
        <v>36</v>
      </c>
      <c r="H1184" s="54">
        <f>STOCK[[#This Row],[Precio Final]]</f>
        <v>18</v>
      </c>
      <c r="I1184" s="54">
        <f>STOCK[[#This Row],[Precio Venta Ideal (x1.5)]]</f>
        <v>19.110000000000003</v>
      </c>
      <c r="J1184" s="70">
        <v>2</v>
      </c>
      <c r="K1184" s="70">
        <f>SUMIFS(VENTAS[Cantidad],VENTAS[Código del producto Vendido],STOCK[[#This Row],[Code]])</f>
        <v>0</v>
      </c>
      <c r="L1184" s="70">
        <f>STOCK[[#This Row],[Entradas]]-STOCK[[#This Row],[Salidas]]</f>
        <v>2</v>
      </c>
      <c r="M1184" s="54">
        <f>STOCK[[#This Row],[Precio Final]]*10%</f>
        <v>1.8</v>
      </c>
      <c r="N1184" s="54">
        <v>0</v>
      </c>
      <c r="O1184" s="54">
        <v>0</v>
      </c>
      <c r="P1184" s="54">
        <v>8.9700000000000006</v>
      </c>
      <c r="Q1184" s="70">
        <v>0</v>
      </c>
      <c r="R1184" s="54">
        <v>0</v>
      </c>
      <c r="S1184" s="54">
        <v>1.97</v>
      </c>
      <c r="T1184" s="53">
        <f>STOCK[[#This Row],[Costo Unitario (USD)]]+STOCK[[#This Row],[Costo Envío (USD)]]+STOCK[[#This Row],[Comisión 10%]]</f>
        <v>12.740000000000002</v>
      </c>
      <c r="U1184" s="54">
        <f>STOCK[[#This Row],[Costo total]]*1.5</f>
        <v>19.110000000000003</v>
      </c>
      <c r="V1184" s="54">
        <v>18</v>
      </c>
      <c r="W1184" s="54">
        <f>STOCK[[#This Row],[Precio Final]]-STOCK[[#This Row],[Costo total]]</f>
        <v>5.259999999999998</v>
      </c>
      <c r="X1184" s="54">
        <f>STOCK[[#This Row],[Ganancia Unitaria]]*STOCK[[#This Row],[Salidas]]</f>
        <v>0</v>
      </c>
      <c r="AA1184" s="54">
        <f>STOCK[[#This Row],[Costo total]]*STOCK[[#This Row],[Entradas]]</f>
        <v>25.480000000000004</v>
      </c>
      <c r="AB1184" s="54">
        <f>STOCK[[#This Row],[Stock Actual]]*STOCK[[#This Row],[Costo total]]</f>
        <v>25.480000000000004</v>
      </c>
    </row>
    <row r="1185" spans="1:28" s="53" customFormat="1" ht="50" customHeight="1">
      <c r="A1185" s="53" t="s">
        <v>2495</v>
      </c>
      <c r="B1185" s="64"/>
      <c r="C1185" s="53" t="s">
        <v>32</v>
      </c>
      <c r="D1185" s="53" t="s">
        <v>174</v>
      </c>
      <c r="E1185" s="65" t="s">
        <v>2494</v>
      </c>
      <c r="F1185" s="53" t="s">
        <v>49</v>
      </c>
      <c r="G1185" s="53" t="s">
        <v>36</v>
      </c>
      <c r="H1185" s="53">
        <f>STOCK[[#This Row],[Precio Final]]</f>
        <v>18</v>
      </c>
      <c r="I1185" s="53">
        <f>STOCK[[#This Row],[Precio Venta Ideal (x1.5)]]</f>
        <v>19.110000000000003</v>
      </c>
      <c r="J1185" s="69">
        <v>2</v>
      </c>
      <c r="K1185" s="69">
        <f>SUMIFS(VENTAS[Cantidad],VENTAS[Código del producto Vendido],STOCK[[#This Row],[Code]])</f>
        <v>2</v>
      </c>
      <c r="L1185" s="69">
        <f>STOCK[[#This Row],[Entradas]]-STOCK[[#This Row],[Salidas]]</f>
        <v>0</v>
      </c>
      <c r="M1185" s="53">
        <f>STOCK[[#This Row],[Precio Final]]*10%</f>
        <v>1.8</v>
      </c>
      <c r="N1185" s="53">
        <v>0</v>
      </c>
      <c r="O1185" s="53">
        <v>0</v>
      </c>
      <c r="P1185" s="53">
        <v>8.9700000000000006</v>
      </c>
      <c r="Q1185" s="69">
        <v>0</v>
      </c>
      <c r="R1185" s="53">
        <v>0</v>
      </c>
      <c r="S1185" s="53">
        <v>1.97</v>
      </c>
      <c r="T1185" s="53">
        <f>STOCK[[#This Row],[Costo Unitario (USD)]]+STOCK[[#This Row],[Costo Envío (USD)]]+STOCK[[#This Row],[Comisión 10%]]</f>
        <v>12.740000000000002</v>
      </c>
      <c r="U1185" s="53">
        <f>STOCK[[#This Row],[Costo total]]*1.5</f>
        <v>19.110000000000003</v>
      </c>
      <c r="V1185" s="53">
        <v>18</v>
      </c>
      <c r="W1185" s="53">
        <f>STOCK[[#This Row],[Precio Final]]-STOCK[[#This Row],[Costo total]]</f>
        <v>5.259999999999998</v>
      </c>
      <c r="X1185" s="53">
        <f>STOCK[[#This Row],[Ganancia Unitaria]]*STOCK[[#This Row],[Salidas]]</f>
        <v>10.519999999999996</v>
      </c>
      <c r="AA1185" s="54">
        <f>STOCK[[#This Row],[Costo total]]*STOCK[[#This Row],[Entradas]]</f>
        <v>25.480000000000004</v>
      </c>
      <c r="AB1185" s="54">
        <f>STOCK[[#This Row],[Stock Actual]]*STOCK[[#This Row],[Costo total]]</f>
        <v>0</v>
      </c>
    </row>
    <row r="1186" spans="1:28" s="54" customFormat="1" ht="50" customHeight="1">
      <c r="A1186" s="54" t="s">
        <v>2496</v>
      </c>
      <c r="B1186" s="64"/>
      <c r="C1186" s="54" t="s">
        <v>32</v>
      </c>
      <c r="D1186" s="54" t="s">
        <v>174</v>
      </c>
      <c r="E1186" s="66" t="s">
        <v>2494</v>
      </c>
      <c r="F1186" s="54" t="s">
        <v>62</v>
      </c>
      <c r="G1186" s="54" t="s">
        <v>36</v>
      </c>
      <c r="H1186" s="54">
        <f>STOCK[[#This Row],[Precio Final]]</f>
        <v>18</v>
      </c>
      <c r="I1186" s="54">
        <f>STOCK[[#This Row],[Precio Venta Ideal (x1.5)]]</f>
        <v>19.110000000000003</v>
      </c>
      <c r="J1186" s="70">
        <v>3</v>
      </c>
      <c r="K1186" s="70">
        <f>SUMIFS(VENTAS[Cantidad],VENTAS[Código del producto Vendido],STOCK[[#This Row],[Code]])</f>
        <v>1</v>
      </c>
      <c r="L1186" s="70">
        <f>STOCK[[#This Row],[Entradas]]-STOCK[[#This Row],[Salidas]]</f>
        <v>2</v>
      </c>
      <c r="M1186" s="54">
        <f>STOCK[[#This Row],[Precio Final]]*10%</f>
        <v>1.8</v>
      </c>
      <c r="N1186" s="54">
        <v>0</v>
      </c>
      <c r="O1186" s="54">
        <v>0</v>
      </c>
      <c r="P1186" s="54">
        <v>8.9700000000000006</v>
      </c>
      <c r="Q1186" s="70">
        <v>0</v>
      </c>
      <c r="R1186" s="54">
        <v>0</v>
      </c>
      <c r="S1186" s="54">
        <v>1.97</v>
      </c>
      <c r="T1186" s="53">
        <f>STOCK[[#This Row],[Costo Unitario (USD)]]+STOCK[[#This Row],[Costo Envío (USD)]]+STOCK[[#This Row],[Comisión 10%]]</f>
        <v>12.740000000000002</v>
      </c>
      <c r="U1186" s="54">
        <f>STOCK[[#This Row],[Costo total]]*1.5</f>
        <v>19.110000000000003</v>
      </c>
      <c r="V1186" s="54">
        <v>18</v>
      </c>
      <c r="W1186" s="54">
        <f>STOCK[[#This Row],[Precio Final]]-STOCK[[#This Row],[Costo total]]</f>
        <v>5.259999999999998</v>
      </c>
      <c r="X1186" s="54">
        <f>STOCK[[#This Row],[Ganancia Unitaria]]*STOCK[[#This Row],[Salidas]]</f>
        <v>5.259999999999998</v>
      </c>
      <c r="AA1186" s="54">
        <f>STOCK[[#This Row],[Costo total]]*STOCK[[#This Row],[Entradas]]</f>
        <v>38.220000000000006</v>
      </c>
      <c r="AB1186" s="54">
        <f>STOCK[[#This Row],[Stock Actual]]*STOCK[[#This Row],[Costo total]]</f>
        <v>25.480000000000004</v>
      </c>
    </row>
    <row r="1187" spans="1:28" s="53" customFormat="1" ht="50" customHeight="1">
      <c r="A1187" s="53" t="s">
        <v>2497</v>
      </c>
      <c r="B1187" s="64"/>
      <c r="C1187" s="53" t="s">
        <v>32</v>
      </c>
      <c r="D1187" s="53" t="s">
        <v>488</v>
      </c>
      <c r="E1187" s="65" t="s">
        <v>2498</v>
      </c>
      <c r="F1187" s="53" t="s">
        <v>2499</v>
      </c>
      <c r="G1187" s="53" t="s">
        <v>36</v>
      </c>
      <c r="H1187" s="53">
        <f>STOCK[[#This Row],[Precio Final]]</f>
        <v>25</v>
      </c>
      <c r="I1187" s="53">
        <f>STOCK[[#This Row],[Precio Venta Ideal (x1.5)]]</f>
        <v>20.835000000000001</v>
      </c>
      <c r="J1187" s="69">
        <v>3</v>
      </c>
      <c r="K1187" s="69">
        <f>SUMIFS(VENTAS[Cantidad],VENTAS[Código del producto Vendido],STOCK[[#This Row],[Code]])</f>
        <v>2</v>
      </c>
      <c r="L1187" s="69">
        <f>STOCK[[#This Row],[Entradas]]-STOCK[[#This Row],[Salidas]]</f>
        <v>1</v>
      </c>
      <c r="M1187" s="53">
        <f>STOCK[[#This Row],[Precio Final]]*10%</f>
        <v>2.5</v>
      </c>
      <c r="N1187" s="53">
        <v>0</v>
      </c>
      <c r="O1187" s="53">
        <v>0</v>
      </c>
      <c r="P1187" s="53">
        <v>9.42</v>
      </c>
      <c r="Q1187" s="69">
        <v>0</v>
      </c>
      <c r="R1187" s="53">
        <v>0</v>
      </c>
      <c r="S1187" s="53">
        <v>1.97</v>
      </c>
      <c r="T1187" s="53">
        <f>STOCK[[#This Row],[Costo Unitario (USD)]]+STOCK[[#This Row],[Costo Envío (USD)]]+STOCK[[#This Row],[Comisión 10%]]</f>
        <v>13.89</v>
      </c>
      <c r="U1187" s="53">
        <f>STOCK[[#This Row],[Costo total]]*1.5</f>
        <v>20.835000000000001</v>
      </c>
      <c r="V1187" s="53">
        <v>25</v>
      </c>
      <c r="W1187" s="53">
        <f>STOCK[[#This Row],[Precio Final]]-STOCK[[#This Row],[Costo total]]</f>
        <v>11.11</v>
      </c>
      <c r="X1187" s="53">
        <f>STOCK[[#This Row],[Ganancia Unitaria]]*STOCK[[#This Row],[Salidas]]</f>
        <v>22.22</v>
      </c>
      <c r="AA1187" s="54">
        <f>STOCK[[#This Row],[Costo total]]*STOCK[[#This Row],[Entradas]]</f>
        <v>41.67</v>
      </c>
      <c r="AB1187" s="54">
        <f>STOCK[[#This Row],[Stock Actual]]*STOCK[[#This Row],[Costo total]]</f>
        <v>13.89</v>
      </c>
    </row>
    <row r="1188" spans="1:28" s="54" customFormat="1" ht="50" customHeight="1">
      <c r="A1188" s="54" t="s">
        <v>2500</v>
      </c>
      <c r="B1188" s="64"/>
      <c r="C1188" s="54" t="s">
        <v>32</v>
      </c>
      <c r="D1188" s="54" t="s">
        <v>488</v>
      </c>
      <c r="E1188" s="66" t="s">
        <v>2501</v>
      </c>
      <c r="G1188" s="54" t="s">
        <v>36</v>
      </c>
      <c r="H1188" s="54">
        <f>STOCK[[#This Row],[Precio Final]]</f>
        <v>25</v>
      </c>
      <c r="I1188" s="54">
        <f>STOCK[[#This Row],[Precio Venta Ideal (x1.5)]]</f>
        <v>21.254999999999999</v>
      </c>
      <c r="J1188" s="70">
        <v>4</v>
      </c>
      <c r="K1188" s="70">
        <f>SUMIFS(VENTAS[Cantidad],VENTAS[Código del producto Vendido],STOCK[[#This Row],[Code]])</f>
        <v>4</v>
      </c>
      <c r="L1188" s="70">
        <f>STOCK[[#This Row],[Entradas]]-STOCK[[#This Row],[Salidas]]</f>
        <v>0</v>
      </c>
      <c r="M1188" s="54">
        <f>STOCK[[#This Row],[Precio Final]]*10%</f>
        <v>2.5</v>
      </c>
      <c r="N1188" s="54">
        <v>0</v>
      </c>
      <c r="O1188" s="54">
        <v>0</v>
      </c>
      <c r="P1188" s="54">
        <v>9.6999999999999993</v>
      </c>
      <c r="Q1188" s="70">
        <v>0</v>
      </c>
      <c r="R1188" s="54">
        <v>0</v>
      </c>
      <c r="S1188" s="54">
        <v>1.97</v>
      </c>
      <c r="T1188" s="53">
        <f>STOCK[[#This Row],[Costo Unitario (USD)]]+STOCK[[#This Row],[Costo Envío (USD)]]+STOCK[[#This Row],[Comisión 10%]]</f>
        <v>14.17</v>
      </c>
      <c r="U1188" s="54">
        <f>STOCK[[#This Row],[Costo total]]*1.5</f>
        <v>21.254999999999999</v>
      </c>
      <c r="V1188" s="54">
        <v>25</v>
      </c>
      <c r="W1188" s="54">
        <f>STOCK[[#This Row],[Precio Final]]-STOCK[[#This Row],[Costo total]]</f>
        <v>10.83</v>
      </c>
      <c r="X1188" s="54">
        <f>STOCK[[#This Row],[Ganancia Unitaria]]*STOCK[[#This Row],[Salidas]]</f>
        <v>43.32</v>
      </c>
      <c r="AA1188" s="54">
        <f>STOCK[[#This Row],[Costo total]]*STOCK[[#This Row],[Entradas]]</f>
        <v>56.68</v>
      </c>
      <c r="AB1188" s="54">
        <f>STOCK[[#This Row],[Stock Actual]]*STOCK[[#This Row],[Costo total]]</f>
        <v>0</v>
      </c>
    </row>
    <row r="1189" spans="1:28" s="53" customFormat="1" ht="50" customHeight="1">
      <c r="A1189" s="53" t="s">
        <v>2502</v>
      </c>
      <c r="B1189" s="64"/>
      <c r="C1189" s="53" t="s">
        <v>32</v>
      </c>
      <c r="D1189" s="53" t="s">
        <v>488</v>
      </c>
      <c r="E1189" s="65" t="s">
        <v>2503</v>
      </c>
      <c r="G1189" s="53" t="s">
        <v>36</v>
      </c>
      <c r="H1189" s="53">
        <f>STOCK[[#This Row],[Precio Final]]</f>
        <v>22</v>
      </c>
      <c r="I1189" s="53">
        <f>STOCK[[#This Row],[Precio Venta Ideal (x1.5)]]</f>
        <v>20.25</v>
      </c>
      <c r="J1189" s="69">
        <v>3</v>
      </c>
      <c r="K1189" s="69">
        <f>SUMIFS(VENTAS[Cantidad],VENTAS[Código del producto Vendido],STOCK[[#This Row],[Code]])</f>
        <v>3</v>
      </c>
      <c r="L1189" s="69">
        <f>STOCK[[#This Row],[Entradas]]-STOCK[[#This Row],[Salidas]]</f>
        <v>0</v>
      </c>
      <c r="M1189" s="53">
        <f>STOCK[[#This Row],[Precio Final]]*10%</f>
        <v>2.2000000000000002</v>
      </c>
      <c r="N1189" s="53">
        <v>0</v>
      </c>
      <c r="O1189" s="53">
        <v>0</v>
      </c>
      <c r="P1189" s="53">
        <v>9.33</v>
      </c>
      <c r="Q1189" s="69">
        <v>0</v>
      </c>
      <c r="R1189" s="53">
        <v>0</v>
      </c>
      <c r="S1189" s="53">
        <v>1.97</v>
      </c>
      <c r="T1189" s="53">
        <f>STOCK[[#This Row],[Costo Unitario (USD)]]+STOCK[[#This Row],[Costo Envío (USD)]]+STOCK[[#This Row],[Comisión 10%]]</f>
        <v>13.5</v>
      </c>
      <c r="U1189" s="53">
        <f>STOCK[[#This Row],[Costo total]]*1.5</f>
        <v>20.25</v>
      </c>
      <c r="V1189" s="53">
        <v>22</v>
      </c>
      <c r="W1189" s="53">
        <f>STOCK[[#This Row],[Precio Final]]-STOCK[[#This Row],[Costo total]]</f>
        <v>8.5</v>
      </c>
      <c r="X1189" s="53">
        <f>STOCK[[#This Row],[Ganancia Unitaria]]*STOCK[[#This Row],[Salidas]]</f>
        <v>25.5</v>
      </c>
      <c r="AA1189" s="54">
        <f>STOCK[[#This Row],[Costo total]]*STOCK[[#This Row],[Entradas]]</f>
        <v>40.5</v>
      </c>
      <c r="AB1189" s="54">
        <f>STOCK[[#This Row],[Stock Actual]]*STOCK[[#This Row],[Costo total]]</f>
        <v>0</v>
      </c>
    </row>
    <row r="1190" spans="1:28" s="54" customFormat="1" ht="50" customHeight="1">
      <c r="A1190" s="54" t="s">
        <v>2504</v>
      </c>
      <c r="B1190" s="64"/>
      <c r="C1190" s="54" t="s">
        <v>32</v>
      </c>
      <c r="D1190" s="54" t="s">
        <v>174</v>
      </c>
      <c r="E1190" s="66" t="s">
        <v>2505</v>
      </c>
      <c r="F1190" s="54" t="s">
        <v>62</v>
      </c>
      <c r="G1190" s="54" t="s">
        <v>36</v>
      </c>
      <c r="H1190" s="54">
        <f>STOCK[[#This Row],[Precio Final]]</f>
        <v>20</v>
      </c>
      <c r="I1190" s="54">
        <f>STOCK[[#This Row],[Precio Venta Ideal (x1.5)]]</f>
        <v>19.38</v>
      </c>
      <c r="J1190" s="70">
        <v>1</v>
      </c>
      <c r="K1190" s="70">
        <f>SUMIFS(VENTAS[Cantidad],VENTAS[Código del producto Vendido],STOCK[[#This Row],[Code]])</f>
        <v>1</v>
      </c>
      <c r="L1190" s="70">
        <f>STOCK[[#This Row],[Entradas]]-STOCK[[#This Row],[Salidas]]</f>
        <v>0</v>
      </c>
      <c r="M1190" s="54">
        <f>STOCK[[#This Row],[Precio Final]]*10%</f>
        <v>2</v>
      </c>
      <c r="N1190" s="54">
        <v>0</v>
      </c>
      <c r="O1190" s="54">
        <v>0</v>
      </c>
      <c r="P1190" s="54">
        <v>8.9499999999999993</v>
      </c>
      <c r="Q1190" s="70">
        <v>0</v>
      </c>
      <c r="R1190" s="54">
        <v>0</v>
      </c>
      <c r="S1190" s="54">
        <v>1.97</v>
      </c>
      <c r="T1190" s="53">
        <f>STOCK[[#This Row],[Costo Unitario (USD)]]+STOCK[[#This Row],[Costo Envío (USD)]]+STOCK[[#This Row],[Comisión 10%]]</f>
        <v>12.92</v>
      </c>
      <c r="U1190" s="54">
        <f>STOCK[[#This Row],[Costo total]]*1.5</f>
        <v>19.38</v>
      </c>
      <c r="V1190" s="54">
        <v>20</v>
      </c>
      <c r="W1190" s="54">
        <f>STOCK[[#This Row],[Precio Final]]-STOCK[[#This Row],[Costo total]]</f>
        <v>7.08</v>
      </c>
      <c r="X1190" s="54">
        <f>STOCK[[#This Row],[Ganancia Unitaria]]*STOCK[[#This Row],[Salidas]]</f>
        <v>7.08</v>
      </c>
      <c r="AA1190" s="54">
        <f>STOCK[[#This Row],[Costo total]]*STOCK[[#This Row],[Entradas]]</f>
        <v>12.92</v>
      </c>
      <c r="AB1190" s="54">
        <f>STOCK[[#This Row],[Stock Actual]]*STOCK[[#This Row],[Costo total]]</f>
        <v>0</v>
      </c>
    </row>
    <row r="1191" spans="1:28" s="53" customFormat="1" ht="50" customHeight="1">
      <c r="A1191" s="53" t="s">
        <v>2506</v>
      </c>
      <c r="B1191" s="64"/>
      <c r="C1191" s="53" t="s">
        <v>32</v>
      </c>
      <c r="D1191" s="53" t="s">
        <v>174</v>
      </c>
      <c r="E1191" s="65" t="s">
        <v>2505</v>
      </c>
      <c r="F1191" s="53" t="s">
        <v>49</v>
      </c>
      <c r="G1191" s="53" t="s">
        <v>36</v>
      </c>
      <c r="H1191" s="53">
        <f>STOCK[[#This Row],[Precio Final]]</f>
        <v>20</v>
      </c>
      <c r="I1191" s="53">
        <f>STOCK[[#This Row],[Precio Venta Ideal (x1.5)]]</f>
        <v>19.38</v>
      </c>
      <c r="J1191" s="69">
        <v>1</v>
      </c>
      <c r="K1191" s="69">
        <f>SUMIFS(VENTAS[Cantidad],VENTAS[Código del producto Vendido],STOCK[[#This Row],[Code]])</f>
        <v>0</v>
      </c>
      <c r="L1191" s="69">
        <f>STOCK[[#This Row],[Entradas]]-STOCK[[#This Row],[Salidas]]</f>
        <v>1</v>
      </c>
      <c r="M1191" s="53">
        <f>STOCK[[#This Row],[Precio Final]]*10%</f>
        <v>2</v>
      </c>
      <c r="N1191" s="53">
        <v>0</v>
      </c>
      <c r="O1191" s="53">
        <v>0</v>
      </c>
      <c r="P1191" s="53">
        <v>8.9499999999999993</v>
      </c>
      <c r="Q1191" s="69">
        <v>0</v>
      </c>
      <c r="R1191" s="53">
        <v>0</v>
      </c>
      <c r="S1191" s="53">
        <v>1.97</v>
      </c>
      <c r="T1191" s="53">
        <f>STOCK[[#This Row],[Costo Unitario (USD)]]+STOCK[[#This Row],[Costo Envío (USD)]]+STOCK[[#This Row],[Comisión 10%]]</f>
        <v>12.92</v>
      </c>
      <c r="U1191" s="53">
        <f>STOCK[[#This Row],[Costo total]]*1.5</f>
        <v>19.38</v>
      </c>
      <c r="V1191" s="53">
        <v>20</v>
      </c>
      <c r="W1191" s="53">
        <f>STOCK[[#This Row],[Precio Final]]-STOCK[[#This Row],[Costo total]]</f>
        <v>7.08</v>
      </c>
      <c r="X1191" s="53">
        <f>STOCK[[#This Row],[Ganancia Unitaria]]*STOCK[[#This Row],[Salidas]]</f>
        <v>0</v>
      </c>
      <c r="AA1191" s="54">
        <f>STOCK[[#This Row],[Costo total]]*STOCK[[#This Row],[Entradas]]</f>
        <v>12.92</v>
      </c>
      <c r="AB1191" s="54">
        <f>STOCK[[#This Row],[Stock Actual]]*STOCK[[#This Row],[Costo total]]</f>
        <v>12.92</v>
      </c>
    </row>
    <row r="1192" spans="1:28" s="54" customFormat="1" ht="50" customHeight="1">
      <c r="A1192" s="54" t="s">
        <v>2507</v>
      </c>
      <c r="B1192" s="64"/>
      <c r="C1192" s="54" t="s">
        <v>32</v>
      </c>
      <c r="D1192" s="54" t="s">
        <v>174</v>
      </c>
      <c r="E1192" s="66" t="s">
        <v>2505</v>
      </c>
      <c r="F1192" s="54" t="s">
        <v>46</v>
      </c>
      <c r="G1192" s="54" t="s">
        <v>36</v>
      </c>
      <c r="H1192" s="54">
        <f>STOCK[[#This Row],[Precio Final]]</f>
        <v>20</v>
      </c>
      <c r="I1192" s="54">
        <f>STOCK[[#This Row],[Precio Venta Ideal (x1.5)]]</f>
        <v>19.38</v>
      </c>
      <c r="J1192" s="70">
        <v>1</v>
      </c>
      <c r="K1192" s="70">
        <f>SUMIFS(VENTAS[Cantidad],VENTAS[Código del producto Vendido],STOCK[[#This Row],[Code]])</f>
        <v>1</v>
      </c>
      <c r="L1192" s="70">
        <f>STOCK[[#This Row],[Entradas]]-STOCK[[#This Row],[Salidas]]</f>
        <v>0</v>
      </c>
      <c r="M1192" s="54">
        <f>STOCK[[#This Row],[Precio Final]]*10%</f>
        <v>2</v>
      </c>
      <c r="N1192" s="54">
        <v>0</v>
      </c>
      <c r="O1192" s="54">
        <v>0</v>
      </c>
      <c r="P1192" s="54">
        <v>8.9499999999999993</v>
      </c>
      <c r="Q1192" s="70">
        <v>0</v>
      </c>
      <c r="R1192" s="54">
        <v>0</v>
      </c>
      <c r="S1192" s="54">
        <v>1.97</v>
      </c>
      <c r="T1192" s="53">
        <f>STOCK[[#This Row],[Costo Unitario (USD)]]+STOCK[[#This Row],[Costo Envío (USD)]]+STOCK[[#This Row],[Comisión 10%]]</f>
        <v>12.92</v>
      </c>
      <c r="U1192" s="54">
        <f>STOCK[[#This Row],[Costo total]]*1.5</f>
        <v>19.38</v>
      </c>
      <c r="V1192" s="54">
        <v>20</v>
      </c>
      <c r="W1192" s="54">
        <f>STOCK[[#This Row],[Precio Final]]-STOCK[[#This Row],[Costo total]]</f>
        <v>7.08</v>
      </c>
      <c r="X1192" s="54">
        <f>STOCK[[#This Row],[Ganancia Unitaria]]*STOCK[[#This Row],[Salidas]]</f>
        <v>7.08</v>
      </c>
      <c r="AA1192" s="54">
        <f>STOCK[[#This Row],[Costo total]]*STOCK[[#This Row],[Entradas]]</f>
        <v>12.92</v>
      </c>
      <c r="AB1192" s="54">
        <f>STOCK[[#This Row],[Stock Actual]]*STOCK[[#This Row],[Costo total]]</f>
        <v>0</v>
      </c>
    </row>
    <row r="1193" spans="1:28" s="53" customFormat="1" ht="50" customHeight="1">
      <c r="A1193" s="53" t="s">
        <v>2508</v>
      </c>
      <c r="B1193" s="64"/>
      <c r="C1193" s="53" t="s">
        <v>32</v>
      </c>
      <c r="D1193" s="53" t="s">
        <v>152</v>
      </c>
      <c r="E1193" s="65" t="s">
        <v>2509</v>
      </c>
      <c r="F1193" s="53" t="s">
        <v>40</v>
      </c>
      <c r="G1193" s="53" t="s">
        <v>36</v>
      </c>
      <c r="H1193" s="53">
        <f>STOCK[[#This Row],[Precio Final]]</f>
        <v>30</v>
      </c>
      <c r="I1193" s="53">
        <f>STOCK[[#This Row],[Precio Venta Ideal (x1.5)]]</f>
        <v>33.284999999999997</v>
      </c>
      <c r="J1193" s="69">
        <v>1</v>
      </c>
      <c r="K1193" s="69">
        <f>SUMIFS(VENTAS[Cantidad],VENTAS[Código del producto Vendido],STOCK[[#This Row],[Code]])</f>
        <v>0</v>
      </c>
      <c r="L1193" s="69">
        <f>STOCK[[#This Row],[Entradas]]-STOCK[[#This Row],[Salidas]]</f>
        <v>1</v>
      </c>
      <c r="M1193" s="53">
        <f>STOCK[[#This Row],[Precio Final]]*10%</f>
        <v>3</v>
      </c>
      <c r="N1193" s="53">
        <v>0</v>
      </c>
      <c r="O1193" s="53">
        <v>0</v>
      </c>
      <c r="P1193" s="53">
        <v>17.22</v>
      </c>
      <c r="Q1193" s="69">
        <v>0</v>
      </c>
      <c r="R1193" s="53">
        <v>0</v>
      </c>
      <c r="S1193" s="53">
        <v>1.97</v>
      </c>
      <c r="T1193" s="53">
        <f>STOCK[[#This Row],[Costo Unitario (USD)]]+STOCK[[#This Row],[Costo Envío (USD)]]+STOCK[[#This Row],[Comisión 10%]]</f>
        <v>22.189999999999998</v>
      </c>
      <c r="U1193" s="53">
        <f>STOCK[[#This Row],[Costo total]]*1.5</f>
        <v>33.284999999999997</v>
      </c>
      <c r="V1193" s="53">
        <v>30</v>
      </c>
      <c r="W1193" s="53">
        <f>STOCK[[#This Row],[Precio Final]]-STOCK[[#This Row],[Costo total]]</f>
        <v>7.8100000000000023</v>
      </c>
      <c r="X1193" s="53">
        <f>STOCK[[#This Row],[Ganancia Unitaria]]*STOCK[[#This Row],[Salidas]]</f>
        <v>0</v>
      </c>
      <c r="AA1193" s="54">
        <f>STOCK[[#This Row],[Costo total]]*STOCK[[#This Row],[Entradas]]</f>
        <v>22.189999999999998</v>
      </c>
      <c r="AB1193" s="54">
        <f>STOCK[[#This Row],[Stock Actual]]*STOCK[[#This Row],[Costo total]]</f>
        <v>22.189999999999998</v>
      </c>
    </row>
    <row r="1194" spans="1:28" s="54" customFormat="1" ht="50" customHeight="1">
      <c r="A1194" s="54" t="s">
        <v>2510</v>
      </c>
      <c r="B1194" s="64"/>
      <c r="C1194" s="54" t="s">
        <v>32</v>
      </c>
      <c r="D1194" s="54" t="s">
        <v>152</v>
      </c>
      <c r="E1194" s="66" t="s">
        <v>2509</v>
      </c>
      <c r="F1194" s="54" t="s">
        <v>62</v>
      </c>
      <c r="G1194" s="54" t="s">
        <v>36</v>
      </c>
      <c r="H1194" s="54">
        <f>STOCK[[#This Row],[Precio Final]]</f>
        <v>30</v>
      </c>
      <c r="I1194" s="54">
        <f>STOCK[[#This Row],[Precio Venta Ideal (x1.5)]]</f>
        <v>33.284999999999997</v>
      </c>
      <c r="J1194" s="70">
        <v>1</v>
      </c>
      <c r="K1194" s="70">
        <f>SUMIFS(VENTAS[Cantidad],VENTAS[Código del producto Vendido],STOCK[[#This Row],[Code]])</f>
        <v>1</v>
      </c>
      <c r="L1194" s="70">
        <f>STOCK[[#This Row],[Entradas]]-STOCK[[#This Row],[Salidas]]</f>
        <v>0</v>
      </c>
      <c r="M1194" s="54">
        <f>STOCK[[#This Row],[Precio Final]]*10%</f>
        <v>3</v>
      </c>
      <c r="N1194" s="54">
        <v>0</v>
      </c>
      <c r="O1194" s="54">
        <v>0</v>
      </c>
      <c r="P1194" s="54">
        <v>17.22</v>
      </c>
      <c r="Q1194" s="70">
        <v>0</v>
      </c>
      <c r="R1194" s="54">
        <v>0</v>
      </c>
      <c r="S1194" s="54">
        <v>1.97</v>
      </c>
      <c r="T1194" s="53">
        <f>STOCK[[#This Row],[Costo Unitario (USD)]]+STOCK[[#This Row],[Costo Envío (USD)]]+STOCK[[#This Row],[Comisión 10%]]</f>
        <v>22.189999999999998</v>
      </c>
      <c r="U1194" s="54">
        <f>STOCK[[#This Row],[Costo total]]*1.5</f>
        <v>33.284999999999997</v>
      </c>
      <c r="V1194" s="54">
        <v>30</v>
      </c>
      <c r="W1194" s="54">
        <f>STOCK[[#This Row],[Precio Final]]-STOCK[[#This Row],[Costo total]]</f>
        <v>7.8100000000000023</v>
      </c>
      <c r="X1194" s="54">
        <f>STOCK[[#This Row],[Ganancia Unitaria]]*STOCK[[#This Row],[Salidas]]</f>
        <v>7.8100000000000023</v>
      </c>
      <c r="AA1194" s="54">
        <f>STOCK[[#This Row],[Costo total]]*STOCK[[#This Row],[Entradas]]</f>
        <v>22.189999999999998</v>
      </c>
      <c r="AB1194" s="54">
        <f>STOCK[[#This Row],[Stock Actual]]*STOCK[[#This Row],[Costo total]]</f>
        <v>0</v>
      </c>
    </row>
    <row r="1195" spans="1:28" s="53" customFormat="1" ht="50" customHeight="1">
      <c r="A1195" s="53" t="s">
        <v>2511</v>
      </c>
      <c r="B1195" s="64"/>
      <c r="C1195" s="53" t="s">
        <v>32</v>
      </c>
      <c r="D1195" s="53" t="s">
        <v>152</v>
      </c>
      <c r="E1195" s="65" t="s">
        <v>2509</v>
      </c>
      <c r="F1195" s="53" t="s">
        <v>49</v>
      </c>
      <c r="G1195" s="53" t="s">
        <v>36</v>
      </c>
      <c r="H1195" s="53">
        <f>STOCK[[#This Row],[Precio Final]]</f>
        <v>30</v>
      </c>
      <c r="I1195" s="53">
        <f>STOCK[[#This Row],[Precio Venta Ideal (x1.5)]]</f>
        <v>33.284999999999997</v>
      </c>
      <c r="J1195" s="69">
        <v>1</v>
      </c>
      <c r="K1195" s="69">
        <f>SUMIFS(VENTAS[Cantidad],VENTAS[Código del producto Vendido],STOCK[[#This Row],[Code]])</f>
        <v>1</v>
      </c>
      <c r="L1195" s="69">
        <f>STOCK[[#This Row],[Entradas]]-STOCK[[#This Row],[Salidas]]</f>
        <v>0</v>
      </c>
      <c r="M1195" s="53">
        <f>STOCK[[#This Row],[Precio Final]]*10%</f>
        <v>3</v>
      </c>
      <c r="N1195" s="53">
        <v>0</v>
      </c>
      <c r="O1195" s="53">
        <v>0</v>
      </c>
      <c r="P1195" s="53">
        <v>17.22</v>
      </c>
      <c r="Q1195" s="69">
        <v>0</v>
      </c>
      <c r="R1195" s="53">
        <v>0</v>
      </c>
      <c r="S1195" s="53">
        <v>1.97</v>
      </c>
      <c r="T1195" s="53">
        <f>STOCK[[#This Row],[Costo Unitario (USD)]]+STOCK[[#This Row],[Costo Envío (USD)]]+STOCK[[#This Row],[Comisión 10%]]</f>
        <v>22.189999999999998</v>
      </c>
      <c r="U1195" s="53">
        <f>STOCK[[#This Row],[Costo total]]*1.5</f>
        <v>33.284999999999997</v>
      </c>
      <c r="V1195" s="53">
        <v>30</v>
      </c>
      <c r="W1195" s="53">
        <f>STOCK[[#This Row],[Precio Final]]-STOCK[[#This Row],[Costo total]]</f>
        <v>7.8100000000000023</v>
      </c>
      <c r="X1195" s="53">
        <f>STOCK[[#This Row],[Ganancia Unitaria]]*STOCK[[#This Row],[Salidas]]</f>
        <v>7.8100000000000023</v>
      </c>
      <c r="AA1195" s="54">
        <f>STOCK[[#This Row],[Costo total]]*STOCK[[#This Row],[Entradas]]</f>
        <v>22.189999999999998</v>
      </c>
      <c r="AB1195" s="54">
        <f>STOCK[[#This Row],[Stock Actual]]*STOCK[[#This Row],[Costo total]]</f>
        <v>0</v>
      </c>
    </row>
    <row r="1196" spans="1:28" s="54" customFormat="1" ht="50" customHeight="1">
      <c r="A1196" s="54" t="s">
        <v>2512</v>
      </c>
      <c r="B1196" s="64"/>
      <c r="C1196" s="54" t="s">
        <v>32</v>
      </c>
      <c r="D1196" s="54" t="s">
        <v>174</v>
      </c>
      <c r="E1196" s="66" t="s">
        <v>2513</v>
      </c>
      <c r="F1196" s="54" t="s">
        <v>62</v>
      </c>
      <c r="G1196" s="54" t="s">
        <v>36</v>
      </c>
      <c r="H1196" s="54">
        <f>STOCK[[#This Row],[Precio Final]]</f>
        <v>22</v>
      </c>
      <c r="I1196" s="54">
        <f>STOCK[[#This Row],[Precio Venta Ideal (x1.5)]]</f>
        <v>20.25</v>
      </c>
      <c r="J1196" s="70">
        <v>2</v>
      </c>
      <c r="K1196" s="70">
        <f>SUMIFS(VENTAS[Cantidad],VENTAS[Código del producto Vendido],STOCK[[#This Row],[Code]])</f>
        <v>2</v>
      </c>
      <c r="L1196" s="70">
        <f>STOCK[[#This Row],[Entradas]]-STOCK[[#This Row],[Salidas]]</f>
        <v>0</v>
      </c>
      <c r="M1196" s="54">
        <f>STOCK[[#This Row],[Precio Final]]*10%</f>
        <v>2.2000000000000002</v>
      </c>
      <c r="N1196" s="54">
        <v>0</v>
      </c>
      <c r="O1196" s="54">
        <v>0</v>
      </c>
      <c r="P1196" s="54">
        <v>9.33</v>
      </c>
      <c r="Q1196" s="70">
        <v>0</v>
      </c>
      <c r="R1196" s="54">
        <v>0</v>
      </c>
      <c r="S1196" s="54">
        <v>1.97</v>
      </c>
      <c r="T1196" s="53">
        <f>STOCK[[#This Row],[Costo Unitario (USD)]]+STOCK[[#This Row],[Costo Envío (USD)]]+STOCK[[#This Row],[Comisión 10%]]</f>
        <v>13.5</v>
      </c>
      <c r="U1196" s="54">
        <f>STOCK[[#This Row],[Costo total]]*1.5</f>
        <v>20.25</v>
      </c>
      <c r="V1196" s="54">
        <v>22</v>
      </c>
      <c r="W1196" s="54">
        <f>STOCK[[#This Row],[Precio Final]]-STOCK[[#This Row],[Costo total]]</f>
        <v>8.5</v>
      </c>
      <c r="X1196" s="54">
        <f>STOCK[[#This Row],[Ganancia Unitaria]]*STOCK[[#This Row],[Salidas]]</f>
        <v>17</v>
      </c>
      <c r="AA1196" s="54">
        <f>STOCK[[#This Row],[Costo total]]*STOCK[[#This Row],[Entradas]]</f>
        <v>27</v>
      </c>
      <c r="AB1196" s="54">
        <f>STOCK[[#This Row],[Stock Actual]]*STOCK[[#This Row],[Costo total]]</f>
        <v>0</v>
      </c>
    </row>
    <row r="1197" spans="1:28" s="53" customFormat="1" ht="50" customHeight="1">
      <c r="A1197" s="53" t="s">
        <v>2514</v>
      </c>
      <c r="B1197" s="64"/>
      <c r="C1197" s="53" t="s">
        <v>32</v>
      </c>
      <c r="D1197" s="53" t="s">
        <v>174</v>
      </c>
      <c r="E1197" s="65" t="s">
        <v>2513</v>
      </c>
      <c r="F1197" s="53" t="s">
        <v>49</v>
      </c>
      <c r="G1197" s="53" t="s">
        <v>36</v>
      </c>
      <c r="H1197" s="53">
        <f>STOCK[[#This Row],[Precio Final]]</f>
        <v>22</v>
      </c>
      <c r="I1197" s="53">
        <f>STOCK[[#This Row],[Precio Venta Ideal (x1.5)]]</f>
        <v>20.25</v>
      </c>
      <c r="J1197" s="69">
        <v>2</v>
      </c>
      <c r="K1197" s="69">
        <f>SUMIFS(VENTAS[Cantidad],VENTAS[Código del producto Vendido],STOCK[[#This Row],[Code]])</f>
        <v>1</v>
      </c>
      <c r="L1197" s="69">
        <f>STOCK[[#This Row],[Entradas]]-STOCK[[#This Row],[Salidas]]</f>
        <v>1</v>
      </c>
      <c r="M1197" s="53">
        <f>STOCK[[#This Row],[Precio Final]]*10%</f>
        <v>2.2000000000000002</v>
      </c>
      <c r="N1197" s="53">
        <v>0</v>
      </c>
      <c r="O1197" s="53">
        <v>0</v>
      </c>
      <c r="P1197" s="53">
        <v>9.33</v>
      </c>
      <c r="Q1197" s="69">
        <v>0</v>
      </c>
      <c r="R1197" s="53">
        <v>0</v>
      </c>
      <c r="S1197" s="53">
        <v>1.97</v>
      </c>
      <c r="T1197" s="53">
        <f>STOCK[[#This Row],[Costo Unitario (USD)]]+STOCK[[#This Row],[Costo Envío (USD)]]+STOCK[[#This Row],[Comisión 10%]]</f>
        <v>13.5</v>
      </c>
      <c r="U1197" s="53">
        <f>STOCK[[#This Row],[Costo total]]*1.5</f>
        <v>20.25</v>
      </c>
      <c r="V1197" s="53">
        <v>22</v>
      </c>
      <c r="W1197" s="53">
        <f>STOCK[[#This Row],[Precio Final]]-STOCK[[#This Row],[Costo total]]</f>
        <v>8.5</v>
      </c>
      <c r="X1197" s="53">
        <f>STOCK[[#This Row],[Ganancia Unitaria]]*STOCK[[#This Row],[Salidas]]</f>
        <v>8.5</v>
      </c>
      <c r="AA1197" s="54">
        <f>STOCK[[#This Row],[Costo total]]*STOCK[[#This Row],[Entradas]]</f>
        <v>27</v>
      </c>
      <c r="AB1197" s="54">
        <f>STOCK[[#This Row],[Stock Actual]]*STOCK[[#This Row],[Costo total]]</f>
        <v>13.5</v>
      </c>
    </row>
    <row r="1198" spans="1:28" s="54" customFormat="1" ht="50" customHeight="1">
      <c r="A1198" s="54" t="s">
        <v>2515</v>
      </c>
      <c r="B1198" s="64"/>
      <c r="C1198" s="54" t="s">
        <v>32</v>
      </c>
      <c r="D1198" s="54" t="s">
        <v>174</v>
      </c>
      <c r="E1198" s="66" t="s">
        <v>2513</v>
      </c>
      <c r="F1198" s="54" t="s">
        <v>46</v>
      </c>
      <c r="G1198" s="54" t="s">
        <v>36</v>
      </c>
      <c r="H1198" s="54">
        <f>STOCK[[#This Row],[Precio Final]]</f>
        <v>22</v>
      </c>
      <c r="I1198" s="54">
        <f>STOCK[[#This Row],[Precio Venta Ideal (x1.5)]]</f>
        <v>20.25</v>
      </c>
      <c r="J1198" s="70">
        <v>2</v>
      </c>
      <c r="K1198" s="70">
        <f>SUMIFS(VENTAS[Cantidad],VENTAS[Código del producto Vendido],STOCK[[#This Row],[Code]])</f>
        <v>3</v>
      </c>
      <c r="L1198" s="70">
        <f>STOCK[[#This Row],[Entradas]]-STOCK[[#This Row],[Salidas]]</f>
        <v>-1</v>
      </c>
      <c r="M1198" s="54">
        <f>STOCK[[#This Row],[Precio Final]]*10%</f>
        <v>2.2000000000000002</v>
      </c>
      <c r="N1198" s="54">
        <v>0</v>
      </c>
      <c r="O1198" s="54">
        <v>0</v>
      </c>
      <c r="P1198" s="54">
        <v>9.33</v>
      </c>
      <c r="Q1198" s="70">
        <v>0</v>
      </c>
      <c r="R1198" s="54">
        <v>0</v>
      </c>
      <c r="S1198" s="54">
        <v>1.97</v>
      </c>
      <c r="T1198" s="53">
        <f>STOCK[[#This Row],[Costo Unitario (USD)]]+STOCK[[#This Row],[Costo Envío (USD)]]+STOCK[[#This Row],[Comisión 10%]]</f>
        <v>13.5</v>
      </c>
      <c r="U1198" s="54">
        <f>STOCK[[#This Row],[Costo total]]*1.5</f>
        <v>20.25</v>
      </c>
      <c r="V1198" s="54">
        <v>22</v>
      </c>
      <c r="W1198" s="54">
        <f>STOCK[[#This Row],[Precio Final]]-STOCK[[#This Row],[Costo total]]</f>
        <v>8.5</v>
      </c>
      <c r="X1198" s="54">
        <f>STOCK[[#This Row],[Ganancia Unitaria]]*STOCK[[#This Row],[Salidas]]</f>
        <v>25.5</v>
      </c>
      <c r="AA1198" s="54">
        <f>STOCK[[#This Row],[Costo total]]*STOCK[[#This Row],[Entradas]]</f>
        <v>27</v>
      </c>
      <c r="AB1198" s="54">
        <f>STOCK[[#This Row],[Stock Actual]]*STOCK[[#This Row],[Costo total]]</f>
        <v>-13.5</v>
      </c>
    </row>
    <row r="1199" spans="1:28" s="53" customFormat="1" ht="50" customHeight="1">
      <c r="A1199" s="53" t="s">
        <v>2516</v>
      </c>
      <c r="B1199" s="64"/>
      <c r="C1199" s="53" t="s">
        <v>32</v>
      </c>
      <c r="D1199" s="53" t="s">
        <v>488</v>
      </c>
      <c r="E1199" s="65" t="s">
        <v>2517</v>
      </c>
      <c r="F1199" s="53" t="s">
        <v>2217</v>
      </c>
      <c r="G1199" s="53" t="s">
        <v>36</v>
      </c>
      <c r="H1199" s="53">
        <f>STOCK[[#This Row],[Precio Final]]</f>
        <v>20</v>
      </c>
      <c r="I1199" s="53">
        <f>STOCK[[#This Row],[Precio Venta Ideal (x1.5)]]</f>
        <v>20.234999999999999</v>
      </c>
      <c r="J1199" s="69">
        <v>3</v>
      </c>
      <c r="K1199" s="69">
        <f>SUMIFS(VENTAS[Cantidad],VENTAS[Código del producto Vendido],STOCK[[#This Row],[Code]])</f>
        <v>3</v>
      </c>
      <c r="L1199" s="69">
        <f>STOCK[[#This Row],[Entradas]]-STOCK[[#This Row],[Salidas]]</f>
        <v>0</v>
      </c>
      <c r="M1199" s="53">
        <f>STOCK[[#This Row],[Precio Final]]*10%</f>
        <v>2</v>
      </c>
      <c r="N1199" s="53">
        <v>0</v>
      </c>
      <c r="O1199" s="53">
        <v>0</v>
      </c>
      <c r="P1199" s="53">
        <v>9.52</v>
      </c>
      <c r="Q1199" s="69">
        <v>0</v>
      </c>
      <c r="R1199" s="53">
        <v>0</v>
      </c>
      <c r="S1199" s="53">
        <v>1.97</v>
      </c>
      <c r="T1199" s="53">
        <f>STOCK[[#This Row],[Costo Unitario (USD)]]+STOCK[[#This Row],[Costo Envío (USD)]]+STOCK[[#This Row],[Comisión 10%]]</f>
        <v>13.49</v>
      </c>
      <c r="U1199" s="53">
        <f>STOCK[[#This Row],[Costo total]]*1.5</f>
        <v>20.234999999999999</v>
      </c>
      <c r="V1199" s="53">
        <v>20</v>
      </c>
      <c r="W1199" s="53">
        <f>STOCK[[#This Row],[Precio Final]]-STOCK[[#This Row],[Costo total]]</f>
        <v>6.51</v>
      </c>
      <c r="X1199" s="53">
        <f>STOCK[[#This Row],[Ganancia Unitaria]]*STOCK[[#This Row],[Salidas]]</f>
        <v>19.53</v>
      </c>
      <c r="AA1199" s="54">
        <f>STOCK[[#This Row],[Costo total]]*STOCK[[#This Row],[Entradas]]</f>
        <v>40.47</v>
      </c>
      <c r="AB1199" s="54">
        <f>STOCK[[#This Row],[Stock Actual]]*STOCK[[#This Row],[Costo total]]</f>
        <v>0</v>
      </c>
    </row>
    <row r="1200" spans="1:28" s="54" customFormat="1" ht="50" customHeight="1">
      <c r="A1200" s="54" t="s">
        <v>2518</v>
      </c>
      <c r="B1200" s="64"/>
      <c r="C1200" s="54" t="s">
        <v>32</v>
      </c>
      <c r="D1200" s="54" t="s">
        <v>488</v>
      </c>
      <c r="E1200" s="66" t="s">
        <v>2519</v>
      </c>
      <c r="F1200" s="54" t="s">
        <v>1534</v>
      </c>
      <c r="G1200" s="54" t="s">
        <v>36</v>
      </c>
      <c r="H1200" s="54">
        <f>STOCK[[#This Row],[Precio Final]]</f>
        <v>22</v>
      </c>
      <c r="I1200" s="54">
        <f>STOCK[[#This Row],[Precio Venta Ideal (x1.5)]]</f>
        <v>22.545000000000002</v>
      </c>
      <c r="J1200" s="70">
        <v>2</v>
      </c>
      <c r="K1200" s="70">
        <f>SUMIFS(VENTAS[Cantidad],VENTAS[Código del producto Vendido],STOCK[[#This Row],[Code]])</f>
        <v>2</v>
      </c>
      <c r="L1200" s="70">
        <f>STOCK[[#This Row],[Entradas]]-STOCK[[#This Row],[Salidas]]</f>
        <v>0</v>
      </c>
      <c r="M1200" s="54">
        <f>STOCK[[#This Row],[Precio Final]]*10%</f>
        <v>2.2000000000000002</v>
      </c>
      <c r="N1200" s="54">
        <v>0</v>
      </c>
      <c r="O1200" s="54">
        <v>0</v>
      </c>
      <c r="P1200" s="54">
        <v>10.86</v>
      </c>
      <c r="Q1200" s="70">
        <v>0</v>
      </c>
      <c r="R1200" s="54">
        <v>0</v>
      </c>
      <c r="S1200" s="54">
        <v>1.97</v>
      </c>
      <c r="T1200" s="53">
        <f>STOCK[[#This Row],[Costo Unitario (USD)]]+STOCK[[#This Row],[Costo Envío (USD)]]+STOCK[[#This Row],[Comisión 10%]]</f>
        <v>15.030000000000001</v>
      </c>
      <c r="U1200" s="54">
        <f>STOCK[[#This Row],[Costo total]]*1.5</f>
        <v>22.545000000000002</v>
      </c>
      <c r="V1200" s="54">
        <v>22</v>
      </c>
      <c r="W1200" s="54">
        <f>STOCK[[#This Row],[Precio Final]]-STOCK[[#This Row],[Costo total]]</f>
        <v>6.9699999999999989</v>
      </c>
      <c r="X1200" s="54">
        <f>STOCK[[#This Row],[Ganancia Unitaria]]*STOCK[[#This Row],[Salidas]]</f>
        <v>13.939999999999998</v>
      </c>
      <c r="AA1200" s="54">
        <f>STOCK[[#This Row],[Costo total]]*STOCK[[#This Row],[Entradas]]</f>
        <v>30.060000000000002</v>
      </c>
      <c r="AB1200" s="54">
        <f>STOCK[[#This Row],[Stock Actual]]*STOCK[[#This Row],[Costo total]]</f>
        <v>0</v>
      </c>
    </row>
    <row r="1201" spans="1:28" s="53" customFormat="1" ht="50" customHeight="1">
      <c r="A1201" s="53" t="s">
        <v>2520</v>
      </c>
      <c r="B1201" s="64"/>
      <c r="C1201" s="53" t="s">
        <v>32</v>
      </c>
      <c r="D1201" s="53" t="s">
        <v>152</v>
      </c>
      <c r="E1201" s="65" t="s">
        <v>2521</v>
      </c>
      <c r="F1201" s="53" t="s">
        <v>62</v>
      </c>
      <c r="G1201" s="53" t="s">
        <v>36</v>
      </c>
      <c r="H1201" s="53">
        <f>STOCK[[#This Row],[Precio Final]]</f>
        <v>25</v>
      </c>
      <c r="I1201" s="53">
        <f>STOCK[[#This Row],[Precio Venta Ideal (x1.5)]]</f>
        <v>27.434999999999999</v>
      </c>
      <c r="J1201" s="69">
        <v>2</v>
      </c>
      <c r="K1201" s="69">
        <f>SUMIFS(VENTAS[Cantidad],VENTAS[Código del producto Vendido],STOCK[[#This Row],[Code]])</f>
        <v>0</v>
      </c>
      <c r="L1201" s="69">
        <f>STOCK[[#This Row],[Entradas]]-STOCK[[#This Row],[Salidas]]</f>
        <v>2</v>
      </c>
      <c r="M1201" s="53">
        <f>STOCK[[#This Row],[Precio Final]]*10%</f>
        <v>2.5</v>
      </c>
      <c r="N1201" s="53">
        <v>0</v>
      </c>
      <c r="O1201" s="53">
        <v>0</v>
      </c>
      <c r="P1201" s="53">
        <v>13.82</v>
      </c>
      <c r="Q1201" s="69">
        <v>0</v>
      </c>
      <c r="R1201" s="53">
        <v>0</v>
      </c>
      <c r="S1201" s="53">
        <v>1.97</v>
      </c>
      <c r="T1201" s="53">
        <f>STOCK[[#This Row],[Costo Unitario (USD)]]+STOCK[[#This Row],[Costo Envío (USD)]]+STOCK[[#This Row],[Comisión 10%]]</f>
        <v>18.29</v>
      </c>
      <c r="U1201" s="53">
        <f>STOCK[[#This Row],[Costo total]]*1.5</f>
        <v>27.434999999999999</v>
      </c>
      <c r="V1201" s="53">
        <v>25</v>
      </c>
      <c r="W1201" s="53">
        <f>STOCK[[#This Row],[Precio Final]]-STOCK[[#This Row],[Costo total]]</f>
        <v>6.7100000000000009</v>
      </c>
      <c r="X1201" s="53">
        <f>STOCK[[#This Row],[Ganancia Unitaria]]*STOCK[[#This Row],[Salidas]]</f>
        <v>0</v>
      </c>
      <c r="AA1201" s="54">
        <f>STOCK[[#This Row],[Costo total]]*STOCK[[#This Row],[Entradas]]</f>
        <v>36.58</v>
      </c>
      <c r="AB1201" s="54">
        <f>STOCK[[#This Row],[Stock Actual]]*STOCK[[#This Row],[Costo total]]</f>
        <v>36.58</v>
      </c>
    </row>
    <row r="1202" spans="1:28" s="54" customFormat="1" ht="50" customHeight="1">
      <c r="A1202" s="54" t="s">
        <v>2522</v>
      </c>
      <c r="B1202" s="64"/>
      <c r="C1202" s="54" t="s">
        <v>32</v>
      </c>
      <c r="D1202" s="54" t="s">
        <v>152</v>
      </c>
      <c r="E1202" s="66" t="s">
        <v>2521</v>
      </c>
      <c r="F1202" s="54" t="s">
        <v>49</v>
      </c>
      <c r="G1202" s="54" t="s">
        <v>36</v>
      </c>
      <c r="H1202" s="54">
        <f>STOCK[[#This Row],[Precio Final]]</f>
        <v>25</v>
      </c>
      <c r="I1202" s="54">
        <f>STOCK[[#This Row],[Precio Venta Ideal (x1.5)]]</f>
        <v>27.434999999999999</v>
      </c>
      <c r="J1202" s="70">
        <v>2</v>
      </c>
      <c r="K1202" s="70">
        <f>SUMIFS(VENTAS[Cantidad],VENTAS[Código del producto Vendido],STOCK[[#This Row],[Code]])</f>
        <v>2</v>
      </c>
      <c r="L1202" s="70">
        <f>STOCK[[#This Row],[Entradas]]-STOCK[[#This Row],[Salidas]]</f>
        <v>0</v>
      </c>
      <c r="M1202" s="54">
        <f>STOCK[[#This Row],[Precio Final]]*10%</f>
        <v>2.5</v>
      </c>
      <c r="N1202" s="54">
        <v>0</v>
      </c>
      <c r="O1202" s="54">
        <v>0</v>
      </c>
      <c r="P1202" s="54">
        <v>13.82</v>
      </c>
      <c r="Q1202" s="70">
        <v>0</v>
      </c>
      <c r="R1202" s="54">
        <v>0</v>
      </c>
      <c r="S1202" s="54">
        <v>1.97</v>
      </c>
      <c r="T1202" s="53">
        <f>STOCK[[#This Row],[Costo Unitario (USD)]]+STOCK[[#This Row],[Costo Envío (USD)]]+STOCK[[#This Row],[Comisión 10%]]</f>
        <v>18.29</v>
      </c>
      <c r="U1202" s="54">
        <f>STOCK[[#This Row],[Costo total]]*1.5</f>
        <v>27.434999999999999</v>
      </c>
      <c r="V1202" s="54">
        <v>25</v>
      </c>
      <c r="W1202" s="54">
        <f>STOCK[[#This Row],[Precio Final]]-STOCK[[#This Row],[Costo total]]</f>
        <v>6.7100000000000009</v>
      </c>
      <c r="X1202" s="54">
        <f>STOCK[[#This Row],[Ganancia Unitaria]]*STOCK[[#This Row],[Salidas]]</f>
        <v>13.420000000000002</v>
      </c>
      <c r="AA1202" s="54">
        <f>STOCK[[#This Row],[Costo total]]*STOCK[[#This Row],[Entradas]]</f>
        <v>36.58</v>
      </c>
      <c r="AB1202" s="54">
        <f>STOCK[[#This Row],[Stock Actual]]*STOCK[[#This Row],[Costo total]]</f>
        <v>0</v>
      </c>
    </row>
    <row r="1203" spans="1:28" s="53" customFormat="1" ht="50" customHeight="1">
      <c r="A1203" s="53" t="s">
        <v>2523</v>
      </c>
      <c r="B1203" s="64"/>
      <c r="C1203" s="53" t="s">
        <v>32</v>
      </c>
      <c r="D1203" s="53" t="s">
        <v>152</v>
      </c>
      <c r="E1203" s="65" t="s">
        <v>2521</v>
      </c>
      <c r="F1203" s="53" t="s">
        <v>46</v>
      </c>
      <c r="G1203" s="53" t="s">
        <v>36</v>
      </c>
      <c r="H1203" s="53">
        <f>STOCK[[#This Row],[Precio Final]]</f>
        <v>25</v>
      </c>
      <c r="I1203" s="53">
        <f>STOCK[[#This Row],[Precio Venta Ideal (x1.5)]]</f>
        <v>27.434999999999999</v>
      </c>
      <c r="J1203" s="69">
        <v>2</v>
      </c>
      <c r="K1203" s="69">
        <f>SUMIFS(VENTAS[Cantidad],VENTAS[Código del producto Vendido],STOCK[[#This Row],[Code]])</f>
        <v>1</v>
      </c>
      <c r="L1203" s="69">
        <f>STOCK[[#This Row],[Entradas]]-STOCK[[#This Row],[Salidas]]</f>
        <v>1</v>
      </c>
      <c r="M1203" s="53">
        <f>STOCK[[#This Row],[Precio Final]]*10%</f>
        <v>2.5</v>
      </c>
      <c r="N1203" s="53">
        <v>0</v>
      </c>
      <c r="O1203" s="53">
        <v>0</v>
      </c>
      <c r="P1203" s="53">
        <v>13.82</v>
      </c>
      <c r="Q1203" s="69">
        <v>0</v>
      </c>
      <c r="R1203" s="53">
        <v>0</v>
      </c>
      <c r="S1203" s="53">
        <v>1.97</v>
      </c>
      <c r="T1203" s="53">
        <f>STOCK[[#This Row],[Costo Unitario (USD)]]+STOCK[[#This Row],[Costo Envío (USD)]]+STOCK[[#This Row],[Comisión 10%]]</f>
        <v>18.29</v>
      </c>
      <c r="U1203" s="53">
        <f>STOCK[[#This Row],[Costo total]]*1.5</f>
        <v>27.434999999999999</v>
      </c>
      <c r="V1203" s="53">
        <v>25</v>
      </c>
      <c r="W1203" s="53">
        <f>STOCK[[#This Row],[Precio Final]]-STOCK[[#This Row],[Costo total]]</f>
        <v>6.7100000000000009</v>
      </c>
      <c r="X1203" s="53">
        <f>STOCK[[#This Row],[Ganancia Unitaria]]*STOCK[[#This Row],[Salidas]]</f>
        <v>6.7100000000000009</v>
      </c>
      <c r="AA1203" s="54">
        <f>STOCK[[#This Row],[Costo total]]*STOCK[[#This Row],[Entradas]]</f>
        <v>36.58</v>
      </c>
      <c r="AB1203" s="54">
        <f>STOCK[[#This Row],[Stock Actual]]*STOCK[[#This Row],[Costo total]]</f>
        <v>18.29</v>
      </c>
    </row>
    <row r="1204" spans="1:28" s="54" customFormat="1" ht="50" customHeight="1">
      <c r="A1204" s="54" t="s">
        <v>2524</v>
      </c>
      <c r="B1204" s="64"/>
      <c r="C1204" s="54" t="s">
        <v>32</v>
      </c>
      <c r="D1204" s="54" t="s">
        <v>1809</v>
      </c>
      <c r="E1204" s="66" t="s">
        <v>2525</v>
      </c>
      <c r="F1204" s="54" t="s">
        <v>525</v>
      </c>
      <c r="G1204" s="54" t="s">
        <v>36</v>
      </c>
      <c r="H1204" s="54">
        <f>STOCK[[#This Row],[Precio Final]]</f>
        <v>12</v>
      </c>
      <c r="I1204" s="54">
        <f>STOCK[[#This Row],[Precio Venta Ideal (x1.5)]]</f>
        <v>9.495000000000001</v>
      </c>
      <c r="J1204" s="70">
        <v>5</v>
      </c>
      <c r="K1204" s="70">
        <f>SUMIFS(VENTAS[Cantidad],VENTAS[Código del producto Vendido],STOCK[[#This Row],[Code]])</f>
        <v>3</v>
      </c>
      <c r="L1204" s="70">
        <f>STOCK[[#This Row],[Entradas]]-STOCK[[#This Row],[Salidas]]</f>
        <v>2</v>
      </c>
      <c r="M1204" s="54">
        <f>STOCK[[#This Row],[Precio Final]]*10%</f>
        <v>1.2000000000000002</v>
      </c>
      <c r="N1204" s="54">
        <v>0</v>
      </c>
      <c r="O1204" s="54">
        <v>0</v>
      </c>
      <c r="P1204" s="54">
        <v>3.16</v>
      </c>
      <c r="Q1204" s="70">
        <v>0</v>
      </c>
      <c r="R1204" s="54">
        <v>0</v>
      </c>
      <c r="S1204" s="54">
        <v>1.97</v>
      </c>
      <c r="T1204" s="53">
        <f>STOCK[[#This Row],[Costo Unitario (USD)]]+STOCK[[#This Row],[Costo Envío (USD)]]+STOCK[[#This Row],[Comisión 10%]]</f>
        <v>6.33</v>
      </c>
      <c r="U1204" s="54">
        <f>STOCK[[#This Row],[Costo total]]*1.5</f>
        <v>9.495000000000001</v>
      </c>
      <c r="V1204" s="54">
        <v>12</v>
      </c>
      <c r="W1204" s="54">
        <f>STOCK[[#This Row],[Precio Final]]-STOCK[[#This Row],[Costo total]]</f>
        <v>5.67</v>
      </c>
      <c r="X1204" s="54">
        <f>STOCK[[#This Row],[Ganancia Unitaria]]*STOCK[[#This Row],[Salidas]]</f>
        <v>17.009999999999998</v>
      </c>
      <c r="AA1204" s="54">
        <f>STOCK[[#This Row],[Costo total]]*STOCK[[#This Row],[Entradas]]</f>
        <v>31.65</v>
      </c>
      <c r="AB1204" s="54">
        <f>STOCK[[#This Row],[Stock Actual]]*STOCK[[#This Row],[Costo total]]</f>
        <v>12.66</v>
      </c>
    </row>
    <row r="1205" spans="1:28" s="53" customFormat="1" ht="50" customHeight="1">
      <c r="A1205" s="53" t="s">
        <v>2526</v>
      </c>
      <c r="B1205" s="64"/>
      <c r="C1205" s="53" t="s">
        <v>32</v>
      </c>
      <c r="D1205" s="53" t="s">
        <v>1809</v>
      </c>
      <c r="E1205" s="65" t="s">
        <v>2527</v>
      </c>
      <c r="F1205" s="53" t="s">
        <v>525</v>
      </c>
      <c r="G1205" s="53" t="s">
        <v>36</v>
      </c>
      <c r="H1205" s="53">
        <f>STOCK[[#This Row],[Precio Final]]</f>
        <v>12</v>
      </c>
      <c r="I1205" s="53">
        <f>STOCK[[#This Row],[Precio Venta Ideal (x1.5)]]</f>
        <v>9.495000000000001</v>
      </c>
      <c r="J1205" s="69">
        <v>5</v>
      </c>
      <c r="K1205" s="69">
        <f>SUMIFS(VENTAS[Cantidad],VENTAS[Código del producto Vendido],STOCK[[#This Row],[Code]])</f>
        <v>1</v>
      </c>
      <c r="L1205" s="69">
        <f>STOCK[[#This Row],[Entradas]]-STOCK[[#This Row],[Salidas]]</f>
        <v>4</v>
      </c>
      <c r="M1205" s="53">
        <f>STOCK[[#This Row],[Precio Final]]*10%</f>
        <v>1.2000000000000002</v>
      </c>
      <c r="N1205" s="53">
        <v>0</v>
      </c>
      <c r="O1205" s="53">
        <v>0</v>
      </c>
      <c r="P1205" s="53">
        <v>3.16</v>
      </c>
      <c r="Q1205" s="69">
        <v>0</v>
      </c>
      <c r="R1205" s="53">
        <v>0</v>
      </c>
      <c r="S1205" s="53">
        <v>1.97</v>
      </c>
      <c r="T1205" s="53">
        <f>STOCK[[#This Row],[Costo Unitario (USD)]]+STOCK[[#This Row],[Costo Envío (USD)]]+STOCK[[#This Row],[Comisión 10%]]</f>
        <v>6.33</v>
      </c>
      <c r="U1205" s="53">
        <f>STOCK[[#This Row],[Costo total]]*1.5</f>
        <v>9.495000000000001</v>
      </c>
      <c r="V1205" s="53">
        <v>12</v>
      </c>
      <c r="W1205" s="53">
        <f>STOCK[[#This Row],[Precio Final]]-STOCK[[#This Row],[Costo total]]</f>
        <v>5.67</v>
      </c>
      <c r="X1205" s="53">
        <f>STOCK[[#This Row],[Ganancia Unitaria]]*STOCK[[#This Row],[Salidas]]</f>
        <v>5.67</v>
      </c>
      <c r="AA1205" s="54">
        <f>STOCK[[#This Row],[Costo total]]*STOCK[[#This Row],[Entradas]]</f>
        <v>31.65</v>
      </c>
      <c r="AB1205" s="54">
        <f>STOCK[[#This Row],[Stock Actual]]*STOCK[[#This Row],[Costo total]]</f>
        <v>25.32</v>
      </c>
    </row>
    <row r="1206" spans="1:28" s="54" customFormat="1" ht="50" customHeight="1">
      <c r="A1206" s="54" t="s">
        <v>2528</v>
      </c>
      <c r="B1206" s="64"/>
      <c r="C1206" s="54" t="s">
        <v>32</v>
      </c>
      <c r="D1206" s="54" t="s">
        <v>174</v>
      </c>
      <c r="E1206" s="66" t="s">
        <v>2529</v>
      </c>
      <c r="F1206" s="54" t="s">
        <v>62</v>
      </c>
      <c r="G1206" s="54" t="s">
        <v>36</v>
      </c>
      <c r="H1206" s="54">
        <f>STOCK[[#This Row],[Precio Final]]</f>
        <v>18</v>
      </c>
      <c r="I1206" s="54">
        <f>STOCK[[#This Row],[Precio Venta Ideal (x1.5)]]</f>
        <v>18.03</v>
      </c>
      <c r="J1206" s="70">
        <v>1</v>
      </c>
      <c r="K1206" s="70">
        <f>SUMIFS(VENTAS[Cantidad],VENTAS[Código del producto Vendido],STOCK[[#This Row],[Code]])</f>
        <v>1</v>
      </c>
      <c r="L1206" s="70">
        <f>STOCK[[#This Row],[Entradas]]-STOCK[[#This Row],[Salidas]]</f>
        <v>0</v>
      </c>
      <c r="M1206" s="54">
        <f>STOCK[[#This Row],[Precio Final]]*10%</f>
        <v>1.8</v>
      </c>
      <c r="N1206" s="54">
        <v>0</v>
      </c>
      <c r="O1206" s="54">
        <v>0</v>
      </c>
      <c r="P1206" s="54">
        <v>8.25</v>
      </c>
      <c r="Q1206" s="70">
        <v>0</v>
      </c>
      <c r="R1206" s="54">
        <v>0</v>
      </c>
      <c r="S1206" s="54">
        <v>1.97</v>
      </c>
      <c r="T1206" s="53">
        <f>STOCK[[#This Row],[Costo Unitario (USD)]]+STOCK[[#This Row],[Costo Envío (USD)]]+STOCK[[#This Row],[Comisión 10%]]</f>
        <v>12.020000000000001</v>
      </c>
      <c r="U1206" s="54">
        <f>STOCK[[#This Row],[Costo total]]*1.5</f>
        <v>18.03</v>
      </c>
      <c r="V1206" s="54">
        <v>18</v>
      </c>
      <c r="W1206" s="54">
        <f>STOCK[[#This Row],[Precio Final]]-STOCK[[#This Row],[Costo total]]</f>
        <v>5.9799999999999986</v>
      </c>
      <c r="X1206" s="54">
        <f>STOCK[[#This Row],[Ganancia Unitaria]]*STOCK[[#This Row],[Salidas]]</f>
        <v>5.9799999999999986</v>
      </c>
      <c r="AA1206" s="54">
        <f>STOCK[[#This Row],[Costo total]]*STOCK[[#This Row],[Entradas]]</f>
        <v>12.020000000000001</v>
      </c>
      <c r="AB1206" s="54">
        <f>STOCK[[#This Row],[Stock Actual]]*STOCK[[#This Row],[Costo total]]</f>
        <v>0</v>
      </c>
    </row>
    <row r="1207" spans="1:28" s="53" customFormat="1" ht="50" customHeight="1">
      <c r="A1207" s="53" t="s">
        <v>2530</v>
      </c>
      <c r="B1207" s="64"/>
      <c r="C1207" s="53" t="s">
        <v>32</v>
      </c>
      <c r="D1207" s="53" t="s">
        <v>174</v>
      </c>
      <c r="E1207" s="65" t="s">
        <v>2529</v>
      </c>
      <c r="F1207" s="53" t="s">
        <v>49</v>
      </c>
      <c r="G1207" s="53" t="s">
        <v>36</v>
      </c>
      <c r="H1207" s="53">
        <f>STOCK[[#This Row],[Precio Final]]</f>
        <v>18</v>
      </c>
      <c r="I1207" s="53">
        <f>STOCK[[#This Row],[Precio Venta Ideal (x1.5)]]</f>
        <v>18.03</v>
      </c>
      <c r="J1207" s="69">
        <v>1</v>
      </c>
      <c r="K1207" s="69">
        <f>SUMIFS(VENTAS[Cantidad],VENTAS[Código del producto Vendido],STOCK[[#This Row],[Code]])</f>
        <v>1</v>
      </c>
      <c r="L1207" s="69">
        <f>STOCK[[#This Row],[Entradas]]-STOCK[[#This Row],[Salidas]]</f>
        <v>0</v>
      </c>
      <c r="M1207" s="53">
        <f>STOCK[[#This Row],[Precio Final]]*10%</f>
        <v>1.8</v>
      </c>
      <c r="N1207" s="53">
        <v>0</v>
      </c>
      <c r="O1207" s="53">
        <v>0</v>
      </c>
      <c r="P1207" s="53">
        <v>8.25</v>
      </c>
      <c r="Q1207" s="69">
        <v>0</v>
      </c>
      <c r="R1207" s="53">
        <v>0</v>
      </c>
      <c r="S1207" s="53">
        <v>1.97</v>
      </c>
      <c r="T1207" s="53">
        <f>STOCK[[#This Row],[Costo Unitario (USD)]]+STOCK[[#This Row],[Costo Envío (USD)]]+STOCK[[#This Row],[Comisión 10%]]</f>
        <v>12.020000000000001</v>
      </c>
      <c r="U1207" s="53">
        <f>STOCK[[#This Row],[Costo total]]*1.5</f>
        <v>18.03</v>
      </c>
      <c r="V1207" s="53">
        <v>18</v>
      </c>
      <c r="W1207" s="53">
        <f>STOCK[[#This Row],[Precio Final]]-STOCK[[#This Row],[Costo total]]</f>
        <v>5.9799999999999986</v>
      </c>
      <c r="X1207" s="53">
        <f>STOCK[[#This Row],[Ganancia Unitaria]]*STOCK[[#This Row],[Salidas]]</f>
        <v>5.9799999999999986</v>
      </c>
      <c r="AA1207" s="54">
        <f>STOCK[[#This Row],[Costo total]]*STOCK[[#This Row],[Entradas]]</f>
        <v>12.020000000000001</v>
      </c>
      <c r="AB1207" s="54">
        <f>STOCK[[#This Row],[Stock Actual]]*STOCK[[#This Row],[Costo total]]</f>
        <v>0</v>
      </c>
    </row>
    <row r="1208" spans="1:28" s="54" customFormat="1" ht="50" customHeight="1">
      <c r="A1208" s="54" t="s">
        <v>2531</v>
      </c>
      <c r="B1208" s="64"/>
      <c r="C1208" s="54" t="s">
        <v>32</v>
      </c>
      <c r="D1208" s="54" t="s">
        <v>174</v>
      </c>
      <c r="E1208" s="66" t="s">
        <v>2529</v>
      </c>
      <c r="F1208" s="54" t="s">
        <v>46</v>
      </c>
      <c r="G1208" s="54" t="s">
        <v>36</v>
      </c>
      <c r="H1208" s="54">
        <f>STOCK[[#This Row],[Precio Final]]</f>
        <v>18</v>
      </c>
      <c r="I1208" s="54">
        <f>STOCK[[#This Row],[Precio Venta Ideal (x1.5)]]</f>
        <v>18.03</v>
      </c>
      <c r="J1208" s="70">
        <v>1</v>
      </c>
      <c r="K1208" s="70">
        <f>SUMIFS(VENTAS[Cantidad],VENTAS[Código del producto Vendido],STOCK[[#This Row],[Code]])</f>
        <v>1</v>
      </c>
      <c r="L1208" s="70">
        <f>STOCK[[#This Row],[Entradas]]-STOCK[[#This Row],[Salidas]]</f>
        <v>0</v>
      </c>
      <c r="M1208" s="54">
        <f>STOCK[[#This Row],[Precio Final]]*10%</f>
        <v>1.8</v>
      </c>
      <c r="N1208" s="54">
        <v>0</v>
      </c>
      <c r="O1208" s="54">
        <v>0</v>
      </c>
      <c r="P1208" s="54">
        <v>8.25</v>
      </c>
      <c r="Q1208" s="70">
        <v>0</v>
      </c>
      <c r="R1208" s="54">
        <v>0</v>
      </c>
      <c r="S1208" s="54">
        <v>1.97</v>
      </c>
      <c r="T1208" s="53">
        <f>STOCK[[#This Row],[Costo Unitario (USD)]]+STOCK[[#This Row],[Costo Envío (USD)]]+STOCK[[#This Row],[Comisión 10%]]</f>
        <v>12.020000000000001</v>
      </c>
      <c r="U1208" s="54">
        <f>STOCK[[#This Row],[Costo total]]*1.5</f>
        <v>18.03</v>
      </c>
      <c r="V1208" s="54">
        <v>18</v>
      </c>
      <c r="W1208" s="54">
        <f>STOCK[[#This Row],[Precio Final]]-STOCK[[#This Row],[Costo total]]</f>
        <v>5.9799999999999986</v>
      </c>
      <c r="X1208" s="54">
        <f>STOCK[[#This Row],[Ganancia Unitaria]]*STOCK[[#This Row],[Salidas]]</f>
        <v>5.9799999999999986</v>
      </c>
      <c r="AA1208" s="54">
        <f>STOCK[[#This Row],[Costo total]]*STOCK[[#This Row],[Entradas]]</f>
        <v>12.020000000000001</v>
      </c>
      <c r="AB1208" s="54">
        <f>STOCK[[#This Row],[Stock Actual]]*STOCK[[#This Row],[Costo total]]</f>
        <v>0</v>
      </c>
    </row>
    <row r="1209" spans="1:28" s="53" customFormat="1" ht="50" customHeight="1">
      <c r="A1209" s="53" t="s">
        <v>2532</v>
      </c>
      <c r="B1209" s="64"/>
      <c r="C1209" s="53" t="s">
        <v>32</v>
      </c>
      <c r="D1209" s="53" t="s">
        <v>174</v>
      </c>
      <c r="E1209" s="65" t="s">
        <v>2533</v>
      </c>
      <c r="F1209" s="53" t="s">
        <v>62</v>
      </c>
      <c r="G1209" s="53" t="s">
        <v>36</v>
      </c>
      <c r="H1209" s="53">
        <f>STOCK[[#This Row],[Precio Final]]</f>
        <v>10</v>
      </c>
      <c r="I1209" s="53">
        <f>STOCK[[#This Row],[Precio Venta Ideal (x1.5)]]</f>
        <v>7.98</v>
      </c>
      <c r="J1209" s="69">
        <v>2</v>
      </c>
      <c r="K1209" s="69">
        <f>SUMIFS(VENTAS[Cantidad],VENTAS[Código del producto Vendido],STOCK[[#This Row],[Code]])</f>
        <v>0</v>
      </c>
      <c r="L1209" s="69">
        <f>STOCK[[#This Row],[Entradas]]-STOCK[[#This Row],[Salidas]]</f>
        <v>2</v>
      </c>
      <c r="M1209" s="53">
        <f>STOCK[[#This Row],[Precio Final]]*10%</f>
        <v>1</v>
      </c>
      <c r="N1209" s="53">
        <v>0</v>
      </c>
      <c r="O1209" s="53">
        <v>0</v>
      </c>
      <c r="P1209" s="53">
        <v>2.35</v>
      </c>
      <c r="Q1209" s="69">
        <v>0</v>
      </c>
      <c r="R1209" s="53">
        <v>0</v>
      </c>
      <c r="S1209" s="53">
        <v>1.97</v>
      </c>
      <c r="T1209" s="53">
        <f>STOCK[[#This Row],[Costo Unitario (USD)]]+STOCK[[#This Row],[Costo Envío (USD)]]+STOCK[[#This Row],[Comisión 10%]]</f>
        <v>5.32</v>
      </c>
      <c r="U1209" s="53">
        <f>STOCK[[#This Row],[Costo total]]*1.5</f>
        <v>7.98</v>
      </c>
      <c r="V1209" s="53">
        <v>10</v>
      </c>
      <c r="W1209" s="53">
        <f>STOCK[[#This Row],[Precio Final]]-STOCK[[#This Row],[Costo total]]</f>
        <v>4.68</v>
      </c>
      <c r="X1209" s="53">
        <f>STOCK[[#This Row],[Ganancia Unitaria]]*STOCK[[#This Row],[Salidas]]</f>
        <v>0</v>
      </c>
      <c r="AA1209" s="54">
        <f>STOCK[[#This Row],[Costo total]]*STOCK[[#This Row],[Entradas]]</f>
        <v>10.64</v>
      </c>
      <c r="AB1209" s="54">
        <f>STOCK[[#This Row],[Stock Actual]]*STOCK[[#This Row],[Costo total]]</f>
        <v>10.64</v>
      </c>
    </row>
    <row r="1210" spans="1:28" s="54" customFormat="1" ht="50" customHeight="1">
      <c r="A1210" s="54" t="s">
        <v>2534</v>
      </c>
      <c r="B1210" s="64"/>
      <c r="C1210" s="54" t="s">
        <v>32</v>
      </c>
      <c r="D1210" s="54" t="s">
        <v>174</v>
      </c>
      <c r="E1210" s="66" t="s">
        <v>2533</v>
      </c>
      <c r="F1210" s="54" t="s">
        <v>49</v>
      </c>
      <c r="G1210" s="54" t="s">
        <v>36</v>
      </c>
      <c r="H1210" s="54">
        <f>STOCK[[#This Row],[Precio Final]]</f>
        <v>10</v>
      </c>
      <c r="I1210" s="54">
        <f>STOCK[[#This Row],[Precio Venta Ideal (x1.5)]]</f>
        <v>7.98</v>
      </c>
      <c r="J1210" s="70">
        <v>3</v>
      </c>
      <c r="K1210" s="70">
        <f>SUMIFS(VENTAS[Cantidad],VENTAS[Código del producto Vendido],STOCK[[#This Row],[Code]])</f>
        <v>3</v>
      </c>
      <c r="L1210" s="70">
        <f>STOCK[[#This Row],[Entradas]]-STOCK[[#This Row],[Salidas]]</f>
        <v>0</v>
      </c>
      <c r="M1210" s="54">
        <f>STOCK[[#This Row],[Precio Final]]*10%</f>
        <v>1</v>
      </c>
      <c r="N1210" s="54">
        <v>0</v>
      </c>
      <c r="O1210" s="54">
        <v>0</v>
      </c>
      <c r="P1210" s="54">
        <v>2.35</v>
      </c>
      <c r="Q1210" s="70">
        <v>0</v>
      </c>
      <c r="R1210" s="54">
        <v>0</v>
      </c>
      <c r="S1210" s="54">
        <v>1.97</v>
      </c>
      <c r="T1210" s="53">
        <f>STOCK[[#This Row],[Costo Unitario (USD)]]+STOCK[[#This Row],[Costo Envío (USD)]]+STOCK[[#This Row],[Comisión 10%]]</f>
        <v>5.32</v>
      </c>
      <c r="U1210" s="54">
        <f>STOCK[[#This Row],[Costo total]]*1.5</f>
        <v>7.98</v>
      </c>
      <c r="V1210" s="54">
        <v>10</v>
      </c>
      <c r="W1210" s="54">
        <f>STOCK[[#This Row],[Precio Final]]-STOCK[[#This Row],[Costo total]]</f>
        <v>4.68</v>
      </c>
      <c r="X1210" s="54">
        <f>STOCK[[#This Row],[Ganancia Unitaria]]*STOCK[[#This Row],[Salidas]]</f>
        <v>14.04</v>
      </c>
      <c r="AA1210" s="54">
        <f>STOCK[[#This Row],[Costo total]]*STOCK[[#This Row],[Entradas]]</f>
        <v>15.96</v>
      </c>
      <c r="AB1210" s="54">
        <f>STOCK[[#This Row],[Stock Actual]]*STOCK[[#This Row],[Costo total]]</f>
        <v>0</v>
      </c>
    </row>
    <row r="1211" spans="1:28" s="53" customFormat="1" ht="50" customHeight="1">
      <c r="A1211" s="53" t="s">
        <v>2535</v>
      </c>
      <c r="B1211" s="64"/>
      <c r="C1211" s="53" t="s">
        <v>32</v>
      </c>
      <c r="D1211" s="53" t="s">
        <v>174</v>
      </c>
      <c r="E1211" s="65" t="s">
        <v>2533</v>
      </c>
      <c r="F1211" s="53" t="s">
        <v>46</v>
      </c>
      <c r="G1211" s="53" t="s">
        <v>36</v>
      </c>
      <c r="H1211" s="53">
        <f>STOCK[[#This Row],[Precio Final]]</f>
        <v>10</v>
      </c>
      <c r="I1211" s="53">
        <f>STOCK[[#This Row],[Precio Venta Ideal (x1.5)]]</f>
        <v>7.98</v>
      </c>
      <c r="J1211" s="69">
        <v>2</v>
      </c>
      <c r="K1211" s="69">
        <f>SUMIFS(VENTAS[Cantidad],VENTAS[Código del producto Vendido],STOCK[[#This Row],[Code]])</f>
        <v>1</v>
      </c>
      <c r="L1211" s="69">
        <f>STOCK[[#This Row],[Entradas]]-STOCK[[#This Row],[Salidas]]</f>
        <v>1</v>
      </c>
      <c r="M1211" s="53">
        <f>STOCK[[#This Row],[Precio Final]]*10%</f>
        <v>1</v>
      </c>
      <c r="N1211" s="53">
        <v>0</v>
      </c>
      <c r="O1211" s="53">
        <v>0</v>
      </c>
      <c r="P1211" s="53">
        <v>2.35</v>
      </c>
      <c r="Q1211" s="69">
        <v>0</v>
      </c>
      <c r="R1211" s="53">
        <v>0</v>
      </c>
      <c r="S1211" s="53">
        <v>1.97</v>
      </c>
      <c r="T1211" s="53">
        <f>STOCK[[#This Row],[Costo Unitario (USD)]]+STOCK[[#This Row],[Costo Envío (USD)]]+STOCK[[#This Row],[Comisión 10%]]</f>
        <v>5.32</v>
      </c>
      <c r="U1211" s="53">
        <f>STOCK[[#This Row],[Costo total]]*1.5</f>
        <v>7.98</v>
      </c>
      <c r="V1211" s="53">
        <v>10</v>
      </c>
      <c r="W1211" s="53">
        <f>STOCK[[#This Row],[Precio Final]]-STOCK[[#This Row],[Costo total]]</f>
        <v>4.68</v>
      </c>
      <c r="X1211" s="53">
        <f>STOCK[[#This Row],[Ganancia Unitaria]]*STOCK[[#This Row],[Salidas]]</f>
        <v>4.68</v>
      </c>
      <c r="AA1211" s="54">
        <f>STOCK[[#This Row],[Costo total]]*STOCK[[#This Row],[Entradas]]</f>
        <v>10.64</v>
      </c>
      <c r="AB1211" s="54">
        <f>STOCK[[#This Row],[Stock Actual]]*STOCK[[#This Row],[Costo total]]</f>
        <v>5.32</v>
      </c>
    </row>
    <row r="1212" spans="1:28" s="54" customFormat="1" ht="50" customHeight="1">
      <c r="A1212" s="54" t="s">
        <v>2536</v>
      </c>
      <c r="B1212" s="64"/>
      <c r="C1212" s="54" t="s">
        <v>32</v>
      </c>
      <c r="D1212" s="54" t="s">
        <v>174</v>
      </c>
      <c r="E1212" s="66" t="s">
        <v>2537</v>
      </c>
      <c r="F1212" s="54" t="s">
        <v>62</v>
      </c>
      <c r="G1212" s="54" t="s">
        <v>36</v>
      </c>
      <c r="H1212" s="54">
        <f>STOCK[[#This Row],[Precio Final]]</f>
        <v>10</v>
      </c>
      <c r="I1212" s="54">
        <f>STOCK[[#This Row],[Precio Venta Ideal (x1.5)]]</f>
        <v>7.98</v>
      </c>
      <c r="J1212" s="70">
        <v>2</v>
      </c>
      <c r="K1212" s="70">
        <f>SUMIFS(VENTAS[Cantidad],VENTAS[Código del producto Vendido],STOCK[[#This Row],[Code]])</f>
        <v>1</v>
      </c>
      <c r="L1212" s="70">
        <f>STOCK[[#This Row],[Entradas]]-STOCK[[#This Row],[Salidas]]</f>
        <v>1</v>
      </c>
      <c r="M1212" s="54">
        <f>STOCK[[#This Row],[Precio Final]]*10%</f>
        <v>1</v>
      </c>
      <c r="N1212" s="54">
        <v>0</v>
      </c>
      <c r="O1212" s="54">
        <v>0</v>
      </c>
      <c r="P1212" s="54">
        <v>2.35</v>
      </c>
      <c r="Q1212" s="70">
        <v>0</v>
      </c>
      <c r="R1212" s="54">
        <v>0</v>
      </c>
      <c r="S1212" s="54">
        <v>1.97</v>
      </c>
      <c r="T1212" s="53">
        <f>STOCK[[#This Row],[Costo Unitario (USD)]]+STOCK[[#This Row],[Costo Envío (USD)]]+STOCK[[#This Row],[Comisión 10%]]</f>
        <v>5.32</v>
      </c>
      <c r="U1212" s="54">
        <f>STOCK[[#This Row],[Costo total]]*1.5</f>
        <v>7.98</v>
      </c>
      <c r="V1212" s="54">
        <v>10</v>
      </c>
      <c r="W1212" s="54">
        <f>STOCK[[#This Row],[Precio Final]]-STOCK[[#This Row],[Costo total]]</f>
        <v>4.68</v>
      </c>
      <c r="X1212" s="54">
        <f>STOCK[[#This Row],[Ganancia Unitaria]]*STOCK[[#This Row],[Salidas]]</f>
        <v>4.68</v>
      </c>
      <c r="AA1212" s="54">
        <f>STOCK[[#This Row],[Costo total]]*STOCK[[#This Row],[Entradas]]</f>
        <v>10.64</v>
      </c>
      <c r="AB1212" s="54">
        <f>STOCK[[#This Row],[Stock Actual]]*STOCK[[#This Row],[Costo total]]</f>
        <v>5.32</v>
      </c>
    </row>
    <row r="1213" spans="1:28" s="53" customFormat="1" ht="50" customHeight="1">
      <c r="A1213" s="53" t="s">
        <v>2538</v>
      </c>
      <c r="B1213" s="64"/>
      <c r="C1213" s="53" t="s">
        <v>32</v>
      </c>
      <c r="D1213" s="53" t="s">
        <v>174</v>
      </c>
      <c r="E1213" s="65" t="s">
        <v>2537</v>
      </c>
      <c r="F1213" s="53" t="s">
        <v>49</v>
      </c>
      <c r="G1213" s="53" t="s">
        <v>36</v>
      </c>
      <c r="H1213" s="53">
        <f>STOCK[[#This Row],[Precio Final]]</f>
        <v>10</v>
      </c>
      <c r="I1213" s="53">
        <f>STOCK[[#This Row],[Precio Venta Ideal (x1.5)]]</f>
        <v>7.98</v>
      </c>
      <c r="J1213" s="69">
        <v>2</v>
      </c>
      <c r="K1213" s="69">
        <f>SUMIFS(VENTAS[Cantidad],VENTAS[Código del producto Vendido],STOCK[[#This Row],[Code]])</f>
        <v>2</v>
      </c>
      <c r="L1213" s="69">
        <f>STOCK[[#This Row],[Entradas]]-STOCK[[#This Row],[Salidas]]</f>
        <v>0</v>
      </c>
      <c r="M1213" s="53">
        <f>STOCK[[#This Row],[Precio Final]]*10%</f>
        <v>1</v>
      </c>
      <c r="N1213" s="53">
        <v>0</v>
      </c>
      <c r="O1213" s="53">
        <v>0</v>
      </c>
      <c r="P1213" s="53">
        <v>2.35</v>
      </c>
      <c r="Q1213" s="69">
        <v>0</v>
      </c>
      <c r="R1213" s="53">
        <v>0</v>
      </c>
      <c r="S1213" s="53">
        <v>1.97</v>
      </c>
      <c r="T1213" s="53">
        <f>STOCK[[#This Row],[Costo Unitario (USD)]]+STOCK[[#This Row],[Costo Envío (USD)]]+STOCK[[#This Row],[Comisión 10%]]</f>
        <v>5.32</v>
      </c>
      <c r="U1213" s="53">
        <f>STOCK[[#This Row],[Costo total]]*1.5</f>
        <v>7.98</v>
      </c>
      <c r="V1213" s="53">
        <v>10</v>
      </c>
      <c r="W1213" s="53">
        <f>STOCK[[#This Row],[Precio Final]]-STOCK[[#This Row],[Costo total]]</f>
        <v>4.68</v>
      </c>
      <c r="X1213" s="53">
        <f>STOCK[[#This Row],[Ganancia Unitaria]]*STOCK[[#This Row],[Salidas]]</f>
        <v>9.36</v>
      </c>
      <c r="AA1213" s="54">
        <f>STOCK[[#This Row],[Costo total]]*STOCK[[#This Row],[Entradas]]</f>
        <v>10.64</v>
      </c>
      <c r="AB1213" s="54">
        <f>STOCK[[#This Row],[Stock Actual]]*STOCK[[#This Row],[Costo total]]</f>
        <v>0</v>
      </c>
    </row>
    <row r="1214" spans="1:28" s="54" customFormat="1" ht="50" customHeight="1">
      <c r="A1214" s="54" t="s">
        <v>2539</v>
      </c>
      <c r="B1214" s="64"/>
      <c r="C1214" s="54" t="s">
        <v>32</v>
      </c>
      <c r="D1214" s="54" t="s">
        <v>174</v>
      </c>
      <c r="E1214" s="66" t="s">
        <v>2537</v>
      </c>
      <c r="F1214" s="54" t="s">
        <v>46</v>
      </c>
      <c r="G1214" s="54" t="s">
        <v>36</v>
      </c>
      <c r="H1214" s="54">
        <f>STOCK[[#This Row],[Precio Final]]</f>
        <v>10</v>
      </c>
      <c r="I1214" s="54">
        <f>STOCK[[#This Row],[Precio Venta Ideal (x1.5)]]</f>
        <v>7.98</v>
      </c>
      <c r="J1214" s="70">
        <v>2</v>
      </c>
      <c r="K1214" s="70">
        <f>SUMIFS(VENTAS[Cantidad],VENTAS[Código del producto Vendido],STOCK[[#This Row],[Code]])</f>
        <v>2</v>
      </c>
      <c r="L1214" s="70">
        <f>STOCK[[#This Row],[Entradas]]-STOCK[[#This Row],[Salidas]]</f>
        <v>0</v>
      </c>
      <c r="M1214" s="54">
        <f>STOCK[[#This Row],[Precio Final]]*10%</f>
        <v>1</v>
      </c>
      <c r="N1214" s="54">
        <v>0</v>
      </c>
      <c r="O1214" s="54">
        <v>0</v>
      </c>
      <c r="P1214" s="54">
        <v>2.35</v>
      </c>
      <c r="Q1214" s="70">
        <v>0</v>
      </c>
      <c r="R1214" s="54">
        <v>0</v>
      </c>
      <c r="S1214" s="54">
        <v>1.97</v>
      </c>
      <c r="T1214" s="53">
        <f>STOCK[[#This Row],[Costo Unitario (USD)]]+STOCK[[#This Row],[Costo Envío (USD)]]+STOCK[[#This Row],[Comisión 10%]]</f>
        <v>5.32</v>
      </c>
      <c r="U1214" s="54">
        <f>STOCK[[#This Row],[Costo total]]*1.5</f>
        <v>7.98</v>
      </c>
      <c r="V1214" s="54">
        <v>10</v>
      </c>
      <c r="W1214" s="54">
        <f>STOCK[[#This Row],[Precio Final]]-STOCK[[#This Row],[Costo total]]</f>
        <v>4.68</v>
      </c>
      <c r="X1214" s="54">
        <f>STOCK[[#This Row],[Ganancia Unitaria]]*STOCK[[#This Row],[Salidas]]</f>
        <v>9.36</v>
      </c>
      <c r="AA1214" s="54">
        <f>STOCK[[#This Row],[Costo total]]*STOCK[[#This Row],[Entradas]]</f>
        <v>10.64</v>
      </c>
      <c r="AB1214" s="54">
        <f>STOCK[[#This Row],[Stock Actual]]*STOCK[[#This Row],[Costo total]]</f>
        <v>0</v>
      </c>
    </row>
    <row r="1215" spans="1:28" s="53" customFormat="1" ht="50" customHeight="1">
      <c r="A1215" s="53" t="s">
        <v>2540</v>
      </c>
      <c r="B1215" s="64"/>
      <c r="C1215" s="53" t="s">
        <v>32</v>
      </c>
      <c r="D1215" s="53" t="s">
        <v>174</v>
      </c>
      <c r="E1215" s="65" t="s">
        <v>2541</v>
      </c>
      <c r="F1215" s="53" t="s">
        <v>46</v>
      </c>
      <c r="G1215" s="53" t="s">
        <v>36</v>
      </c>
      <c r="H1215" s="53">
        <f>STOCK[[#This Row],[Precio Final]]</f>
        <v>10</v>
      </c>
      <c r="I1215" s="53">
        <f>STOCK[[#This Row],[Precio Venta Ideal (x1.5)]]</f>
        <v>5.0250000000000004</v>
      </c>
      <c r="J1215" s="69">
        <v>2</v>
      </c>
      <c r="K1215" s="69">
        <f>SUMIFS(VENTAS[Cantidad],VENTAS[Código del producto Vendido],STOCK[[#This Row],[Code]])</f>
        <v>2</v>
      </c>
      <c r="L1215" s="69">
        <f>STOCK[[#This Row],[Entradas]]-STOCK[[#This Row],[Salidas]]</f>
        <v>0</v>
      </c>
      <c r="M1215" s="53">
        <f>STOCK[[#This Row],[Precio Final]]*10%</f>
        <v>1</v>
      </c>
      <c r="N1215" s="53">
        <v>0</v>
      </c>
      <c r="O1215" s="53">
        <v>0</v>
      </c>
      <c r="P1215" s="54">
        <v>2.35</v>
      </c>
      <c r="Q1215" s="69">
        <v>0</v>
      </c>
      <c r="R1215" s="53">
        <v>0</v>
      </c>
      <c r="S1215" s="53">
        <v>0</v>
      </c>
      <c r="T1215" s="53">
        <f>STOCK[[#This Row],[Costo Unitario (USD)]]+STOCK[[#This Row],[Costo Envío (USD)]]+STOCK[[#This Row],[Comisión 10%]]</f>
        <v>3.35</v>
      </c>
      <c r="U1215" s="53">
        <f>STOCK[[#This Row],[Costo total]]*1.5</f>
        <v>5.0250000000000004</v>
      </c>
      <c r="V1215" s="53">
        <v>10</v>
      </c>
      <c r="W1215" s="53">
        <f>STOCK[[#This Row],[Precio Final]]-STOCK[[#This Row],[Costo total]]</f>
        <v>6.65</v>
      </c>
      <c r="X1215" s="53">
        <f>STOCK[[#This Row],[Ganancia Unitaria]]*STOCK[[#This Row],[Salidas]]</f>
        <v>13.3</v>
      </c>
      <c r="AA1215" s="54">
        <f>STOCK[[#This Row],[Costo total]]*STOCK[[#This Row],[Entradas]]</f>
        <v>6.7</v>
      </c>
      <c r="AB1215" s="54">
        <f>STOCK[[#This Row],[Stock Actual]]*STOCK[[#This Row],[Costo total]]</f>
        <v>0</v>
      </c>
    </row>
    <row r="1216" spans="1:28" s="53" customFormat="1" ht="50" customHeight="1">
      <c r="A1216" s="53" t="s">
        <v>2542</v>
      </c>
      <c r="B1216" s="64"/>
      <c r="C1216" s="53" t="s">
        <v>32</v>
      </c>
      <c r="D1216" s="53" t="s">
        <v>174</v>
      </c>
      <c r="E1216" s="65" t="s">
        <v>2541</v>
      </c>
      <c r="F1216" s="53" t="s">
        <v>62</v>
      </c>
      <c r="G1216" s="53" t="s">
        <v>36</v>
      </c>
      <c r="H1216" s="53">
        <f>STOCK[[#This Row],[Precio Final]]</f>
        <v>10</v>
      </c>
      <c r="I1216" s="53">
        <f>STOCK[[#This Row],[Precio Venta Ideal (x1.5)]]</f>
        <v>4</v>
      </c>
      <c r="J1216" s="69">
        <v>2</v>
      </c>
      <c r="K1216" s="69">
        <f>SUMIFS(VENTAS[Cantidad],VENTAS[Código del producto Vendido],STOCK[[#This Row],[Code]])</f>
        <v>0</v>
      </c>
      <c r="L1216" s="69">
        <f>STOCK[[#This Row],[Entradas]]-STOCK[[#This Row],[Salidas]]</f>
        <v>2</v>
      </c>
      <c r="M1216" s="53">
        <f>STOCK[[#This Row],[Precio Final]]*10%</f>
        <v>1</v>
      </c>
      <c r="N1216" s="53">
        <v>0</v>
      </c>
      <c r="O1216" s="53">
        <v>0</v>
      </c>
      <c r="P1216" s="54">
        <v>2.33</v>
      </c>
      <c r="Q1216" s="69">
        <v>0</v>
      </c>
      <c r="R1216" s="53">
        <v>0</v>
      </c>
      <c r="S1216" s="53">
        <f>STOCK[[#This Row],[Peso (g)]]*STOCK[[#This Row],[Precio Envío Kilogramo (USD)]]/1000</f>
        <v>0</v>
      </c>
      <c r="T1216" s="53">
        <f>STOCK[[#This Row],[Costo Unitario (USD)]]+STOCK[[#This Row],[Costo Envío (USD)]]+STOCK[[#This Row],[Comisión 10%]]</f>
        <v>3.33</v>
      </c>
      <c r="U1216" s="53">
        <f>ROUNDUP(T1216,0)</f>
        <v>4</v>
      </c>
      <c r="V1216" s="53">
        <v>10</v>
      </c>
      <c r="W1216" s="53">
        <f>STOCK[[#This Row],[Precio Final]]-STOCK[[#This Row],[Costo total]]</f>
        <v>6.67</v>
      </c>
      <c r="X1216" s="53">
        <f>STOCK[[#This Row],[Ganancia Unitaria]]*STOCK[[#This Row],[Salidas]]</f>
        <v>0</v>
      </c>
      <c r="AA1216" s="54">
        <f>STOCK[[#This Row],[Costo total]]*STOCK[[#This Row],[Entradas]]</f>
        <v>6.66</v>
      </c>
      <c r="AB1216" s="54">
        <f>STOCK[[#This Row],[Stock Actual]]*STOCK[[#This Row],[Costo total]]</f>
        <v>6.66</v>
      </c>
    </row>
    <row r="1217" spans="1:28" s="54" customFormat="1" ht="50" customHeight="1">
      <c r="A1217" s="54" t="s">
        <v>2543</v>
      </c>
      <c r="B1217" s="64"/>
      <c r="C1217" s="54" t="s">
        <v>32</v>
      </c>
      <c r="D1217" s="54" t="s">
        <v>174</v>
      </c>
      <c r="E1217" s="66" t="s">
        <v>2541</v>
      </c>
      <c r="F1217" s="54" t="s">
        <v>49</v>
      </c>
      <c r="G1217" s="54" t="s">
        <v>36</v>
      </c>
      <c r="H1217" s="54">
        <f>STOCK[[#This Row],[Precio Final]]</f>
        <v>10</v>
      </c>
      <c r="I1217" s="54">
        <f>STOCK[[#This Row],[Precio Venta Ideal (x1.5)]]</f>
        <v>7.98</v>
      </c>
      <c r="J1217" s="70">
        <v>2</v>
      </c>
      <c r="K1217" s="70">
        <f>SUMIFS(VENTAS[Cantidad],VENTAS[Código del producto Vendido],STOCK[[#This Row],[Code]])</f>
        <v>2</v>
      </c>
      <c r="L1217" s="70">
        <f>STOCK[[#This Row],[Entradas]]-STOCK[[#This Row],[Salidas]]</f>
        <v>0</v>
      </c>
      <c r="M1217" s="54">
        <f>STOCK[[#This Row],[Precio Final]]*10%</f>
        <v>1</v>
      </c>
      <c r="N1217" s="54">
        <v>0</v>
      </c>
      <c r="O1217" s="54">
        <v>0</v>
      </c>
      <c r="P1217" s="54">
        <v>2.35</v>
      </c>
      <c r="Q1217" s="70">
        <v>0</v>
      </c>
      <c r="R1217" s="54">
        <v>0</v>
      </c>
      <c r="S1217" s="54">
        <v>1.97</v>
      </c>
      <c r="T1217" s="53">
        <f>STOCK[[#This Row],[Costo Unitario (USD)]]+STOCK[[#This Row],[Costo Envío (USD)]]+STOCK[[#This Row],[Comisión 10%]]</f>
        <v>5.32</v>
      </c>
      <c r="U1217" s="54">
        <f>STOCK[[#This Row],[Costo total]]*1.5</f>
        <v>7.98</v>
      </c>
      <c r="V1217" s="54">
        <v>10</v>
      </c>
      <c r="W1217" s="54">
        <f>STOCK[[#This Row],[Precio Final]]-STOCK[[#This Row],[Costo total]]</f>
        <v>4.68</v>
      </c>
      <c r="X1217" s="54">
        <f>STOCK[[#This Row],[Ganancia Unitaria]]*STOCK[[#This Row],[Salidas]]</f>
        <v>9.36</v>
      </c>
      <c r="AA1217" s="54">
        <f>STOCK[[#This Row],[Costo total]]*STOCK[[#This Row],[Entradas]]</f>
        <v>10.64</v>
      </c>
      <c r="AB1217" s="54">
        <f>STOCK[[#This Row],[Stock Actual]]*STOCK[[#This Row],[Costo total]]</f>
        <v>0</v>
      </c>
    </row>
    <row r="1218" spans="1:28" s="53" customFormat="1" ht="50" customHeight="1">
      <c r="A1218" s="53" t="s">
        <v>2544</v>
      </c>
      <c r="B1218" s="64"/>
      <c r="C1218" s="53" t="s">
        <v>32</v>
      </c>
      <c r="D1218" s="53" t="s">
        <v>174</v>
      </c>
      <c r="E1218" s="65" t="s">
        <v>2545</v>
      </c>
      <c r="F1218" s="53" t="s">
        <v>62</v>
      </c>
      <c r="G1218" s="53" t="s">
        <v>36</v>
      </c>
      <c r="H1218" s="53">
        <f>STOCK[[#This Row],[Precio Final]]</f>
        <v>10</v>
      </c>
      <c r="I1218" s="53">
        <f>STOCK[[#This Row],[Precio Venta Ideal (x1.5)]]</f>
        <v>7.98</v>
      </c>
      <c r="J1218" s="69">
        <v>2</v>
      </c>
      <c r="K1218" s="69">
        <f>SUMIFS(VENTAS[Cantidad],VENTAS[Código del producto Vendido],STOCK[[#This Row],[Code]])</f>
        <v>0</v>
      </c>
      <c r="L1218" s="69">
        <f>STOCK[[#This Row],[Entradas]]-STOCK[[#This Row],[Salidas]]</f>
        <v>2</v>
      </c>
      <c r="M1218" s="53">
        <f>STOCK[[#This Row],[Precio Final]]*10%</f>
        <v>1</v>
      </c>
      <c r="N1218" s="53">
        <v>0</v>
      </c>
      <c r="O1218" s="53">
        <v>0</v>
      </c>
      <c r="P1218" s="53">
        <v>2.35</v>
      </c>
      <c r="Q1218" s="69">
        <v>0</v>
      </c>
      <c r="R1218" s="53">
        <v>0</v>
      </c>
      <c r="S1218" s="53">
        <v>1.97</v>
      </c>
      <c r="T1218" s="53">
        <f>STOCK[[#This Row],[Costo Unitario (USD)]]+STOCK[[#This Row],[Costo Envío (USD)]]+STOCK[[#This Row],[Comisión 10%]]</f>
        <v>5.32</v>
      </c>
      <c r="U1218" s="53">
        <f>STOCK[[#This Row],[Costo total]]*1.5</f>
        <v>7.98</v>
      </c>
      <c r="V1218" s="53">
        <v>10</v>
      </c>
      <c r="W1218" s="53">
        <f>STOCK[[#This Row],[Precio Final]]-STOCK[[#This Row],[Costo total]]</f>
        <v>4.68</v>
      </c>
      <c r="X1218" s="53">
        <f>STOCK[[#This Row],[Ganancia Unitaria]]*STOCK[[#This Row],[Salidas]]</f>
        <v>0</v>
      </c>
      <c r="AA1218" s="54">
        <f>STOCK[[#This Row],[Costo total]]*STOCK[[#This Row],[Entradas]]</f>
        <v>10.64</v>
      </c>
      <c r="AB1218" s="54">
        <f>STOCK[[#This Row],[Stock Actual]]*STOCK[[#This Row],[Costo total]]</f>
        <v>10.64</v>
      </c>
    </row>
    <row r="1219" spans="1:28" s="54" customFormat="1" ht="50" customHeight="1">
      <c r="A1219" s="54" t="s">
        <v>2546</v>
      </c>
      <c r="B1219" s="64"/>
      <c r="C1219" s="54" t="s">
        <v>32</v>
      </c>
      <c r="D1219" s="54" t="s">
        <v>174</v>
      </c>
      <c r="E1219" s="66" t="s">
        <v>2545</v>
      </c>
      <c r="F1219" s="54" t="s">
        <v>49</v>
      </c>
      <c r="G1219" s="54" t="s">
        <v>36</v>
      </c>
      <c r="H1219" s="54">
        <f>STOCK[[#This Row],[Precio Final]]</f>
        <v>10</v>
      </c>
      <c r="I1219" s="54">
        <f>STOCK[[#This Row],[Precio Venta Ideal (x1.5)]]</f>
        <v>7.98</v>
      </c>
      <c r="J1219" s="70">
        <v>2</v>
      </c>
      <c r="K1219" s="70">
        <f>SUMIFS(VENTAS[Cantidad],VENTAS[Código del producto Vendido],STOCK[[#This Row],[Code]])</f>
        <v>2</v>
      </c>
      <c r="L1219" s="70">
        <f>STOCK[[#This Row],[Entradas]]-STOCK[[#This Row],[Salidas]]</f>
        <v>0</v>
      </c>
      <c r="M1219" s="54">
        <f>STOCK[[#This Row],[Precio Final]]*10%</f>
        <v>1</v>
      </c>
      <c r="N1219" s="54">
        <v>0</v>
      </c>
      <c r="O1219" s="54">
        <v>0</v>
      </c>
      <c r="P1219" s="54">
        <v>2.35</v>
      </c>
      <c r="Q1219" s="70">
        <v>0</v>
      </c>
      <c r="R1219" s="54">
        <v>0</v>
      </c>
      <c r="S1219" s="54">
        <v>1.97</v>
      </c>
      <c r="T1219" s="53">
        <f>STOCK[[#This Row],[Costo Unitario (USD)]]+STOCK[[#This Row],[Costo Envío (USD)]]+STOCK[[#This Row],[Comisión 10%]]</f>
        <v>5.32</v>
      </c>
      <c r="U1219" s="54">
        <f>STOCK[[#This Row],[Costo total]]*1.5</f>
        <v>7.98</v>
      </c>
      <c r="V1219" s="54">
        <v>10</v>
      </c>
      <c r="W1219" s="54">
        <f>STOCK[[#This Row],[Precio Final]]-STOCK[[#This Row],[Costo total]]</f>
        <v>4.68</v>
      </c>
      <c r="X1219" s="54">
        <f>STOCK[[#This Row],[Ganancia Unitaria]]*STOCK[[#This Row],[Salidas]]</f>
        <v>9.36</v>
      </c>
      <c r="AA1219" s="54">
        <f>STOCK[[#This Row],[Costo total]]*STOCK[[#This Row],[Entradas]]</f>
        <v>10.64</v>
      </c>
      <c r="AB1219" s="54">
        <f>STOCK[[#This Row],[Stock Actual]]*STOCK[[#This Row],[Costo total]]</f>
        <v>0</v>
      </c>
    </row>
    <row r="1220" spans="1:28" s="53" customFormat="1" ht="50" customHeight="1">
      <c r="A1220" s="53" t="s">
        <v>2547</v>
      </c>
      <c r="B1220" s="64"/>
      <c r="C1220" s="53" t="s">
        <v>32</v>
      </c>
      <c r="D1220" s="53" t="s">
        <v>174</v>
      </c>
      <c r="E1220" s="65" t="s">
        <v>2545</v>
      </c>
      <c r="F1220" s="53" t="s">
        <v>46</v>
      </c>
      <c r="G1220" s="53" t="s">
        <v>36</v>
      </c>
      <c r="H1220" s="53">
        <f>STOCK[[#This Row],[Precio Final]]</f>
        <v>10</v>
      </c>
      <c r="I1220" s="53">
        <f>STOCK[[#This Row],[Precio Venta Ideal (x1.5)]]</f>
        <v>7.98</v>
      </c>
      <c r="J1220" s="69">
        <v>2</v>
      </c>
      <c r="K1220" s="69">
        <f>SUMIFS(VENTAS[Cantidad],VENTAS[Código del producto Vendido],STOCK[[#This Row],[Code]])</f>
        <v>3</v>
      </c>
      <c r="L1220" s="69">
        <f>STOCK[[#This Row],[Entradas]]-STOCK[[#This Row],[Salidas]]</f>
        <v>-1</v>
      </c>
      <c r="M1220" s="53">
        <f>STOCK[[#This Row],[Precio Final]]*10%</f>
        <v>1</v>
      </c>
      <c r="N1220" s="53">
        <v>0</v>
      </c>
      <c r="O1220" s="53">
        <v>0</v>
      </c>
      <c r="P1220" s="53">
        <v>2.35</v>
      </c>
      <c r="Q1220" s="69">
        <v>0</v>
      </c>
      <c r="R1220" s="53">
        <v>0</v>
      </c>
      <c r="S1220" s="53">
        <v>1.97</v>
      </c>
      <c r="T1220" s="53">
        <f>STOCK[[#This Row],[Costo Unitario (USD)]]+STOCK[[#This Row],[Costo Envío (USD)]]+STOCK[[#This Row],[Comisión 10%]]</f>
        <v>5.32</v>
      </c>
      <c r="U1220" s="53">
        <f>STOCK[[#This Row],[Costo total]]*1.5</f>
        <v>7.98</v>
      </c>
      <c r="V1220" s="53">
        <v>10</v>
      </c>
      <c r="W1220" s="53">
        <f>STOCK[[#This Row],[Precio Final]]-STOCK[[#This Row],[Costo total]]</f>
        <v>4.68</v>
      </c>
      <c r="X1220" s="53">
        <f>STOCK[[#This Row],[Ganancia Unitaria]]*STOCK[[#This Row],[Salidas]]</f>
        <v>14.04</v>
      </c>
      <c r="AA1220" s="54">
        <f>STOCK[[#This Row],[Costo total]]*STOCK[[#This Row],[Entradas]]</f>
        <v>10.64</v>
      </c>
      <c r="AB1220" s="54">
        <f>STOCK[[#This Row],[Stock Actual]]*STOCK[[#This Row],[Costo total]]</f>
        <v>-5.32</v>
      </c>
    </row>
    <row r="1221" spans="1:28" s="53" customFormat="1" ht="50" customHeight="1">
      <c r="A1221" s="53" t="s">
        <v>2548</v>
      </c>
      <c r="B1221" s="64"/>
      <c r="C1221" s="53" t="s">
        <v>32</v>
      </c>
      <c r="D1221" s="53" t="s">
        <v>174</v>
      </c>
      <c r="E1221" s="65" t="s">
        <v>2549</v>
      </c>
      <c r="F1221" s="53" t="s">
        <v>49</v>
      </c>
      <c r="G1221" s="53" t="s">
        <v>36</v>
      </c>
      <c r="H1221" s="53">
        <f>STOCK[[#This Row],[Precio Final]]</f>
        <v>10</v>
      </c>
      <c r="I1221" s="53">
        <f>STOCK[[#This Row],[Precio Venta Ideal (x1.5)]]</f>
        <v>6</v>
      </c>
      <c r="J1221" s="69">
        <v>2</v>
      </c>
      <c r="K1221" s="69">
        <f>SUMIFS(VENTAS[Cantidad],VENTAS[Código del producto Vendido],STOCK[[#This Row],[Code]])</f>
        <v>2</v>
      </c>
      <c r="L1221" s="69">
        <f>STOCK[[#This Row],[Entradas]]-STOCK[[#This Row],[Salidas]]</f>
        <v>0</v>
      </c>
      <c r="M1221" s="53">
        <f>STOCK[[#This Row],[Precio Final]]*10%</f>
        <v>1</v>
      </c>
      <c r="N1221" s="53">
        <v>0</v>
      </c>
      <c r="O1221" s="53">
        <v>0</v>
      </c>
      <c r="P1221" s="53">
        <v>2.35</v>
      </c>
      <c r="Q1221" s="69">
        <v>0</v>
      </c>
      <c r="R1221" s="53">
        <v>0</v>
      </c>
      <c r="S1221" s="53">
        <v>1.97</v>
      </c>
      <c r="T1221" s="53">
        <f>STOCK[[#This Row],[Costo Unitario (USD)]]+STOCK[[#This Row],[Costo Envío (USD)]]+STOCK[[#This Row],[Comisión 10%]]</f>
        <v>5.32</v>
      </c>
      <c r="U1221" s="53">
        <f t="shared" ref="U1221:U1228" si="0">ROUNDUP(T1221,0)</f>
        <v>6</v>
      </c>
      <c r="V1221" s="53">
        <v>10</v>
      </c>
      <c r="W1221" s="53">
        <f>STOCK[[#This Row],[Precio Final]]-STOCK[[#This Row],[Costo total]]</f>
        <v>4.68</v>
      </c>
      <c r="X1221" s="53">
        <f>STOCK[[#This Row],[Ganancia Unitaria]]*STOCK[[#This Row],[Salidas]]</f>
        <v>9.36</v>
      </c>
      <c r="AA1221" s="54">
        <f>STOCK[[#This Row],[Costo total]]*STOCK[[#This Row],[Entradas]]</f>
        <v>10.64</v>
      </c>
      <c r="AB1221" s="54">
        <f>STOCK[[#This Row],[Stock Actual]]*STOCK[[#This Row],[Costo total]]</f>
        <v>0</v>
      </c>
    </row>
    <row r="1222" spans="1:28" s="53" customFormat="1" ht="50" customHeight="1">
      <c r="A1222" s="53" t="s">
        <v>2550</v>
      </c>
      <c r="B1222" s="64"/>
      <c r="C1222" s="53" t="s">
        <v>32</v>
      </c>
      <c r="D1222" s="53" t="s">
        <v>174</v>
      </c>
      <c r="E1222" s="65" t="s">
        <v>2549</v>
      </c>
      <c r="F1222" s="53" t="s">
        <v>62</v>
      </c>
      <c r="G1222" s="53" t="s">
        <v>36</v>
      </c>
      <c r="H1222" s="53">
        <f>STOCK[[#This Row],[Precio Final]]</f>
        <v>10</v>
      </c>
      <c r="I1222" s="53">
        <f>STOCK[[#This Row],[Precio Venta Ideal (x1.5)]]</f>
        <v>6</v>
      </c>
      <c r="J1222" s="69">
        <v>2</v>
      </c>
      <c r="K1222" s="69">
        <f>SUMIFS(VENTAS[Cantidad],VENTAS[Código del producto Vendido],STOCK[[#This Row],[Code]])</f>
        <v>1</v>
      </c>
      <c r="L1222" s="69">
        <f>STOCK[[#This Row],[Entradas]]-STOCK[[#This Row],[Salidas]]</f>
        <v>1</v>
      </c>
      <c r="M1222" s="53">
        <f>STOCK[[#This Row],[Precio Final]]*10%</f>
        <v>1</v>
      </c>
      <c r="N1222" s="53">
        <v>0</v>
      </c>
      <c r="O1222" s="53">
        <v>0</v>
      </c>
      <c r="P1222" s="53">
        <v>2.35</v>
      </c>
      <c r="Q1222" s="69">
        <v>0</v>
      </c>
      <c r="R1222" s="53">
        <v>0</v>
      </c>
      <c r="S1222" s="53">
        <v>1.97</v>
      </c>
      <c r="T1222" s="53">
        <f>STOCK[[#This Row],[Costo Unitario (USD)]]+STOCK[[#This Row],[Costo Envío (USD)]]+STOCK[[#This Row],[Comisión 10%]]</f>
        <v>5.32</v>
      </c>
      <c r="U1222" s="53">
        <f t="shared" si="0"/>
        <v>6</v>
      </c>
      <c r="V1222" s="53">
        <v>10</v>
      </c>
      <c r="W1222" s="53">
        <f>STOCK[[#This Row],[Precio Final]]-STOCK[[#This Row],[Costo total]]</f>
        <v>4.68</v>
      </c>
      <c r="X1222" s="53">
        <f>STOCK[[#This Row],[Ganancia Unitaria]]*STOCK[[#This Row],[Salidas]]</f>
        <v>4.68</v>
      </c>
      <c r="AA1222" s="54">
        <f>STOCK[[#This Row],[Costo total]]*STOCK[[#This Row],[Entradas]]</f>
        <v>10.64</v>
      </c>
      <c r="AB1222" s="54">
        <f>STOCK[[#This Row],[Stock Actual]]*STOCK[[#This Row],[Costo total]]</f>
        <v>5.32</v>
      </c>
    </row>
    <row r="1223" spans="1:28" s="53" customFormat="1" ht="50" customHeight="1">
      <c r="A1223" s="53" t="s">
        <v>2551</v>
      </c>
      <c r="B1223" s="64"/>
      <c r="C1223" s="53" t="s">
        <v>32</v>
      </c>
      <c r="D1223" s="53" t="s">
        <v>174</v>
      </c>
      <c r="E1223" s="65" t="s">
        <v>2549</v>
      </c>
      <c r="F1223" s="53" t="s">
        <v>46</v>
      </c>
      <c r="G1223" s="53" t="s">
        <v>36</v>
      </c>
      <c r="H1223" s="53">
        <f>STOCK[[#This Row],[Precio Final]]</f>
        <v>10</v>
      </c>
      <c r="I1223" s="53">
        <f>STOCK[[#This Row],[Precio Venta Ideal (x1.5)]]</f>
        <v>6</v>
      </c>
      <c r="J1223" s="69">
        <v>2</v>
      </c>
      <c r="K1223" s="69">
        <f>SUMIFS(VENTAS[Cantidad],VENTAS[Código del producto Vendido],STOCK[[#This Row],[Code]])</f>
        <v>2</v>
      </c>
      <c r="L1223" s="69">
        <f>STOCK[[#This Row],[Entradas]]-STOCK[[#This Row],[Salidas]]</f>
        <v>0</v>
      </c>
      <c r="M1223" s="53">
        <f>STOCK[[#This Row],[Precio Final]]*10%</f>
        <v>1</v>
      </c>
      <c r="N1223" s="53">
        <v>0</v>
      </c>
      <c r="O1223" s="53">
        <v>0</v>
      </c>
      <c r="P1223" s="53">
        <v>2.35</v>
      </c>
      <c r="Q1223" s="69">
        <v>0</v>
      </c>
      <c r="R1223" s="53">
        <v>0</v>
      </c>
      <c r="S1223" s="53">
        <v>1.97</v>
      </c>
      <c r="T1223" s="53">
        <f>STOCK[[#This Row],[Costo Unitario (USD)]]+STOCK[[#This Row],[Costo Envío (USD)]]+STOCK[[#This Row],[Comisión 10%]]</f>
        <v>5.32</v>
      </c>
      <c r="U1223" s="53">
        <f t="shared" si="0"/>
        <v>6</v>
      </c>
      <c r="V1223" s="53">
        <v>10</v>
      </c>
      <c r="W1223" s="53">
        <f>STOCK[[#This Row],[Precio Final]]-STOCK[[#This Row],[Costo total]]</f>
        <v>4.68</v>
      </c>
      <c r="X1223" s="53">
        <f>STOCK[[#This Row],[Ganancia Unitaria]]*STOCK[[#This Row],[Salidas]]</f>
        <v>9.36</v>
      </c>
      <c r="AA1223" s="54">
        <f>STOCK[[#This Row],[Costo total]]*STOCK[[#This Row],[Entradas]]</f>
        <v>10.64</v>
      </c>
      <c r="AB1223" s="54">
        <f>STOCK[[#This Row],[Stock Actual]]*STOCK[[#This Row],[Costo total]]</f>
        <v>0</v>
      </c>
    </row>
    <row r="1224" spans="1:28" s="53" customFormat="1" ht="50" customHeight="1">
      <c r="A1224" s="53" t="s">
        <v>2552</v>
      </c>
      <c r="B1224" s="64"/>
      <c r="C1224" s="53" t="s">
        <v>32</v>
      </c>
      <c r="D1224" s="53" t="s">
        <v>174</v>
      </c>
      <c r="E1224" s="65" t="s">
        <v>2553</v>
      </c>
      <c r="F1224" s="53" t="s">
        <v>49</v>
      </c>
      <c r="G1224" s="53" t="s">
        <v>36</v>
      </c>
      <c r="H1224" s="53">
        <f>STOCK[[#This Row],[Precio Final]]</f>
        <v>10</v>
      </c>
      <c r="I1224" s="53">
        <f>STOCK[[#This Row],[Precio Venta Ideal (x1.5)]]</f>
        <v>6</v>
      </c>
      <c r="J1224" s="69">
        <v>2</v>
      </c>
      <c r="K1224" s="69">
        <f>SUMIFS(VENTAS[Cantidad],VENTAS[Código del producto Vendido],STOCK[[#This Row],[Code]])</f>
        <v>1</v>
      </c>
      <c r="L1224" s="69">
        <f>STOCK[[#This Row],[Entradas]]-STOCK[[#This Row],[Salidas]]</f>
        <v>1</v>
      </c>
      <c r="M1224" s="53">
        <f>STOCK[[#This Row],[Precio Final]]*10%</f>
        <v>1</v>
      </c>
      <c r="N1224" s="53">
        <v>0</v>
      </c>
      <c r="O1224" s="53">
        <v>0</v>
      </c>
      <c r="P1224" s="53">
        <v>2.35</v>
      </c>
      <c r="Q1224" s="69">
        <v>0</v>
      </c>
      <c r="R1224" s="53">
        <v>0</v>
      </c>
      <c r="S1224" s="53">
        <v>1.97</v>
      </c>
      <c r="T1224" s="53">
        <f>STOCK[[#This Row],[Costo Unitario (USD)]]+STOCK[[#This Row],[Costo Envío (USD)]]+STOCK[[#This Row],[Comisión 10%]]</f>
        <v>5.32</v>
      </c>
      <c r="U1224" s="53">
        <f t="shared" si="0"/>
        <v>6</v>
      </c>
      <c r="V1224" s="53">
        <v>10</v>
      </c>
      <c r="W1224" s="53">
        <f>STOCK[[#This Row],[Precio Final]]-STOCK[[#This Row],[Costo total]]</f>
        <v>4.68</v>
      </c>
      <c r="X1224" s="53">
        <f>STOCK[[#This Row],[Ganancia Unitaria]]*STOCK[[#This Row],[Salidas]]</f>
        <v>4.68</v>
      </c>
      <c r="AA1224" s="54">
        <f>STOCK[[#This Row],[Costo total]]*STOCK[[#This Row],[Entradas]]</f>
        <v>10.64</v>
      </c>
      <c r="AB1224" s="54">
        <f>STOCK[[#This Row],[Stock Actual]]*STOCK[[#This Row],[Costo total]]</f>
        <v>5.32</v>
      </c>
    </row>
    <row r="1225" spans="1:28" s="53" customFormat="1" ht="50" customHeight="1">
      <c r="A1225" s="53" t="s">
        <v>2554</v>
      </c>
      <c r="B1225" s="64"/>
      <c r="C1225" s="53" t="s">
        <v>32</v>
      </c>
      <c r="D1225" s="53" t="s">
        <v>174</v>
      </c>
      <c r="E1225" s="65" t="s">
        <v>2553</v>
      </c>
      <c r="F1225" s="53" t="s">
        <v>46</v>
      </c>
      <c r="G1225" s="53" t="s">
        <v>36</v>
      </c>
      <c r="H1225" s="53">
        <f>STOCK[[#This Row],[Precio Final]]</f>
        <v>10</v>
      </c>
      <c r="I1225" s="53">
        <f>STOCK[[#This Row],[Precio Venta Ideal (x1.5)]]</f>
        <v>6</v>
      </c>
      <c r="J1225" s="69">
        <v>2</v>
      </c>
      <c r="K1225" s="69">
        <f>SUMIFS(VENTAS[Cantidad],VENTAS[Código del producto Vendido],STOCK[[#This Row],[Code]])</f>
        <v>2</v>
      </c>
      <c r="L1225" s="69">
        <f>STOCK[[#This Row],[Entradas]]-STOCK[[#This Row],[Salidas]]</f>
        <v>0</v>
      </c>
      <c r="M1225" s="53">
        <f>STOCK[[#This Row],[Precio Final]]*10%</f>
        <v>1</v>
      </c>
      <c r="N1225" s="53">
        <v>0</v>
      </c>
      <c r="O1225" s="53">
        <v>0</v>
      </c>
      <c r="P1225" s="53">
        <v>2.35</v>
      </c>
      <c r="Q1225" s="69">
        <v>0</v>
      </c>
      <c r="R1225" s="53">
        <v>0</v>
      </c>
      <c r="S1225" s="53">
        <v>1.97</v>
      </c>
      <c r="T1225" s="53">
        <f>STOCK[[#This Row],[Costo Unitario (USD)]]+STOCK[[#This Row],[Costo Envío (USD)]]+STOCK[[#This Row],[Comisión 10%]]</f>
        <v>5.32</v>
      </c>
      <c r="U1225" s="53">
        <f t="shared" si="0"/>
        <v>6</v>
      </c>
      <c r="V1225" s="53">
        <v>10</v>
      </c>
      <c r="W1225" s="53">
        <f>STOCK[[#This Row],[Precio Final]]-STOCK[[#This Row],[Costo total]]</f>
        <v>4.68</v>
      </c>
      <c r="X1225" s="53">
        <f>STOCK[[#This Row],[Ganancia Unitaria]]*STOCK[[#This Row],[Salidas]]</f>
        <v>9.36</v>
      </c>
      <c r="AA1225" s="54">
        <f>STOCK[[#This Row],[Costo total]]*STOCK[[#This Row],[Entradas]]</f>
        <v>10.64</v>
      </c>
      <c r="AB1225" s="54">
        <f>STOCK[[#This Row],[Stock Actual]]*STOCK[[#This Row],[Costo total]]</f>
        <v>0</v>
      </c>
    </row>
    <row r="1226" spans="1:28" s="53" customFormat="1" ht="50" customHeight="1">
      <c r="A1226" s="53" t="s">
        <v>2555</v>
      </c>
      <c r="B1226" s="64"/>
      <c r="C1226" s="53" t="s">
        <v>32</v>
      </c>
      <c r="D1226" s="53" t="s">
        <v>174</v>
      </c>
      <c r="E1226" s="65" t="s">
        <v>2556</v>
      </c>
      <c r="F1226" s="53" t="s">
        <v>62</v>
      </c>
      <c r="G1226" s="53" t="s">
        <v>36</v>
      </c>
      <c r="H1226" s="53">
        <f>STOCK[[#This Row],[Precio Final]]</f>
        <v>10</v>
      </c>
      <c r="I1226" s="53">
        <f>STOCK[[#This Row],[Precio Venta Ideal (x1.5)]]</f>
        <v>6</v>
      </c>
      <c r="J1226" s="69">
        <v>2</v>
      </c>
      <c r="K1226" s="69">
        <f>SUMIFS(VENTAS[Cantidad],VENTAS[Código del producto Vendido],STOCK[[#This Row],[Code]])</f>
        <v>1</v>
      </c>
      <c r="L1226" s="69">
        <f>STOCK[[#This Row],[Entradas]]-STOCK[[#This Row],[Salidas]]</f>
        <v>1</v>
      </c>
      <c r="M1226" s="53">
        <f>STOCK[[#This Row],[Precio Final]]*10%</f>
        <v>1</v>
      </c>
      <c r="N1226" s="53">
        <v>0</v>
      </c>
      <c r="O1226" s="53">
        <v>0</v>
      </c>
      <c r="P1226" s="53">
        <v>2.35</v>
      </c>
      <c r="Q1226" s="69">
        <v>0</v>
      </c>
      <c r="R1226" s="53">
        <v>0</v>
      </c>
      <c r="S1226" s="53">
        <v>1.97</v>
      </c>
      <c r="T1226" s="53">
        <f>STOCK[[#This Row],[Costo Unitario (USD)]]+STOCK[[#This Row],[Costo Envío (USD)]]+STOCK[[#This Row],[Comisión 10%]]</f>
        <v>5.32</v>
      </c>
      <c r="U1226" s="53">
        <f t="shared" si="0"/>
        <v>6</v>
      </c>
      <c r="V1226" s="53">
        <v>10</v>
      </c>
      <c r="W1226" s="53">
        <f>STOCK[[#This Row],[Precio Final]]-STOCK[[#This Row],[Costo total]]</f>
        <v>4.68</v>
      </c>
      <c r="X1226" s="53">
        <f>STOCK[[#This Row],[Ganancia Unitaria]]*STOCK[[#This Row],[Salidas]]</f>
        <v>4.68</v>
      </c>
      <c r="AA1226" s="54">
        <f>STOCK[[#This Row],[Costo total]]*STOCK[[#This Row],[Entradas]]</f>
        <v>10.64</v>
      </c>
      <c r="AB1226" s="54">
        <f>STOCK[[#This Row],[Stock Actual]]*STOCK[[#This Row],[Costo total]]</f>
        <v>5.32</v>
      </c>
    </row>
    <row r="1227" spans="1:28" s="53" customFormat="1" ht="50" customHeight="1">
      <c r="A1227" s="53" t="s">
        <v>2557</v>
      </c>
      <c r="B1227" s="64"/>
      <c r="C1227" s="53" t="s">
        <v>32</v>
      </c>
      <c r="D1227" s="53" t="s">
        <v>174</v>
      </c>
      <c r="E1227" s="65" t="s">
        <v>2556</v>
      </c>
      <c r="F1227" s="53" t="s">
        <v>49</v>
      </c>
      <c r="G1227" s="53" t="s">
        <v>36</v>
      </c>
      <c r="H1227" s="53">
        <f>STOCK[[#This Row],[Precio Final]]</f>
        <v>10</v>
      </c>
      <c r="I1227" s="53">
        <f>STOCK[[#This Row],[Precio Venta Ideal (x1.5)]]</f>
        <v>6</v>
      </c>
      <c r="J1227" s="69">
        <v>2</v>
      </c>
      <c r="K1227" s="69">
        <f>SUMIFS(VENTAS[Cantidad],VENTAS[Código del producto Vendido],STOCK[[#This Row],[Code]])</f>
        <v>2</v>
      </c>
      <c r="L1227" s="69">
        <f>STOCK[[#This Row],[Entradas]]-STOCK[[#This Row],[Salidas]]</f>
        <v>0</v>
      </c>
      <c r="M1227" s="53">
        <f>STOCK[[#This Row],[Precio Final]]*10%</f>
        <v>1</v>
      </c>
      <c r="N1227" s="53">
        <v>0</v>
      </c>
      <c r="O1227" s="53">
        <v>0</v>
      </c>
      <c r="P1227" s="53">
        <v>2.35</v>
      </c>
      <c r="Q1227" s="69">
        <v>0</v>
      </c>
      <c r="R1227" s="53">
        <v>0</v>
      </c>
      <c r="S1227" s="53">
        <v>1.97</v>
      </c>
      <c r="T1227" s="53">
        <f>STOCK[[#This Row],[Costo Unitario (USD)]]+STOCK[[#This Row],[Costo Envío (USD)]]+STOCK[[#This Row],[Comisión 10%]]</f>
        <v>5.32</v>
      </c>
      <c r="U1227" s="53">
        <f t="shared" si="0"/>
        <v>6</v>
      </c>
      <c r="V1227" s="53">
        <v>10</v>
      </c>
      <c r="W1227" s="53">
        <f>STOCK[[#This Row],[Precio Final]]-STOCK[[#This Row],[Costo total]]</f>
        <v>4.68</v>
      </c>
      <c r="X1227" s="53">
        <f>STOCK[[#This Row],[Ganancia Unitaria]]*STOCK[[#This Row],[Salidas]]</f>
        <v>9.36</v>
      </c>
      <c r="AA1227" s="54">
        <f>STOCK[[#This Row],[Costo total]]*STOCK[[#This Row],[Entradas]]</f>
        <v>10.64</v>
      </c>
      <c r="AB1227" s="54">
        <f>STOCK[[#This Row],[Stock Actual]]*STOCK[[#This Row],[Costo total]]</f>
        <v>0</v>
      </c>
    </row>
    <row r="1228" spans="1:28" s="53" customFormat="1" ht="50" customHeight="1">
      <c r="A1228" s="53" t="s">
        <v>2558</v>
      </c>
      <c r="B1228" s="64"/>
      <c r="C1228" s="53" t="s">
        <v>32</v>
      </c>
      <c r="D1228" s="53" t="s">
        <v>174</v>
      </c>
      <c r="E1228" s="65" t="s">
        <v>2556</v>
      </c>
      <c r="F1228" s="53" t="s">
        <v>46</v>
      </c>
      <c r="G1228" s="53" t="s">
        <v>36</v>
      </c>
      <c r="H1228" s="53">
        <f>STOCK[[#This Row],[Precio Final]]</f>
        <v>10</v>
      </c>
      <c r="I1228" s="53">
        <f>STOCK[[#This Row],[Precio Venta Ideal (x1.5)]]</f>
        <v>6</v>
      </c>
      <c r="J1228" s="69">
        <v>2</v>
      </c>
      <c r="K1228" s="69">
        <f>SUMIFS(VENTAS[Cantidad],VENTAS[Código del producto Vendido],STOCK[[#This Row],[Code]])</f>
        <v>2</v>
      </c>
      <c r="L1228" s="69">
        <f>STOCK[[#This Row],[Entradas]]-STOCK[[#This Row],[Salidas]]</f>
        <v>0</v>
      </c>
      <c r="M1228" s="53">
        <f>STOCK[[#This Row],[Precio Final]]*10%</f>
        <v>1</v>
      </c>
      <c r="N1228" s="53">
        <v>0</v>
      </c>
      <c r="O1228" s="53">
        <v>0</v>
      </c>
      <c r="P1228" s="53">
        <v>2.35</v>
      </c>
      <c r="Q1228" s="69">
        <v>0</v>
      </c>
      <c r="R1228" s="53">
        <v>0</v>
      </c>
      <c r="S1228" s="53">
        <v>1.97</v>
      </c>
      <c r="T1228" s="53">
        <f>STOCK[[#This Row],[Costo Unitario (USD)]]+STOCK[[#This Row],[Costo Envío (USD)]]+STOCK[[#This Row],[Comisión 10%]]</f>
        <v>5.32</v>
      </c>
      <c r="U1228" s="53">
        <f t="shared" si="0"/>
        <v>6</v>
      </c>
      <c r="V1228" s="53">
        <v>10</v>
      </c>
      <c r="W1228" s="53">
        <f>STOCK[[#This Row],[Precio Final]]-STOCK[[#This Row],[Costo total]]</f>
        <v>4.68</v>
      </c>
      <c r="X1228" s="53">
        <f>STOCK[[#This Row],[Ganancia Unitaria]]*STOCK[[#This Row],[Salidas]]</f>
        <v>9.36</v>
      </c>
      <c r="AA1228" s="54">
        <f>STOCK[[#This Row],[Costo total]]*STOCK[[#This Row],[Entradas]]</f>
        <v>10.64</v>
      </c>
      <c r="AB1228" s="54">
        <f>STOCK[[#This Row],[Stock Actual]]*STOCK[[#This Row],[Costo total]]</f>
        <v>0</v>
      </c>
    </row>
    <row r="1229" spans="1:28" s="54" customFormat="1" ht="50" customHeight="1">
      <c r="A1229" s="54" t="s">
        <v>2559</v>
      </c>
      <c r="B1229" s="64"/>
      <c r="C1229" s="54" t="s">
        <v>32</v>
      </c>
      <c r="D1229" s="54" t="s">
        <v>174</v>
      </c>
      <c r="E1229" s="66" t="s">
        <v>2553</v>
      </c>
      <c r="F1229" s="54" t="s">
        <v>62</v>
      </c>
      <c r="G1229" s="53" t="s">
        <v>36</v>
      </c>
      <c r="H1229" s="54">
        <f>STOCK[[#This Row],[Precio Final]]</f>
        <v>10</v>
      </c>
      <c r="I1229" s="54">
        <f>STOCK[[#This Row],[Precio Venta Ideal (x1.5)]]</f>
        <v>7.98</v>
      </c>
      <c r="J1229" s="70">
        <v>2</v>
      </c>
      <c r="K1229" s="70">
        <f>SUMIFS(VENTAS[Cantidad],VENTAS[Código del producto Vendido],STOCK[[#This Row],[Code]])</f>
        <v>2</v>
      </c>
      <c r="L1229" s="70">
        <f>STOCK[[#This Row],[Entradas]]-STOCK[[#This Row],[Salidas]]</f>
        <v>0</v>
      </c>
      <c r="M1229" s="54">
        <f>STOCK[[#This Row],[Precio Final]]*10%</f>
        <v>1</v>
      </c>
      <c r="N1229" s="54">
        <v>0</v>
      </c>
      <c r="O1229" s="54">
        <v>0</v>
      </c>
      <c r="P1229" s="54">
        <v>2.35</v>
      </c>
      <c r="Q1229" s="70">
        <v>0</v>
      </c>
      <c r="R1229" s="54">
        <v>0</v>
      </c>
      <c r="S1229" s="54">
        <v>1.97</v>
      </c>
      <c r="T1229" s="53">
        <f>STOCK[[#This Row],[Costo Unitario (USD)]]+STOCK[[#This Row],[Costo Envío (USD)]]+STOCK[[#This Row],[Comisión 10%]]</f>
        <v>5.32</v>
      </c>
      <c r="U1229" s="54">
        <f>STOCK[[#This Row],[Costo total]]*1.5</f>
        <v>7.98</v>
      </c>
      <c r="V1229" s="54">
        <v>10</v>
      </c>
      <c r="W1229" s="54">
        <f>STOCK[[#This Row],[Precio Final]]-STOCK[[#This Row],[Costo total]]</f>
        <v>4.68</v>
      </c>
      <c r="X1229" s="54">
        <f>STOCK[[#This Row],[Ganancia Unitaria]]*STOCK[[#This Row],[Salidas]]</f>
        <v>9.36</v>
      </c>
      <c r="AA1229" s="54">
        <f>STOCK[[#This Row],[Costo total]]*STOCK[[#This Row],[Entradas]]</f>
        <v>10.64</v>
      </c>
      <c r="AB1229" s="54">
        <f>STOCK[[#This Row],[Stock Actual]]*STOCK[[#This Row],[Costo total]]</f>
        <v>0</v>
      </c>
    </row>
    <row r="1230" spans="1:28" s="53" customFormat="1" ht="50" customHeight="1">
      <c r="A1230" s="53" t="s">
        <v>2560</v>
      </c>
      <c r="B1230" s="64"/>
      <c r="C1230" s="53" t="s">
        <v>32</v>
      </c>
      <c r="D1230" s="53" t="s">
        <v>2119</v>
      </c>
      <c r="E1230" s="65" t="s">
        <v>2561</v>
      </c>
      <c r="F1230" s="53" t="s">
        <v>49</v>
      </c>
      <c r="G1230" s="53" t="s">
        <v>1877</v>
      </c>
      <c r="H1230" s="53">
        <f>STOCK[[#This Row],[Precio Final]]</f>
        <v>35</v>
      </c>
      <c r="I1230" s="53">
        <f>STOCK[[#This Row],[Precio Venta Ideal (x1.5)]]</f>
        <v>32.64</v>
      </c>
      <c r="J1230" s="69">
        <v>2</v>
      </c>
      <c r="K1230" s="69">
        <f>SUMIFS(VENTAS[Cantidad],VENTAS[Código del producto Vendido],STOCK[[#This Row],[Code]])</f>
        <v>2</v>
      </c>
      <c r="L1230" s="69">
        <f>STOCK[[#This Row],[Entradas]]-STOCK[[#This Row],[Salidas]]</f>
        <v>0</v>
      </c>
      <c r="M1230" s="53">
        <f>STOCK[[#This Row],[Precio Final]]*10%</f>
        <v>3.5</v>
      </c>
      <c r="N1230" s="53">
        <v>0</v>
      </c>
      <c r="O1230" s="53">
        <v>0</v>
      </c>
      <c r="P1230" s="53">
        <v>16.29</v>
      </c>
      <c r="Q1230" s="69">
        <v>0</v>
      </c>
      <c r="R1230" s="53">
        <v>0</v>
      </c>
      <c r="S1230" s="53">
        <v>1.97</v>
      </c>
      <c r="T1230" s="53">
        <f>STOCK[[#This Row],[Costo Unitario (USD)]]+STOCK[[#This Row],[Costo Envío (USD)]]+STOCK[[#This Row],[Comisión 10%]]</f>
        <v>21.759999999999998</v>
      </c>
      <c r="U1230" s="53">
        <f>STOCK[[#This Row],[Costo total]]*1.5</f>
        <v>32.64</v>
      </c>
      <c r="V1230" s="53">
        <v>35</v>
      </c>
      <c r="W1230" s="53">
        <f>STOCK[[#This Row],[Precio Final]]-STOCK[[#This Row],[Costo total]]</f>
        <v>13.240000000000002</v>
      </c>
      <c r="X1230" s="53">
        <f>STOCK[[#This Row],[Ganancia Unitaria]]*STOCK[[#This Row],[Salidas]]</f>
        <v>26.480000000000004</v>
      </c>
      <c r="AA1230" s="54">
        <f>STOCK[[#This Row],[Costo total]]*STOCK[[#This Row],[Entradas]]</f>
        <v>43.519999999999996</v>
      </c>
      <c r="AB1230" s="54">
        <f>STOCK[[#This Row],[Stock Actual]]*STOCK[[#This Row],[Costo total]]</f>
        <v>0</v>
      </c>
    </row>
    <row r="1231" spans="1:28" s="54" customFormat="1" ht="50" customHeight="1">
      <c r="A1231" s="54" t="s">
        <v>2562</v>
      </c>
      <c r="B1231" s="64"/>
      <c r="C1231" s="54" t="s">
        <v>32</v>
      </c>
      <c r="D1231" s="54" t="s">
        <v>1809</v>
      </c>
      <c r="E1231" s="66" t="s">
        <v>2563</v>
      </c>
      <c r="F1231" s="54" t="s">
        <v>2564</v>
      </c>
      <c r="G1231" s="54" t="s">
        <v>1877</v>
      </c>
      <c r="H1231" s="54">
        <f>STOCK[[#This Row],[Precio Final]]</f>
        <v>15</v>
      </c>
      <c r="I1231" s="54">
        <f>STOCK[[#This Row],[Precio Venta Ideal (x1.5)]]</f>
        <v>11.79</v>
      </c>
      <c r="J1231" s="70">
        <v>5</v>
      </c>
      <c r="K1231" s="70">
        <f>SUMIFS(VENTAS[Cantidad],VENTAS[Código del producto Vendido],STOCK[[#This Row],[Code]])</f>
        <v>3</v>
      </c>
      <c r="L1231" s="70">
        <f>STOCK[[#This Row],[Entradas]]-STOCK[[#This Row],[Salidas]]</f>
        <v>2</v>
      </c>
      <c r="M1231" s="54">
        <f>STOCK[[#This Row],[Precio Final]]*10%</f>
        <v>1.5</v>
      </c>
      <c r="N1231" s="54">
        <v>0</v>
      </c>
      <c r="O1231" s="54">
        <v>0</v>
      </c>
      <c r="P1231" s="54">
        <v>4.3899999999999997</v>
      </c>
      <c r="Q1231" s="70">
        <v>0</v>
      </c>
      <c r="R1231" s="54">
        <v>0</v>
      </c>
      <c r="S1231" s="54">
        <v>1.97</v>
      </c>
      <c r="T1231" s="53">
        <f>STOCK[[#This Row],[Costo Unitario (USD)]]+STOCK[[#This Row],[Costo Envío (USD)]]+STOCK[[#This Row],[Comisión 10%]]</f>
        <v>7.8599999999999994</v>
      </c>
      <c r="U1231" s="54">
        <f>STOCK[[#This Row],[Costo total]]*1.5</f>
        <v>11.79</v>
      </c>
      <c r="V1231" s="54">
        <v>15</v>
      </c>
      <c r="W1231" s="54">
        <f>STOCK[[#This Row],[Precio Final]]-STOCK[[#This Row],[Costo total]]</f>
        <v>7.1400000000000006</v>
      </c>
      <c r="X1231" s="54">
        <f>STOCK[[#This Row],[Ganancia Unitaria]]*STOCK[[#This Row],[Salidas]]</f>
        <v>21.42</v>
      </c>
      <c r="AA1231" s="54">
        <f>STOCK[[#This Row],[Costo total]]*STOCK[[#This Row],[Entradas]]</f>
        <v>39.299999999999997</v>
      </c>
      <c r="AB1231" s="54">
        <f>STOCK[[#This Row],[Stock Actual]]*STOCK[[#This Row],[Costo total]]</f>
        <v>15.719999999999999</v>
      </c>
    </row>
    <row r="1232" spans="1:28" s="53" customFormat="1" ht="50" customHeight="1">
      <c r="A1232" s="53" t="s">
        <v>2565</v>
      </c>
      <c r="B1232" s="64"/>
      <c r="C1232" s="53" t="s">
        <v>32</v>
      </c>
      <c r="D1232" s="53" t="s">
        <v>1190</v>
      </c>
      <c r="E1232" s="65" t="s">
        <v>2566</v>
      </c>
      <c r="F1232" s="53" t="s">
        <v>46</v>
      </c>
      <c r="G1232" s="53" t="s">
        <v>1877</v>
      </c>
      <c r="H1232" s="53">
        <f>STOCK[[#This Row],[Precio Final]]</f>
        <v>17</v>
      </c>
      <c r="I1232" s="53">
        <f>STOCK[[#This Row],[Precio Venta Ideal (x1.5)]]</f>
        <v>19.725000000000001</v>
      </c>
      <c r="J1232" s="69">
        <v>2</v>
      </c>
      <c r="K1232" s="69">
        <f>SUMIFS(VENTAS[Cantidad],VENTAS[Código del producto Vendido],STOCK[[#This Row],[Code]])</f>
        <v>2</v>
      </c>
      <c r="L1232" s="69">
        <f>STOCK[[#This Row],[Entradas]]-STOCK[[#This Row],[Salidas]]</f>
        <v>0</v>
      </c>
      <c r="M1232" s="53">
        <f>STOCK[[#This Row],[Precio Final]]*10%</f>
        <v>1.7000000000000002</v>
      </c>
      <c r="N1232" s="53">
        <v>0</v>
      </c>
      <c r="O1232" s="53">
        <v>0</v>
      </c>
      <c r="P1232" s="53">
        <v>9.48</v>
      </c>
      <c r="Q1232" s="69">
        <v>0</v>
      </c>
      <c r="R1232" s="53">
        <v>0</v>
      </c>
      <c r="S1232" s="53">
        <v>1.97</v>
      </c>
      <c r="T1232" s="53">
        <f>STOCK[[#This Row],[Costo Unitario (USD)]]+STOCK[[#This Row],[Costo Envío (USD)]]+STOCK[[#This Row],[Comisión 10%]]</f>
        <v>13.150000000000002</v>
      </c>
      <c r="U1232" s="53">
        <f>STOCK[[#This Row],[Costo total]]*1.5</f>
        <v>19.725000000000001</v>
      </c>
      <c r="V1232" s="53">
        <v>17</v>
      </c>
      <c r="W1232" s="53">
        <f>STOCK[[#This Row],[Precio Final]]-STOCK[[#This Row],[Costo total]]</f>
        <v>3.8499999999999979</v>
      </c>
      <c r="X1232" s="53">
        <f>STOCK[[#This Row],[Ganancia Unitaria]]*STOCK[[#This Row],[Salidas]]</f>
        <v>7.6999999999999957</v>
      </c>
      <c r="AA1232" s="54">
        <f>STOCK[[#This Row],[Costo total]]*STOCK[[#This Row],[Entradas]]</f>
        <v>26.300000000000004</v>
      </c>
      <c r="AB1232" s="54">
        <f>STOCK[[#This Row],[Stock Actual]]*STOCK[[#This Row],[Costo total]]</f>
        <v>0</v>
      </c>
    </row>
    <row r="1233" spans="1:28" s="54" customFormat="1" ht="50" customHeight="1">
      <c r="A1233" s="54" t="s">
        <v>2567</v>
      </c>
      <c r="B1233" s="64"/>
      <c r="C1233" s="54" t="s">
        <v>32</v>
      </c>
      <c r="D1233" s="54" t="s">
        <v>1190</v>
      </c>
      <c r="E1233" s="66" t="s">
        <v>2566</v>
      </c>
      <c r="F1233" s="54" t="s">
        <v>62</v>
      </c>
      <c r="G1233" s="54" t="s">
        <v>1877</v>
      </c>
      <c r="H1233" s="54">
        <f>STOCK[[#This Row],[Precio Final]]</f>
        <v>17</v>
      </c>
      <c r="I1233" s="54">
        <f>STOCK[[#This Row],[Precio Venta Ideal (x1.5)]]</f>
        <v>19.725000000000001</v>
      </c>
      <c r="J1233" s="70">
        <v>2</v>
      </c>
      <c r="K1233" s="70">
        <f>SUMIFS(VENTAS[Cantidad],VENTAS[Código del producto Vendido],STOCK[[#This Row],[Code]])</f>
        <v>1</v>
      </c>
      <c r="L1233" s="70">
        <f>STOCK[[#This Row],[Entradas]]-STOCK[[#This Row],[Salidas]]</f>
        <v>1</v>
      </c>
      <c r="M1233" s="54">
        <f>STOCK[[#This Row],[Precio Final]]*10%</f>
        <v>1.7000000000000002</v>
      </c>
      <c r="N1233" s="54">
        <v>0</v>
      </c>
      <c r="O1233" s="54">
        <v>0</v>
      </c>
      <c r="P1233" s="54">
        <v>9.48</v>
      </c>
      <c r="Q1233" s="70">
        <v>0</v>
      </c>
      <c r="R1233" s="54">
        <v>0</v>
      </c>
      <c r="S1233" s="54">
        <v>1.97</v>
      </c>
      <c r="T1233" s="53">
        <f>STOCK[[#This Row],[Costo Unitario (USD)]]+STOCK[[#This Row],[Costo Envío (USD)]]+STOCK[[#This Row],[Comisión 10%]]</f>
        <v>13.150000000000002</v>
      </c>
      <c r="U1233" s="54">
        <f>STOCK[[#This Row],[Costo total]]*1.5</f>
        <v>19.725000000000001</v>
      </c>
      <c r="V1233" s="54">
        <v>17</v>
      </c>
      <c r="W1233" s="54">
        <f>STOCK[[#This Row],[Precio Final]]-STOCK[[#This Row],[Costo total]]</f>
        <v>3.8499999999999979</v>
      </c>
      <c r="X1233" s="54">
        <f>STOCK[[#This Row],[Ganancia Unitaria]]*STOCK[[#This Row],[Salidas]]</f>
        <v>3.8499999999999979</v>
      </c>
      <c r="AA1233" s="54">
        <f>STOCK[[#This Row],[Costo total]]*STOCK[[#This Row],[Entradas]]</f>
        <v>26.300000000000004</v>
      </c>
      <c r="AB1233" s="54">
        <f>STOCK[[#This Row],[Stock Actual]]*STOCK[[#This Row],[Costo total]]</f>
        <v>13.150000000000002</v>
      </c>
    </row>
    <row r="1234" spans="1:28" s="53" customFormat="1" ht="50" customHeight="1">
      <c r="A1234" s="53" t="s">
        <v>2568</v>
      </c>
      <c r="B1234" s="64"/>
      <c r="C1234" s="53" t="s">
        <v>32</v>
      </c>
      <c r="D1234" s="53" t="s">
        <v>1190</v>
      </c>
      <c r="E1234" s="65" t="s">
        <v>2566</v>
      </c>
      <c r="F1234" s="53" t="s">
        <v>49</v>
      </c>
      <c r="G1234" s="53" t="s">
        <v>1877</v>
      </c>
      <c r="H1234" s="53">
        <f>STOCK[[#This Row],[Precio Final]]</f>
        <v>17</v>
      </c>
      <c r="I1234" s="53">
        <f>STOCK[[#This Row],[Precio Venta Ideal (x1.5)]]</f>
        <v>19.725000000000001</v>
      </c>
      <c r="J1234" s="69">
        <v>2</v>
      </c>
      <c r="K1234" s="69">
        <f>SUMIFS(VENTAS[Cantidad],VENTAS[Código del producto Vendido],STOCK[[#This Row],[Code]])</f>
        <v>2</v>
      </c>
      <c r="L1234" s="69">
        <f>STOCK[[#This Row],[Entradas]]-STOCK[[#This Row],[Salidas]]</f>
        <v>0</v>
      </c>
      <c r="M1234" s="53">
        <f>STOCK[[#This Row],[Precio Final]]*10%</f>
        <v>1.7000000000000002</v>
      </c>
      <c r="N1234" s="53">
        <v>0</v>
      </c>
      <c r="O1234" s="53">
        <v>0</v>
      </c>
      <c r="P1234" s="53">
        <v>9.48</v>
      </c>
      <c r="Q1234" s="69">
        <v>0</v>
      </c>
      <c r="R1234" s="53">
        <v>0</v>
      </c>
      <c r="S1234" s="53">
        <v>1.97</v>
      </c>
      <c r="T1234" s="53">
        <f>STOCK[[#This Row],[Costo Unitario (USD)]]+STOCK[[#This Row],[Costo Envío (USD)]]+STOCK[[#This Row],[Comisión 10%]]</f>
        <v>13.150000000000002</v>
      </c>
      <c r="U1234" s="53">
        <f>STOCK[[#This Row],[Costo total]]*1.5</f>
        <v>19.725000000000001</v>
      </c>
      <c r="V1234" s="53">
        <v>17</v>
      </c>
      <c r="W1234" s="53">
        <f>STOCK[[#This Row],[Precio Final]]-STOCK[[#This Row],[Costo total]]</f>
        <v>3.8499999999999979</v>
      </c>
      <c r="X1234" s="53">
        <f>STOCK[[#This Row],[Ganancia Unitaria]]*STOCK[[#This Row],[Salidas]]</f>
        <v>7.6999999999999957</v>
      </c>
      <c r="AA1234" s="54">
        <f>STOCK[[#This Row],[Costo total]]*STOCK[[#This Row],[Entradas]]</f>
        <v>26.300000000000004</v>
      </c>
      <c r="AB1234" s="54">
        <f>STOCK[[#This Row],[Stock Actual]]*STOCK[[#This Row],[Costo total]]</f>
        <v>0</v>
      </c>
    </row>
    <row r="1235" spans="1:28" s="54" customFormat="1" ht="50" customHeight="1">
      <c r="A1235" s="54" t="s">
        <v>2569</v>
      </c>
      <c r="B1235" s="64"/>
      <c r="C1235" s="54" t="s">
        <v>32</v>
      </c>
      <c r="D1235" s="54" t="s">
        <v>2570</v>
      </c>
      <c r="E1235" s="66" t="s">
        <v>2571</v>
      </c>
      <c r="F1235" s="54" t="s">
        <v>49</v>
      </c>
      <c r="G1235" s="54" t="s">
        <v>1877</v>
      </c>
      <c r="H1235" s="54">
        <f>STOCK[[#This Row],[Precio Final]]</f>
        <v>25</v>
      </c>
      <c r="I1235" s="54">
        <f>STOCK[[#This Row],[Precio Venta Ideal (x1.5)]]</f>
        <v>23.490000000000002</v>
      </c>
      <c r="J1235" s="70">
        <v>1</v>
      </c>
      <c r="K1235" s="70">
        <f>SUMIFS(VENTAS[Cantidad],VENTAS[Código del producto Vendido],STOCK[[#This Row],[Code]])</f>
        <v>0</v>
      </c>
      <c r="L1235" s="70">
        <f>STOCK[[#This Row],[Entradas]]-STOCK[[#This Row],[Salidas]]</f>
        <v>1</v>
      </c>
      <c r="M1235" s="54">
        <f>STOCK[[#This Row],[Precio Final]]*10%</f>
        <v>2.5</v>
      </c>
      <c r="N1235" s="54">
        <v>0</v>
      </c>
      <c r="O1235" s="54">
        <v>0</v>
      </c>
      <c r="P1235" s="54">
        <v>11.19</v>
      </c>
      <c r="Q1235" s="70">
        <v>0</v>
      </c>
      <c r="R1235" s="54">
        <v>0</v>
      </c>
      <c r="S1235" s="54">
        <v>1.97</v>
      </c>
      <c r="T1235" s="53">
        <f>STOCK[[#This Row],[Costo Unitario (USD)]]+STOCK[[#This Row],[Costo Envío (USD)]]+STOCK[[#This Row],[Comisión 10%]]</f>
        <v>15.66</v>
      </c>
      <c r="U1235" s="54">
        <f>STOCK[[#This Row],[Costo total]]*1.5</f>
        <v>23.490000000000002</v>
      </c>
      <c r="V1235" s="54">
        <v>25</v>
      </c>
      <c r="W1235" s="54">
        <f>STOCK[[#This Row],[Precio Final]]-STOCK[[#This Row],[Costo total]]</f>
        <v>9.34</v>
      </c>
      <c r="X1235" s="54">
        <f>STOCK[[#This Row],[Ganancia Unitaria]]*STOCK[[#This Row],[Salidas]]</f>
        <v>0</v>
      </c>
      <c r="AA1235" s="54">
        <f>STOCK[[#This Row],[Costo total]]*STOCK[[#This Row],[Entradas]]</f>
        <v>15.66</v>
      </c>
      <c r="AB1235" s="54">
        <f>STOCK[[#This Row],[Stock Actual]]*STOCK[[#This Row],[Costo total]]</f>
        <v>15.66</v>
      </c>
    </row>
    <row r="1236" spans="1:28" s="53" customFormat="1" ht="50" customHeight="1">
      <c r="A1236" s="53" t="s">
        <v>2572</v>
      </c>
      <c r="B1236" s="64"/>
      <c r="C1236" s="53" t="s">
        <v>32</v>
      </c>
      <c r="D1236" s="53" t="s">
        <v>2570</v>
      </c>
      <c r="E1236" s="65" t="s">
        <v>2571</v>
      </c>
      <c r="F1236" s="53" t="s">
        <v>62</v>
      </c>
      <c r="G1236" s="53" t="s">
        <v>1877</v>
      </c>
      <c r="H1236" s="53">
        <f>STOCK[[#This Row],[Precio Final]]</f>
        <v>25</v>
      </c>
      <c r="I1236" s="53">
        <f>STOCK[[#This Row],[Precio Venta Ideal (x1.5)]]</f>
        <v>23.490000000000002</v>
      </c>
      <c r="J1236" s="69">
        <v>1</v>
      </c>
      <c r="K1236" s="69">
        <f>SUMIFS(VENTAS[Cantidad],VENTAS[Código del producto Vendido],STOCK[[#This Row],[Code]])</f>
        <v>0</v>
      </c>
      <c r="L1236" s="69">
        <f>STOCK[[#This Row],[Entradas]]-STOCK[[#This Row],[Salidas]]</f>
        <v>1</v>
      </c>
      <c r="M1236" s="53">
        <f>STOCK[[#This Row],[Precio Final]]*10%</f>
        <v>2.5</v>
      </c>
      <c r="N1236" s="53">
        <v>0</v>
      </c>
      <c r="O1236" s="53">
        <v>0</v>
      </c>
      <c r="P1236" s="53">
        <v>11.19</v>
      </c>
      <c r="Q1236" s="69">
        <v>0</v>
      </c>
      <c r="R1236" s="53">
        <v>0</v>
      </c>
      <c r="S1236" s="53">
        <v>1.97</v>
      </c>
      <c r="T1236" s="53">
        <f>STOCK[[#This Row],[Costo Unitario (USD)]]+STOCK[[#This Row],[Costo Envío (USD)]]+STOCK[[#This Row],[Comisión 10%]]</f>
        <v>15.66</v>
      </c>
      <c r="U1236" s="53">
        <f>STOCK[[#This Row],[Costo total]]*1.5</f>
        <v>23.490000000000002</v>
      </c>
      <c r="V1236" s="53">
        <v>25</v>
      </c>
      <c r="W1236" s="53">
        <f>STOCK[[#This Row],[Precio Final]]-STOCK[[#This Row],[Costo total]]</f>
        <v>9.34</v>
      </c>
      <c r="X1236" s="53">
        <f>STOCK[[#This Row],[Ganancia Unitaria]]*STOCK[[#This Row],[Salidas]]</f>
        <v>0</v>
      </c>
      <c r="AA1236" s="54">
        <f>STOCK[[#This Row],[Costo total]]*STOCK[[#This Row],[Entradas]]</f>
        <v>15.66</v>
      </c>
      <c r="AB1236" s="54">
        <f>STOCK[[#This Row],[Stock Actual]]*STOCK[[#This Row],[Costo total]]</f>
        <v>15.66</v>
      </c>
    </row>
    <row r="1237" spans="1:28" s="54" customFormat="1" ht="50" customHeight="1">
      <c r="A1237" s="54" t="s">
        <v>2573</v>
      </c>
      <c r="B1237" s="64"/>
      <c r="C1237" s="54" t="s">
        <v>32</v>
      </c>
      <c r="D1237" s="54" t="s">
        <v>1190</v>
      </c>
      <c r="E1237" s="66" t="s">
        <v>2574</v>
      </c>
      <c r="F1237" s="54" t="s">
        <v>525</v>
      </c>
      <c r="G1237" s="54" t="s">
        <v>1877</v>
      </c>
      <c r="H1237" s="54">
        <f>STOCK[[#This Row],[Precio Final]]</f>
        <v>18</v>
      </c>
      <c r="I1237" s="54">
        <f>STOCK[[#This Row],[Precio Venta Ideal (x1.5)]]</f>
        <v>13.200000000000001</v>
      </c>
      <c r="J1237" s="70">
        <v>2</v>
      </c>
      <c r="K1237" s="70">
        <f>SUMIFS(VENTAS[Cantidad],VENTAS[Código del producto Vendido],STOCK[[#This Row],[Code]])</f>
        <v>0</v>
      </c>
      <c r="L1237" s="70">
        <f>STOCK[[#This Row],[Entradas]]-STOCK[[#This Row],[Salidas]]</f>
        <v>2</v>
      </c>
      <c r="M1237" s="54">
        <f>STOCK[[#This Row],[Precio Final]]*10%</f>
        <v>1.8</v>
      </c>
      <c r="N1237" s="54">
        <v>0</v>
      </c>
      <c r="O1237" s="54">
        <v>0</v>
      </c>
      <c r="P1237" s="54">
        <v>5.03</v>
      </c>
      <c r="Q1237" s="70">
        <v>0</v>
      </c>
      <c r="R1237" s="54">
        <v>0</v>
      </c>
      <c r="S1237" s="54">
        <v>1.97</v>
      </c>
      <c r="T1237" s="53">
        <f>STOCK[[#This Row],[Costo Unitario (USD)]]+STOCK[[#This Row],[Costo Envío (USD)]]+STOCK[[#This Row],[Comisión 10%]]</f>
        <v>8.8000000000000007</v>
      </c>
      <c r="U1237" s="54">
        <f>STOCK[[#This Row],[Costo total]]*1.5</f>
        <v>13.200000000000001</v>
      </c>
      <c r="V1237" s="54">
        <v>18</v>
      </c>
      <c r="W1237" s="54">
        <f>STOCK[[#This Row],[Precio Final]]-STOCK[[#This Row],[Costo total]]</f>
        <v>9.1999999999999993</v>
      </c>
      <c r="X1237" s="54">
        <f>STOCK[[#This Row],[Ganancia Unitaria]]*STOCK[[#This Row],[Salidas]]</f>
        <v>0</v>
      </c>
      <c r="AA1237" s="54">
        <f>STOCK[[#This Row],[Costo total]]*STOCK[[#This Row],[Entradas]]</f>
        <v>17.600000000000001</v>
      </c>
      <c r="AB1237" s="54">
        <f>STOCK[[#This Row],[Stock Actual]]*STOCK[[#This Row],[Costo total]]</f>
        <v>17.600000000000001</v>
      </c>
    </row>
    <row r="1238" spans="1:28" s="53" customFormat="1" ht="50" customHeight="1">
      <c r="A1238" s="53" t="s">
        <v>2575</v>
      </c>
      <c r="B1238" s="64"/>
      <c r="C1238" s="53" t="s">
        <v>32</v>
      </c>
      <c r="D1238" s="53" t="s">
        <v>2570</v>
      </c>
      <c r="E1238" s="65" t="s">
        <v>2576</v>
      </c>
      <c r="F1238" s="53" t="s">
        <v>62</v>
      </c>
      <c r="G1238" s="53" t="s">
        <v>1877</v>
      </c>
      <c r="H1238" s="53">
        <f>STOCK[[#This Row],[Precio Final]]</f>
        <v>30</v>
      </c>
      <c r="I1238" s="53">
        <f>STOCK[[#This Row],[Precio Venta Ideal (x1.5)]]</f>
        <v>24.990000000000002</v>
      </c>
      <c r="J1238" s="69">
        <v>1</v>
      </c>
      <c r="K1238" s="69">
        <f>SUMIFS(VENTAS[Cantidad],VENTAS[Código del producto Vendido],STOCK[[#This Row],[Code]])</f>
        <v>1</v>
      </c>
      <c r="L1238" s="69">
        <f>STOCK[[#This Row],[Entradas]]-STOCK[[#This Row],[Salidas]]</f>
        <v>0</v>
      </c>
      <c r="M1238" s="53">
        <f>STOCK[[#This Row],[Precio Final]]*10%</f>
        <v>3</v>
      </c>
      <c r="N1238" s="53">
        <v>0</v>
      </c>
      <c r="O1238" s="53">
        <v>0</v>
      </c>
      <c r="P1238" s="53">
        <v>11.69</v>
      </c>
      <c r="Q1238" s="69">
        <v>0</v>
      </c>
      <c r="R1238" s="53">
        <v>0</v>
      </c>
      <c r="S1238" s="53">
        <v>1.97</v>
      </c>
      <c r="T1238" s="53">
        <f>STOCK[[#This Row],[Costo Unitario (USD)]]+STOCK[[#This Row],[Costo Envío (USD)]]+STOCK[[#This Row],[Comisión 10%]]</f>
        <v>16.66</v>
      </c>
      <c r="U1238" s="53">
        <f>STOCK[[#This Row],[Costo total]]*1.5</f>
        <v>24.990000000000002</v>
      </c>
      <c r="V1238" s="53">
        <v>30</v>
      </c>
      <c r="W1238" s="53">
        <f>STOCK[[#This Row],[Precio Final]]-STOCK[[#This Row],[Costo total]]</f>
        <v>13.34</v>
      </c>
      <c r="X1238" s="53">
        <f>STOCK[[#This Row],[Ganancia Unitaria]]*STOCK[[#This Row],[Salidas]]</f>
        <v>13.34</v>
      </c>
      <c r="AA1238" s="54">
        <f>STOCK[[#This Row],[Costo total]]*STOCK[[#This Row],[Entradas]]</f>
        <v>16.66</v>
      </c>
      <c r="AB1238" s="54">
        <f>STOCK[[#This Row],[Stock Actual]]*STOCK[[#This Row],[Costo total]]</f>
        <v>0</v>
      </c>
    </row>
    <row r="1239" spans="1:28" s="54" customFormat="1" ht="50" customHeight="1">
      <c r="A1239" s="54" t="s">
        <v>2577</v>
      </c>
      <c r="B1239" s="64"/>
      <c r="C1239" s="54" t="s">
        <v>32</v>
      </c>
      <c r="D1239" s="54" t="s">
        <v>2570</v>
      </c>
      <c r="E1239" s="66" t="s">
        <v>2576</v>
      </c>
      <c r="F1239" s="54" t="s">
        <v>46</v>
      </c>
      <c r="G1239" s="54" t="s">
        <v>1877</v>
      </c>
      <c r="H1239" s="54">
        <f>STOCK[[#This Row],[Precio Final]]</f>
        <v>30</v>
      </c>
      <c r="I1239" s="54">
        <f>STOCK[[#This Row],[Precio Venta Ideal (x1.5)]]</f>
        <v>24.990000000000002</v>
      </c>
      <c r="J1239" s="70">
        <v>2</v>
      </c>
      <c r="K1239" s="70">
        <f>SUMIFS(VENTAS[Cantidad],VENTAS[Código del producto Vendido],STOCK[[#This Row],[Code]])</f>
        <v>2</v>
      </c>
      <c r="L1239" s="70">
        <f>STOCK[[#This Row],[Entradas]]-STOCK[[#This Row],[Salidas]]</f>
        <v>0</v>
      </c>
      <c r="M1239" s="54">
        <f>STOCK[[#This Row],[Precio Final]]*10%</f>
        <v>3</v>
      </c>
      <c r="N1239" s="54">
        <v>0</v>
      </c>
      <c r="O1239" s="54">
        <v>0</v>
      </c>
      <c r="P1239" s="54">
        <v>11.69</v>
      </c>
      <c r="Q1239" s="70">
        <v>0</v>
      </c>
      <c r="R1239" s="54">
        <v>0</v>
      </c>
      <c r="S1239" s="54">
        <v>1.97</v>
      </c>
      <c r="T1239" s="53">
        <f>STOCK[[#This Row],[Costo Unitario (USD)]]+STOCK[[#This Row],[Costo Envío (USD)]]+STOCK[[#This Row],[Comisión 10%]]</f>
        <v>16.66</v>
      </c>
      <c r="U1239" s="54">
        <f>STOCK[[#This Row],[Costo total]]*1.5</f>
        <v>24.990000000000002</v>
      </c>
      <c r="V1239" s="54">
        <v>30</v>
      </c>
      <c r="W1239" s="54">
        <f>STOCK[[#This Row],[Precio Final]]-STOCK[[#This Row],[Costo total]]</f>
        <v>13.34</v>
      </c>
      <c r="X1239" s="54">
        <f>STOCK[[#This Row],[Ganancia Unitaria]]*STOCK[[#This Row],[Salidas]]</f>
        <v>26.68</v>
      </c>
      <c r="AA1239" s="54">
        <f>STOCK[[#This Row],[Costo total]]*STOCK[[#This Row],[Entradas]]</f>
        <v>33.32</v>
      </c>
      <c r="AB1239" s="54">
        <f>STOCK[[#This Row],[Stock Actual]]*STOCK[[#This Row],[Costo total]]</f>
        <v>0</v>
      </c>
    </row>
    <row r="1240" spans="1:28" s="53" customFormat="1" ht="50" customHeight="1">
      <c r="A1240" s="53" t="s">
        <v>2578</v>
      </c>
      <c r="B1240" s="64"/>
      <c r="C1240" s="53" t="s">
        <v>32</v>
      </c>
      <c r="D1240" s="53" t="s">
        <v>2570</v>
      </c>
      <c r="E1240" s="65" t="s">
        <v>2576</v>
      </c>
      <c r="F1240" s="53" t="s">
        <v>46</v>
      </c>
      <c r="G1240" s="53" t="s">
        <v>1877</v>
      </c>
      <c r="H1240" s="53">
        <f>STOCK[[#This Row],[Precio Final]]</f>
        <v>30</v>
      </c>
      <c r="I1240" s="53">
        <f>STOCK[[#This Row],[Precio Venta Ideal (x1.5)]]</f>
        <v>24.990000000000002</v>
      </c>
      <c r="J1240" s="69">
        <v>1</v>
      </c>
      <c r="K1240" s="69">
        <f>SUMIFS(VENTAS[Cantidad],VENTAS[Código del producto Vendido],STOCK[[#This Row],[Code]])</f>
        <v>1</v>
      </c>
      <c r="L1240" s="69">
        <f>STOCK[[#This Row],[Entradas]]-STOCK[[#This Row],[Salidas]]</f>
        <v>0</v>
      </c>
      <c r="M1240" s="53">
        <f>STOCK[[#This Row],[Precio Final]]*10%</f>
        <v>3</v>
      </c>
      <c r="N1240" s="53">
        <v>0</v>
      </c>
      <c r="O1240" s="53">
        <v>0</v>
      </c>
      <c r="P1240" s="53">
        <v>11.69</v>
      </c>
      <c r="Q1240" s="69">
        <v>0</v>
      </c>
      <c r="R1240" s="53">
        <v>0</v>
      </c>
      <c r="S1240" s="53">
        <v>1.97</v>
      </c>
      <c r="T1240" s="53">
        <f>STOCK[[#This Row],[Costo Unitario (USD)]]+STOCK[[#This Row],[Costo Envío (USD)]]+STOCK[[#This Row],[Comisión 10%]]</f>
        <v>16.66</v>
      </c>
      <c r="U1240" s="53">
        <f>STOCK[[#This Row],[Costo total]]*1.5</f>
        <v>24.990000000000002</v>
      </c>
      <c r="V1240" s="53">
        <v>30</v>
      </c>
      <c r="W1240" s="53">
        <f>STOCK[[#This Row],[Precio Final]]-STOCK[[#This Row],[Costo total]]</f>
        <v>13.34</v>
      </c>
      <c r="X1240" s="53">
        <f>STOCK[[#This Row],[Ganancia Unitaria]]*STOCK[[#This Row],[Salidas]]</f>
        <v>13.34</v>
      </c>
      <c r="AA1240" s="54">
        <f>STOCK[[#This Row],[Costo total]]*STOCK[[#This Row],[Entradas]]</f>
        <v>16.66</v>
      </c>
      <c r="AB1240" s="54">
        <f>STOCK[[#This Row],[Stock Actual]]*STOCK[[#This Row],[Costo total]]</f>
        <v>0</v>
      </c>
    </row>
    <row r="1241" spans="1:28" s="54" customFormat="1" ht="50" customHeight="1">
      <c r="A1241" s="54" t="s">
        <v>2579</v>
      </c>
      <c r="B1241" s="64"/>
      <c r="C1241" s="54" t="s">
        <v>32</v>
      </c>
      <c r="D1241" s="54" t="s">
        <v>2379</v>
      </c>
      <c r="E1241" s="66" t="s">
        <v>2576</v>
      </c>
      <c r="F1241" s="54" t="s">
        <v>281</v>
      </c>
      <c r="G1241" s="54" t="s">
        <v>1877</v>
      </c>
      <c r="H1241" s="54">
        <f>STOCK[[#This Row],[Precio Final]]</f>
        <v>30</v>
      </c>
      <c r="I1241" s="54">
        <f>STOCK[[#This Row],[Precio Venta Ideal (x1.5)]]</f>
        <v>24.990000000000002</v>
      </c>
      <c r="J1241" s="70">
        <v>1</v>
      </c>
      <c r="K1241" s="70">
        <f>SUMIFS(VENTAS[Cantidad],VENTAS[Código del producto Vendido],STOCK[[#This Row],[Code]])</f>
        <v>1</v>
      </c>
      <c r="L1241" s="70">
        <f>STOCK[[#This Row],[Entradas]]-STOCK[[#This Row],[Salidas]]</f>
        <v>0</v>
      </c>
      <c r="M1241" s="54">
        <f>STOCK[[#This Row],[Precio Final]]*10%</f>
        <v>3</v>
      </c>
      <c r="N1241" s="54">
        <v>0</v>
      </c>
      <c r="O1241" s="54">
        <v>0</v>
      </c>
      <c r="P1241" s="54">
        <v>11.69</v>
      </c>
      <c r="Q1241" s="70">
        <v>0</v>
      </c>
      <c r="R1241" s="54">
        <v>0</v>
      </c>
      <c r="S1241" s="54">
        <v>1.97</v>
      </c>
      <c r="T1241" s="53">
        <f>STOCK[[#This Row],[Costo Unitario (USD)]]+STOCK[[#This Row],[Costo Envío (USD)]]+STOCK[[#This Row],[Comisión 10%]]</f>
        <v>16.66</v>
      </c>
      <c r="U1241" s="54">
        <f>STOCK[[#This Row],[Costo total]]*1.5</f>
        <v>24.990000000000002</v>
      </c>
      <c r="V1241" s="54">
        <v>30</v>
      </c>
      <c r="W1241" s="54">
        <f>STOCK[[#This Row],[Precio Final]]-STOCK[[#This Row],[Costo total]]</f>
        <v>13.34</v>
      </c>
      <c r="X1241" s="54">
        <f>STOCK[[#This Row],[Ganancia Unitaria]]*STOCK[[#This Row],[Salidas]]</f>
        <v>13.34</v>
      </c>
      <c r="AA1241" s="54">
        <f>STOCK[[#This Row],[Costo total]]*STOCK[[#This Row],[Entradas]]</f>
        <v>16.66</v>
      </c>
      <c r="AB1241" s="54">
        <f>STOCK[[#This Row],[Stock Actual]]*STOCK[[#This Row],[Costo total]]</f>
        <v>0</v>
      </c>
    </row>
    <row r="1242" spans="1:28" s="53" customFormat="1" ht="50" customHeight="1">
      <c r="A1242" s="53" t="s">
        <v>2580</v>
      </c>
      <c r="B1242" s="64"/>
      <c r="C1242" s="53" t="s">
        <v>32</v>
      </c>
      <c r="D1242" s="53" t="s">
        <v>2119</v>
      </c>
      <c r="E1242" s="65" t="s">
        <v>2581</v>
      </c>
      <c r="F1242" s="53" t="s">
        <v>62</v>
      </c>
      <c r="H1242" s="53">
        <f>STOCK[[#This Row],[Precio Final]]</f>
        <v>25</v>
      </c>
      <c r="I1242" s="53">
        <f>STOCK[[#This Row],[Precio Venta Ideal (x1.5)]]</f>
        <v>23.160000000000004</v>
      </c>
      <c r="J1242" s="69">
        <v>1</v>
      </c>
      <c r="K1242" s="69">
        <f>SUMIFS(VENTAS[Cantidad],VENTAS[Código del producto Vendido],STOCK[[#This Row],[Code]])</f>
        <v>1</v>
      </c>
      <c r="L1242" s="69">
        <f>STOCK[[#This Row],[Entradas]]-STOCK[[#This Row],[Salidas]]</f>
        <v>0</v>
      </c>
      <c r="M1242" s="53">
        <f>STOCK[[#This Row],[Precio Final]]*10%</f>
        <v>2.5</v>
      </c>
      <c r="N1242" s="53">
        <v>0</v>
      </c>
      <c r="O1242" s="53">
        <v>0</v>
      </c>
      <c r="P1242" s="53">
        <v>10.97</v>
      </c>
      <c r="Q1242" s="69">
        <v>0</v>
      </c>
      <c r="R1242" s="53">
        <v>0</v>
      </c>
      <c r="S1242" s="53">
        <v>1.97</v>
      </c>
      <c r="T1242" s="53">
        <f>STOCK[[#This Row],[Costo Unitario (USD)]]+STOCK[[#This Row],[Costo Envío (USD)]]+STOCK[[#This Row],[Comisión 10%]]</f>
        <v>15.440000000000001</v>
      </c>
      <c r="U1242" s="53">
        <f>STOCK[[#This Row],[Costo total]]*1.5</f>
        <v>23.160000000000004</v>
      </c>
      <c r="V1242" s="53">
        <v>25</v>
      </c>
      <c r="W1242" s="53">
        <f>STOCK[[#This Row],[Precio Final]]-STOCK[[#This Row],[Costo total]]</f>
        <v>9.5599999999999987</v>
      </c>
      <c r="X1242" s="53">
        <f>STOCK[[#This Row],[Ganancia Unitaria]]*STOCK[[#This Row],[Salidas]]</f>
        <v>9.5599999999999987</v>
      </c>
      <c r="AA1242" s="54">
        <f>STOCK[[#This Row],[Costo total]]*STOCK[[#This Row],[Entradas]]</f>
        <v>15.440000000000001</v>
      </c>
      <c r="AB1242" s="54">
        <f>STOCK[[#This Row],[Stock Actual]]*STOCK[[#This Row],[Costo total]]</f>
        <v>0</v>
      </c>
    </row>
    <row r="1243" spans="1:28" s="54" customFormat="1" ht="50" customHeight="1">
      <c r="A1243" s="54" t="s">
        <v>2582</v>
      </c>
      <c r="B1243" s="64"/>
      <c r="C1243" s="54" t="s">
        <v>32</v>
      </c>
      <c r="D1243" s="54" t="s">
        <v>2119</v>
      </c>
      <c r="E1243" s="66" t="s">
        <v>2581</v>
      </c>
      <c r="F1243" s="54" t="s">
        <v>49</v>
      </c>
      <c r="H1243" s="54">
        <f>STOCK[[#This Row],[Precio Final]]</f>
        <v>25</v>
      </c>
      <c r="I1243" s="54">
        <f>STOCK[[#This Row],[Precio Venta Ideal (x1.5)]]</f>
        <v>23.160000000000004</v>
      </c>
      <c r="J1243" s="70">
        <v>1</v>
      </c>
      <c r="K1243" s="70">
        <f>SUMIFS(VENTAS[Cantidad],VENTAS[Código del producto Vendido],STOCK[[#This Row],[Code]])</f>
        <v>1</v>
      </c>
      <c r="L1243" s="70">
        <f>STOCK[[#This Row],[Entradas]]-STOCK[[#This Row],[Salidas]]</f>
        <v>0</v>
      </c>
      <c r="M1243" s="54">
        <f>STOCK[[#This Row],[Precio Final]]*10%</f>
        <v>2.5</v>
      </c>
      <c r="N1243" s="54">
        <v>0</v>
      </c>
      <c r="O1243" s="54">
        <v>0</v>
      </c>
      <c r="P1243" s="54">
        <v>10.97</v>
      </c>
      <c r="Q1243" s="70">
        <v>0</v>
      </c>
      <c r="R1243" s="54">
        <v>0</v>
      </c>
      <c r="S1243" s="54">
        <v>1.97</v>
      </c>
      <c r="T1243" s="53">
        <f>STOCK[[#This Row],[Costo Unitario (USD)]]+STOCK[[#This Row],[Costo Envío (USD)]]+STOCK[[#This Row],[Comisión 10%]]</f>
        <v>15.440000000000001</v>
      </c>
      <c r="U1243" s="54">
        <f>STOCK[[#This Row],[Costo total]]*1.5</f>
        <v>23.160000000000004</v>
      </c>
      <c r="V1243" s="54">
        <v>25</v>
      </c>
      <c r="W1243" s="54">
        <f>STOCK[[#This Row],[Precio Final]]-STOCK[[#This Row],[Costo total]]</f>
        <v>9.5599999999999987</v>
      </c>
      <c r="X1243" s="54">
        <f>STOCK[[#This Row],[Ganancia Unitaria]]*STOCK[[#This Row],[Salidas]]</f>
        <v>9.5599999999999987</v>
      </c>
      <c r="AA1243" s="54">
        <f>STOCK[[#This Row],[Costo total]]*STOCK[[#This Row],[Entradas]]</f>
        <v>15.440000000000001</v>
      </c>
      <c r="AB1243" s="54">
        <f>STOCK[[#This Row],[Stock Actual]]*STOCK[[#This Row],[Costo total]]</f>
        <v>0</v>
      </c>
    </row>
    <row r="1244" spans="1:28" s="53" customFormat="1" ht="50" customHeight="1">
      <c r="A1244" s="53" t="s">
        <v>2583</v>
      </c>
      <c r="B1244" s="64"/>
      <c r="C1244" s="53" t="s">
        <v>32</v>
      </c>
      <c r="D1244" s="53" t="s">
        <v>2379</v>
      </c>
      <c r="E1244" s="65" t="s">
        <v>2581</v>
      </c>
      <c r="F1244" s="53" t="s">
        <v>46</v>
      </c>
      <c r="H1244" s="53">
        <f>STOCK[[#This Row],[Precio Final]]</f>
        <v>25</v>
      </c>
      <c r="I1244" s="53">
        <f>STOCK[[#This Row],[Precio Venta Ideal (x1.5)]]</f>
        <v>23.160000000000004</v>
      </c>
      <c r="J1244" s="69">
        <v>1</v>
      </c>
      <c r="K1244" s="69">
        <f>SUMIFS(VENTAS[Cantidad],VENTAS[Código del producto Vendido],STOCK[[#This Row],[Code]])</f>
        <v>1</v>
      </c>
      <c r="L1244" s="69">
        <f>STOCK[[#This Row],[Entradas]]-STOCK[[#This Row],[Salidas]]</f>
        <v>0</v>
      </c>
      <c r="M1244" s="53">
        <f>STOCK[[#This Row],[Precio Final]]*10%</f>
        <v>2.5</v>
      </c>
      <c r="N1244" s="53">
        <v>0</v>
      </c>
      <c r="O1244" s="53">
        <v>0</v>
      </c>
      <c r="P1244" s="53">
        <v>10.97</v>
      </c>
      <c r="Q1244" s="69">
        <v>0</v>
      </c>
      <c r="R1244" s="53">
        <v>0</v>
      </c>
      <c r="S1244" s="53">
        <v>1.97</v>
      </c>
      <c r="T1244" s="53">
        <f>STOCK[[#This Row],[Costo Unitario (USD)]]+STOCK[[#This Row],[Costo Envío (USD)]]+STOCK[[#This Row],[Comisión 10%]]</f>
        <v>15.440000000000001</v>
      </c>
      <c r="U1244" s="53">
        <f>STOCK[[#This Row],[Costo total]]*1.5</f>
        <v>23.160000000000004</v>
      </c>
      <c r="V1244" s="53">
        <v>25</v>
      </c>
      <c r="W1244" s="53">
        <f>STOCK[[#This Row],[Precio Final]]-STOCK[[#This Row],[Costo total]]</f>
        <v>9.5599999999999987</v>
      </c>
      <c r="X1244" s="53">
        <f>STOCK[[#This Row],[Ganancia Unitaria]]*STOCK[[#This Row],[Salidas]]</f>
        <v>9.5599999999999987</v>
      </c>
      <c r="AA1244" s="54">
        <f>STOCK[[#This Row],[Costo total]]*STOCK[[#This Row],[Entradas]]</f>
        <v>15.440000000000001</v>
      </c>
      <c r="AB1244" s="54">
        <f>STOCK[[#This Row],[Stock Actual]]*STOCK[[#This Row],[Costo total]]</f>
        <v>0</v>
      </c>
    </row>
    <row r="1245" spans="1:28" s="54" customFormat="1" ht="50" customHeight="1">
      <c r="A1245" s="54" t="s">
        <v>2584</v>
      </c>
      <c r="B1245" s="64"/>
      <c r="C1245" s="54" t="s">
        <v>32</v>
      </c>
      <c r="D1245" s="54" t="s">
        <v>2119</v>
      </c>
      <c r="E1245" s="66" t="s">
        <v>2585</v>
      </c>
      <c r="F1245" s="54" t="s">
        <v>62</v>
      </c>
      <c r="H1245" s="54">
        <f>STOCK[[#This Row],[Precio Final]]</f>
        <v>30</v>
      </c>
      <c r="I1245" s="54">
        <f>STOCK[[#This Row],[Precio Venta Ideal (x1.5)]]</f>
        <v>18.96</v>
      </c>
      <c r="J1245" s="70">
        <v>1</v>
      </c>
      <c r="K1245" s="70">
        <f>SUMIFS(VENTAS[Cantidad],VENTAS[Código del producto Vendido],STOCK[[#This Row],[Code]])</f>
        <v>1</v>
      </c>
      <c r="L1245" s="70">
        <f>STOCK[[#This Row],[Entradas]]-STOCK[[#This Row],[Salidas]]</f>
        <v>0</v>
      </c>
      <c r="M1245" s="54">
        <f>STOCK[[#This Row],[Precio Final]]*10%</f>
        <v>3</v>
      </c>
      <c r="N1245" s="54">
        <v>0</v>
      </c>
      <c r="O1245" s="54">
        <v>0</v>
      </c>
      <c r="P1245" s="54">
        <v>7.67</v>
      </c>
      <c r="Q1245" s="70">
        <v>0</v>
      </c>
      <c r="R1245" s="54">
        <v>0</v>
      </c>
      <c r="S1245" s="54">
        <v>1.97</v>
      </c>
      <c r="T1245" s="53">
        <f>STOCK[[#This Row],[Costo Unitario (USD)]]+STOCK[[#This Row],[Costo Envío (USD)]]+STOCK[[#This Row],[Comisión 10%]]</f>
        <v>12.64</v>
      </c>
      <c r="U1245" s="54">
        <f>STOCK[[#This Row],[Costo total]]*1.5</f>
        <v>18.96</v>
      </c>
      <c r="V1245" s="54">
        <v>30</v>
      </c>
      <c r="W1245" s="54">
        <f>STOCK[[#This Row],[Precio Final]]-STOCK[[#This Row],[Costo total]]</f>
        <v>17.36</v>
      </c>
      <c r="X1245" s="54">
        <f>STOCK[[#This Row],[Ganancia Unitaria]]*STOCK[[#This Row],[Salidas]]</f>
        <v>17.36</v>
      </c>
      <c r="AA1245" s="54">
        <f>STOCK[[#This Row],[Costo total]]*STOCK[[#This Row],[Entradas]]</f>
        <v>12.64</v>
      </c>
      <c r="AB1245" s="54">
        <f>STOCK[[#This Row],[Stock Actual]]*STOCK[[#This Row],[Costo total]]</f>
        <v>0</v>
      </c>
    </row>
    <row r="1246" spans="1:28" s="53" customFormat="1" ht="50" customHeight="1">
      <c r="A1246" s="53" t="s">
        <v>2586</v>
      </c>
      <c r="B1246" s="64"/>
      <c r="C1246" s="53" t="s">
        <v>32</v>
      </c>
      <c r="D1246" s="53" t="s">
        <v>2319</v>
      </c>
      <c r="E1246" s="65" t="s">
        <v>2232</v>
      </c>
      <c r="F1246" s="53" t="s">
        <v>46</v>
      </c>
      <c r="H1246" s="53">
        <f>STOCK[[#This Row],[Precio Final]]</f>
        <v>30</v>
      </c>
      <c r="I1246" s="53">
        <f>STOCK[[#This Row],[Precio Venta Ideal (x1.5)]]</f>
        <v>27.660000000000004</v>
      </c>
      <c r="J1246" s="69">
        <v>2</v>
      </c>
      <c r="K1246" s="69">
        <f>SUMIFS(VENTAS[Cantidad],VENTAS[Código del producto Vendido],STOCK[[#This Row],[Code]])</f>
        <v>2</v>
      </c>
      <c r="L1246" s="69">
        <f>STOCK[[#This Row],[Entradas]]-STOCK[[#This Row],[Salidas]]</f>
        <v>0</v>
      </c>
      <c r="M1246" s="53">
        <f>STOCK[[#This Row],[Precio Final]]*10%</f>
        <v>3</v>
      </c>
      <c r="N1246" s="53">
        <v>0</v>
      </c>
      <c r="O1246" s="53">
        <v>0</v>
      </c>
      <c r="P1246" s="53">
        <v>13.47</v>
      </c>
      <c r="Q1246" s="69">
        <v>0</v>
      </c>
      <c r="R1246" s="53">
        <v>0</v>
      </c>
      <c r="S1246" s="53">
        <v>1.97</v>
      </c>
      <c r="T1246" s="53">
        <f>STOCK[[#This Row],[Costo Unitario (USD)]]+STOCK[[#This Row],[Costo Envío (USD)]]+STOCK[[#This Row],[Comisión 10%]]</f>
        <v>18.440000000000001</v>
      </c>
      <c r="U1246" s="53">
        <f>STOCK[[#This Row],[Costo total]]*1.5</f>
        <v>27.660000000000004</v>
      </c>
      <c r="V1246" s="53">
        <v>30</v>
      </c>
      <c r="W1246" s="53">
        <f>STOCK[[#This Row],[Precio Final]]-STOCK[[#This Row],[Costo total]]</f>
        <v>11.559999999999999</v>
      </c>
      <c r="X1246" s="53">
        <f>STOCK[[#This Row],[Ganancia Unitaria]]*STOCK[[#This Row],[Salidas]]</f>
        <v>23.119999999999997</v>
      </c>
      <c r="AA1246" s="54">
        <f>STOCK[[#This Row],[Costo total]]*STOCK[[#This Row],[Entradas]]</f>
        <v>36.880000000000003</v>
      </c>
      <c r="AB1246" s="54">
        <f>STOCK[[#This Row],[Stock Actual]]*STOCK[[#This Row],[Costo total]]</f>
        <v>0</v>
      </c>
    </row>
    <row r="1247" spans="1:28" s="54" customFormat="1" ht="50" customHeight="1">
      <c r="A1247" s="54" t="s">
        <v>2587</v>
      </c>
      <c r="B1247" s="64"/>
      <c r="C1247" s="54" t="s">
        <v>32</v>
      </c>
      <c r="D1247" s="54" t="s">
        <v>2119</v>
      </c>
      <c r="E1247" s="66" t="s">
        <v>2232</v>
      </c>
      <c r="F1247" s="54" t="s">
        <v>49</v>
      </c>
      <c r="H1247" s="54">
        <f>STOCK[[#This Row],[Precio Final]]</f>
        <v>30</v>
      </c>
      <c r="I1247" s="54">
        <f>STOCK[[#This Row],[Precio Venta Ideal (x1.5)]]</f>
        <v>27.660000000000004</v>
      </c>
      <c r="J1247" s="70">
        <v>2</v>
      </c>
      <c r="K1247" s="70">
        <f>SUMIFS(VENTAS[Cantidad],VENTAS[Código del producto Vendido],STOCK[[#This Row],[Code]])</f>
        <v>2</v>
      </c>
      <c r="L1247" s="70">
        <f>STOCK[[#This Row],[Entradas]]-STOCK[[#This Row],[Salidas]]</f>
        <v>0</v>
      </c>
      <c r="M1247" s="54">
        <f>STOCK[[#This Row],[Precio Final]]*10%</f>
        <v>3</v>
      </c>
      <c r="N1247" s="54">
        <v>0</v>
      </c>
      <c r="O1247" s="54">
        <v>0</v>
      </c>
      <c r="P1247" s="54">
        <v>13.47</v>
      </c>
      <c r="Q1247" s="70">
        <v>0</v>
      </c>
      <c r="R1247" s="54">
        <v>0</v>
      </c>
      <c r="S1247" s="54">
        <v>1.97</v>
      </c>
      <c r="T1247" s="53">
        <f>STOCK[[#This Row],[Costo Unitario (USD)]]+STOCK[[#This Row],[Costo Envío (USD)]]+STOCK[[#This Row],[Comisión 10%]]</f>
        <v>18.440000000000001</v>
      </c>
      <c r="U1247" s="54">
        <f>STOCK[[#This Row],[Costo total]]*1.5</f>
        <v>27.660000000000004</v>
      </c>
      <c r="V1247" s="54">
        <v>30</v>
      </c>
      <c r="W1247" s="54">
        <f>STOCK[[#This Row],[Precio Final]]-STOCK[[#This Row],[Costo total]]</f>
        <v>11.559999999999999</v>
      </c>
      <c r="X1247" s="54">
        <f>STOCK[[#This Row],[Ganancia Unitaria]]*STOCK[[#This Row],[Salidas]]</f>
        <v>23.119999999999997</v>
      </c>
      <c r="AA1247" s="54">
        <f>STOCK[[#This Row],[Costo total]]*STOCK[[#This Row],[Entradas]]</f>
        <v>36.880000000000003</v>
      </c>
      <c r="AB1247" s="54">
        <f>STOCK[[#This Row],[Stock Actual]]*STOCK[[#This Row],[Costo total]]</f>
        <v>0</v>
      </c>
    </row>
    <row r="1248" spans="1:28" s="53" customFormat="1" ht="50" customHeight="1">
      <c r="A1248" s="53" t="s">
        <v>2588</v>
      </c>
      <c r="B1248" s="64"/>
      <c r="C1248" s="53" t="s">
        <v>32</v>
      </c>
      <c r="D1248" s="53" t="s">
        <v>2119</v>
      </c>
      <c r="E1248" s="65" t="s">
        <v>2235</v>
      </c>
      <c r="F1248" s="53" t="s">
        <v>49</v>
      </c>
      <c r="H1248" s="53">
        <f>STOCK[[#This Row],[Precio Final]]</f>
        <v>30</v>
      </c>
      <c r="I1248" s="53">
        <f>STOCK[[#This Row],[Precio Venta Ideal (x1.5)]]</f>
        <v>27.660000000000004</v>
      </c>
      <c r="J1248" s="69">
        <v>2</v>
      </c>
      <c r="K1248" s="69">
        <f>SUMIFS(VENTAS[Cantidad],VENTAS[Código del producto Vendido],STOCK[[#This Row],[Code]])</f>
        <v>2</v>
      </c>
      <c r="L1248" s="69">
        <f>STOCK[[#This Row],[Entradas]]-STOCK[[#This Row],[Salidas]]</f>
        <v>0</v>
      </c>
      <c r="M1248" s="53">
        <f>STOCK[[#This Row],[Precio Final]]*10%</f>
        <v>3</v>
      </c>
      <c r="N1248" s="53">
        <v>0</v>
      </c>
      <c r="O1248" s="53">
        <v>0</v>
      </c>
      <c r="P1248" s="53">
        <v>13.47</v>
      </c>
      <c r="Q1248" s="69">
        <v>0</v>
      </c>
      <c r="R1248" s="53">
        <v>0</v>
      </c>
      <c r="S1248" s="53">
        <v>1.97</v>
      </c>
      <c r="T1248" s="53">
        <f>STOCK[[#This Row],[Costo Unitario (USD)]]+STOCK[[#This Row],[Costo Envío (USD)]]+STOCK[[#This Row],[Comisión 10%]]</f>
        <v>18.440000000000001</v>
      </c>
      <c r="U1248" s="53">
        <f>STOCK[[#This Row],[Costo total]]*1.5</f>
        <v>27.660000000000004</v>
      </c>
      <c r="V1248" s="53">
        <v>30</v>
      </c>
      <c r="W1248" s="53">
        <f>STOCK[[#This Row],[Precio Final]]-STOCK[[#This Row],[Costo total]]</f>
        <v>11.559999999999999</v>
      </c>
      <c r="X1248" s="53">
        <f>STOCK[[#This Row],[Ganancia Unitaria]]*STOCK[[#This Row],[Salidas]]</f>
        <v>23.119999999999997</v>
      </c>
      <c r="AA1248" s="54">
        <f>STOCK[[#This Row],[Costo total]]*STOCK[[#This Row],[Entradas]]</f>
        <v>36.880000000000003</v>
      </c>
      <c r="AB1248" s="54">
        <f>STOCK[[#This Row],[Stock Actual]]*STOCK[[#This Row],[Costo total]]</f>
        <v>0</v>
      </c>
    </row>
    <row r="1249" spans="1:28" s="54" customFormat="1" ht="50" customHeight="1">
      <c r="A1249" s="54" t="s">
        <v>2589</v>
      </c>
      <c r="B1249" s="64"/>
      <c r="C1249" s="54" t="s">
        <v>32</v>
      </c>
      <c r="D1249" s="54" t="s">
        <v>2119</v>
      </c>
      <c r="E1249" s="66" t="s">
        <v>2235</v>
      </c>
      <c r="F1249" s="54" t="s">
        <v>46</v>
      </c>
      <c r="H1249" s="54">
        <f>STOCK[[#This Row],[Precio Final]]</f>
        <v>30</v>
      </c>
      <c r="I1249" s="54">
        <f>STOCK[[#This Row],[Precio Venta Ideal (x1.5)]]</f>
        <v>27.660000000000004</v>
      </c>
      <c r="J1249" s="70">
        <v>2</v>
      </c>
      <c r="K1249" s="70">
        <f>SUMIFS(VENTAS[Cantidad],VENTAS[Código del producto Vendido],STOCK[[#This Row],[Code]])</f>
        <v>2</v>
      </c>
      <c r="L1249" s="70">
        <f>STOCK[[#This Row],[Entradas]]-STOCK[[#This Row],[Salidas]]</f>
        <v>0</v>
      </c>
      <c r="M1249" s="54">
        <f>STOCK[[#This Row],[Precio Final]]*10%</f>
        <v>3</v>
      </c>
      <c r="N1249" s="54">
        <v>0</v>
      </c>
      <c r="O1249" s="54">
        <v>0</v>
      </c>
      <c r="P1249" s="54">
        <v>13.47</v>
      </c>
      <c r="Q1249" s="70">
        <v>0</v>
      </c>
      <c r="R1249" s="54">
        <v>0</v>
      </c>
      <c r="S1249" s="54">
        <v>1.97</v>
      </c>
      <c r="T1249" s="53">
        <f>STOCK[[#This Row],[Costo Unitario (USD)]]+STOCK[[#This Row],[Costo Envío (USD)]]+STOCK[[#This Row],[Comisión 10%]]</f>
        <v>18.440000000000001</v>
      </c>
      <c r="U1249" s="54">
        <f>STOCK[[#This Row],[Costo total]]*1.5</f>
        <v>27.660000000000004</v>
      </c>
      <c r="V1249" s="54">
        <v>30</v>
      </c>
      <c r="W1249" s="54">
        <f>STOCK[[#This Row],[Precio Final]]-STOCK[[#This Row],[Costo total]]</f>
        <v>11.559999999999999</v>
      </c>
      <c r="X1249" s="54">
        <f>STOCK[[#This Row],[Ganancia Unitaria]]*STOCK[[#This Row],[Salidas]]</f>
        <v>23.119999999999997</v>
      </c>
      <c r="AA1249" s="54">
        <f>STOCK[[#This Row],[Costo total]]*STOCK[[#This Row],[Entradas]]</f>
        <v>36.880000000000003</v>
      </c>
      <c r="AB1249" s="54">
        <f>STOCK[[#This Row],[Stock Actual]]*STOCK[[#This Row],[Costo total]]</f>
        <v>0</v>
      </c>
    </row>
    <row r="1250" spans="1:28" s="53" customFormat="1" ht="50" customHeight="1">
      <c r="A1250" s="53" t="s">
        <v>2590</v>
      </c>
      <c r="B1250" s="64"/>
      <c r="C1250" s="53" t="s">
        <v>32</v>
      </c>
      <c r="D1250" s="53" t="s">
        <v>2119</v>
      </c>
      <c r="E1250" s="65" t="s">
        <v>2591</v>
      </c>
      <c r="F1250" s="53" t="s">
        <v>62</v>
      </c>
      <c r="H1250" s="53">
        <f>STOCK[[#This Row],[Precio Final]]</f>
        <v>30</v>
      </c>
      <c r="I1250" s="53">
        <f>STOCK[[#This Row],[Precio Venta Ideal (x1.5)]]</f>
        <v>25.530000000000005</v>
      </c>
      <c r="J1250" s="69">
        <v>1</v>
      </c>
      <c r="K1250" s="69">
        <f>SUMIFS(VENTAS[Cantidad],VENTAS[Código del producto Vendido],STOCK[[#This Row],[Code]])</f>
        <v>1</v>
      </c>
      <c r="L1250" s="69">
        <f>STOCK[[#This Row],[Entradas]]-STOCK[[#This Row],[Salidas]]</f>
        <v>0</v>
      </c>
      <c r="M1250" s="53">
        <f>STOCK[[#This Row],[Precio Final]]*10%</f>
        <v>3</v>
      </c>
      <c r="N1250" s="53">
        <v>0</v>
      </c>
      <c r="O1250" s="53">
        <v>0</v>
      </c>
      <c r="P1250" s="53">
        <v>12.05</v>
      </c>
      <c r="Q1250" s="69">
        <v>0</v>
      </c>
      <c r="R1250" s="53">
        <v>0</v>
      </c>
      <c r="S1250" s="53">
        <v>1.97</v>
      </c>
      <c r="T1250" s="53">
        <f>STOCK[[#This Row],[Costo Unitario (USD)]]+STOCK[[#This Row],[Costo Envío (USD)]]+STOCK[[#This Row],[Comisión 10%]]</f>
        <v>17.020000000000003</v>
      </c>
      <c r="U1250" s="53">
        <f>STOCK[[#This Row],[Costo total]]*1.5</f>
        <v>25.530000000000005</v>
      </c>
      <c r="V1250" s="53">
        <v>30</v>
      </c>
      <c r="W1250" s="53">
        <f>STOCK[[#This Row],[Precio Final]]-STOCK[[#This Row],[Costo total]]</f>
        <v>12.979999999999997</v>
      </c>
      <c r="X1250" s="53">
        <f>STOCK[[#This Row],[Ganancia Unitaria]]*STOCK[[#This Row],[Salidas]]</f>
        <v>12.979999999999997</v>
      </c>
      <c r="AA1250" s="54">
        <f>STOCK[[#This Row],[Costo total]]*STOCK[[#This Row],[Entradas]]</f>
        <v>17.020000000000003</v>
      </c>
      <c r="AB1250" s="54">
        <f>STOCK[[#This Row],[Stock Actual]]*STOCK[[#This Row],[Costo total]]</f>
        <v>0</v>
      </c>
    </row>
    <row r="1251" spans="1:28" s="54" customFormat="1" ht="50" customHeight="1">
      <c r="A1251" s="54" t="s">
        <v>2592</v>
      </c>
      <c r="B1251" s="64"/>
      <c r="C1251" s="54" t="s">
        <v>32</v>
      </c>
      <c r="D1251" s="54" t="s">
        <v>2119</v>
      </c>
      <c r="E1251" s="66" t="s">
        <v>2591</v>
      </c>
      <c r="F1251" s="54" t="s">
        <v>49</v>
      </c>
      <c r="H1251" s="54">
        <f>STOCK[[#This Row],[Precio Final]]</f>
        <v>30</v>
      </c>
      <c r="I1251" s="54">
        <f>STOCK[[#This Row],[Precio Venta Ideal (x1.5)]]</f>
        <v>25.530000000000005</v>
      </c>
      <c r="J1251" s="70">
        <v>1</v>
      </c>
      <c r="K1251" s="70">
        <f>SUMIFS(VENTAS[Cantidad],VENTAS[Código del producto Vendido],STOCK[[#This Row],[Code]])</f>
        <v>1</v>
      </c>
      <c r="L1251" s="70">
        <f>STOCK[[#This Row],[Entradas]]-STOCK[[#This Row],[Salidas]]</f>
        <v>0</v>
      </c>
      <c r="M1251" s="54">
        <f>STOCK[[#This Row],[Precio Final]]*10%</f>
        <v>3</v>
      </c>
      <c r="N1251" s="54">
        <v>0</v>
      </c>
      <c r="O1251" s="54">
        <v>0</v>
      </c>
      <c r="P1251" s="54">
        <v>12.05</v>
      </c>
      <c r="Q1251" s="70">
        <v>0</v>
      </c>
      <c r="R1251" s="54">
        <v>0</v>
      </c>
      <c r="S1251" s="54">
        <v>1.97</v>
      </c>
      <c r="T1251" s="53">
        <f>STOCK[[#This Row],[Costo Unitario (USD)]]+STOCK[[#This Row],[Costo Envío (USD)]]+STOCK[[#This Row],[Comisión 10%]]</f>
        <v>17.020000000000003</v>
      </c>
      <c r="U1251" s="54">
        <f>STOCK[[#This Row],[Costo total]]*1.5</f>
        <v>25.530000000000005</v>
      </c>
      <c r="V1251" s="54">
        <v>30</v>
      </c>
      <c r="W1251" s="54">
        <f>STOCK[[#This Row],[Precio Final]]-STOCK[[#This Row],[Costo total]]</f>
        <v>12.979999999999997</v>
      </c>
      <c r="X1251" s="54">
        <f>STOCK[[#This Row],[Ganancia Unitaria]]*STOCK[[#This Row],[Salidas]]</f>
        <v>12.979999999999997</v>
      </c>
      <c r="AA1251" s="54">
        <f>STOCK[[#This Row],[Costo total]]*STOCK[[#This Row],[Entradas]]</f>
        <v>17.020000000000003</v>
      </c>
      <c r="AB1251" s="54">
        <f>STOCK[[#This Row],[Stock Actual]]*STOCK[[#This Row],[Costo total]]</f>
        <v>0</v>
      </c>
    </row>
    <row r="1252" spans="1:28" s="53" customFormat="1" ht="50" customHeight="1">
      <c r="A1252" s="53" t="s">
        <v>2593</v>
      </c>
      <c r="B1252" s="64"/>
      <c r="C1252" s="53" t="s">
        <v>32</v>
      </c>
      <c r="D1252" s="53" t="s">
        <v>2119</v>
      </c>
      <c r="E1252" s="65" t="s">
        <v>2591</v>
      </c>
      <c r="F1252" s="53" t="s">
        <v>46</v>
      </c>
      <c r="H1252" s="53">
        <f>STOCK[[#This Row],[Precio Final]]</f>
        <v>30</v>
      </c>
      <c r="I1252" s="53">
        <f>STOCK[[#This Row],[Precio Venta Ideal (x1.5)]]</f>
        <v>25.530000000000005</v>
      </c>
      <c r="J1252" s="69">
        <v>1</v>
      </c>
      <c r="K1252" s="69">
        <f>SUMIFS(VENTAS[Cantidad],VENTAS[Código del producto Vendido],STOCK[[#This Row],[Code]])</f>
        <v>1</v>
      </c>
      <c r="L1252" s="69">
        <f>STOCK[[#This Row],[Entradas]]-STOCK[[#This Row],[Salidas]]</f>
        <v>0</v>
      </c>
      <c r="M1252" s="53">
        <f>STOCK[[#This Row],[Precio Final]]*10%</f>
        <v>3</v>
      </c>
      <c r="N1252" s="53">
        <v>0</v>
      </c>
      <c r="O1252" s="53">
        <v>0</v>
      </c>
      <c r="P1252" s="53">
        <v>12.05</v>
      </c>
      <c r="Q1252" s="69">
        <v>0</v>
      </c>
      <c r="R1252" s="53">
        <v>0</v>
      </c>
      <c r="S1252" s="53">
        <v>1.97</v>
      </c>
      <c r="T1252" s="53">
        <f>STOCK[[#This Row],[Costo Unitario (USD)]]+STOCK[[#This Row],[Costo Envío (USD)]]+STOCK[[#This Row],[Comisión 10%]]</f>
        <v>17.020000000000003</v>
      </c>
      <c r="U1252" s="53">
        <f>STOCK[[#This Row],[Costo total]]*1.5</f>
        <v>25.530000000000005</v>
      </c>
      <c r="V1252" s="53">
        <v>30</v>
      </c>
      <c r="W1252" s="53">
        <f>STOCK[[#This Row],[Precio Final]]-STOCK[[#This Row],[Costo total]]</f>
        <v>12.979999999999997</v>
      </c>
      <c r="X1252" s="53">
        <f>STOCK[[#This Row],[Ganancia Unitaria]]*STOCK[[#This Row],[Salidas]]</f>
        <v>12.979999999999997</v>
      </c>
      <c r="AA1252" s="54">
        <f>STOCK[[#This Row],[Costo total]]*STOCK[[#This Row],[Entradas]]</f>
        <v>17.020000000000003</v>
      </c>
      <c r="AB1252" s="54">
        <f>STOCK[[#This Row],[Stock Actual]]*STOCK[[#This Row],[Costo total]]</f>
        <v>0</v>
      </c>
    </row>
    <row r="1253" spans="1:28" s="54" customFormat="1" ht="50" customHeight="1">
      <c r="A1253" s="54" t="s">
        <v>2594</v>
      </c>
      <c r="B1253" s="64"/>
      <c r="C1253" s="54" t="s">
        <v>32</v>
      </c>
      <c r="D1253" s="54" t="s">
        <v>2119</v>
      </c>
      <c r="E1253" s="66" t="s">
        <v>2595</v>
      </c>
      <c r="F1253" s="54" t="s">
        <v>49</v>
      </c>
      <c r="H1253" s="54">
        <f>STOCK[[#This Row],[Precio Final]]</f>
        <v>30</v>
      </c>
      <c r="I1253" s="54">
        <f>STOCK[[#This Row],[Precio Venta Ideal (x1.5)]]</f>
        <v>24.840000000000003</v>
      </c>
      <c r="J1253" s="70">
        <v>2</v>
      </c>
      <c r="K1253" s="70">
        <f>SUMIFS(VENTAS[Cantidad],VENTAS[Código del producto Vendido],STOCK[[#This Row],[Code]])</f>
        <v>2</v>
      </c>
      <c r="L1253" s="70">
        <f>STOCK[[#This Row],[Entradas]]-STOCK[[#This Row],[Salidas]]</f>
        <v>0</v>
      </c>
      <c r="M1253" s="54">
        <f>STOCK[[#This Row],[Precio Final]]*10%</f>
        <v>3</v>
      </c>
      <c r="N1253" s="54">
        <v>0</v>
      </c>
      <c r="O1253" s="54">
        <v>0</v>
      </c>
      <c r="P1253" s="54">
        <v>11.59</v>
      </c>
      <c r="Q1253" s="70">
        <v>0</v>
      </c>
      <c r="R1253" s="54">
        <v>0</v>
      </c>
      <c r="S1253" s="54">
        <v>1.97</v>
      </c>
      <c r="T1253" s="53">
        <f>STOCK[[#This Row],[Costo Unitario (USD)]]+STOCK[[#This Row],[Costo Envío (USD)]]+STOCK[[#This Row],[Comisión 10%]]</f>
        <v>16.560000000000002</v>
      </c>
      <c r="U1253" s="54">
        <f>STOCK[[#This Row],[Costo total]]*1.5</f>
        <v>24.840000000000003</v>
      </c>
      <c r="V1253" s="54">
        <v>30</v>
      </c>
      <c r="W1253" s="54">
        <f>STOCK[[#This Row],[Precio Final]]-STOCK[[#This Row],[Costo total]]</f>
        <v>13.439999999999998</v>
      </c>
      <c r="X1253" s="54">
        <f>STOCK[[#This Row],[Ganancia Unitaria]]*STOCK[[#This Row],[Salidas]]</f>
        <v>26.879999999999995</v>
      </c>
      <c r="AA1253" s="54">
        <f>STOCK[[#This Row],[Costo total]]*STOCK[[#This Row],[Entradas]]</f>
        <v>33.120000000000005</v>
      </c>
      <c r="AB1253" s="54">
        <f>STOCK[[#This Row],[Stock Actual]]*STOCK[[#This Row],[Costo total]]</f>
        <v>0</v>
      </c>
    </row>
    <row r="1254" spans="1:28" s="53" customFormat="1" ht="50" customHeight="1">
      <c r="A1254" s="53" t="s">
        <v>2596</v>
      </c>
      <c r="B1254" s="64"/>
      <c r="C1254" s="53" t="s">
        <v>32</v>
      </c>
      <c r="D1254" s="53" t="s">
        <v>152</v>
      </c>
      <c r="E1254" s="65" t="s">
        <v>2597</v>
      </c>
      <c r="F1254" s="53" t="s">
        <v>49</v>
      </c>
      <c r="H1254" s="53">
        <f>STOCK[[#This Row],[Precio Final]]</f>
        <v>25</v>
      </c>
      <c r="I1254" s="53">
        <f>STOCK[[#This Row],[Precio Venta Ideal (x1.5)]]</f>
        <v>25.44</v>
      </c>
      <c r="J1254" s="69">
        <v>1</v>
      </c>
      <c r="K1254" s="69">
        <f>SUMIFS(VENTAS[Cantidad],VENTAS[Código del producto Vendido],STOCK[[#This Row],[Code]])</f>
        <v>0</v>
      </c>
      <c r="L1254" s="69">
        <f>STOCK[[#This Row],[Entradas]]-STOCK[[#This Row],[Salidas]]</f>
        <v>1</v>
      </c>
      <c r="M1254" s="53">
        <f>STOCK[[#This Row],[Precio Final]]*10%</f>
        <v>2.5</v>
      </c>
      <c r="N1254" s="53">
        <v>0</v>
      </c>
      <c r="O1254" s="53">
        <v>0</v>
      </c>
      <c r="P1254" s="53">
        <v>12.49</v>
      </c>
      <c r="Q1254" s="69">
        <v>0</v>
      </c>
      <c r="R1254" s="53">
        <v>0</v>
      </c>
      <c r="S1254" s="53">
        <v>1.97</v>
      </c>
      <c r="T1254" s="53">
        <f>STOCK[[#This Row],[Costo Unitario (USD)]]+STOCK[[#This Row],[Costo Envío (USD)]]+STOCK[[#This Row],[Comisión 10%]]</f>
        <v>16.96</v>
      </c>
      <c r="U1254" s="53">
        <f>STOCK[[#This Row],[Costo total]]*1.5</f>
        <v>25.44</v>
      </c>
      <c r="V1254" s="53">
        <v>25</v>
      </c>
      <c r="W1254" s="53">
        <f>STOCK[[#This Row],[Precio Final]]-STOCK[[#This Row],[Costo total]]</f>
        <v>8.0399999999999991</v>
      </c>
      <c r="X1254" s="53">
        <f>STOCK[[#This Row],[Ganancia Unitaria]]*STOCK[[#This Row],[Salidas]]</f>
        <v>0</v>
      </c>
      <c r="AA1254" s="54">
        <f>STOCK[[#This Row],[Costo total]]*STOCK[[#This Row],[Entradas]]</f>
        <v>16.96</v>
      </c>
      <c r="AB1254" s="54">
        <f>STOCK[[#This Row],[Stock Actual]]*STOCK[[#This Row],[Costo total]]</f>
        <v>16.96</v>
      </c>
    </row>
    <row r="1255" spans="1:28" s="54" customFormat="1" ht="50" customHeight="1">
      <c r="A1255" s="54" t="s">
        <v>2598</v>
      </c>
      <c r="B1255" s="64"/>
      <c r="C1255" s="54" t="s">
        <v>32</v>
      </c>
      <c r="D1255" s="54" t="s">
        <v>152</v>
      </c>
      <c r="E1255" s="66" t="s">
        <v>2599</v>
      </c>
      <c r="F1255" s="54" t="s">
        <v>62</v>
      </c>
      <c r="H1255" s="54">
        <f>STOCK[[#This Row],[Precio Final]]</f>
        <v>25</v>
      </c>
      <c r="I1255" s="54">
        <f>STOCK[[#This Row],[Precio Venta Ideal (x1.5)]]</f>
        <v>29.94</v>
      </c>
      <c r="J1255" s="70">
        <v>0</v>
      </c>
      <c r="K1255" s="70">
        <f>SUMIFS(VENTAS[Cantidad],VENTAS[Código del producto Vendido],STOCK[[#This Row],[Code]])</f>
        <v>0</v>
      </c>
      <c r="L1255" s="70">
        <f>STOCK[[#This Row],[Entradas]]-STOCK[[#This Row],[Salidas]]</f>
        <v>0</v>
      </c>
      <c r="M1255" s="54">
        <f>STOCK[[#This Row],[Precio Final]]*10%</f>
        <v>2.5</v>
      </c>
      <c r="N1255" s="54">
        <v>0</v>
      </c>
      <c r="O1255" s="54">
        <v>0</v>
      </c>
      <c r="P1255" s="54">
        <v>15.49</v>
      </c>
      <c r="Q1255" s="70">
        <v>0</v>
      </c>
      <c r="R1255" s="54">
        <v>0</v>
      </c>
      <c r="S1255" s="54">
        <v>1.97</v>
      </c>
      <c r="T1255" s="53">
        <f>STOCK[[#This Row],[Costo Unitario (USD)]]+STOCK[[#This Row],[Costo Envío (USD)]]+STOCK[[#This Row],[Comisión 10%]]</f>
        <v>19.96</v>
      </c>
      <c r="U1255" s="54">
        <f>STOCK[[#This Row],[Costo total]]*1.5</f>
        <v>29.94</v>
      </c>
      <c r="V1255" s="54">
        <v>25</v>
      </c>
      <c r="W1255" s="54">
        <f>STOCK[[#This Row],[Precio Final]]-STOCK[[#This Row],[Costo total]]</f>
        <v>5.0399999999999991</v>
      </c>
      <c r="X1255" s="54">
        <f>STOCK[[#This Row],[Ganancia Unitaria]]*STOCK[[#This Row],[Salidas]]</f>
        <v>0</v>
      </c>
      <c r="AA1255" s="54">
        <f>STOCK[[#This Row],[Costo total]]*STOCK[[#This Row],[Entradas]]</f>
        <v>0</v>
      </c>
      <c r="AB1255" s="54">
        <f>STOCK[[#This Row],[Stock Actual]]*STOCK[[#This Row],[Costo total]]</f>
        <v>0</v>
      </c>
    </row>
    <row r="1256" spans="1:28" s="53" customFormat="1" ht="50" customHeight="1">
      <c r="A1256" s="53" t="s">
        <v>2600</v>
      </c>
      <c r="B1256" s="64"/>
      <c r="C1256" s="53" t="s">
        <v>32</v>
      </c>
      <c r="D1256" s="53" t="s">
        <v>2119</v>
      </c>
      <c r="E1256" s="65" t="s">
        <v>2601</v>
      </c>
      <c r="F1256" s="53" t="s">
        <v>62</v>
      </c>
      <c r="H1256" s="53">
        <f>STOCK[[#This Row],[Precio Final]]</f>
        <v>30</v>
      </c>
      <c r="I1256" s="53">
        <f>STOCK[[#This Row],[Precio Venta Ideal (x1.5)]]</f>
        <v>20.94</v>
      </c>
      <c r="J1256" s="69">
        <v>1</v>
      </c>
      <c r="K1256" s="69">
        <f>SUMIFS(VENTAS[Cantidad],VENTAS[Código del producto Vendido],STOCK[[#This Row],[Code]])</f>
        <v>0</v>
      </c>
      <c r="L1256" s="69">
        <f>STOCK[[#This Row],[Entradas]]-STOCK[[#This Row],[Salidas]]</f>
        <v>1</v>
      </c>
      <c r="M1256" s="53">
        <f>STOCK[[#This Row],[Precio Final]]*10%</f>
        <v>3</v>
      </c>
      <c r="N1256" s="53">
        <v>0</v>
      </c>
      <c r="O1256" s="53">
        <v>0</v>
      </c>
      <c r="P1256" s="53">
        <v>8.99</v>
      </c>
      <c r="Q1256" s="69">
        <v>0</v>
      </c>
      <c r="R1256" s="53">
        <v>0</v>
      </c>
      <c r="S1256" s="53">
        <v>1.97</v>
      </c>
      <c r="T1256" s="53">
        <f>STOCK[[#This Row],[Costo Unitario (USD)]]+STOCK[[#This Row],[Costo Envío (USD)]]+STOCK[[#This Row],[Comisión 10%]]</f>
        <v>13.96</v>
      </c>
      <c r="U1256" s="53">
        <f>STOCK[[#This Row],[Costo total]]*1.5</f>
        <v>20.94</v>
      </c>
      <c r="V1256" s="53">
        <v>30</v>
      </c>
      <c r="W1256" s="53">
        <f>STOCK[[#This Row],[Precio Final]]-STOCK[[#This Row],[Costo total]]</f>
        <v>16.04</v>
      </c>
      <c r="X1256" s="53">
        <f>STOCK[[#This Row],[Ganancia Unitaria]]*STOCK[[#This Row],[Salidas]]</f>
        <v>0</v>
      </c>
      <c r="AA1256" s="54">
        <f>STOCK[[#This Row],[Costo total]]*STOCK[[#This Row],[Entradas]]</f>
        <v>13.96</v>
      </c>
      <c r="AB1256" s="54">
        <f>STOCK[[#This Row],[Stock Actual]]*STOCK[[#This Row],[Costo total]]</f>
        <v>13.96</v>
      </c>
    </row>
    <row r="1257" spans="1:28" s="54" customFormat="1" ht="50" customHeight="1">
      <c r="A1257" s="54" t="s">
        <v>2602</v>
      </c>
      <c r="B1257" s="64"/>
      <c r="C1257" s="54" t="s">
        <v>32</v>
      </c>
      <c r="D1257" s="54" t="s">
        <v>488</v>
      </c>
      <c r="E1257" s="66" t="s">
        <v>2603</v>
      </c>
      <c r="F1257" s="54" t="s">
        <v>1534</v>
      </c>
      <c r="H1257" s="54">
        <f>STOCK[[#This Row],[Precio Final]]</f>
        <v>20</v>
      </c>
      <c r="I1257" s="54">
        <f>STOCK[[#This Row],[Precio Venta Ideal (x1.5)]]</f>
        <v>11.94</v>
      </c>
      <c r="J1257" s="70">
        <v>3</v>
      </c>
      <c r="K1257" s="70">
        <f>SUMIFS(VENTAS[Cantidad],VENTAS[Código del producto Vendido],STOCK[[#This Row],[Code]])</f>
        <v>3</v>
      </c>
      <c r="L1257" s="70">
        <f>STOCK[[#This Row],[Entradas]]-STOCK[[#This Row],[Salidas]]</f>
        <v>0</v>
      </c>
      <c r="M1257" s="54">
        <f>STOCK[[#This Row],[Precio Final]]*10%</f>
        <v>2</v>
      </c>
      <c r="N1257" s="54">
        <v>0</v>
      </c>
      <c r="O1257" s="54">
        <v>0</v>
      </c>
      <c r="P1257" s="54">
        <v>3.99</v>
      </c>
      <c r="Q1257" s="70">
        <v>0</v>
      </c>
      <c r="R1257" s="54">
        <v>0</v>
      </c>
      <c r="S1257" s="54">
        <v>1.97</v>
      </c>
      <c r="T1257" s="53">
        <f>STOCK[[#This Row],[Costo Unitario (USD)]]+STOCK[[#This Row],[Costo Envío (USD)]]+STOCK[[#This Row],[Comisión 10%]]</f>
        <v>7.96</v>
      </c>
      <c r="U1257" s="54">
        <f>STOCK[[#This Row],[Costo total]]*1.5</f>
        <v>11.94</v>
      </c>
      <c r="V1257" s="54">
        <v>20</v>
      </c>
      <c r="W1257" s="54">
        <f>STOCK[[#This Row],[Precio Final]]-STOCK[[#This Row],[Costo total]]</f>
        <v>12.04</v>
      </c>
      <c r="X1257" s="54">
        <f>STOCK[[#This Row],[Ganancia Unitaria]]*STOCK[[#This Row],[Salidas]]</f>
        <v>36.119999999999997</v>
      </c>
      <c r="AA1257" s="54">
        <f>STOCK[[#This Row],[Costo total]]*STOCK[[#This Row],[Entradas]]</f>
        <v>23.88</v>
      </c>
      <c r="AB1257" s="54">
        <f>STOCK[[#This Row],[Stock Actual]]*STOCK[[#This Row],[Costo total]]</f>
        <v>0</v>
      </c>
    </row>
    <row r="1258" spans="1:28" s="53" customFormat="1" ht="50" customHeight="1">
      <c r="A1258" s="53" t="s">
        <v>2604</v>
      </c>
      <c r="B1258" s="64"/>
      <c r="C1258" s="53" t="s">
        <v>32</v>
      </c>
      <c r="D1258" s="53" t="s">
        <v>2134</v>
      </c>
      <c r="E1258" s="65" t="s">
        <v>2605</v>
      </c>
      <c r="F1258" s="53" t="s">
        <v>62</v>
      </c>
      <c r="H1258" s="53">
        <f>STOCK[[#This Row],[Precio Final]]</f>
        <v>35</v>
      </c>
      <c r="I1258" s="53">
        <f>STOCK[[#This Row],[Precio Venta Ideal (x1.5)]]</f>
        <v>25.590000000000003</v>
      </c>
      <c r="J1258" s="69">
        <v>1</v>
      </c>
      <c r="K1258" s="69">
        <f>SUMIFS(VENTAS[Cantidad],VENTAS[Código del producto Vendido],STOCK[[#This Row],[Code]])</f>
        <v>1</v>
      </c>
      <c r="L1258" s="69">
        <f>STOCK[[#This Row],[Entradas]]-STOCK[[#This Row],[Salidas]]</f>
        <v>0</v>
      </c>
      <c r="M1258" s="53">
        <f>STOCK[[#This Row],[Precio Final]]*10%</f>
        <v>3.5</v>
      </c>
      <c r="N1258" s="53">
        <v>0</v>
      </c>
      <c r="O1258" s="53">
        <v>0</v>
      </c>
      <c r="P1258" s="53">
        <v>11.59</v>
      </c>
      <c r="Q1258" s="69">
        <v>0</v>
      </c>
      <c r="R1258" s="53">
        <v>0</v>
      </c>
      <c r="S1258" s="53">
        <v>1.97</v>
      </c>
      <c r="T1258" s="53">
        <f>STOCK[[#This Row],[Costo Unitario (USD)]]+STOCK[[#This Row],[Costo Envío (USD)]]+STOCK[[#This Row],[Comisión 10%]]</f>
        <v>17.060000000000002</v>
      </c>
      <c r="U1258" s="53">
        <f>STOCK[[#This Row],[Costo total]]*1.5</f>
        <v>25.590000000000003</v>
      </c>
      <c r="V1258" s="53">
        <v>35</v>
      </c>
      <c r="W1258" s="53">
        <f>STOCK[[#This Row],[Precio Final]]-STOCK[[#This Row],[Costo total]]</f>
        <v>17.939999999999998</v>
      </c>
      <c r="X1258" s="53">
        <f>STOCK[[#This Row],[Ganancia Unitaria]]*STOCK[[#This Row],[Salidas]]</f>
        <v>17.939999999999998</v>
      </c>
      <c r="AA1258" s="54">
        <f>STOCK[[#This Row],[Costo total]]*STOCK[[#This Row],[Entradas]]</f>
        <v>17.060000000000002</v>
      </c>
      <c r="AB1258" s="54">
        <f>STOCK[[#This Row],[Stock Actual]]*STOCK[[#This Row],[Costo total]]</f>
        <v>0</v>
      </c>
    </row>
    <row r="1259" spans="1:28" s="54" customFormat="1" ht="50" customHeight="1">
      <c r="A1259" s="54" t="s">
        <v>2606</v>
      </c>
      <c r="B1259" s="64"/>
      <c r="C1259" s="54" t="s">
        <v>32</v>
      </c>
      <c r="D1259" s="54" t="s">
        <v>2119</v>
      </c>
      <c r="E1259" s="66" t="s">
        <v>2607</v>
      </c>
      <c r="F1259" s="54" t="s">
        <v>40</v>
      </c>
      <c r="H1259" s="54">
        <f>STOCK[[#This Row],[Precio Final]]</f>
        <v>25</v>
      </c>
      <c r="I1259" s="54">
        <f>STOCK[[#This Row],[Precio Venta Ideal (x1.5)]]</f>
        <v>23.910000000000004</v>
      </c>
      <c r="J1259" s="70">
        <v>1</v>
      </c>
      <c r="K1259" s="70">
        <f>SUMIFS(VENTAS[Cantidad],VENTAS[Código del producto Vendido],STOCK[[#This Row],[Code]])</f>
        <v>1</v>
      </c>
      <c r="L1259" s="70">
        <f>STOCK[[#This Row],[Entradas]]-STOCK[[#This Row],[Salidas]]</f>
        <v>0</v>
      </c>
      <c r="M1259" s="54">
        <f>STOCK[[#This Row],[Precio Final]]*10%</f>
        <v>2.5</v>
      </c>
      <c r="N1259" s="54">
        <v>0</v>
      </c>
      <c r="O1259" s="54">
        <v>0</v>
      </c>
      <c r="P1259" s="54">
        <v>11.47</v>
      </c>
      <c r="Q1259" s="70">
        <v>0</v>
      </c>
      <c r="R1259" s="54">
        <v>0</v>
      </c>
      <c r="S1259" s="54">
        <v>1.97</v>
      </c>
      <c r="T1259" s="53">
        <f>STOCK[[#This Row],[Costo Unitario (USD)]]+STOCK[[#This Row],[Costo Envío (USD)]]+STOCK[[#This Row],[Comisión 10%]]</f>
        <v>15.940000000000001</v>
      </c>
      <c r="U1259" s="54">
        <f>STOCK[[#This Row],[Costo total]]*1.5</f>
        <v>23.910000000000004</v>
      </c>
      <c r="V1259" s="54">
        <v>25</v>
      </c>
      <c r="W1259" s="54">
        <f>STOCK[[#This Row],[Precio Final]]-STOCK[[#This Row],[Costo total]]</f>
        <v>9.0599999999999987</v>
      </c>
      <c r="X1259" s="54">
        <f>STOCK[[#This Row],[Ganancia Unitaria]]*STOCK[[#This Row],[Salidas]]</f>
        <v>9.0599999999999987</v>
      </c>
      <c r="AA1259" s="54">
        <f>STOCK[[#This Row],[Costo total]]*STOCK[[#This Row],[Entradas]]</f>
        <v>15.940000000000001</v>
      </c>
      <c r="AB1259" s="54">
        <f>STOCK[[#This Row],[Stock Actual]]*STOCK[[#This Row],[Costo total]]</f>
        <v>0</v>
      </c>
    </row>
    <row r="1260" spans="1:28" s="53" customFormat="1" ht="50" customHeight="1">
      <c r="A1260" s="53" t="s">
        <v>2608</v>
      </c>
      <c r="B1260" s="64"/>
      <c r="C1260" s="53" t="s">
        <v>32</v>
      </c>
      <c r="D1260" s="53" t="s">
        <v>2119</v>
      </c>
      <c r="E1260" s="65" t="s">
        <v>2607</v>
      </c>
      <c r="F1260" s="53" t="s">
        <v>62</v>
      </c>
      <c r="H1260" s="53">
        <f>STOCK[[#This Row],[Precio Final]]</f>
        <v>25</v>
      </c>
      <c r="I1260" s="53">
        <f>STOCK[[#This Row],[Precio Venta Ideal (x1.5)]]</f>
        <v>23.910000000000004</v>
      </c>
      <c r="J1260" s="69">
        <v>1</v>
      </c>
      <c r="K1260" s="69">
        <f>SUMIFS(VENTAS[Cantidad],VENTAS[Código del producto Vendido],STOCK[[#This Row],[Code]])</f>
        <v>1</v>
      </c>
      <c r="L1260" s="69">
        <f>STOCK[[#This Row],[Entradas]]-STOCK[[#This Row],[Salidas]]</f>
        <v>0</v>
      </c>
      <c r="M1260" s="53">
        <f>STOCK[[#This Row],[Precio Final]]*10%</f>
        <v>2.5</v>
      </c>
      <c r="N1260" s="53">
        <v>0</v>
      </c>
      <c r="O1260" s="53">
        <v>0</v>
      </c>
      <c r="P1260" s="53">
        <v>11.47</v>
      </c>
      <c r="Q1260" s="69">
        <v>0</v>
      </c>
      <c r="R1260" s="53">
        <v>0</v>
      </c>
      <c r="S1260" s="53">
        <v>1.97</v>
      </c>
      <c r="T1260" s="53">
        <f>STOCK[[#This Row],[Costo Unitario (USD)]]+STOCK[[#This Row],[Costo Envío (USD)]]+STOCK[[#This Row],[Comisión 10%]]</f>
        <v>15.940000000000001</v>
      </c>
      <c r="U1260" s="53">
        <f>STOCK[[#This Row],[Costo total]]*1.5</f>
        <v>23.910000000000004</v>
      </c>
      <c r="V1260" s="53">
        <v>25</v>
      </c>
      <c r="W1260" s="53">
        <f>STOCK[[#This Row],[Precio Final]]-STOCK[[#This Row],[Costo total]]</f>
        <v>9.0599999999999987</v>
      </c>
      <c r="X1260" s="53">
        <f>STOCK[[#This Row],[Ganancia Unitaria]]*STOCK[[#This Row],[Salidas]]</f>
        <v>9.0599999999999987</v>
      </c>
      <c r="AA1260" s="54">
        <f>STOCK[[#This Row],[Costo total]]*STOCK[[#This Row],[Entradas]]</f>
        <v>15.940000000000001</v>
      </c>
      <c r="AB1260" s="54">
        <f>STOCK[[#This Row],[Stock Actual]]*STOCK[[#This Row],[Costo total]]</f>
        <v>0</v>
      </c>
    </row>
    <row r="1261" spans="1:28" s="54" customFormat="1" ht="50" customHeight="1">
      <c r="A1261" s="54" t="s">
        <v>2609</v>
      </c>
      <c r="B1261" s="64"/>
      <c r="C1261" s="54" t="s">
        <v>32</v>
      </c>
      <c r="D1261" s="54" t="s">
        <v>2119</v>
      </c>
      <c r="E1261" s="66" t="s">
        <v>2607</v>
      </c>
      <c r="F1261" s="54" t="s">
        <v>49</v>
      </c>
      <c r="H1261" s="54">
        <f>STOCK[[#This Row],[Precio Final]]</f>
        <v>25</v>
      </c>
      <c r="I1261" s="54">
        <f>STOCK[[#This Row],[Precio Venta Ideal (x1.5)]]</f>
        <v>23.910000000000004</v>
      </c>
      <c r="J1261" s="70">
        <v>1</v>
      </c>
      <c r="K1261" s="70">
        <f>SUMIFS(VENTAS[Cantidad],VENTAS[Código del producto Vendido],STOCK[[#This Row],[Code]])</f>
        <v>1</v>
      </c>
      <c r="L1261" s="70">
        <f>STOCK[[#This Row],[Entradas]]-STOCK[[#This Row],[Salidas]]</f>
        <v>0</v>
      </c>
      <c r="M1261" s="54">
        <f>STOCK[[#This Row],[Precio Final]]*10%</f>
        <v>2.5</v>
      </c>
      <c r="N1261" s="54">
        <v>0</v>
      </c>
      <c r="O1261" s="54">
        <v>0</v>
      </c>
      <c r="P1261" s="54">
        <v>11.47</v>
      </c>
      <c r="Q1261" s="70">
        <v>0</v>
      </c>
      <c r="R1261" s="54">
        <v>0</v>
      </c>
      <c r="S1261" s="54">
        <v>1.97</v>
      </c>
      <c r="T1261" s="53">
        <f>STOCK[[#This Row],[Costo Unitario (USD)]]+STOCK[[#This Row],[Costo Envío (USD)]]+STOCK[[#This Row],[Comisión 10%]]</f>
        <v>15.940000000000001</v>
      </c>
      <c r="U1261" s="54">
        <f>STOCK[[#This Row],[Costo total]]*1.5</f>
        <v>23.910000000000004</v>
      </c>
      <c r="V1261" s="54">
        <v>25</v>
      </c>
      <c r="W1261" s="54">
        <f>STOCK[[#This Row],[Precio Final]]-STOCK[[#This Row],[Costo total]]</f>
        <v>9.0599999999999987</v>
      </c>
      <c r="X1261" s="54">
        <f>STOCK[[#This Row],[Ganancia Unitaria]]*STOCK[[#This Row],[Salidas]]</f>
        <v>9.0599999999999987</v>
      </c>
      <c r="AA1261" s="54">
        <f>STOCK[[#This Row],[Costo total]]*STOCK[[#This Row],[Entradas]]</f>
        <v>15.940000000000001</v>
      </c>
      <c r="AB1261" s="54">
        <f>STOCK[[#This Row],[Stock Actual]]*STOCK[[#This Row],[Costo total]]</f>
        <v>0</v>
      </c>
    </row>
    <row r="1262" spans="1:28" s="53" customFormat="1" ht="50" customHeight="1">
      <c r="A1262" s="53" t="s">
        <v>2610</v>
      </c>
      <c r="B1262" s="64"/>
      <c r="C1262" s="53" t="s">
        <v>32</v>
      </c>
      <c r="D1262" s="53" t="s">
        <v>2119</v>
      </c>
      <c r="E1262" s="65" t="s">
        <v>2607</v>
      </c>
      <c r="F1262" s="53" t="s">
        <v>46</v>
      </c>
      <c r="H1262" s="53">
        <f>STOCK[[#This Row],[Precio Final]]</f>
        <v>25</v>
      </c>
      <c r="I1262" s="53">
        <f>STOCK[[#This Row],[Precio Venta Ideal (x1.5)]]</f>
        <v>23.910000000000004</v>
      </c>
      <c r="J1262" s="69">
        <v>1</v>
      </c>
      <c r="K1262" s="69">
        <f>SUMIFS(VENTAS[Cantidad],VENTAS[Código del producto Vendido],STOCK[[#This Row],[Code]])</f>
        <v>0</v>
      </c>
      <c r="L1262" s="69">
        <f>STOCK[[#This Row],[Entradas]]-STOCK[[#This Row],[Salidas]]</f>
        <v>1</v>
      </c>
      <c r="M1262" s="53">
        <f>STOCK[[#This Row],[Precio Final]]*10%</f>
        <v>2.5</v>
      </c>
      <c r="N1262" s="53">
        <v>0</v>
      </c>
      <c r="O1262" s="53">
        <v>0</v>
      </c>
      <c r="P1262" s="53">
        <v>11.47</v>
      </c>
      <c r="Q1262" s="69">
        <v>0</v>
      </c>
      <c r="R1262" s="53">
        <v>0</v>
      </c>
      <c r="S1262" s="53">
        <v>1.97</v>
      </c>
      <c r="T1262" s="53">
        <f>STOCK[[#This Row],[Costo Unitario (USD)]]+STOCK[[#This Row],[Costo Envío (USD)]]+STOCK[[#This Row],[Comisión 10%]]</f>
        <v>15.940000000000001</v>
      </c>
      <c r="U1262" s="53">
        <f>STOCK[[#This Row],[Costo total]]*1.5</f>
        <v>23.910000000000004</v>
      </c>
      <c r="V1262" s="53">
        <v>25</v>
      </c>
      <c r="W1262" s="53">
        <f>STOCK[[#This Row],[Precio Final]]-STOCK[[#This Row],[Costo total]]</f>
        <v>9.0599999999999987</v>
      </c>
      <c r="X1262" s="53">
        <f>STOCK[[#This Row],[Ganancia Unitaria]]*STOCK[[#This Row],[Salidas]]</f>
        <v>0</v>
      </c>
      <c r="AA1262" s="54">
        <f>STOCK[[#This Row],[Costo total]]*STOCK[[#This Row],[Entradas]]</f>
        <v>15.940000000000001</v>
      </c>
      <c r="AB1262" s="54">
        <f>STOCK[[#This Row],[Stock Actual]]*STOCK[[#This Row],[Costo total]]</f>
        <v>15.940000000000001</v>
      </c>
    </row>
    <row r="1263" spans="1:28" s="54" customFormat="1" ht="50" customHeight="1">
      <c r="A1263" s="54" t="s">
        <v>2611</v>
      </c>
      <c r="B1263" s="64"/>
      <c r="C1263" s="54" t="s">
        <v>32</v>
      </c>
      <c r="D1263" s="54" t="s">
        <v>1212</v>
      </c>
      <c r="E1263" s="66" t="s">
        <v>2612</v>
      </c>
      <c r="F1263" s="54" t="s">
        <v>62</v>
      </c>
      <c r="H1263" s="54">
        <f>STOCK[[#This Row],[Precio Final]]</f>
        <v>25</v>
      </c>
      <c r="I1263" s="54">
        <f>STOCK[[#This Row],[Precio Venta Ideal (x1.5)]]</f>
        <v>27.315000000000001</v>
      </c>
      <c r="J1263" s="70">
        <v>1</v>
      </c>
      <c r="K1263" s="70">
        <f>SUMIFS(VENTAS[Cantidad],VENTAS[Código del producto Vendido],STOCK[[#This Row],[Code]])</f>
        <v>1</v>
      </c>
      <c r="L1263" s="70">
        <f>STOCK[[#This Row],[Entradas]]-STOCK[[#This Row],[Salidas]]</f>
        <v>0</v>
      </c>
      <c r="M1263" s="54">
        <f>STOCK[[#This Row],[Precio Final]]*10%</f>
        <v>2.5</v>
      </c>
      <c r="N1263" s="54">
        <v>0</v>
      </c>
      <c r="O1263" s="54">
        <v>0</v>
      </c>
      <c r="P1263" s="54">
        <v>13.74</v>
      </c>
      <c r="Q1263" s="70">
        <v>0</v>
      </c>
      <c r="R1263" s="54">
        <v>0</v>
      </c>
      <c r="S1263" s="54">
        <v>1.97</v>
      </c>
      <c r="T1263" s="53">
        <f>STOCK[[#This Row],[Costo Unitario (USD)]]+STOCK[[#This Row],[Costo Envío (USD)]]+STOCK[[#This Row],[Comisión 10%]]</f>
        <v>18.21</v>
      </c>
      <c r="U1263" s="54">
        <f>STOCK[[#This Row],[Costo total]]*1.5</f>
        <v>27.315000000000001</v>
      </c>
      <c r="V1263" s="54">
        <v>25</v>
      </c>
      <c r="W1263" s="54">
        <f>STOCK[[#This Row],[Precio Final]]-STOCK[[#This Row],[Costo total]]</f>
        <v>6.7899999999999991</v>
      </c>
      <c r="X1263" s="54">
        <f>STOCK[[#This Row],[Ganancia Unitaria]]*STOCK[[#This Row],[Salidas]]</f>
        <v>6.7899999999999991</v>
      </c>
      <c r="AA1263" s="54">
        <f>STOCK[[#This Row],[Costo total]]*STOCK[[#This Row],[Entradas]]</f>
        <v>18.21</v>
      </c>
      <c r="AB1263" s="54">
        <f>STOCK[[#This Row],[Stock Actual]]*STOCK[[#This Row],[Costo total]]</f>
        <v>0</v>
      </c>
    </row>
    <row r="1264" spans="1:28" s="53" customFormat="1" ht="50" customHeight="1">
      <c r="A1264" s="53" t="s">
        <v>2613</v>
      </c>
      <c r="B1264" s="64"/>
      <c r="C1264" s="53" t="s">
        <v>32</v>
      </c>
      <c r="D1264" s="53" t="s">
        <v>1212</v>
      </c>
      <c r="E1264" s="65" t="s">
        <v>2614</v>
      </c>
      <c r="F1264" s="53" t="s">
        <v>49</v>
      </c>
      <c r="H1264" s="53">
        <f>STOCK[[#This Row],[Precio Final]]</f>
        <v>20</v>
      </c>
      <c r="I1264" s="53">
        <f>STOCK[[#This Row],[Precio Venta Ideal (x1.5)]]</f>
        <v>18.540000000000003</v>
      </c>
      <c r="J1264" s="69">
        <v>1</v>
      </c>
      <c r="K1264" s="69">
        <f>SUMIFS(VENTAS[Cantidad],VENTAS[Código del producto Vendido],STOCK[[#This Row],[Code]])</f>
        <v>1</v>
      </c>
      <c r="L1264" s="69">
        <f>STOCK[[#This Row],[Entradas]]-STOCK[[#This Row],[Salidas]]</f>
        <v>0</v>
      </c>
      <c r="M1264" s="53">
        <f>STOCK[[#This Row],[Precio Final]]*10%</f>
        <v>2</v>
      </c>
      <c r="N1264" s="53">
        <v>0</v>
      </c>
      <c r="O1264" s="53">
        <v>0</v>
      </c>
      <c r="P1264" s="53">
        <v>8.39</v>
      </c>
      <c r="Q1264" s="69">
        <v>0</v>
      </c>
      <c r="R1264" s="53">
        <v>0</v>
      </c>
      <c r="S1264" s="53">
        <v>1.97</v>
      </c>
      <c r="T1264" s="53">
        <f>STOCK[[#This Row],[Costo Unitario (USD)]]+STOCK[[#This Row],[Costo Envío (USD)]]+STOCK[[#This Row],[Comisión 10%]]</f>
        <v>12.360000000000001</v>
      </c>
      <c r="U1264" s="53">
        <f>STOCK[[#This Row],[Costo total]]*1.5</f>
        <v>18.540000000000003</v>
      </c>
      <c r="V1264" s="53">
        <v>20</v>
      </c>
      <c r="W1264" s="53">
        <f>STOCK[[#This Row],[Precio Final]]-STOCK[[#This Row],[Costo total]]</f>
        <v>7.6399999999999988</v>
      </c>
      <c r="X1264" s="53">
        <f>STOCK[[#This Row],[Ganancia Unitaria]]*STOCK[[#This Row],[Salidas]]</f>
        <v>7.6399999999999988</v>
      </c>
      <c r="AA1264" s="54">
        <f>STOCK[[#This Row],[Costo total]]*STOCK[[#This Row],[Entradas]]</f>
        <v>12.360000000000001</v>
      </c>
      <c r="AB1264" s="54">
        <f>STOCK[[#This Row],[Stock Actual]]*STOCK[[#This Row],[Costo total]]</f>
        <v>0</v>
      </c>
    </row>
    <row r="1265" spans="1:28" s="54" customFormat="1" ht="50" customHeight="1">
      <c r="A1265" s="54" t="s">
        <v>2615</v>
      </c>
      <c r="B1265" s="64"/>
      <c r="C1265" s="54" t="s">
        <v>32</v>
      </c>
      <c r="D1265" s="54" t="s">
        <v>2119</v>
      </c>
      <c r="E1265" s="66" t="s">
        <v>2616</v>
      </c>
      <c r="F1265" s="54" t="s">
        <v>49</v>
      </c>
      <c r="H1265" s="54">
        <f>STOCK[[#This Row],[Precio Final]]</f>
        <v>25</v>
      </c>
      <c r="I1265" s="54">
        <f>STOCK[[#This Row],[Precio Venta Ideal (x1.5)]]</f>
        <v>23.46</v>
      </c>
      <c r="J1265" s="70">
        <v>1</v>
      </c>
      <c r="K1265" s="70">
        <f>SUMIFS(VENTAS[Cantidad],VENTAS[Código del producto Vendido],STOCK[[#This Row],[Code]])</f>
        <v>1</v>
      </c>
      <c r="L1265" s="70">
        <f>STOCK[[#This Row],[Entradas]]-STOCK[[#This Row],[Salidas]]</f>
        <v>0</v>
      </c>
      <c r="M1265" s="54">
        <f>STOCK[[#This Row],[Precio Final]]*10%</f>
        <v>2.5</v>
      </c>
      <c r="N1265" s="54">
        <v>0</v>
      </c>
      <c r="O1265" s="54">
        <v>0</v>
      </c>
      <c r="P1265" s="54">
        <v>11.17</v>
      </c>
      <c r="Q1265" s="70">
        <v>0</v>
      </c>
      <c r="R1265" s="54">
        <v>0</v>
      </c>
      <c r="S1265" s="54">
        <v>1.97</v>
      </c>
      <c r="T1265" s="53">
        <f>STOCK[[#This Row],[Costo Unitario (USD)]]+STOCK[[#This Row],[Costo Envío (USD)]]+STOCK[[#This Row],[Comisión 10%]]</f>
        <v>15.64</v>
      </c>
      <c r="U1265" s="54">
        <f>STOCK[[#This Row],[Costo total]]*1.5</f>
        <v>23.46</v>
      </c>
      <c r="V1265" s="54">
        <v>25</v>
      </c>
      <c r="W1265" s="54">
        <f>STOCK[[#This Row],[Precio Final]]-STOCK[[#This Row],[Costo total]]</f>
        <v>9.36</v>
      </c>
      <c r="X1265" s="54">
        <f>STOCK[[#This Row],[Ganancia Unitaria]]*STOCK[[#This Row],[Salidas]]</f>
        <v>9.36</v>
      </c>
      <c r="AA1265" s="54">
        <f>STOCK[[#This Row],[Costo total]]*STOCK[[#This Row],[Entradas]]</f>
        <v>15.64</v>
      </c>
      <c r="AB1265" s="54">
        <f>STOCK[[#This Row],[Stock Actual]]*STOCK[[#This Row],[Costo total]]</f>
        <v>0</v>
      </c>
    </row>
    <row r="1266" spans="1:28" s="53" customFormat="1" ht="50" customHeight="1">
      <c r="A1266" s="53" t="s">
        <v>2617</v>
      </c>
      <c r="B1266" s="64"/>
      <c r="C1266" s="53" t="s">
        <v>32</v>
      </c>
      <c r="D1266" s="53" t="s">
        <v>2119</v>
      </c>
      <c r="E1266" s="65" t="s">
        <v>2618</v>
      </c>
      <c r="F1266" s="53" t="s">
        <v>46</v>
      </c>
      <c r="H1266" s="53">
        <f>STOCK[[#This Row],[Precio Final]]</f>
        <v>25</v>
      </c>
      <c r="I1266" s="53">
        <f>STOCK[[#This Row],[Precio Venta Ideal (x1.5)]]</f>
        <v>23.97</v>
      </c>
      <c r="J1266" s="69">
        <v>1</v>
      </c>
      <c r="K1266" s="69">
        <f>SUMIFS(VENTAS[Cantidad],VENTAS[Código del producto Vendido],STOCK[[#This Row],[Code]])</f>
        <v>1</v>
      </c>
      <c r="L1266" s="69">
        <f>STOCK[[#This Row],[Entradas]]-STOCK[[#This Row],[Salidas]]</f>
        <v>0</v>
      </c>
      <c r="M1266" s="53">
        <f>STOCK[[#This Row],[Precio Final]]*10%</f>
        <v>2.5</v>
      </c>
      <c r="N1266" s="53">
        <v>0</v>
      </c>
      <c r="O1266" s="53">
        <v>0</v>
      </c>
      <c r="P1266" s="53">
        <v>11.51</v>
      </c>
      <c r="Q1266" s="69">
        <v>0</v>
      </c>
      <c r="R1266" s="53">
        <v>0</v>
      </c>
      <c r="S1266" s="53">
        <v>1.97</v>
      </c>
      <c r="T1266" s="53">
        <f>STOCK[[#This Row],[Costo Unitario (USD)]]+STOCK[[#This Row],[Costo Envío (USD)]]+STOCK[[#This Row],[Comisión 10%]]</f>
        <v>15.98</v>
      </c>
      <c r="U1266" s="53">
        <f>STOCK[[#This Row],[Costo total]]*1.5</f>
        <v>23.97</v>
      </c>
      <c r="V1266" s="53">
        <v>25</v>
      </c>
      <c r="W1266" s="53">
        <f>STOCK[[#This Row],[Precio Final]]-STOCK[[#This Row],[Costo total]]</f>
        <v>9.02</v>
      </c>
      <c r="X1266" s="53">
        <f>STOCK[[#This Row],[Ganancia Unitaria]]*STOCK[[#This Row],[Salidas]]</f>
        <v>9.02</v>
      </c>
      <c r="AA1266" s="54">
        <f>STOCK[[#This Row],[Costo total]]*STOCK[[#This Row],[Entradas]]</f>
        <v>15.98</v>
      </c>
      <c r="AB1266" s="54">
        <f>STOCK[[#This Row],[Stock Actual]]*STOCK[[#This Row],[Costo total]]</f>
        <v>0</v>
      </c>
    </row>
    <row r="1267" spans="1:28" s="54" customFormat="1" ht="50" customHeight="1">
      <c r="A1267" s="54" t="s">
        <v>2619</v>
      </c>
      <c r="B1267" s="64"/>
      <c r="C1267" s="54" t="s">
        <v>32</v>
      </c>
      <c r="D1267" s="54" t="s">
        <v>2119</v>
      </c>
      <c r="E1267" s="66" t="s">
        <v>2618</v>
      </c>
      <c r="F1267" s="54" t="s">
        <v>62</v>
      </c>
      <c r="H1267" s="54">
        <f>STOCK[[#This Row],[Precio Final]]</f>
        <v>25</v>
      </c>
      <c r="I1267" s="54">
        <f>STOCK[[#This Row],[Precio Venta Ideal (x1.5)]]</f>
        <v>23.97</v>
      </c>
      <c r="J1267" s="70">
        <v>1</v>
      </c>
      <c r="K1267" s="70">
        <f>SUMIFS(VENTAS[Cantidad],VENTAS[Código del producto Vendido],STOCK[[#This Row],[Code]])</f>
        <v>1</v>
      </c>
      <c r="L1267" s="70">
        <f>STOCK[[#This Row],[Entradas]]-STOCK[[#This Row],[Salidas]]</f>
        <v>0</v>
      </c>
      <c r="M1267" s="54">
        <f>STOCK[[#This Row],[Precio Final]]*10%</f>
        <v>2.5</v>
      </c>
      <c r="N1267" s="54">
        <v>0</v>
      </c>
      <c r="O1267" s="54">
        <v>0</v>
      </c>
      <c r="P1267" s="54">
        <v>11.51</v>
      </c>
      <c r="Q1267" s="70">
        <v>0</v>
      </c>
      <c r="R1267" s="54">
        <v>0</v>
      </c>
      <c r="S1267" s="54">
        <v>1.97</v>
      </c>
      <c r="T1267" s="53">
        <f>STOCK[[#This Row],[Costo Unitario (USD)]]+STOCK[[#This Row],[Costo Envío (USD)]]+STOCK[[#This Row],[Comisión 10%]]</f>
        <v>15.98</v>
      </c>
      <c r="U1267" s="54">
        <f>STOCK[[#This Row],[Costo total]]*1.5</f>
        <v>23.97</v>
      </c>
      <c r="V1267" s="54">
        <v>25</v>
      </c>
      <c r="W1267" s="54">
        <f>STOCK[[#This Row],[Precio Final]]-STOCK[[#This Row],[Costo total]]</f>
        <v>9.02</v>
      </c>
      <c r="X1267" s="54">
        <f>STOCK[[#This Row],[Ganancia Unitaria]]*STOCK[[#This Row],[Salidas]]</f>
        <v>9.02</v>
      </c>
      <c r="AA1267" s="54">
        <f>STOCK[[#This Row],[Costo total]]*STOCK[[#This Row],[Entradas]]</f>
        <v>15.98</v>
      </c>
      <c r="AB1267" s="54">
        <f>STOCK[[#This Row],[Stock Actual]]*STOCK[[#This Row],[Costo total]]</f>
        <v>0</v>
      </c>
    </row>
    <row r="1268" spans="1:28" s="53" customFormat="1" ht="50" customHeight="1">
      <c r="A1268" s="53" t="s">
        <v>2620</v>
      </c>
      <c r="B1268" s="64"/>
      <c r="C1268" s="53" t="s">
        <v>32</v>
      </c>
      <c r="D1268" s="53" t="s">
        <v>2119</v>
      </c>
      <c r="E1268" s="65" t="s">
        <v>2621</v>
      </c>
      <c r="F1268" s="53" t="s">
        <v>49</v>
      </c>
      <c r="H1268" s="53">
        <f>STOCK[[#This Row],[Precio Final]]</f>
        <v>35</v>
      </c>
      <c r="I1268" s="53">
        <f>STOCK[[#This Row],[Precio Venta Ideal (x1.5)]]</f>
        <v>28.44</v>
      </c>
      <c r="J1268" s="69">
        <v>1</v>
      </c>
      <c r="K1268" s="69">
        <f>SUMIFS(VENTAS[Cantidad],VENTAS[Código del producto Vendido],STOCK[[#This Row],[Code]])</f>
        <v>1</v>
      </c>
      <c r="L1268" s="69">
        <f>STOCK[[#This Row],[Entradas]]-STOCK[[#This Row],[Salidas]]</f>
        <v>0</v>
      </c>
      <c r="M1268" s="53">
        <f>STOCK[[#This Row],[Precio Final]]*10%</f>
        <v>3.5</v>
      </c>
      <c r="N1268" s="53">
        <v>0</v>
      </c>
      <c r="O1268" s="53">
        <v>0</v>
      </c>
      <c r="P1268" s="53">
        <v>13.49</v>
      </c>
      <c r="Q1268" s="69">
        <v>0</v>
      </c>
      <c r="R1268" s="53">
        <v>0</v>
      </c>
      <c r="S1268" s="53">
        <v>1.97</v>
      </c>
      <c r="T1268" s="53">
        <f>STOCK[[#This Row],[Costo Unitario (USD)]]+STOCK[[#This Row],[Costo Envío (USD)]]+STOCK[[#This Row],[Comisión 10%]]</f>
        <v>18.96</v>
      </c>
      <c r="U1268" s="53">
        <f>STOCK[[#This Row],[Costo total]]*1.5</f>
        <v>28.44</v>
      </c>
      <c r="V1268" s="53">
        <v>35</v>
      </c>
      <c r="W1268" s="53">
        <f>STOCK[[#This Row],[Precio Final]]-STOCK[[#This Row],[Costo total]]</f>
        <v>16.04</v>
      </c>
      <c r="X1268" s="53">
        <f>STOCK[[#This Row],[Ganancia Unitaria]]*STOCK[[#This Row],[Salidas]]</f>
        <v>16.04</v>
      </c>
      <c r="AA1268" s="54">
        <f>STOCK[[#This Row],[Costo total]]*STOCK[[#This Row],[Entradas]]</f>
        <v>18.96</v>
      </c>
      <c r="AB1268" s="54">
        <f>STOCK[[#This Row],[Stock Actual]]*STOCK[[#This Row],[Costo total]]</f>
        <v>0</v>
      </c>
    </row>
    <row r="1269" spans="1:28" s="54" customFormat="1" ht="50" customHeight="1">
      <c r="A1269" s="54" t="s">
        <v>2622</v>
      </c>
      <c r="B1269" s="64"/>
      <c r="C1269" s="54" t="s">
        <v>32</v>
      </c>
      <c r="D1269" s="54" t="s">
        <v>2623</v>
      </c>
      <c r="E1269" s="66" t="s">
        <v>2624</v>
      </c>
      <c r="F1269" s="54" t="s">
        <v>42</v>
      </c>
      <c r="H1269" s="54">
        <f>STOCK[[#This Row],[Precio Final]]</f>
        <v>28</v>
      </c>
      <c r="I1269" s="54">
        <f>STOCK[[#This Row],[Precio Venta Ideal (x1.5)]]</f>
        <v>25.14</v>
      </c>
      <c r="J1269" s="70">
        <v>1</v>
      </c>
      <c r="K1269" s="70">
        <f>SUMIFS(VENTAS[Cantidad],VENTAS[Código del producto Vendido],STOCK[[#This Row],[Code]])</f>
        <v>0</v>
      </c>
      <c r="L1269" s="70">
        <f>STOCK[[#This Row],[Entradas]]-STOCK[[#This Row],[Salidas]]</f>
        <v>1</v>
      </c>
      <c r="M1269" s="54">
        <f>STOCK[[#This Row],[Precio Final]]*10%</f>
        <v>2.8000000000000003</v>
      </c>
      <c r="N1269" s="54">
        <v>0</v>
      </c>
      <c r="O1269" s="54">
        <v>0</v>
      </c>
      <c r="P1269" s="54">
        <v>11.99</v>
      </c>
      <c r="Q1269" s="70">
        <v>0</v>
      </c>
      <c r="R1269" s="54">
        <v>0</v>
      </c>
      <c r="S1269" s="54">
        <v>1.97</v>
      </c>
      <c r="T1269" s="53">
        <f>STOCK[[#This Row],[Costo Unitario (USD)]]+STOCK[[#This Row],[Costo Envío (USD)]]+STOCK[[#This Row],[Comisión 10%]]</f>
        <v>16.760000000000002</v>
      </c>
      <c r="U1269" s="54">
        <f>STOCK[[#This Row],[Costo total]]*1.5</f>
        <v>25.14</v>
      </c>
      <c r="V1269" s="54">
        <v>28</v>
      </c>
      <c r="W1269" s="54">
        <f>STOCK[[#This Row],[Precio Final]]-STOCK[[#This Row],[Costo total]]</f>
        <v>11.239999999999998</v>
      </c>
      <c r="X1269" s="54">
        <f>STOCK[[#This Row],[Ganancia Unitaria]]*STOCK[[#This Row],[Salidas]]</f>
        <v>0</v>
      </c>
      <c r="AA1269" s="54">
        <f>STOCK[[#This Row],[Costo total]]*STOCK[[#This Row],[Entradas]]</f>
        <v>16.760000000000002</v>
      </c>
      <c r="AB1269" s="54">
        <f>STOCK[[#This Row],[Stock Actual]]*STOCK[[#This Row],[Costo total]]</f>
        <v>16.760000000000002</v>
      </c>
    </row>
    <row r="1270" spans="1:28" s="53" customFormat="1" ht="50" customHeight="1">
      <c r="A1270" s="53" t="s">
        <v>2625</v>
      </c>
      <c r="B1270" s="64"/>
      <c r="C1270" s="53" t="s">
        <v>32</v>
      </c>
      <c r="D1270" s="53" t="s">
        <v>2626</v>
      </c>
      <c r="E1270" s="65" t="s">
        <v>2624</v>
      </c>
      <c r="F1270" s="53" t="s">
        <v>49</v>
      </c>
      <c r="H1270" s="53">
        <f>STOCK[[#This Row],[Precio Final]]</f>
        <v>28</v>
      </c>
      <c r="I1270" s="53">
        <f>STOCK[[#This Row],[Precio Venta Ideal (x1.5)]]</f>
        <v>25.14</v>
      </c>
      <c r="J1270" s="69">
        <v>1</v>
      </c>
      <c r="K1270" s="69">
        <f>SUMIFS(VENTAS[Cantidad],VENTAS[Código del producto Vendido],STOCK[[#This Row],[Code]])</f>
        <v>0</v>
      </c>
      <c r="L1270" s="69">
        <f>STOCK[[#This Row],[Entradas]]-STOCK[[#This Row],[Salidas]]</f>
        <v>1</v>
      </c>
      <c r="M1270" s="53">
        <f>STOCK[[#This Row],[Precio Final]]*10%</f>
        <v>2.8000000000000003</v>
      </c>
      <c r="N1270" s="53">
        <v>0</v>
      </c>
      <c r="O1270" s="53">
        <v>0</v>
      </c>
      <c r="P1270" s="53">
        <v>11.99</v>
      </c>
      <c r="Q1270" s="69">
        <v>0</v>
      </c>
      <c r="R1270" s="53">
        <v>0</v>
      </c>
      <c r="S1270" s="53">
        <v>1.97</v>
      </c>
      <c r="T1270" s="53">
        <f>STOCK[[#This Row],[Costo Unitario (USD)]]+STOCK[[#This Row],[Costo Envío (USD)]]+STOCK[[#This Row],[Comisión 10%]]</f>
        <v>16.760000000000002</v>
      </c>
      <c r="U1270" s="53">
        <f>STOCK[[#This Row],[Costo total]]*1.5</f>
        <v>25.14</v>
      </c>
      <c r="V1270" s="53">
        <v>28</v>
      </c>
      <c r="W1270" s="53">
        <f>STOCK[[#This Row],[Precio Final]]-STOCK[[#This Row],[Costo total]]</f>
        <v>11.239999999999998</v>
      </c>
      <c r="X1270" s="53">
        <f>STOCK[[#This Row],[Ganancia Unitaria]]*STOCK[[#This Row],[Salidas]]</f>
        <v>0</v>
      </c>
      <c r="AA1270" s="54">
        <f>STOCK[[#This Row],[Costo total]]*STOCK[[#This Row],[Entradas]]</f>
        <v>16.760000000000002</v>
      </c>
      <c r="AB1270" s="54">
        <f>STOCK[[#This Row],[Stock Actual]]*STOCK[[#This Row],[Costo total]]</f>
        <v>16.760000000000002</v>
      </c>
    </row>
    <row r="1271" spans="1:28" s="54" customFormat="1" ht="50" customHeight="1">
      <c r="A1271" s="54" t="s">
        <v>2627</v>
      </c>
      <c r="B1271" s="64"/>
      <c r="C1271" s="54" t="s">
        <v>32</v>
      </c>
      <c r="D1271" s="54" t="s">
        <v>2623</v>
      </c>
      <c r="E1271" s="66" t="s">
        <v>2628</v>
      </c>
      <c r="F1271" s="54" t="s">
        <v>40</v>
      </c>
      <c r="H1271" s="54">
        <f>STOCK[[#This Row],[Precio Final]]</f>
        <v>28</v>
      </c>
      <c r="I1271" s="54">
        <f>STOCK[[#This Row],[Precio Venta Ideal (x1.5)]]</f>
        <v>25.14</v>
      </c>
      <c r="J1271" s="70">
        <v>1</v>
      </c>
      <c r="K1271" s="70">
        <f>SUMIFS(VENTAS[Cantidad],VENTAS[Código del producto Vendido],STOCK[[#This Row],[Code]])</f>
        <v>0</v>
      </c>
      <c r="L1271" s="70">
        <f>STOCK[[#This Row],[Entradas]]-STOCK[[#This Row],[Salidas]]</f>
        <v>1</v>
      </c>
      <c r="M1271" s="54">
        <f>STOCK[[#This Row],[Precio Final]]*10%</f>
        <v>2.8000000000000003</v>
      </c>
      <c r="N1271" s="54">
        <v>0</v>
      </c>
      <c r="O1271" s="54">
        <v>0</v>
      </c>
      <c r="P1271" s="54">
        <v>11.99</v>
      </c>
      <c r="Q1271" s="70">
        <v>0</v>
      </c>
      <c r="R1271" s="54">
        <v>0</v>
      </c>
      <c r="S1271" s="54">
        <v>1.97</v>
      </c>
      <c r="T1271" s="53">
        <f>STOCK[[#This Row],[Costo Unitario (USD)]]+STOCK[[#This Row],[Costo Envío (USD)]]+STOCK[[#This Row],[Comisión 10%]]</f>
        <v>16.760000000000002</v>
      </c>
      <c r="U1271" s="54">
        <f>STOCK[[#This Row],[Costo total]]*1.5</f>
        <v>25.14</v>
      </c>
      <c r="V1271" s="54">
        <v>28</v>
      </c>
      <c r="W1271" s="54">
        <f>STOCK[[#This Row],[Precio Final]]-STOCK[[#This Row],[Costo total]]</f>
        <v>11.239999999999998</v>
      </c>
      <c r="X1271" s="54">
        <f>STOCK[[#This Row],[Ganancia Unitaria]]*STOCK[[#This Row],[Salidas]]</f>
        <v>0</v>
      </c>
      <c r="AA1271" s="54">
        <f>STOCK[[#This Row],[Costo total]]*STOCK[[#This Row],[Entradas]]</f>
        <v>16.760000000000002</v>
      </c>
      <c r="AB1271" s="54">
        <f>STOCK[[#This Row],[Stock Actual]]*STOCK[[#This Row],[Costo total]]</f>
        <v>16.760000000000002</v>
      </c>
    </row>
    <row r="1272" spans="1:28" s="53" customFormat="1" ht="50" customHeight="1">
      <c r="A1272" s="53" t="s">
        <v>2629</v>
      </c>
      <c r="B1272" s="64"/>
      <c r="C1272" s="53" t="s">
        <v>32</v>
      </c>
      <c r="D1272" s="53" t="s">
        <v>2630</v>
      </c>
      <c r="E1272" s="65" t="s">
        <v>2628</v>
      </c>
      <c r="F1272" s="53" t="s">
        <v>49</v>
      </c>
      <c r="H1272" s="53">
        <f>STOCK[[#This Row],[Precio Final]]</f>
        <v>28</v>
      </c>
      <c r="I1272" s="53">
        <f>STOCK[[#This Row],[Precio Venta Ideal (x1.5)]]</f>
        <v>25.14</v>
      </c>
      <c r="J1272" s="69">
        <v>1</v>
      </c>
      <c r="K1272" s="69">
        <f>SUMIFS(VENTAS[Cantidad],VENTAS[Código del producto Vendido],STOCK[[#This Row],[Code]])</f>
        <v>1</v>
      </c>
      <c r="L1272" s="69">
        <f>STOCK[[#This Row],[Entradas]]-STOCK[[#This Row],[Salidas]]</f>
        <v>0</v>
      </c>
      <c r="M1272" s="53">
        <f>STOCK[[#This Row],[Precio Final]]*10%</f>
        <v>2.8000000000000003</v>
      </c>
      <c r="N1272" s="53">
        <v>0</v>
      </c>
      <c r="O1272" s="53">
        <v>0</v>
      </c>
      <c r="P1272" s="53">
        <v>11.99</v>
      </c>
      <c r="Q1272" s="69">
        <v>0</v>
      </c>
      <c r="R1272" s="53">
        <v>0</v>
      </c>
      <c r="S1272" s="53">
        <v>1.97</v>
      </c>
      <c r="T1272" s="53">
        <f>STOCK[[#This Row],[Costo Unitario (USD)]]+STOCK[[#This Row],[Costo Envío (USD)]]+STOCK[[#This Row],[Comisión 10%]]</f>
        <v>16.760000000000002</v>
      </c>
      <c r="U1272" s="53">
        <f>STOCK[[#This Row],[Costo total]]*1.5</f>
        <v>25.14</v>
      </c>
      <c r="V1272" s="53">
        <v>28</v>
      </c>
      <c r="W1272" s="53">
        <f>STOCK[[#This Row],[Precio Final]]-STOCK[[#This Row],[Costo total]]</f>
        <v>11.239999999999998</v>
      </c>
      <c r="X1272" s="53">
        <f>STOCK[[#This Row],[Ganancia Unitaria]]*STOCK[[#This Row],[Salidas]]</f>
        <v>11.239999999999998</v>
      </c>
      <c r="AA1272" s="54">
        <f>STOCK[[#This Row],[Costo total]]*STOCK[[#This Row],[Entradas]]</f>
        <v>16.760000000000002</v>
      </c>
      <c r="AB1272" s="54">
        <f>STOCK[[#This Row],[Stock Actual]]*STOCK[[#This Row],[Costo total]]</f>
        <v>0</v>
      </c>
    </row>
    <row r="1273" spans="1:28" s="54" customFormat="1" ht="50" customHeight="1">
      <c r="A1273" s="54" t="s">
        <v>2631</v>
      </c>
      <c r="B1273" s="64"/>
      <c r="C1273" s="54" t="s">
        <v>32</v>
      </c>
      <c r="D1273" s="54" t="s">
        <v>2632</v>
      </c>
      <c r="E1273" s="66" t="s">
        <v>2633</v>
      </c>
      <c r="F1273" s="54" t="s">
        <v>40</v>
      </c>
      <c r="H1273" s="54">
        <f>STOCK[[#This Row],[Precio Final]]</f>
        <v>30</v>
      </c>
      <c r="I1273" s="54">
        <f>STOCK[[#This Row],[Precio Venta Ideal (x1.5)]]</f>
        <v>23.94</v>
      </c>
      <c r="J1273" s="70">
        <v>1</v>
      </c>
      <c r="K1273" s="70">
        <f>SUMIFS(VENTAS[Cantidad],VENTAS[Código del producto Vendido],STOCK[[#This Row],[Code]])</f>
        <v>1</v>
      </c>
      <c r="L1273" s="70">
        <f>STOCK[[#This Row],[Entradas]]-STOCK[[#This Row],[Salidas]]</f>
        <v>0</v>
      </c>
      <c r="M1273" s="54">
        <f>STOCK[[#This Row],[Precio Final]]*10%</f>
        <v>3</v>
      </c>
      <c r="N1273" s="54">
        <v>0</v>
      </c>
      <c r="O1273" s="54">
        <v>0</v>
      </c>
      <c r="P1273" s="54">
        <v>10.99</v>
      </c>
      <c r="Q1273" s="70">
        <v>0</v>
      </c>
      <c r="R1273" s="54">
        <v>0</v>
      </c>
      <c r="S1273" s="54">
        <v>1.97</v>
      </c>
      <c r="T1273" s="53">
        <f>STOCK[[#This Row],[Costo Unitario (USD)]]+STOCK[[#This Row],[Costo Envío (USD)]]+STOCK[[#This Row],[Comisión 10%]]</f>
        <v>15.96</v>
      </c>
      <c r="U1273" s="54">
        <f>STOCK[[#This Row],[Costo total]]*1.5</f>
        <v>23.94</v>
      </c>
      <c r="V1273" s="54">
        <v>30</v>
      </c>
      <c r="W1273" s="54">
        <f>STOCK[[#This Row],[Precio Final]]-STOCK[[#This Row],[Costo total]]</f>
        <v>14.04</v>
      </c>
      <c r="X1273" s="54">
        <f>STOCK[[#This Row],[Ganancia Unitaria]]*STOCK[[#This Row],[Salidas]]</f>
        <v>14.04</v>
      </c>
      <c r="AA1273" s="54">
        <f>STOCK[[#This Row],[Costo total]]*STOCK[[#This Row],[Entradas]]</f>
        <v>15.96</v>
      </c>
      <c r="AB1273" s="54">
        <f>STOCK[[#This Row],[Stock Actual]]*STOCK[[#This Row],[Costo total]]</f>
        <v>0</v>
      </c>
    </row>
    <row r="1274" spans="1:28" s="53" customFormat="1" ht="50" customHeight="1">
      <c r="A1274" s="53" t="s">
        <v>2634</v>
      </c>
      <c r="B1274" s="64"/>
      <c r="C1274" s="53" t="s">
        <v>32</v>
      </c>
      <c r="D1274" s="53" t="s">
        <v>1212</v>
      </c>
      <c r="E1274" s="65" t="s">
        <v>2635</v>
      </c>
      <c r="F1274" s="53" t="s">
        <v>62</v>
      </c>
      <c r="H1274" s="53">
        <f>STOCK[[#This Row],[Precio Final]]</f>
        <v>35</v>
      </c>
      <c r="I1274" s="53">
        <f>STOCK[[#This Row],[Precio Venta Ideal (x1.5)]]</f>
        <v>36.69</v>
      </c>
      <c r="J1274" s="69">
        <v>1</v>
      </c>
      <c r="K1274" s="69">
        <f>SUMIFS(VENTAS[Cantidad],VENTAS[Código del producto Vendido],STOCK[[#This Row],[Code]])</f>
        <v>1</v>
      </c>
      <c r="L1274" s="69">
        <f>STOCK[[#This Row],[Entradas]]-STOCK[[#This Row],[Salidas]]</f>
        <v>0</v>
      </c>
      <c r="M1274" s="53">
        <f>STOCK[[#This Row],[Precio Final]]*10%</f>
        <v>3.5</v>
      </c>
      <c r="N1274" s="53">
        <v>0</v>
      </c>
      <c r="O1274" s="53">
        <v>0</v>
      </c>
      <c r="P1274" s="53">
        <v>18.989999999999998</v>
      </c>
      <c r="Q1274" s="69">
        <v>0</v>
      </c>
      <c r="R1274" s="53">
        <v>0</v>
      </c>
      <c r="S1274" s="53">
        <v>1.97</v>
      </c>
      <c r="T1274" s="53">
        <f>STOCK[[#This Row],[Costo Unitario (USD)]]+STOCK[[#This Row],[Costo Envío (USD)]]+STOCK[[#This Row],[Comisión 10%]]</f>
        <v>24.459999999999997</v>
      </c>
      <c r="U1274" s="53">
        <f>STOCK[[#This Row],[Costo total]]*1.5</f>
        <v>36.69</v>
      </c>
      <c r="V1274" s="53">
        <v>35</v>
      </c>
      <c r="W1274" s="53">
        <f>STOCK[[#This Row],[Precio Final]]-STOCK[[#This Row],[Costo total]]</f>
        <v>10.540000000000003</v>
      </c>
      <c r="X1274" s="53">
        <f>STOCK[[#This Row],[Ganancia Unitaria]]*STOCK[[#This Row],[Salidas]]</f>
        <v>10.540000000000003</v>
      </c>
      <c r="AA1274" s="54">
        <f>STOCK[[#This Row],[Costo total]]*STOCK[[#This Row],[Entradas]]</f>
        <v>24.459999999999997</v>
      </c>
      <c r="AB1274" s="54">
        <f>STOCK[[#This Row],[Stock Actual]]*STOCK[[#This Row],[Costo total]]</f>
        <v>0</v>
      </c>
    </row>
    <row r="1275" spans="1:28" s="54" customFormat="1" ht="50" customHeight="1">
      <c r="A1275" s="54" t="s">
        <v>2636</v>
      </c>
      <c r="B1275" s="64"/>
      <c r="C1275" s="54" t="s">
        <v>32</v>
      </c>
      <c r="D1275" s="54" t="s">
        <v>2632</v>
      </c>
      <c r="E1275" s="66" t="s">
        <v>2637</v>
      </c>
      <c r="F1275" s="54" t="s">
        <v>2638</v>
      </c>
      <c r="H1275" s="54">
        <f>STOCK[[#This Row],[Precio Final]]</f>
        <v>35</v>
      </c>
      <c r="I1275" s="54">
        <f>STOCK[[#This Row],[Precio Venta Ideal (x1.5)]]</f>
        <v>27.704999999999998</v>
      </c>
      <c r="J1275" s="70">
        <v>1</v>
      </c>
      <c r="K1275" s="70">
        <f>SUMIFS(VENTAS[Cantidad],VENTAS[Código del producto Vendido],STOCK[[#This Row],[Code]])</f>
        <v>0</v>
      </c>
      <c r="L1275" s="70">
        <f>STOCK[[#This Row],[Entradas]]-STOCK[[#This Row],[Salidas]]</f>
        <v>1</v>
      </c>
      <c r="M1275" s="54">
        <f>STOCK[[#This Row],[Precio Final]]*10%</f>
        <v>3.5</v>
      </c>
      <c r="N1275" s="54">
        <v>0</v>
      </c>
      <c r="O1275" s="54">
        <v>0</v>
      </c>
      <c r="P1275" s="54">
        <v>13</v>
      </c>
      <c r="Q1275" s="70">
        <v>0</v>
      </c>
      <c r="R1275" s="54">
        <v>0</v>
      </c>
      <c r="S1275" s="54">
        <v>1.97</v>
      </c>
      <c r="T1275" s="53">
        <f>STOCK[[#This Row],[Costo Unitario (USD)]]+STOCK[[#This Row],[Costo Envío (USD)]]+STOCK[[#This Row],[Comisión 10%]]</f>
        <v>18.47</v>
      </c>
      <c r="U1275" s="54">
        <f>STOCK[[#This Row],[Costo total]]*1.5</f>
        <v>27.704999999999998</v>
      </c>
      <c r="V1275" s="54">
        <v>35</v>
      </c>
      <c r="W1275" s="54">
        <f>STOCK[[#This Row],[Precio Final]]-STOCK[[#This Row],[Costo total]]</f>
        <v>16.53</v>
      </c>
      <c r="X1275" s="54">
        <f>STOCK[[#This Row],[Ganancia Unitaria]]*STOCK[[#This Row],[Salidas]]</f>
        <v>0</v>
      </c>
      <c r="AA1275" s="54">
        <f>STOCK[[#This Row],[Costo total]]*STOCK[[#This Row],[Entradas]]</f>
        <v>18.47</v>
      </c>
      <c r="AB1275" s="54">
        <f>STOCK[[#This Row],[Stock Actual]]*STOCK[[#This Row],[Costo total]]</f>
        <v>18.47</v>
      </c>
    </row>
    <row r="1276" spans="1:28" s="53" customFormat="1" ht="50" customHeight="1">
      <c r="A1276" s="53" t="s">
        <v>2639</v>
      </c>
      <c r="B1276" s="64"/>
      <c r="C1276" s="53" t="s">
        <v>32</v>
      </c>
      <c r="D1276" s="53" t="s">
        <v>2640</v>
      </c>
      <c r="E1276" s="65" t="s">
        <v>2641</v>
      </c>
      <c r="F1276" s="53" t="s">
        <v>40</v>
      </c>
      <c r="H1276" s="53">
        <f>STOCK[[#This Row],[Precio Final]]</f>
        <v>20</v>
      </c>
      <c r="I1276" s="53">
        <f>STOCK[[#This Row],[Precio Venta Ideal (x1.5)]]</f>
        <v>19.440000000000001</v>
      </c>
      <c r="J1276" s="69">
        <v>2</v>
      </c>
      <c r="K1276" s="69">
        <f>SUMIFS(VENTAS[Cantidad],VENTAS[Código del producto Vendido],STOCK[[#This Row],[Code]])</f>
        <v>0</v>
      </c>
      <c r="L1276" s="69">
        <f>STOCK[[#This Row],[Entradas]]-STOCK[[#This Row],[Salidas]]</f>
        <v>2</v>
      </c>
      <c r="M1276" s="53">
        <f>STOCK[[#This Row],[Precio Final]]*10%</f>
        <v>2</v>
      </c>
      <c r="N1276" s="53">
        <v>0</v>
      </c>
      <c r="O1276" s="53">
        <v>0</v>
      </c>
      <c r="P1276" s="53">
        <v>8.99</v>
      </c>
      <c r="Q1276" s="69">
        <v>0</v>
      </c>
      <c r="R1276" s="53">
        <v>0</v>
      </c>
      <c r="S1276" s="53">
        <v>1.97</v>
      </c>
      <c r="T1276" s="53">
        <f>STOCK[[#This Row],[Costo Unitario (USD)]]+STOCK[[#This Row],[Costo Envío (USD)]]+STOCK[[#This Row],[Comisión 10%]]</f>
        <v>12.96</v>
      </c>
      <c r="U1276" s="53">
        <f>STOCK[[#This Row],[Costo total]]*1.5</f>
        <v>19.440000000000001</v>
      </c>
      <c r="V1276" s="53">
        <v>20</v>
      </c>
      <c r="W1276" s="53">
        <f>STOCK[[#This Row],[Precio Final]]-STOCK[[#This Row],[Costo total]]</f>
        <v>7.0399999999999991</v>
      </c>
      <c r="X1276" s="53">
        <f>STOCK[[#This Row],[Ganancia Unitaria]]*STOCK[[#This Row],[Salidas]]</f>
        <v>0</v>
      </c>
      <c r="AA1276" s="54">
        <f>STOCK[[#This Row],[Costo total]]*STOCK[[#This Row],[Entradas]]</f>
        <v>25.92</v>
      </c>
      <c r="AB1276" s="54">
        <f>STOCK[[#This Row],[Stock Actual]]*STOCK[[#This Row],[Costo total]]</f>
        <v>25.92</v>
      </c>
    </row>
    <row r="1277" spans="1:28" s="54" customFormat="1" ht="50" customHeight="1">
      <c r="A1277" s="54" t="s">
        <v>2642</v>
      </c>
      <c r="B1277" s="64"/>
      <c r="C1277" s="54" t="s">
        <v>32</v>
      </c>
      <c r="D1277" s="54" t="s">
        <v>2640</v>
      </c>
      <c r="E1277" s="66" t="s">
        <v>2641</v>
      </c>
      <c r="F1277" s="54" t="s">
        <v>62</v>
      </c>
      <c r="H1277" s="54">
        <f>STOCK[[#This Row],[Precio Final]]</f>
        <v>20</v>
      </c>
      <c r="I1277" s="54">
        <f>STOCK[[#This Row],[Precio Venta Ideal (x1.5)]]</f>
        <v>19.440000000000001</v>
      </c>
      <c r="J1277" s="70">
        <v>2</v>
      </c>
      <c r="K1277" s="70">
        <f>SUMIFS(VENTAS[Cantidad],VENTAS[Código del producto Vendido],STOCK[[#This Row],[Code]])</f>
        <v>1</v>
      </c>
      <c r="L1277" s="70">
        <f>STOCK[[#This Row],[Entradas]]-STOCK[[#This Row],[Salidas]]</f>
        <v>1</v>
      </c>
      <c r="M1277" s="54">
        <f>STOCK[[#This Row],[Precio Final]]*10%</f>
        <v>2</v>
      </c>
      <c r="N1277" s="54">
        <v>0</v>
      </c>
      <c r="O1277" s="54">
        <v>0</v>
      </c>
      <c r="P1277" s="54">
        <v>8.99</v>
      </c>
      <c r="Q1277" s="70">
        <v>0</v>
      </c>
      <c r="R1277" s="54">
        <v>0</v>
      </c>
      <c r="S1277" s="54">
        <v>1.97</v>
      </c>
      <c r="T1277" s="53">
        <f>STOCK[[#This Row],[Costo Unitario (USD)]]+STOCK[[#This Row],[Costo Envío (USD)]]+STOCK[[#This Row],[Comisión 10%]]</f>
        <v>12.96</v>
      </c>
      <c r="U1277" s="54">
        <f>STOCK[[#This Row],[Costo total]]*1.5</f>
        <v>19.440000000000001</v>
      </c>
      <c r="V1277" s="54">
        <v>20</v>
      </c>
      <c r="W1277" s="54">
        <f>STOCK[[#This Row],[Precio Final]]-STOCK[[#This Row],[Costo total]]</f>
        <v>7.0399999999999991</v>
      </c>
      <c r="X1277" s="54">
        <f>STOCK[[#This Row],[Ganancia Unitaria]]*STOCK[[#This Row],[Salidas]]</f>
        <v>7.0399999999999991</v>
      </c>
      <c r="AA1277" s="54">
        <f>STOCK[[#This Row],[Costo total]]*STOCK[[#This Row],[Entradas]]</f>
        <v>25.92</v>
      </c>
      <c r="AB1277" s="54">
        <f>STOCK[[#This Row],[Stock Actual]]*STOCK[[#This Row],[Costo total]]</f>
        <v>12.96</v>
      </c>
    </row>
    <row r="1278" spans="1:28" s="53" customFormat="1" ht="50" customHeight="1">
      <c r="A1278" s="53" t="s">
        <v>2643</v>
      </c>
      <c r="B1278" s="64"/>
      <c r="C1278" s="53" t="s">
        <v>32</v>
      </c>
      <c r="D1278" s="53" t="s">
        <v>1190</v>
      </c>
      <c r="E1278" s="65" t="s">
        <v>2641</v>
      </c>
      <c r="F1278" s="53" t="s">
        <v>49</v>
      </c>
      <c r="H1278" s="53">
        <f>STOCK[[#This Row],[Precio Final]]</f>
        <v>20</v>
      </c>
      <c r="I1278" s="53">
        <f>STOCK[[#This Row],[Precio Venta Ideal (x1.5)]]</f>
        <v>19.440000000000001</v>
      </c>
      <c r="J1278" s="69">
        <v>1</v>
      </c>
      <c r="K1278" s="69">
        <f>SUMIFS(VENTAS[Cantidad],VENTAS[Código del producto Vendido],STOCK[[#This Row],[Code]])</f>
        <v>1</v>
      </c>
      <c r="L1278" s="69">
        <f>STOCK[[#This Row],[Entradas]]-STOCK[[#This Row],[Salidas]]</f>
        <v>0</v>
      </c>
      <c r="M1278" s="53">
        <f>STOCK[[#This Row],[Precio Final]]*10%</f>
        <v>2</v>
      </c>
      <c r="N1278" s="53">
        <v>0</v>
      </c>
      <c r="O1278" s="53">
        <v>0</v>
      </c>
      <c r="P1278" s="53">
        <v>8.99</v>
      </c>
      <c r="Q1278" s="69">
        <v>0</v>
      </c>
      <c r="R1278" s="53">
        <v>0</v>
      </c>
      <c r="S1278" s="53">
        <v>1.97</v>
      </c>
      <c r="T1278" s="53">
        <f>STOCK[[#This Row],[Costo Unitario (USD)]]+STOCK[[#This Row],[Costo Envío (USD)]]+STOCK[[#This Row],[Comisión 10%]]</f>
        <v>12.96</v>
      </c>
      <c r="U1278" s="53">
        <f>STOCK[[#This Row],[Costo total]]*1.5</f>
        <v>19.440000000000001</v>
      </c>
      <c r="V1278" s="53">
        <v>20</v>
      </c>
      <c r="W1278" s="53">
        <f>STOCK[[#This Row],[Precio Final]]-STOCK[[#This Row],[Costo total]]</f>
        <v>7.0399999999999991</v>
      </c>
      <c r="X1278" s="53">
        <f>STOCK[[#This Row],[Ganancia Unitaria]]*STOCK[[#This Row],[Salidas]]</f>
        <v>7.0399999999999991</v>
      </c>
      <c r="AA1278" s="54">
        <f>STOCK[[#This Row],[Costo total]]*STOCK[[#This Row],[Entradas]]</f>
        <v>12.96</v>
      </c>
      <c r="AB1278" s="54">
        <f>STOCK[[#This Row],[Stock Actual]]*STOCK[[#This Row],[Costo total]]</f>
        <v>0</v>
      </c>
    </row>
    <row r="1279" spans="1:28" s="54" customFormat="1" ht="50" customHeight="1">
      <c r="A1279" s="54" t="s">
        <v>2644</v>
      </c>
      <c r="B1279" s="64"/>
      <c r="C1279" s="54" t="s">
        <v>32</v>
      </c>
      <c r="D1279" s="54" t="s">
        <v>2640</v>
      </c>
      <c r="E1279" s="66" t="s">
        <v>2645</v>
      </c>
      <c r="F1279" s="54" t="s">
        <v>40</v>
      </c>
      <c r="H1279" s="54">
        <f>STOCK[[#This Row],[Precio Final]]</f>
        <v>20</v>
      </c>
      <c r="I1279" s="54">
        <f>STOCK[[#This Row],[Precio Venta Ideal (x1.5)]]</f>
        <v>19.440000000000001</v>
      </c>
      <c r="J1279" s="70">
        <v>2</v>
      </c>
      <c r="K1279" s="70">
        <f>SUMIFS(VENTAS[Cantidad],VENTAS[Código del producto Vendido],STOCK[[#This Row],[Code]])</f>
        <v>2</v>
      </c>
      <c r="L1279" s="70">
        <f>STOCK[[#This Row],[Entradas]]-STOCK[[#This Row],[Salidas]]</f>
        <v>0</v>
      </c>
      <c r="M1279" s="54">
        <f>STOCK[[#This Row],[Precio Final]]*10%</f>
        <v>2</v>
      </c>
      <c r="N1279" s="54">
        <v>0</v>
      </c>
      <c r="O1279" s="54">
        <v>0</v>
      </c>
      <c r="P1279" s="54">
        <v>8.99</v>
      </c>
      <c r="Q1279" s="70">
        <v>0</v>
      </c>
      <c r="R1279" s="54">
        <v>0</v>
      </c>
      <c r="S1279" s="54">
        <v>1.97</v>
      </c>
      <c r="T1279" s="53">
        <f>STOCK[[#This Row],[Costo Unitario (USD)]]+STOCK[[#This Row],[Costo Envío (USD)]]+STOCK[[#This Row],[Comisión 10%]]</f>
        <v>12.96</v>
      </c>
      <c r="U1279" s="54">
        <f>STOCK[[#This Row],[Costo total]]*1.5</f>
        <v>19.440000000000001</v>
      </c>
      <c r="V1279" s="54">
        <v>20</v>
      </c>
      <c r="W1279" s="54">
        <f>STOCK[[#This Row],[Precio Final]]-STOCK[[#This Row],[Costo total]]</f>
        <v>7.0399999999999991</v>
      </c>
      <c r="X1279" s="54">
        <f>STOCK[[#This Row],[Ganancia Unitaria]]*STOCK[[#This Row],[Salidas]]</f>
        <v>14.079999999999998</v>
      </c>
      <c r="AA1279" s="54">
        <f>STOCK[[#This Row],[Costo total]]*STOCK[[#This Row],[Entradas]]</f>
        <v>25.92</v>
      </c>
      <c r="AB1279" s="54">
        <f>STOCK[[#This Row],[Stock Actual]]*STOCK[[#This Row],[Costo total]]</f>
        <v>0</v>
      </c>
    </row>
    <row r="1280" spans="1:28" s="53" customFormat="1" ht="50" customHeight="1">
      <c r="A1280" s="53" t="s">
        <v>2646</v>
      </c>
      <c r="B1280" s="64"/>
      <c r="C1280" s="53" t="s">
        <v>32</v>
      </c>
      <c r="D1280" s="53" t="s">
        <v>1190</v>
      </c>
      <c r="E1280" s="65" t="s">
        <v>2645</v>
      </c>
      <c r="F1280" s="53" t="s">
        <v>49</v>
      </c>
      <c r="H1280" s="53">
        <f>STOCK[[#This Row],[Precio Final]]</f>
        <v>20</v>
      </c>
      <c r="I1280" s="53">
        <f>STOCK[[#This Row],[Precio Venta Ideal (x1.5)]]</f>
        <v>19.440000000000001</v>
      </c>
      <c r="J1280" s="69">
        <v>2</v>
      </c>
      <c r="K1280" s="69">
        <f>SUMIFS(VENTAS[Cantidad],VENTAS[Código del producto Vendido],STOCK[[#This Row],[Code]])</f>
        <v>2</v>
      </c>
      <c r="L1280" s="69">
        <f>STOCK[[#This Row],[Entradas]]-STOCK[[#This Row],[Salidas]]</f>
        <v>0</v>
      </c>
      <c r="M1280" s="53">
        <f>STOCK[[#This Row],[Precio Final]]*10%</f>
        <v>2</v>
      </c>
      <c r="N1280" s="53">
        <v>0</v>
      </c>
      <c r="O1280" s="53">
        <v>0</v>
      </c>
      <c r="P1280" s="53">
        <v>8.99</v>
      </c>
      <c r="Q1280" s="69">
        <v>0</v>
      </c>
      <c r="R1280" s="53">
        <v>0</v>
      </c>
      <c r="S1280" s="53">
        <v>1.97</v>
      </c>
      <c r="T1280" s="53">
        <f>STOCK[[#This Row],[Costo Unitario (USD)]]+STOCK[[#This Row],[Costo Envío (USD)]]+STOCK[[#This Row],[Comisión 10%]]</f>
        <v>12.96</v>
      </c>
      <c r="U1280" s="53">
        <f>STOCK[[#This Row],[Costo total]]*1.5</f>
        <v>19.440000000000001</v>
      </c>
      <c r="V1280" s="53">
        <v>20</v>
      </c>
      <c r="W1280" s="53">
        <f>STOCK[[#This Row],[Precio Final]]-STOCK[[#This Row],[Costo total]]</f>
        <v>7.0399999999999991</v>
      </c>
      <c r="X1280" s="53">
        <f>STOCK[[#This Row],[Ganancia Unitaria]]*STOCK[[#This Row],[Salidas]]</f>
        <v>14.079999999999998</v>
      </c>
      <c r="AA1280" s="54">
        <f>STOCK[[#This Row],[Costo total]]*STOCK[[#This Row],[Entradas]]</f>
        <v>25.92</v>
      </c>
      <c r="AB1280" s="54">
        <f>STOCK[[#This Row],[Stock Actual]]*STOCK[[#This Row],[Costo total]]</f>
        <v>0</v>
      </c>
    </row>
    <row r="1281" spans="1:28" s="54" customFormat="1" ht="50" customHeight="1">
      <c r="A1281" s="54" t="s">
        <v>2647</v>
      </c>
      <c r="B1281" s="64"/>
      <c r="C1281" s="54" t="s">
        <v>32</v>
      </c>
      <c r="D1281" s="54" t="s">
        <v>1190</v>
      </c>
      <c r="E1281" s="66" t="s">
        <v>2648</v>
      </c>
      <c r="F1281" s="54" t="s">
        <v>40</v>
      </c>
      <c r="H1281" s="54">
        <f>STOCK[[#This Row],[Precio Final]]</f>
        <v>25</v>
      </c>
      <c r="I1281" s="54">
        <f>STOCK[[#This Row],[Precio Venta Ideal (x1.5)]]</f>
        <v>21.69</v>
      </c>
      <c r="J1281" s="70">
        <v>1</v>
      </c>
      <c r="K1281" s="70">
        <f>SUMIFS(VENTAS[Cantidad],VENTAS[Código del producto Vendido],STOCK[[#This Row],[Code]])</f>
        <v>1</v>
      </c>
      <c r="L1281" s="70">
        <f>STOCK[[#This Row],[Entradas]]-STOCK[[#This Row],[Salidas]]</f>
        <v>0</v>
      </c>
      <c r="M1281" s="54">
        <f>STOCK[[#This Row],[Precio Final]]*10%</f>
        <v>2.5</v>
      </c>
      <c r="N1281" s="54">
        <v>0</v>
      </c>
      <c r="O1281" s="54">
        <v>0</v>
      </c>
      <c r="P1281" s="54">
        <v>9.99</v>
      </c>
      <c r="Q1281" s="70">
        <v>0</v>
      </c>
      <c r="R1281" s="54">
        <v>0</v>
      </c>
      <c r="S1281" s="54">
        <v>1.97</v>
      </c>
      <c r="T1281" s="53">
        <f>STOCK[[#This Row],[Costo Unitario (USD)]]+STOCK[[#This Row],[Costo Envío (USD)]]+STOCK[[#This Row],[Comisión 10%]]</f>
        <v>14.46</v>
      </c>
      <c r="U1281" s="54">
        <f>STOCK[[#This Row],[Costo total]]*1.5</f>
        <v>21.69</v>
      </c>
      <c r="V1281" s="54">
        <v>25</v>
      </c>
      <c r="W1281" s="54">
        <f>STOCK[[#This Row],[Precio Final]]-STOCK[[#This Row],[Costo total]]</f>
        <v>10.54</v>
      </c>
      <c r="X1281" s="54">
        <f>STOCK[[#This Row],[Ganancia Unitaria]]*STOCK[[#This Row],[Salidas]]</f>
        <v>10.54</v>
      </c>
      <c r="AA1281" s="54">
        <f>STOCK[[#This Row],[Costo total]]*STOCK[[#This Row],[Entradas]]</f>
        <v>14.46</v>
      </c>
      <c r="AB1281" s="54">
        <f>STOCK[[#This Row],[Stock Actual]]*STOCK[[#This Row],[Costo total]]</f>
        <v>0</v>
      </c>
    </row>
    <row r="1282" spans="1:28" s="53" customFormat="1" ht="50" customHeight="1">
      <c r="A1282" s="53" t="s">
        <v>2649</v>
      </c>
      <c r="B1282" s="64"/>
      <c r="C1282" s="53" t="s">
        <v>32</v>
      </c>
      <c r="D1282" s="53" t="s">
        <v>1190</v>
      </c>
      <c r="E1282" s="65" t="s">
        <v>2650</v>
      </c>
      <c r="F1282" s="53" t="s">
        <v>40</v>
      </c>
      <c r="H1282" s="53">
        <f>STOCK[[#This Row],[Precio Final]]</f>
        <v>35</v>
      </c>
      <c r="I1282" s="53">
        <f>STOCK[[#This Row],[Precio Venta Ideal (x1.5)]]</f>
        <v>47.58</v>
      </c>
      <c r="J1282" s="69">
        <v>1</v>
      </c>
      <c r="K1282" s="69">
        <f>SUMIFS(VENTAS[Cantidad],VENTAS[Código del producto Vendido],STOCK[[#This Row],[Code]])</f>
        <v>1</v>
      </c>
      <c r="L1282" s="69">
        <f>STOCK[[#This Row],[Entradas]]-STOCK[[#This Row],[Salidas]]</f>
        <v>0</v>
      </c>
      <c r="M1282" s="53">
        <f>STOCK[[#This Row],[Precio Final]]*10%</f>
        <v>3.5</v>
      </c>
      <c r="N1282" s="53">
        <v>0</v>
      </c>
      <c r="O1282" s="53">
        <v>0</v>
      </c>
      <c r="P1282" s="53">
        <v>26.25</v>
      </c>
      <c r="Q1282" s="69">
        <v>0</v>
      </c>
      <c r="R1282" s="53">
        <v>0</v>
      </c>
      <c r="S1282" s="53">
        <v>1.97</v>
      </c>
      <c r="T1282" s="53">
        <f>STOCK[[#This Row],[Costo Unitario (USD)]]+STOCK[[#This Row],[Costo Envío (USD)]]+STOCK[[#This Row],[Comisión 10%]]</f>
        <v>31.72</v>
      </c>
      <c r="U1282" s="53">
        <f>STOCK[[#This Row],[Costo total]]*1.5</f>
        <v>47.58</v>
      </c>
      <c r="V1282" s="53">
        <v>35</v>
      </c>
      <c r="W1282" s="53">
        <f>STOCK[[#This Row],[Precio Final]]-STOCK[[#This Row],[Costo total]]</f>
        <v>3.2800000000000011</v>
      </c>
      <c r="X1282" s="53">
        <f>STOCK[[#This Row],[Ganancia Unitaria]]*STOCK[[#This Row],[Salidas]]</f>
        <v>3.2800000000000011</v>
      </c>
      <c r="AA1282" s="54">
        <f>STOCK[[#This Row],[Costo total]]*STOCK[[#This Row],[Entradas]]</f>
        <v>31.72</v>
      </c>
      <c r="AB1282" s="54">
        <f>STOCK[[#This Row],[Stock Actual]]*STOCK[[#This Row],[Costo total]]</f>
        <v>0</v>
      </c>
    </row>
    <row r="1283" spans="1:28" s="54" customFormat="1" ht="50" customHeight="1">
      <c r="A1283" s="54" t="s">
        <v>2651</v>
      </c>
      <c r="B1283" s="64"/>
      <c r="C1283" s="54" t="s">
        <v>32</v>
      </c>
      <c r="D1283" s="54" t="s">
        <v>2640</v>
      </c>
      <c r="E1283" s="66" t="s">
        <v>2652</v>
      </c>
      <c r="F1283" s="54" t="s">
        <v>49</v>
      </c>
      <c r="H1283" s="54">
        <f>STOCK[[#This Row],[Precio Final]]</f>
        <v>30</v>
      </c>
      <c r="I1283" s="54">
        <f>STOCK[[#This Row],[Precio Venta Ideal (x1.5)]]</f>
        <v>29.954999999999998</v>
      </c>
      <c r="J1283" s="70">
        <v>1</v>
      </c>
      <c r="K1283" s="70">
        <f>SUMIFS(VENTAS[Cantidad],VENTAS[Código del producto Vendido],STOCK[[#This Row],[Code]])</f>
        <v>0</v>
      </c>
      <c r="L1283" s="70">
        <f>STOCK[[#This Row],[Entradas]]-STOCK[[#This Row],[Salidas]]</f>
        <v>1</v>
      </c>
      <c r="M1283" s="54">
        <f>STOCK[[#This Row],[Precio Final]]*10%</f>
        <v>3</v>
      </c>
      <c r="N1283" s="54">
        <v>0</v>
      </c>
      <c r="O1283" s="54">
        <v>0</v>
      </c>
      <c r="P1283" s="54">
        <v>15</v>
      </c>
      <c r="Q1283" s="70">
        <v>0</v>
      </c>
      <c r="R1283" s="54">
        <v>0</v>
      </c>
      <c r="S1283" s="54">
        <v>1.97</v>
      </c>
      <c r="T1283" s="53">
        <f>STOCK[[#This Row],[Costo Unitario (USD)]]+STOCK[[#This Row],[Costo Envío (USD)]]+STOCK[[#This Row],[Comisión 10%]]</f>
        <v>19.97</v>
      </c>
      <c r="U1283" s="54">
        <f>STOCK[[#This Row],[Costo total]]*1.5</f>
        <v>29.954999999999998</v>
      </c>
      <c r="V1283" s="54">
        <v>30</v>
      </c>
      <c r="W1283" s="54">
        <f>STOCK[[#This Row],[Precio Final]]-STOCK[[#This Row],[Costo total]]</f>
        <v>10.030000000000001</v>
      </c>
      <c r="X1283" s="54">
        <f>STOCK[[#This Row],[Ganancia Unitaria]]*STOCK[[#This Row],[Salidas]]</f>
        <v>0</v>
      </c>
      <c r="AA1283" s="54">
        <f>STOCK[[#This Row],[Costo total]]*STOCK[[#This Row],[Entradas]]</f>
        <v>19.97</v>
      </c>
      <c r="AB1283" s="54">
        <f>STOCK[[#This Row],[Stock Actual]]*STOCK[[#This Row],[Costo total]]</f>
        <v>19.97</v>
      </c>
    </row>
    <row r="1284" spans="1:28" s="53" customFormat="1" ht="50" customHeight="1">
      <c r="A1284" s="53" t="s">
        <v>2653</v>
      </c>
      <c r="B1284" s="64"/>
      <c r="C1284" s="53" t="s">
        <v>32</v>
      </c>
      <c r="D1284" s="53" t="s">
        <v>1809</v>
      </c>
      <c r="E1284" s="65" t="s">
        <v>2654</v>
      </c>
      <c r="F1284" s="53" t="s">
        <v>881</v>
      </c>
      <c r="H1284" s="53">
        <f>STOCK[[#This Row],[Precio Final]]</f>
        <v>19</v>
      </c>
      <c r="I1284" s="53">
        <f>STOCK[[#This Row],[Precio Venta Ideal (x1.5)]]</f>
        <v>25.29</v>
      </c>
      <c r="J1284" s="69">
        <v>1</v>
      </c>
      <c r="K1284" s="69">
        <f>SUMIFS(VENTAS[Cantidad],VENTAS[Código del producto Vendido],STOCK[[#This Row],[Code]])</f>
        <v>1</v>
      </c>
      <c r="L1284" s="69">
        <f>STOCK[[#This Row],[Entradas]]-STOCK[[#This Row],[Salidas]]</f>
        <v>0</v>
      </c>
      <c r="M1284" s="53">
        <f>STOCK[[#This Row],[Precio Final]]*10%</f>
        <v>1.9000000000000001</v>
      </c>
      <c r="N1284" s="53">
        <v>0</v>
      </c>
      <c r="O1284" s="53">
        <v>0</v>
      </c>
      <c r="P1284" s="53">
        <v>12.99</v>
      </c>
      <c r="Q1284" s="69">
        <v>0</v>
      </c>
      <c r="R1284" s="53">
        <v>0</v>
      </c>
      <c r="S1284" s="53">
        <v>1.97</v>
      </c>
      <c r="T1284" s="53">
        <f>STOCK[[#This Row],[Costo Unitario (USD)]]+STOCK[[#This Row],[Costo Envío (USD)]]+STOCK[[#This Row],[Comisión 10%]]</f>
        <v>16.86</v>
      </c>
      <c r="U1284" s="53">
        <f>STOCK[[#This Row],[Costo total]]*1.5</f>
        <v>25.29</v>
      </c>
      <c r="V1284" s="53">
        <v>19</v>
      </c>
      <c r="W1284" s="53">
        <f>STOCK[[#This Row],[Precio Final]]-STOCK[[#This Row],[Costo total]]</f>
        <v>2.1400000000000006</v>
      </c>
      <c r="X1284" s="53">
        <f>STOCK[[#This Row],[Ganancia Unitaria]]*STOCK[[#This Row],[Salidas]]</f>
        <v>2.1400000000000006</v>
      </c>
      <c r="AA1284" s="54">
        <f>STOCK[[#This Row],[Costo total]]*STOCK[[#This Row],[Entradas]]</f>
        <v>16.86</v>
      </c>
      <c r="AB1284" s="54">
        <f>STOCK[[#This Row],[Stock Actual]]*STOCK[[#This Row],[Costo total]]</f>
        <v>0</v>
      </c>
    </row>
    <row r="1285" spans="1:28" s="54" customFormat="1" ht="50" customHeight="1">
      <c r="A1285" s="54" t="s">
        <v>2655</v>
      </c>
      <c r="B1285" s="64"/>
      <c r="C1285" s="54" t="s">
        <v>32</v>
      </c>
      <c r="D1285" s="54" t="s">
        <v>2632</v>
      </c>
      <c r="E1285" s="66" t="s">
        <v>2656</v>
      </c>
      <c r="F1285" s="54" t="s">
        <v>2638</v>
      </c>
      <c r="H1285" s="54">
        <f>STOCK[[#This Row],[Precio Final]]</f>
        <v>25</v>
      </c>
      <c r="I1285" s="54">
        <f>STOCK[[#This Row],[Precio Venta Ideal (x1.5)]]</f>
        <v>21.69</v>
      </c>
      <c r="J1285" s="70">
        <v>3</v>
      </c>
      <c r="K1285" s="70">
        <f>SUMIFS(VENTAS[Cantidad],VENTAS[Código del producto Vendido],STOCK[[#This Row],[Code]])</f>
        <v>0</v>
      </c>
      <c r="L1285" s="70">
        <f>STOCK[[#This Row],[Entradas]]-STOCK[[#This Row],[Salidas]]</f>
        <v>3</v>
      </c>
      <c r="M1285" s="54">
        <f>STOCK[[#This Row],[Precio Final]]*10%</f>
        <v>2.5</v>
      </c>
      <c r="N1285" s="54">
        <v>0</v>
      </c>
      <c r="O1285" s="54">
        <v>0</v>
      </c>
      <c r="P1285" s="54">
        <v>9.99</v>
      </c>
      <c r="Q1285" s="70">
        <v>0</v>
      </c>
      <c r="R1285" s="54">
        <v>0</v>
      </c>
      <c r="S1285" s="54">
        <v>1.97</v>
      </c>
      <c r="T1285" s="53">
        <f>STOCK[[#This Row],[Costo Unitario (USD)]]+STOCK[[#This Row],[Costo Envío (USD)]]+STOCK[[#This Row],[Comisión 10%]]</f>
        <v>14.46</v>
      </c>
      <c r="U1285" s="54">
        <f>STOCK[[#This Row],[Costo total]]*1.5</f>
        <v>21.69</v>
      </c>
      <c r="V1285" s="54">
        <v>25</v>
      </c>
      <c r="W1285" s="54">
        <f>STOCK[[#This Row],[Precio Final]]-STOCK[[#This Row],[Costo total]]</f>
        <v>10.54</v>
      </c>
      <c r="X1285" s="54">
        <f>STOCK[[#This Row],[Ganancia Unitaria]]*STOCK[[#This Row],[Salidas]]</f>
        <v>0</v>
      </c>
      <c r="AA1285" s="54">
        <f>STOCK[[#This Row],[Costo total]]*STOCK[[#This Row],[Entradas]]</f>
        <v>43.38</v>
      </c>
      <c r="AB1285" s="54">
        <f>STOCK[[#This Row],[Stock Actual]]*STOCK[[#This Row],[Costo total]]</f>
        <v>43.38</v>
      </c>
    </row>
    <row r="1286" spans="1:28" s="53" customFormat="1" ht="50" customHeight="1">
      <c r="A1286" s="53" t="s">
        <v>2657</v>
      </c>
      <c r="B1286" s="64"/>
      <c r="C1286" s="53" t="s">
        <v>32</v>
      </c>
      <c r="D1286" s="53" t="s">
        <v>1226</v>
      </c>
      <c r="E1286" s="65" t="s">
        <v>2658</v>
      </c>
      <c r="F1286" s="53" t="s">
        <v>765</v>
      </c>
      <c r="H1286" s="53">
        <f>STOCK[[#This Row],[Precio Final]]</f>
        <v>35</v>
      </c>
      <c r="I1286" s="53">
        <f>STOCK[[#This Row],[Precio Venta Ideal (x1.5)]]</f>
        <v>36.75</v>
      </c>
      <c r="J1286" s="69">
        <v>1</v>
      </c>
      <c r="K1286" s="69">
        <f>SUMIFS(VENTAS[Cantidad],VENTAS[Código del producto Vendido],STOCK[[#This Row],[Code]])</f>
        <v>1</v>
      </c>
      <c r="L1286" s="69">
        <f>STOCK[[#This Row],[Entradas]]-STOCK[[#This Row],[Salidas]]</f>
        <v>0</v>
      </c>
      <c r="M1286" s="53">
        <f>STOCK[[#This Row],[Precio Final]]*10%</f>
        <v>3.5</v>
      </c>
      <c r="N1286" s="53">
        <v>0</v>
      </c>
      <c r="O1286" s="53">
        <v>0</v>
      </c>
      <c r="P1286" s="53">
        <v>21</v>
      </c>
      <c r="Q1286" s="69">
        <v>0</v>
      </c>
      <c r="R1286" s="53">
        <v>0</v>
      </c>
      <c r="S1286" s="53">
        <v>0</v>
      </c>
      <c r="T1286" s="53">
        <f>STOCK[[#This Row],[Costo Unitario (USD)]]+STOCK[[#This Row],[Costo Envío (USD)]]+STOCK[[#This Row],[Comisión 10%]]</f>
        <v>24.5</v>
      </c>
      <c r="U1286" s="53">
        <f>STOCK[[#This Row],[Costo total]]*1.5</f>
        <v>36.75</v>
      </c>
      <c r="V1286" s="53">
        <v>35</v>
      </c>
      <c r="W1286" s="53">
        <f>STOCK[[#This Row],[Precio Final]]-STOCK[[#This Row],[Costo total]]</f>
        <v>10.5</v>
      </c>
      <c r="X1286" s="53">
        <f>STOCK[[#This Row],[Ganancia Unitaria]]*STOCK[[#This Row],[Salidas]]</f>
        <v>10.5</v>
      </c>
      <c r="AA1286" s="54">
        <f>STOCK[[#This Row],[Costo total]]*STOCK[[#This Row],[Entradas]]</f>
        <v>24.5</v>
      </c>
      <c r="AB1286" s="54">
        <f>STOCK[[#This Row],[Stock Actual]]*STOCK[[#This Row],[Costo total]]</f>
        <v>0</v>
      </c>
    </row>
    <row r="1287" spans="1:28" s="54" customFormat="1" ht="50" customHeight="1">
      <c r="A1287" s="54" t="s">
        <v>2659</v>
      </c>
      <c r="B1287" s="64"/>
      <c r="C1287" s="54" t="s">
        <v>32</v>
      </c>
      <c r="D1287" s="54" t="s">
        <v>1226</v>
      </c>
      <c r="E1287" s="66" t="s">
        <v>2660</v>
      </c>
      <c r="F1287" s="54" t="s">
        <v>517</v>
      </c>
      <c r="H1287" s="54">
        <f>STOCK[[#This Row],[Precio Final]]</f>
        <v>40</v>
      </c>
      <c r="I1287" s="54">
        <f>STOCK[[#This Row],[Precio Venta Ideal (x1.5)]]</f>
        <v>48</v>
      </c>
      <c r="J1287" s="70">
        <v>1</v>
      </c>
      <c r="K1287" s="70">
        <f>SUMIFS(VENTAS[Cantidad],VENTAS[Código del producto Vendido],STOCK[[#This Row],[Code]])</f>
        <v>1</v>
      </c>
      <c r="L1287" s="70">
        <f>STOCK[[#This Row],[Entradas]]-STOCK[[#This Row],[Salidas]]</f>
        <v>0</v>
      </c>
      <c r="M1287" s="54">
        <f>STOCK[[#This Row],[Precio Final]]*10%</f>
        <v>4</v>
      </c>
      <c r="N1287" s="54">
        <v>0</v>
      </c>
      <c r="O1287" s="54">
        <v>0</v>
      </c>
      <c r="P1287" s="54">
        <v>25</v>
      </c>
      <c r="Q1287" s="70">
        <v>0</v>
      </c>
      <c r="R1287" s="54">
        <v>0</v>
      </c>
      <c r="S1287" s="54">
        <v>3</v>
      </c>
      <c r="T1287" s="53">
        <f>STOCK[[#This Row],[Costo Unitario (USD)]]+STOCK[[#This Row],[Costo Envío (USD)]]+STOCK[[#This Row],[Comisión 10%]]</f>
        <v>32</v>
      </c>
      <c r="U1287" s="54">
        <f>STOCK[[#This Row],[Costo total]]*1.5</f>
        <v>48</v>
      </c>
      <c r="V1287" s="54">
        <v>40</v>
      </c>
      <c r="W1287" s="54">
        <f>STOCK[[#This Row],[Precio Final]]-STOCK[[#This Row],[Costo total]]</f>
        <v>8</v>
      </c>
      <c r="X1287" s="54">
        <f>STOCK[[#This Row],[Ganancia Unitaria]]*STOCK[[#This Row],[Salidas]]</f>
        <v>8</v>
      </c>
      <c r="AA1287" s="54">
        <f>STOCK[[#This Row],[Costo total]]*STOCK[[#This Row],[Entradas]]</f>
        <v>32</v>
      </c>
      <c r="AB1287" s="54">
        <f>STOCK[[#This Row],[Stock Actual]]*STOCK[[#This Row],[Costo total]]</f>
        <v>0</v>
      </c>
    </row>
    <row r="1288" spans="1:28" s="53" customFormat="1" ht="50" customHeight="1">
      <c r="A1288" s="53" t="s">
        <v>2661</v>
      </c>
      <c r="B1288" s="64"/>
      <c r="C1288" s="53" t="s">
        <v>32</v>
      </c>
      <c r="D1288" s="53" t="s">
        <v>1190</v>
      </c>
      <c r="E1288" s="65" t="s">
        <v>2662</v>
      </c>
      <c r="F1288" s="53" t="s">
        <v>62</v>
      </c>
      <c r="H1288" s="53">
        <f>STOCK[[#This Row],[Precio Final]]</f>
        <v>12</v>
      </c>
      <c r="I1288" s="53">
        <f>STOCK[[#This Row],[Precio Venta Ideal (x1.5)]]</f>
        <v>15.255000000000003</v>
      </c>
      <c r="J1288" s="69">
        <v>1</v>
      </c>
      <c r="K1288" s="69">
        <f>SUMIFS(VENTAS[Cantidad],VENTAS[Código del producto Vendido],STOCK[[#This Row],[Code]])</f>
        <v>1</v>
      </c>
      <c r="L1288" s="69">
        <f>STOCK[[#This Row],[Entradas]]-STOCK[[#This Row],[Salidas]]</f>
        <v>0</v>
      </c>
      <c r="M1288" s="53">
        <f>STOCK[[#This Row],[Precio Final]]*10%</f>
        <v>1.2000000000000002</v>
      </c>
      <c r="N1288" s="53">
        <v>0</v>
      </c>
      <c r="O1288" s="53">
        <v>0</v>
      </c>
      <c r="P1288" s="53">
        <v>7</v>
      </c>
      <c r="Q1288" s="69">
        <v>0</v>
      </c>
      <c r="R1288" s="53">
        <v>0</v>
      </c>
      <c r="S1288" s="54">
        <v>1.97</v>
      </c>
      <c r="T1288" s="53">
        <f>STOCK[[#This Row],[Costo Unitario (USD)]]+STOCK[[#This Row],[Costo Envío (USD)]]+STOCK[[#This Row],[Comisión 10%]]</f>
        <v>10.170000000000002</v>
      </c>
      <c r="U1288" s="53">
        <f>STOCK[[#This Row],[Costo total]]*1.5</f>
        <v>15.255000000000003</v>
      </c>
      <c r="V1288" s="53">
        <v>12</v>
      </c>
      <c r="W1288" s="53">
        <f>STOCK[[#This Row],[Precio Final]]-STOCK[[#This Row],[Costo total]]</f>
        <v>1.8299999999999983</v>
      </c>
      <c r="X1288" s="53">
        <f>STOCK[[#This Row],[Ganancia Unitaria]]*STOCK[[#This Row],[Salidas]]</f>
        <v>1.8299999999999983</v>
      </c>
      <c r="AA1288" s="54">
        <f>STOCK[[#This Row],[Costo total]]*STOCK[[#This Row],[Entradas]]</f>
        <v>10.170000000000002</v>
      </c>
      <c r="AB1288" s="54">
        <f>STOCK[[#This Row],[Stock Actual]]*STOCK[[#This Row],[Costo total]]</f>
        <v>0</v>
      </c>
    </row>
    <row r="1289" spans="1:28" s="54" customFormat="1" ht="50" customHeight="1">
      <c r="A1289" s="54" t="s">
        <v>2663</v>
      </c>
      <c r="B1289" s="64"/>
      <c r="C1289" s="54" t="s">
        <v>32</v>
      </c>
      <c r="D1289" s="54" t="s">
        <v>1190</v>
      </c>
      <c r="E1289" s="66" t="s">
        <v>2662</v>
      </c>
      <c r="F1289" s="54" t="s">
        <v>49</v>
      </c>
      <c r="H1289" s="54">
        <f>STOCK[[#This Row],[Precio Final]]</f>
        <v>12</v>
      </c>
      <c r="I1289" s="54">
        <f>STOCK[[#This Row],[Precio Venta Ideal (x1.5)]]</f>
        <v>15.255000000000003</v>
      </c>
      <c r="J1289" s="70">
        <v>1</v>
      </c>
      <c r="K1289" s="70">
        <f>SUMIFS(VENTAS[Cantidad],VENTAS[Código del producto Vendido],STOCK[[#This Row],[Code]])</f>
        <v>1</v>
      </c>
      <c r="L1289" s="70">
        <f>STOCK[[#This Row],[Entradas]]-STOCK[[#This Row],[Salidas]]</f>
        <v>0</v>
      </c>
      <c r="M1289" s="54">
        <f>STOCK[[#This Row],[Precio Final]]*10%</f>
        <v>1.2000000000000002</v>
      </c>
      <c r="N1289" s="54">
        <v>0</v>
      </c>
      <c r="O1289" s="54">
        <v>0</v>
      </c>
      <c r="P1289" s="54">
        <v>7</v>
      </c>
      <c r="Q1289" s="70">
        <v>0</v>
      </c>
      <c r="R1289" s="54">
        <v>0</v>
      </c>
      <c r="S1289" s="54">
        <v>1.97</v>
      </c>
      <c r="T1289" s="53">
        <f>STOCK[[#This Row],[Costo Unitario (USD)]]+STOCK[[#This Row],[Costo Envío (USD)]]+STOCK[[#This Row],[Comisión 10%]]</f>
        <v>10.170000000000002</v>
      </c>
      <c r="U1289" s="54">
        <f>STOCK[[#This Row],[Costo total]]*1.5</f>
        <v>15.255000000000003</v>
      </c>
      <c r="V1289" s="54">
        <v>12</v>
      </c>
      <c r="W1289" s="54">
        <f>STOCK[[#This Row],[Precio Final]]-STOCK[[#This Row],[Costo total]]</f>
        <v>1.8299999999999983</v>
      </c>
      <c r="X1289" s="54">
        <f>STOCK[[#This Row],[Ganancia Unitaria]]*STOCK[[#This Row],[Salidas]]</f>
        <v>1.8299999999999983</v>
      </c>
      <c r="AA1289" s="54">
        <f>STOCK[[#This Row],[Costo total]]*STOCK[[#This Row],[Entradas]]</f>
        <v>10.170000000000002</v>
      </c>
      <c r="AB1289" s="54">
        <f>STOCK[[#This Row],[Stock Actual]]*STOCK[[#This Row],[Costo total]]</f>
        <v>0</v>
      </c>
    </row>
    <row r="1290" spans="1:28" s="53" customFormat="1" ht="50" customHeight="1">
      <c r="A1290" s="53" t="s">
        <v>2664</v>
      </c>
      <c r="B1290" s="64"/>
      <c r="C1290" s="53" t="s">
        <v>32</v>
      </c>
      <c r="D1290" s="53" t="s">
        <v>1190</v>
      </c>
      <c r="E1290" s="65" t="s">
        <v>2665</v>
      </c>
      <c r="F1290" s="53" t="s">
        <v>49</v>
      </c>
      <c r="H1290" s="53">
        <f>STOCK[[#This Row],[Precio Final]]</f>
        <v>13</v>
      </c>
      <c r="I1290" s="53">
        <f>STOCK[[#This Row],[Precio Venta Ideal (x1.5)]]</f>
        <v>12.450000000000001</v>
      </c>
      <c r="J1290" s="69">
        <v>2</v>
      </c>
      <c r="K1290" s="69">
        <f>SUMIFS(VENTAS[Cantidad],VENTAS[Código del producto Vendido],STOCK[[#This Row],[Code]])</f>
        <v>2</v>
      </c>
      <c r="L1290" s="69">
        <f>STOCK[[#This Row],[Entradas]]-STOCK[[#This Row],[Salidas]]</f>
        <v>0</v>
      </c>
      <c r="M1290" s="53">
        <f>STOCK[[#This Row],[Precio Final]]*10%</f>
        <v>1.3</v>
      </c>
      <c r="N1290" s="53">
        <v>0</v>
      </c>
      <c r="O1290" s="53">
        <v>0</v>
      </c>
      <c r="P1290" s="53">
        <v>7</v>
      </c>
      <c r="Q1290" s="69">
        <v>0</v>
      </c>
      <c r="R1290" s="53">
        <v>0</v>
      </c>
      <c r="S1290" s="54">
        <v>0</v>
      </c>
      <c r="T1290" s="53">
        <f>STOCK[[#This Row],[Costo Unitario (USD)]]+STOCK[[#This Row],[Costo Envío (USD)]]+STOCK[[#This Row],[Comisión 10%]]</f>
        <v>8.3000000000000007</v>
      </c>
      <c r="U1290" s="53">
        <f>STOCK[[#This Row],[Costo total]]*1.5</f>
        <v>12.450000000000001</v>
      </c>
      <c r="V1290" s="53">
        <v>13</v>
      </c>
      <c r="W1290" s="53">
        <f>STOCK[[#This Row],[Precio Final]]-STOCK[[#This Row],[Costo total]]</f>
        <v>4.6999999999999993</v>
      </c>
      <c r="X1290" s="53">
        <f>STOCK[[#This Row],[Ganancia Unitaria]]*STOCK[[#This Row],[Salidas]]</f>
        <v>9.3999999999999986</v>
      </c>
      <c r="AA1290" s="54">
        <f>STOCK[[#This Row],[Costo total]]*STOCK[[#This Row],[Entradas]]</f>
        <v>16.600000000000001</v>
      </c>
      <c r="AB1290" s="54">
        <f>STOCK[[#This Row],[Stock Actual]]*STOCK[[#This Row],[Costo total]]</f>
        <v>0</v>
      </c>
    </row>
    <row r="1291" spans="1:28" s="54" customFormat="1" ht="50" customHeight="1">
      <c r="A1291" s="54" t="s">
        <v>2666</v>
      </c>
      <c r="B1291" s="64"/>
      <c r="C1291" s="54" t="s">
        <v>32</v>
      </c>
      <c r="D1291" s="54" t="s">
        <v>1190</v>
      </c>
      <c r="E1291" s="66" t="s">
        <v>2667</v>
      </c>
      <c r="F1291" s="54" t="s">
        <v>49</v>
      </c>
      <c r="H1291" s="54">
        <f>STOCK[[#This Row],[Precio Final]]</f>
        <v>13</v>
      </c>
      <c r="I1291" s="54">
        <f>STOCK[[#This Row],[Precio Venta Ideal (x1.5)]]</f>
        <v>12.450000000000001</v>
      </c>
      <c r="J1291" s="70">
        <v>1</v>
      </c>
      <c r="K1291" s="70">
        <f>SUMIFS(VENTAS[Cantidad],VENTAS[Código del producto Vendido],STOCK[[#This Row],[Code]])</f>
        <v>1</v>
      </c>
      <c r="L1291" s="70">
        <f>STOCK[[#This Row],[Entradas]]-STOCK[[#This Row],[Salidas]]</f>
        <v>0</v>
      </c>
      <c r="M1291" s="54">
        <f>STOCK[[#This Row],[Precio Final]]*10%</f>
        <v>1.3</v>
      </c>
      <c r="N1291" s="54">
        <v>0</v>
      </c>
      <c r="O1291" s="54">
        <v>0</v>
      </c>
      <c r="P1291" s="54">
        <v>7</v>
      </c>
      <c r="Q1291" s="70">
        <v>0</v>
      </c>
      <c r="R1291" s="54">
        <v>0</v>
      </c>
      <c r="S1291" s="54">
        <v>0</v>
      </c>
      <c r="T1291" s="53">
        <f>STOCK[[#This Row],[Costo Unitario (USD)]]+STOCK[[#This Row],[Costo Envío (USD)]]+STOCK[[#This Row],[Comisión 10%]]</f>
        <v>8.3000000000000007</v>
      </c>
      <c r="U1291" s="54">
        <f>STOCK[[#This Row],[Costo total]]*1.5</f>
        <v>12.450000000000001</v>
      </c>
      <c r="V1291" s="54">
        <v>13</v>
      </c>
      <c r="W1291" s="54">
        <f>STOCK[[#This Row],[Precio Final]]-STOCK[[#This Row],[Costo total]]</f>
        <v>4.6999999999999993</v>
      </c>
      <c r="X1291" s="54">
        <f>STOCK[[#This Row],[Ganancia Unitaria]]*STOCK[[#This Row],[Salidas]]</f>
        <v>4.6999999999999993</v>
      </c>
      <c r="AA1291" s="54">
        <f>STOCK[[#This Row],[Costo total]]*STOCK[[#This Row],[Entradas]]</f>
        <v>8.3000000000000007</v>
      </c>
      <c r="AB1291" s="54">
        <f>STOCK[[#This Row],[Stock Actual]]*STOCK[[#This Row],[Costo total]]</f>
        <v>0</v>
      </c>
    </row>
    <row r="1292" spans="1:28" s="53" customFormat="1" ht="50" customHeight="1">
      <c r="A1292" s="53" t="s">
        <v>2668</v>
      </c>
      <c r="B1292" s="64"/>
      <c r="C1292" s="53" t="s">
        <v>32</v>
      </c>
      <c r="D1292" s="53" t="s">
        <v>1190</v>
      </c>
      <c r="E1292" s="65" t="s">
        <v>2669</v>
      </c>
      <c r="F1292" s="53" t="s">
        <v>49</v>
      </c>
      <c r="H1292" s="53">
        <f>STOCK[[#This Row],[Precio Final]]</f>
        <v>13</v>
      </c>
      <c r="I1292" s="53">
        <f>STOCK[[#This Row],[Precio Venta Ideal (x1.5)]]</f>
        <v>12.450000000000001</v>
      </c>
      <c r="J1292" s="69">
        <v>2</v>
      </c>
      <c r="K1292" s="69">
        <f>SUMIFS(VENTAS[Cantidad],VENTAS[Código del producto Vendido],STOCK[[#This Row],[Code]])</f>
        <v>1</v>
      </c>
      <c r="L1292" s="69">
        <f>STOCK[[#This Row],[Entradas]]-STOCK[[#This Row],[Salidas]]</f>
        <v>1</v>
      </c>
      <c r="M1292" s="53">
        <f>STOCK[[#This Row],[Precio Final]]*10%</f>
        <v>1.3</v>
      </c>
      <c r="N1292" s="53">
        <v>0</v>
      </c>
      <c r="O1292" s="53">
        <v>0</v>
      </c>
      <c r="P1292" s="53">
        <v>7</v>
      </c>
      <c r="Q1292" s="69">
        <v>0</v>
      </c>
      <c r="R1292" s="53">
        <v>0</v>
      </c>
      <c r="S1292" s="54">
        <v>0</v>
      </c>
      <c r="T1292" s="53">
        <f>STOCK[[#This Row],[Costo Unitario (USD)]]+STOCK[[#This Row],[Costo Envío (USD)]]+STOCK[[#This Row],[Comisión 10%]]</f>
        <v>8.3000000000000007</v>
      </c>
      <c r="U1292" s="53">
        <f>STOCK[[#This Row],[Costo total]]*1.5</f>
        <v>12.450000000000001</v>
      </c>
      <c r="V1292" s="53">
        <v>13</v>
      </c>
      <c r="W1292" s="53">
        <f>STOCK[[#This Row],[Precio Final]]-STOCK[[#This Row],[Costo total]]</f>
        <v>4.6999999999999993</v>
      </c>
      <c r="X1292" s="53">
        <f>STOCK[[#This Row],[Ganancia Unitaria]]*STOCK[[#This Row],[Salidas]]</f>
        <v>4.6999999999999993</v>
      </c>
      <c r="AA1292" s="54">
        <f>STOCK[[#This Row],[Costo total]]*STOCK[[#This Row],[Entradas]]</f>
        <v>16.600000000000001</v>
      </c>
      <c r="AB1292" s="54">
        <f>STOCK[[#This Row],[Stock Actual]]*STOCK[[#This Row],[Costo total]]</f>
        <v>8.3000000000000007</v>
      </c>
    </row>
    <row r="1293" spans="1:28" s="54" customFormat="1" ht="50" customHeight="1">
      <c r="A1293" s="54" t="s">
        <v>2670</v>
      </c>
      <c r="B1293" s="64"/>
      <c r="C1293" s="54" t="s">
        <v>32</v>
      </c>
      <c r="D1293" s="54" t="s">
        <v>1190</v>
      </c>
      <c r="E1293" s="66" t="s">
        <v>2671</v>
      </c>
      <c r="F1293" s="54" t="s">
        <v>49</v>
      </c>
      <c r="H1293" s="54">
        <f>STOCK[[#This Row],[Precio Final]]</f>
        <v>13</v>
      </c>
      <c r="I1293" s="54">
        <f>STOCK[[#This Row],[Precio Venta Ideal (x1.5)]]</f>
        <v>12.450000000000001</v>
      </c>
      <c r="J1293" s="70">
        <v>1</v>
      </c>
      <c r="K1293" s="70">
        <f>SUMIFS(VENTAS[Cantidad],VENTAS[Código del producto Vendido],STOCK[[#This Row],[Code]])</f>
        <v>0</v>
      </c>
      <c r="L1293" s="70">
        <f>STOCK[[#This Row],[Entradas]]-STOCK[[#This Row],[Salidas]]</f>
        <v>1</v>
      </c>
      <c r="M1293" s="54">
        <f>STOCK[[#This Row],[Precio Final]]*10%</f>
        <v>1.3</v>
      </c>
      <c r="N1293" s="54">
        <v>0</v>
      </c>
      <c r="O1293" s="54">
        <v>0</v>
      </c>
      <c r="P1293" s="54">
        <v>7</v>
      </c>
      <c r="Q1293" s="70">
        <v>0</v>
      </c>
      <c r="R1293" s="54">
        <v>0</v>
      </c>
      <c r="S1293" s="54">
        <v>0</v>
      </c>
      <c r="T1293" s="53">
        <f>STOCK[[#This Row],[Costo Unitario (USD)]]+STOCK[[#This Row],[Costo Envío (USD)]]+STOCK[[#This Row],[Comisión 10%]]</f>
        <v>8.3000000000000007</v>
      </c>
      <c r="U1293" s="54">
        <f>STOCK[[#This Row],[Costo total]]*1.5</f>
        <v>12.450000000000001</v>
      </c>
      <c r="V1293" s="54">
        <v>13</v>
      </c>
      <c r="W1293" s="54">
        <f>STOCK[[#This Row],[Precio Final]]-STOCK[[#This Row],[Costo total]]</f>
        <v>4.6999999999999993</v>
      </c>
      <c r="X1293" s="54">
        <f>STOCK[[#This Row],[Ganancia Unitaria]]*STOCK[[#This Row],[Salidas]]</f>
        <v>0</v>
      </c>
      <c r="AA1293" s="54">
        <f>STOCK[[#This Row],[Costo total]]*STOCK[[#This Row],[Entradas]]</f>
        <v>8.3000000000000007</v>
      </c>
      <c r="AB1293" s="54">
        <f>STOCK[[#This Row],[Stock Actual]]*STOCK[[#This Row],[Costo total]]</f>
        <v>8.3000000000000007</v>
      </c>
    </row>
    <row r="1294" spans="1:28" s="53" customFormat="1" ht="50" customHeight="1">
      <c r="A1294" s="53" t="s">
        <v>2672</v>
      </c>
      <c r="B1294" s="64"/>
      <c r="C1294" s="53" t="s">
        <v>32</v>
      </c>
      <c r="D1294" s="53" t="s">
        <v>1190</v>
      </c>
      <c r="E1294" s="65" t="s">
        <v>2673</v>
      </c>
      <c r="F1294" s="53" t="s">
        <v>49</v>
      </c>
      <c r="H1294" s="53">
        <f>STOCK[[#This Row],[Precio Final]]</f>
        <v>13</v>
      </c>
      <c r="I1294" s="53">
        <f>STOCK[[#This Row],[Precio Venta Ideal (x1.5)]]</f>
        <v>12.450000000000001</v>
      </c>
      <c r="J1294" s="69">
        <v>1</v>
      </c>
      <c r="K1294" s="69">
        <f>SUMIFS(VENTAS[Cantidad],VENTAS[Código del producto Vendido],STOCK[[#This Row],[Code]])</f>
        <v>1</v>
      </c>
      <c r="L1294" s="69">
        <f>STOCK[[#This Row],[Entradas]]-STOCK[[#This Row],[Salidas]]</f>
        <v>0</v>
      </c>
      <c r="M1294" s="53">
        <f>STOCK[[#This Row],[Precio Final]]*10%</f>
        <v>1.3</v>
      </c>
      <c r="N1294" s="53">
        <v>0</v>
      </c>
      <c r="O1294" s="53">
        <v>0</v>
      </c>
      <c r="P1294" s="53">
        <v>7</v>
      </c>
      <c r="Q1294" s="69">
        <v>0</v>
      </c>
      <c r="R1294" s="53">
        <v>0</v>
      </c>
      <c r="S1294" s="54">
        <v>0</v>
      </c>
      <c r="T1294" s="53">
        <f>STOCK[[#This Row],[Costo Unitario (USD)]]+STOCK[[#This Row],[Costo Envío (USD)]]+STOCK[[#This Row],[Comisión 10%]]</f>
        <v>8.3000000000000007</v>
      </c>
      <c r="U1294" s="53">
        <f>STOCK[[#This Row],[Costo total]]*1.5</f>
        <v>12.450000000000001</v>
      </c>
      <c r="V1294" s="53">
        <v>13</v>
      </c>
      <c r="W1294" s="53">
        <f>STOCK[[#This Row],[Precio Final]]-STOCK[[#This Row],[Costo total]]</f>
        <v>4.6999999999999993</v>
      </c>
      <c r="X1294" s="53">
        <f>STOCK[[#This Row],[Ganancia Unitaria]]*STOCK[[#This Row],[Salidas]]</f>
        <v>4.6999999999999993</v>
      </c>
      <c r="AA1294" s="54">
        <f>STOCK[[#This Row],[Costo total]]*STOCK[[#This Row],[Entradas]]</f>
        <v>8.3000000000000007</v>
      </c>
      <c r="AB1294" s="54">
        <f>STOCK[[#This Row],[Stock Actual]]*STOCK[[#This Row],[Costo total]]</f>
        <v>0</v>
      </c>
    </row>
    <row r="1295" spans="1:28" s="54" customFormat="1" ht="50" customHeight="1">
      <c r="A1295" s="54" t="s">
        <v>2674</v>
      </c>
      <c r="B1295" s="64"/>
      <c r="C1295" s="54" t="s">
        <v>32</v>
      </c>
      <c r="D1295" s="54" t="s">
        <v>1190</v>
      </c>
      <c r="E1295" s="66" t="s">
        <v>2675</v>
      </c>
      <c r="F1295" s="54" t="s">
        <v>46</v>
      </c>
      <c r="H1295" s="54">
        <f>STOCK[[#This Row],[Precio Final]]</f>
        <v>13</v>
      </c>
      <c r="I1295" s="54">
        <f>STOCK[[#This Row],[Precio Venta Ideal (x1.5)]]</f>
        <v>12.450000000000001</v>
      </c>
      <c r="J1295" s="70">
        <v>1</v>
      </c>
      <c r="K1295" s="70">
        <f>SUMIFS(VENTAS[Cantidad],VENTAS[Código del producto Vendido],STOCK[[#This Row],[Code]])</f>
        <v>0</v>
      </c>
      <c r="L1295" s="70">
        <f>STOCK[[#This Row],[Entradas]]-STOCK[[#This Row],[Salidas]]</f>
        <v>1</v>
      </c>
      <c r="M1295" s="54">
        <f>STOCK[[#This Row],[Precio Final]]*10%</f>
        <v>1.3</v>
      </c>
      <c r="N1295" s="54">
        <v>0</v>
      </c>
      <c r="O1295" s="54">
        <v>0</v>
      </c>
      <c r="P1295" s="54">
        <v>7</v>
      </c>
      <c r="Q1295" s="70">
        <v>0</v>
      </c>
      <c r="R1295" s="54">
        <v>0</v>
      </c>
      <c r="S1295" s="54">
        <v>0</v>
      </c>
      <c r="T1295" s="53">
        <f>STOCK[[#This Row],[Costo Unitario (USD)]]+STOCK[[#This Row],[Costo Envío (USD)]]+STOCK[[#This Row],[Comisión 10%]]</f>
        <v>8.3000000000000007</v>
      </c>
      <c r="U1295" s="54">
        <f>STOCK[[#This Row],[Costo total]]*1.5</f>
        <v>12.450000000000001</v>
      </c>
      <c r="V1295" s="54">
        <v>13</v>
      </c>
      <c r="W1295" s="54">
        <f>STOCK[[#This Row],[Precio Final]]-STOCK[[#This Row],[Costo total]]</f>
        <v>4.6999999999999993</v>
      </c>
      <c r="X1295" s="54">
        <f>STOCK[[#This Row],[Ganancia Unitaria]]*STOCK[[#This Row],[Salidas]]</f>
        <v>0</v>
      </c>
      <c r="AA1295" s="54">
        <f>STOCK[[#This Row],[Costo total]]*STOCK[[#This Row],[Entradas]]</f>
        <v>8.3000000000000007</v>
      </c>
      <c r="AB1295" s="54">
        <f>STOCK[[#This Row],[Stock Actual]]*STOCK[[#This Row],[Costo total]]</f>
        <v>8.3000000000000007</v>
      </c>
    </row>
    <row r="1296" spans="1:28" s="53" customFormat="1" ht="50" customHeight="1">
      <c r="A1296" s="53" t="s">
        <v>2676</v>
      </c>
      <c r="B1296" s="64"/>
      <c r="C1296" s="53" t="s">
        <v>32</v>
      </c>
      <c r="D1296" s="53" t="s">
        <v>2128</v>
      </c>
      <c r="E1296" s="65" t="s">
        <v>2677</v>
      </c>
      <c r="F1296" s="53" t="s">
        <v>62</v>
      </c>
      <c r="H1296" s="53">
        <f>STOCK[[#This Row],[Precio Final]]</f>
        <v>28</v>
      </c>
      <c r="I1296" s="53">
        <f>STOCK[[#This Row],[Precio Venta Ideal (x1.5)]]</f>
        <v>19.8</v>
      </c>
      <c r="J1296" s="69">
        <v>1</v>
      </c>
      <c r="K1296" s="69">
        <f>SUMIFS(VENTAS[Cantidad],VENTAS[Código del producto Vendido],STOCK[[#This Row],[Code]])</f>
        <v>1</v>
      </c>
      <c r="L1296" s="69">
        <f>STOCK[[#This Row],[Entradas]]-STOCK[[#This Row],[Salidas]]</f>
        <v>0</v>
      </c>
      <c r="M1296" s="53">
        <f>STOCK[[#This Row],[Precio Final]]*10%</f>
        <v>2.8000000000000003</v>
      </c>
      <c r="N1296" s="53">
        <v>0</v>
      </c>
      <c r="O1296" s="53">
        <v>0</v>
      </c>
      <c r="P1296" s="53">
        <v>8.43</v>
      </c>
      <c r="Q1296" s="69">
        <v>0</v>
      </c>
      <c r="R1296" s="53">
        <v>0</v>
      </c>
      <c r="S1296" s="54">
        <v>1.97</v>
      </c>
      <c r="T1296" s="53">
        <f>STOCK[[#This Row],[Costo Unitario (USD)]]+STOCK[[#This Row],[Costo Envío (USD)]]+STOCK[[#This Row],[Comisión 10%]]</f>
        <v>13.200000000000001</v>
      </c>
      <c r="U1296" s="53">
        <f>STOCK[[#This Row],[Costo total]]*1.5</f>
        <v>19.8</v>
      </c>
      <c r="V1296" s="53">
        <v>28</v>
      </c>
      <c r="W1296" s="53">
        <f>STOCK[[#This Row],[Precio Final]]-STOCK[[#This Row],[Costo total]]</f>
        <v>14.799999999999999</v>
      </c>
      <c r="X1296" s="53">
        <f>STOCK[[#This Row],[Ganancia Unitaria]]*STOCK[[#This Row],[Salidas]]</f>
        <v>14.799999999999999</v>
      </c>
      <c r="AA1296" s="54">
        <f>STOCK[[#This Row],[Costo total]]*STOCK[[#This Row],[Entradas]]</f>
        <v>13.200000000000001</v>
      </c>
      <c r="AB1296" s="54">
        <f>STOCK[[#This Row],[Stock Actual]]*STOCK[[#This Row],[Costo total]]</f>
        <v>0</v>
      </c>
    </row>
    <row r="1297" spans="1:29" s="54" customFormat="1" ht="50" customHeight="1">
      <c r="A1297" s="54" t="s">
        <v>2678</v>
      </c>
      <c r="B1297" s="64"/>
      <c r="C1297" s="54" t="s">
        <v>32</v>
      </c>
      <c r="D1297" s="54" t="s">
        <v>2128</v>
      </c>
      <c r="E1297" s="66" t="s">
        <v>2677</v>
      </c>
      <c r="F1297" s="54" t="s">
        <v>49</v>
      </c>
      <c r="H1297" s="54">
        <f>STOCK[[#This Row],[Precio Final]]</f>
        <v>28</v>
      </c>
      <c r="I1297" s="54">
        <f>STOCK[[#This Row],[Precio Venta Ideal (x1.5)]]</f>
        <v>19.8</v>
      </c>
      <c r="J1297" s="70">
        <v>2</v>
      </c>
      <c r="K1297" s="70">
        <f>SUMIFS(VENTAS[Cantidad],VENTAS[Código del producto Vendido],STOCK[[#This Row],[Code]])</f>
        <v>2</v>
      </c>
      <c r="L1297" s="70">
        <f>STOCK[[#This Row],[Entradas]]-STOCK[[#This Row],[Salidas]]</f>
        <v>0</v>
      </c>
      <c r="M1297" s="54">
        <f>STOCK[[#This Row],[Precio Final]]*10%</f>
        <v>2.8000000000000003</v>
      </c>
      <c r="N1297" s="54">
        <v>0</v>
      </c>
      <c r="O1297" s="54">
        <v>0</v>
      </c>
      <c r="P1297" s="54">
        <v>8.43</v>
      </c>
      <c r="Q1297" s="70">
        <v>0</v>
      </c>
      <c r="R1297" s="54">
        <v>0</v>
      </c>
      <c r="S1297" s="54">
        <v>1.97</v>
      </c>
      <c r="T1297" s="53">
        <f>STOCK[[#This Row],[Costo Unitario (USD)]]+STOCK[[#This Row],[Costo Envío (USD)]]+STOCK[[#This Row],[Comisión 10%]]</f>
        <v>13.200000000000001</v>
      </c>
      <c r="U1297" s="54">
        <f>STOCK[[#This Row],[Costo total]]*1.5</f>
        <v>19.8</v>
      </c>
      <c r="V1297" s="54">
        <v>28</v>
      </c>
      <c r="W1297" s="54">
        <f>STOCK[[#This Row],[Precio Final]]-STOCK[[#This Row],[Costo total]]</f>
        <v>14.799999999999999</v>
      </c>
      <c r="X1297" s="54">
        <f>STOCK[[#This Row],[Ganancia Unitaria]]*STOCK[[#This Row],[Salidas]]</f>
        <v>29.599999999999998</v>
      </c>
      <c r="AA1297" s="54">
        <f>STOCK[[#This Row],[Costo total]]*STOCK[[#This Row],[Entradas]]</f>
        <v>26.400000000000002</v>
      </c>
      <c r="AB1297" s="54">
        <f>STOCK[[#This Row],[Stock Actual]]*STOCK[[#This Row],[Costo total]]</f>
        <v>0</v>
      </c>
    </row>
    <row r="1298" spans="1:29" s="53" customFormat="1" ht="50" customHeight="1">
      <c r="A1298" s="53" t="s">
        <v>2679</v>
      </c>
      <c r="B1298" s="64"/>
      <c r="C1298" s="53" t="s">
        <v>32</v>
      </c>
      <c r="D1298" s="53" t="s">
        <v>1753</v>
      </c>
      <c r="E1298" s="65" t="s">
        <v>2677</v>
      </c>
      <c r="F1298" s="53" t="s">
        <v>46</v>
      </c>
      <c r="H1298" s="53">
        <f>STOCK[[#This Row],[Precio Final]]</f>
        <v>28</v>
      </c>
      <c r="I1298" s="53">
        <f>STOCK[[#This Row],[Precio Venta Ideal (x1.5)]]</f>
        <v>19.815000000000001</v>
      </c>
      <c r="J1298" s="69">
        <v>2</v>
      </c>
      <c r="K1298" s="69">
        <f>SUMIFS(VENTAS[Cantidad],VENTAS[Código del producto Vendido],STOCK[[#This Row],[Code]])</f>
        <v>1</v>
      </c>
      <c r="L1298" s="69">
        <f>STOCK[[#This Row],[Entradas]]-STOCK[[#This Row],[Salidas]]</f>
        <v>1</v>
      </c>
      <c r="M1298" s="53">
        <f>STOCK[[#This Row],[Precio Final]]*10%</f>
        <v>2.8000000000000003</v>
      </c>
      <c r="N1298" s="53">
        <v>0</v>
      </c>
      <c r="O1298" s="53">
        <v>0</v>
      </c>
      <c r="P1298" s="54">
        <v>8.44</v>
      </c>
      <c r="Q1298" s="69">
        <v>0</v>
      </c>
      <c r="R1298" s="53">
        <v>0</v>
      </c>
      <c r="S1298" s="54">
        <v>1.97</v>
      </c>
      <c r="T1298" s="53">
        <f>STOCK[[#This Row],[Costo Unitario (USD)]]+STOCK[[#This Row],[Costo Envío (USD)]]+STOCK[[#This Row],[Comisión 10%]]</f>
        <v>13.21</v>
      </c>
      <c r="U1298" s="53">
        <f>STOCK[[#This Row],[Costo total]]*1.5</f>
        <v>19.815000000000001</v>
      </c>
      <c r="V1298" s="53">
        <v>28</v>
      </c>
      <c r="W1298" s="53">
        <f>STOCK[[#This Row],[Precio Final]]-STOCK[[#This Row],[Costo total]]</f>
        <v>14.79</v>
      </c>
      <c r="X1298" s="53">
        <f>STOCK[[#This Row],[Ganancia Unitaria]]*STOCK[[#This Row],[Salidas]]</f>
        <v>14.79</v>
      </c>
      <c r="AA1298" s="54">
        <f>STOCK[[#This Row],[Costo total]]*STOCK[[#This Row],[Entradas]]</f>
        <v>26.42</v>
      </c>
      <c r="AB1298" s="54">
        <f>STOCK[[#This Row],[Stock Actual]]*STOCK[[#This Row],[Costo total]]</f>
        <v>13.21</v>
      </c>
    </row>
    <row r="1299" spans="1:29" s="54" customFormat="1" ht="50" customHeight="1">
      <c r="A1299" s="54" t="s">
        <v>2680</v>
      </c>
      <c r="B1299" s="64"/>
      <c r="C1299" s="54" t="s">
        <v>32</v>
      </c>
      <c r="D1299" s="54" t="s">
        <v>1753</v>
      </c>
      <c r="E1299" s="66" t="s">
        <v>2677</v>
      </c>
      <c r="F1299" s="54" t="s">
        <v>42</v>
      </c>
      <c r="H1299" s="54">
        <f>STOCK[[#This Row],[Precio Final]]</f>
        <v>28</v>
      </c>
      <c r="I1299" s="54">
        <f>STOCK[[#This Row],[Precio Venta Ideal (x1.5)]]</f>
        <v>19.8</v>
      </c>
      <c r="J1299" s="70">
        <v>2</v>
      </c>
      <c r="K1299" s="70">
        <f>SUMIFS(VENTAS[Cantidad],VENTAS[Código del producto Vendido],STOCK[[#This Row],[Code]])</f>
        <v>2</v>
      </c>
      <c r="L1299" s="70">
        <f>STOCK[[#This Row],[Entradas]]-STOCK[[#This Row],[Salidas]]</f>
        <v>0</v>
      </c>
      <c r="M1299" s="54">
        <f>STOCK[[#This Row],[Precio Final]]*10%</f>
        <v>2.8000000000000003</v>
      </c>
      <c r="N1299" s="54">
        <v>0</v>
      </c>
      <c r="O1299" s="54">
        <v>0</v>
      </c>
      <c r="P1299" s="54">
        <v>8.43</v>
      </c>
      <c r="Q1299" s="70">
        <v>0</v>
      </c>
      <c r="R1299" s="54">
        <v>0</v>
      </c>
      <c r="S1299" s="54">
        <v>1.97</v>
      </c>
      <c r="T1299" s="53">
        <f>STOCK[[#This Row],[Costo Unitario (USD)]]+STOCK[[#This Row],[Costo Envío (USD)]]+STOCK[[#This Row],[Comisión 10%]]</f>
        <v>13.200000000000001</v>
      </c>
      <c r="U1299" s="54">
        <f>STOCK[[#This Row],[Costo total]]*1.5</f>
        <v>19.8</v>
      </c>
      <c r="V1299" s="54">
        <v>28</v>
      </c>
      <c r="W1299" s="54">
        <f>STOCK[[#This Row],[Precio Final]]-STOCK[[#This Row],[Costo total]]</f>
        <v>14.799999999999999</v>
      </c>
      <c r="X1299" s="54">
        <f>STOCK[[#This Row],[Ganancia Unitaria]]*STOCK[[#This Row],[Salidas]]</f>
        <v>29.599999999999998</v>
      </c>
      <c r="AA1299" s="54">
        <f>STOCK[[#This Row],[Costo total]]*STOCK[[#This Row],[Entradas]]</f>
        <v>26.400000000000002</v>
      </c>
      <c r="AB1299" s="54">
        <f>STOCK[[#This Row],[Stock Actual]]*STOCK[[#This Row],[Costo total]]</f>
        <v>0</v>
      </c>
    </row>
    <row r="1300" spans="1:29" s="53" customFormat="1" ht="50" customHeight="1">
      <c r="A1300" s="53" t="s">
        <v>2681</v>
      </c>
      <c r="B1300" s="64"/>
      <c r="C1300" s="53" t="s">
        <v>32</v>
      </c>
      <c r="D1300" s="53" t="s">
        <v>1190</v>
      </c>
      <c r="E1300" s="65" t="s">
        <v>2682</v>
      </c>
      <c r="F1300" s="53" t="s">
        <v>62</v>
      </c>
      <c r="H1300" s="53">
        <f>STOCK[[#This Row],[Precio Final]]</f>
        <v>20</v>
      </c>
      <c r="I1300" s="53">
        <f>STOCK[[#This Row],[Precio Venta Ideal (x1.5)]]</f>
        <v>22.725000000000001</v>
      </c>
      <c r="J1300" s="69">
        <v>1</v>
      </c>
      <c r="K1300" s="69">
        <f>SUMIFS(VENTAS[Cantidad],VENTAS[Código del producto Vendido],STOCK[[#This Row],[Code]])</f>
        <v>1</v>
      </c>
      <c r="L1300" s="69">
        <f>STOCK[[#This Row],[Entradas]]-STOCK[[#This Row],[Salidas]]</f>
        <v>0</v>
      </c>
      <c r="M1300" s="53">
        <f>STOCK[[#This Row],[Precio Final]]*10%</f>
        <v>2</v>
      </c>
      <c r="N1300" s="53">
        <v>0</v>
      </c>
      <c r="O1300" s="53">
        <v>0</v>
      </c>
      <c r="P1300" s="53">
        <v>11.18</v>
      </c>
      <c r="Q1300" s="69">
        <v>0</v>
      </c>
      <c r="R1300" s="53">
        <v>0</v>
      </c>
      <c r="S1300" s="54">
        <v>1.97</v>
      </c>
      <c r="T1300" s="53">
        <f>STOCK[[#This Row],[Costo Unitario (USD)]]+STOCK[[#This Row],[Costo Envío (USD)]]+STOCK[[#This Row],[Comisión 10%]]</f>
        <v>15.15</v>
      </c>
      <c r="U1300" s="53">
        <f>STOCK[[#This Row],[Costo total]]*1.5</f>
        <v>22.725000000000001</v>
      </c>
      <c r="V1300" s="53">
        <v>20</v>
      </c>
      <c r="W1300" s="53">
        <f>STOCK[[#This Row],[Precio Final]]-STOCK[[#This Row],[Costo total]]</f>
        <v>4.8499999999999996</v>
      </c>
      <c r="X1300" s="53">
        <f>STOCK[[#This Row],[Ganancia Unitaria]]*STOCK[[#This Row],[Salidas]]</f>
        <v>4.8499999999999996</v>
      </c>
      <c r="AA1300" s="54">
        <f>STOCK[[#This Row],[Costo total]]*STOCK[[#This Row],[Entradas]]</f>
        <v>15.15</v>
      </c>
      <c r="AB1300" s="54">
        <f>STOCK[[#This Row],[Stock Actual]]*STOCK[[#This Row],[Costo total]]</f>
        <v>0</v>
      </c>
    </row>
    <row r="1301" spans="1:29" s="54" customFormat="1" ht="50" customHeight="1">
      <c r="A1301" s="54" t="s">
        <v>2683</v>
      </c>
      <c r="B1301" s="64"/>
      <c r="C1301" s="54" t="s">
        <v>32</v>
      </c>
      <c r="D1301" s="54" t="s">
        <v>1190</v>
      </c>
      <c r="E1301" s="66" t="s">
        <v>2684</v>
      </c>
      <c r="F1301" s="54" t="s">
        <v>40</v>
      </c>
      <c r="H1301" s="54">
        <f>STOCK[[#This Row],[Precio Final]]</f>
        <v>8</v>
      </c>
      <c r="I1301" s="54">
        <f>STOCK[[#This Row],[Precio Venta Ideal (x1.5)]]</f>
        <v>8.07</v>
      </c>
      <c r="J1301" s="70">
        <v>1</v>
      </c>
      <c r="K1301" s="70">
        <f>SUMIFS(VENTAS[Cantidad],VENTAS[Código del producto Vendido],STOCK[[#This Row],[Code]])</f>
        <v>1</v>
      </c>
      <c r="L1301" s="70">
        <f>STOCK[[#This Row],[Entradas]]-STOCK[[#This Row],[Salidas]]</f>
        <v>0</v>
      </c>
      <c r="M1301" s="54">
        <f>STOCK[[#This Row],[Precio Final]]*10%</f>
        <v>0.8</v>
      </c>
      <c r="N1301" s="54">
        <v>0</v>
      </c>
      <c r="O1301" s="54">
        <v>0</v>
      </c>
      <c r="P1301" s="54">
        <v>2.61</v>
      </c>
      <c r="Q1301" s="70">
        <v>0</v>
      </c>
      <c r="R1301" s="54">
        <v>0</v>
      </c>
      <c r="S1301" s="54">
        <v>1.97</v>
      </c>
      <c r="T1301" s="53">
        <f>STOCK[[#This Row],[Costo Unitario (USD)]]+STOCK[[#This Row],[Costo Envío (USD)]]+STOCK[[#This Row],[Comisión 10%]]</f>
        <v>5.38</v>
      </c>
      <c r="U1301" s="54">
        <f>STOCK[[#This Row],[Costo total]]*1.5</f>
        <v>8.07</v>
      </c>
      <c r="V1301" s="54">
        <v>8</v>
      </c>
      <c r="W1301" s="54">
        <f>STOCK[[#This Row],[Precio Final]]-STOCK[[#This Row],[Costo total]]</f>
        <v>2.62</v>
      </c>
      <c r="X1301" s="54">
        <f>STOCK[[#This Row],[Ganancia Unitaria]]*STOCK[[#This Row],[Salidas]]</f>
        <v>2.62</v>
      </c>
      <c r="AA1301" s="54">
        <f>STOCK[[#This Row],[Costo total]]*STOCK[[#This Row],[Entradas]]</f>
        <v>5.38</v>
      </c>
      <c r="AB1301" s="54">
        <f>STOCK[[#This Row],[Stock Actual]]*STOCK[[#This Row],[Costo total]]</f>
        <v>0</v>
      </c>
    </row>
    <row r="1302" spans="1:29" s="53" customFormat="1" ht="50" customHeight="1">
      <c r="A1302" s="53" t="s">
        <v>2685</v>
      </c>
      <c r="B1302" s="64"/>
      <c r="C1302" s="53" t="s">
        <v>32</v>
      </c>
      <c r="D1302" s="53" t="s">
        <v>1190</v>
      </c>
      <c r="E1302" s="65" t="s">
        <v>2686</v>
      </c>
      <c r="F1302" s="53" t="s">
        <v>40</v>
      </c>
      <c r="H1302" s="53">
        <f>STOCK[[#This Row],[Precio Final]]</f>
        <v>5</v>
      </c>
      <c r="I1302" s="53">
        <f>STOCK[[#This Row],[Precio Venta Ideal (x1.5)]]</f>
        <v>4.26</v>
      </c>
      <c r="J1302" s="69">
        <v>1</v>
      </c>
      <c r="K1302" s="69">
        <f>SUMIFS(VENTAS[Cantidad],VENTAS[Código del producto Vendido],STOCK[[#This Row],[Code]])</f>
        <v>0</v>
      </c>
      <c r="L1302" s="69">
        <f>STOCK[[#This Row],[Entradas]]-STOCK[[#This Row],[Salidas]]</f>
        <v>1</v>
      </c>
      <c r="M1302" s="53">
        <f>STOCK[[#This Row],[Precio Final]]*10%</f>
        <v>0.5</v>
      </c>
      <c r="N1302" s="53">
        <v>0</v>
      </c>
      <c r="O1302" s="53">
        <v>0</v>
      </c>
      <c r="P1302" s="53">
        <v>1.84</v>
      </c>
      <c r="Q1302" s="69">
        <v>0</v>
      </c>
      <c r="R1302" s="53">
        <v>0</v>
      </c>
      <c r="S1302" s="54">
        <v>0.5</v>
      </c>
      <c r="T1302" s="53">
        <f>STOCK[[#This Row],[Costo Unitario (USD)]]+STOCK[[#This Row],[Costo Envío (USD)]]+STOCK[[#This Row],[Comisión 10%]]</f>
        <v>2.84</v>
      </c>
      <c r="U1302" s="53">
        <f>STOCK[[#This Row],[Costo total]]*1.5</f>
        <v>4.26</v>
      </c>
      <c r="V1302" s="53">
        <v>5</v>
      </c>
      <c r="W1302" s="53">
        <f>STOCK[[#This Row],[Precio Final]]-STOCK[[#This Row],[Costo total]]</f>
        <v>2.16</v>
      </c>
      <c r="X1302" s="53">
        <f>STOCK[[#This Row],[Ganancia Unitaria]]*STOCK[[#This Row],[Salidas]]</f>
        <v>0</v>
      </c>
      <c r="AA1302" s="54">
        <f>STOCK[[#This Row],[Costo total]]*STOCK[[#This Row],[Entradas]]</f>
        <v>2.84</v>
      </c>
      <c r="AB1302" s="54">
        <f>STOCK[[#This Row],[Stock Actual]]*STOCK[[#This Row],[Costo total]]</f>
        <v>2.84</v>
      </c>
    </row>
    <row r="1303" spans="1:29" s="54" customFormat="1" ht="50" customHeight="1">
      <c r="A1303" s="54" t="s">
        <v>2687</v>
      </c>
      <c r="B1303" s="64"/>
      <c r="C1303" s="54" t="s">
        <v>32</v>
      </c>
      <c r="D1303" s="54" t="s">
        <v>1190</v>
      </c>
      <c r="E1303" s="66" t="s">
        <v>2688</v>
      </c>
      <c r="F1303" s="54" t="s">
        <v>40</v>
      </c>
      <c r="H1303" s="54">
        <f>STOCK[[#This Row],[Precio Final]]</f>
        <v>22</v>
      </c>
      <c r="I1303" s="54">
        <f>STOCK[[#This Row],[Precio Venta Ideal (x1.5)]]</f>
        <v>22.335000000000001</v>
      </c>
      <c r="J1303" s="70">
        <v>1</v>
      </c>
      <c r="K1303" s="70">
        <f>SUMIFS(VENTAS[Cantidad],VENTAS[Código del producto Vendido],STOCK[[#This Row],[Code]])</f>
        <v>1</v>
      </c>
      <c r="L1303" s="70">
        <f>STOCK[[#This Row],[Entradas]]-STOCK[[#This Row],[Salidas]]</f>
        <v>0</v>
      </c>
      <c r="M1303" s="54">
        <f>STOCK[[#This Row],[Precio Final]]*10%</f>
        <v>2.2000000000000002</v>
      </c>
      <c r="N1303" s="54">
        <v>0</v>
      </c>
      <c r="O1303" s="54">
        <v>0</v>
      </c>
      <c r="P1303" s="54">
        <v>10.72</v>
      </c>
      <c r="Q1303" s="70">
        <v>0</v>
      </c>
      <c r="R1303" s="54">
        <v>0</v>
      </c>
      <c r="S1303" s="54">
        <v>1.97</v>
      </c>
      <c r="T1303" s="53">
        <f>STOCK[[#This Row],[Costo Unitario (USD)]]+STOCK[[#This Row],[Costo Envío (USD)]]+STOCK[[#This Row],[Comisión 10%]]</f>
        <v>14.89</v>
      </c>
      <c r="U1303" s="54">
        <f>STOCK[[#This Row],[Costo total]]*1.5</f>
        <v>22.335000000000001</v>
      </c>
      <c r="V1303" s="54">
        <v>22</v>
      </c>
      <c r="W1303" s="54">
        <f>STOCK[[#This Row],[Precio Final]]-STOCK[[#This Row],[Costo total]]</f>
        <v>7.1099999999999994</v>
      </c>
      <c r="X1303" s="54">
        <f>STOCK[[#This Row],[Ganancia Unitaria]]*STOCK[[#This Row],[Salidas]]</f>
        <v>7.1099999999999994</v>
      </c>
      <c r="AA1303" s="54">
        <f>STOCK[[#This Row],[Costo total]]*STOCK[[#This Row],[Entradas]]</f>
        <v>14.89</v>
      </c>
      <c r="AB1303" s="54">
        <f>STOCK[[#This Row],[Stock Actual]]*STOCK[[#This Row],[Costo total]]</f>
        <v>0</v>
      </c>
    </row>
    <row r="1304" spans="1:29" s="53" customFormat="1" ht="50" customHeight="1">
      <c r="A1304" s="53" t="s">
        <v>2689</v>
      </c>
      <c r="B1304" s="64"/>
      <c r="C1304" s="53" t="s">
        <v>32</v>
      </c>
      <c r="D1304" s="53" t="s">
        <v>1212</v>
      </c>
      <c r="E1304" s="65" t="s">
        <v>2690</v>
      </c>
      <c r="F1304" s="53" t="s">
        <v>40</v>
      </c>
      <c r="H1304" s="53">
        <f>STOCK[[#This Row],[Precio Final]]</f>
        <v>20</v>
      </c>
      <c r="I1304" s="53">
        <f>STOCK[[#This Row],[Precio Venta Ideal (x1.5)]]</f>
        <v>18.165000000000003</v>
      </c>
      <c r="J1304" s="69">
        <v>1</v>
      </c>
      <c r="K1304" s="69">
        <f>SUMIFS(VENTAS[Cantidad],VENTAS[Código del producto Vendido],STOCK[[#This Row],[Code]])</f>
        <v>0</v>
      </c>
      <c r="L1304" s="69">
        <f>STOCK[[#This Row],[Entradas]]-STOCK[[#This Row],[Salidas]]</f>
        <v>1</v>
      </c>
      <c r="M1304" s="53">
        <f>STOCK[[#This Row],[Precio Final]]*10%</f>
        <v>2</v>
      </c>
      <c r="N1304" s="53">
        <v>0</v>
      </c>
      <c r="O1304" s="53">
        <v>0</v>
      </c>
      <c r="P1304" s="53">
        <v>8.14</v>
      </c>
      <c r="Q1304" s="69">
        <v>0</v>
      </c>
      <c r="R1304" s="53">
        <v>0</v>
      </c>
      <c r="S1304" s="54">
        <v>1.97</v>
      </c>
      <c r="T1304" s="53">
        <f>STOCK[[#This Row],[Costo Unitario (USD)]]+STOCK[[#This Row],[Costo Envío (USD)]]+STOCK[[#This Row],[Comisión 10%]]</f>
        <v>12.110000000000001</v>
      </c>
      <c r="U1304" s="53">
        <f>STOCK[[#This Row],[Costo total]]*1.5</f>
        <v>18.165000000000003</v>
      </c>
      <c r="V1304" s="53">
        <v>20</v>
      </c>
      <c r="W1304" s="53">
        <f>STOCK[[#This Row],[Precio Final]]-STOCK[[#This Row],[Costo total]]</f>
        <v>7.8899999999999988</v>
      </c>
      <c r="X1304" s="53">
        <f>STOCK[[#This Row],[Ganancia Unitaria]]*STOCK[[#This Row],[Salidas]]</f>
        <v>0</v>
      </c>
      <c r="AA1304" s="54">
        <f>STOCK[[#This Row],[Costo total]]*STOCK[[#This Row],[Entradas]]</f>
        <v>12.110000000000001</v>
      </c>
      <c r="AB1304" s="54">
        <f>STOCK[[#This Row],[Stock Actual]]*STOCK[[#This Row],[Costo total]]</f>
        <v>12.110000000000001</v>
      </c>
    </row>
    <row r="1305" spans="1:29" s="54" customFormat="1" ht="50" customHeight="1">
      <c r="A1305" s="54" t="s">
        <v>2691</v>
      </c>
      <c r="B1305" s="64"/>
      <c r="C1305" s="54" t="s">
        <v>32</v>
      </c>
      <c r="D1305" s="54" t="s">
        <v>1212</v>
      </c>
      <c r="E1305" s="66" t="s">
        <v>2692</v>
      </c>
      <c r="F1305" s="54" t="s">
        <v>62</v>
      </c>
      <c r="H1305" s="54">
        <f>STOCK[[#This Row],[Precio Final]]</f>
        <v>18</v>
      </c>
      <c r="I1305" s="54">
        <f>STOCK[[#This Row],[Precio Venta Ideal (x1.5)]]</f>
        <v>17.880000000000003</v>
      </c>
      <c r="J1305" s="70">
        <v>1</v>
      </c>
      <c r="K1305" s="70">
        <f>SUMIFS(VENTAS[Cantidad],VENTAS[Código del producto Vendido],STOCK[[#This Row],[Code]])</f>
        <v>1</v>
      </c>
      <c r="L1305" s="70">
        <f>STOCK[[#This Row],[Entradas]]-STOCK[[#This Row],[Salidas]]</f>
        <v>0</v>
      </c>
      <c r="M1305" s="54">
        <f>STOCK[[#This Row],[Precio Final]]*10%</f>
        <v>1.8</v>
      </c>
      <c r="N1305" s="54">
        <v>0</v>
      </c>
      <c r="O1305" s="54">
        <v>0</v>
      </c>
      <c r="P1305" s="54">
        <v>8.15</v>
      </c>
      <c r="Q1305" s="70">
        <v>0</v>
      </c>
      <c r="R1305" s="54">
        <v>0</v>
      </c>
      <c r="S1305" s="54">
        <v>1.97</v>
      </c>
      <c r="T1305" s="53">
        <f>STOCK[[#This Row],[Costo Unitario (USD)]]+STOCK[[#This Row],[Costo Envío (USD)]]+STOCK[[#This Row],[Comisión 10%]]</f>
        <v>11.920000000000002</v>
      </c>
      <c r="U1305" s="54">
        <f>STOCK[[#This Row],[Costo total]]*1.5</f>
        <v>17.880000000000003</v>
      </c>
      <c r="V1305" s="54">
        <v>18</v>
      </c>
      <c r="W1305" s="54">
        <f>STOCK[[#This Row],[Precio Final]]-STOCK[[#This Row],[Costo total]]</f>
        <v>6.0799999999999983</v>
      </c>
      <c r="X1305" s="54">
        <f>STOCK[[#This Row],[Ganancia Unitaria]]*STOCK[[#This Row],[Salidas]]</f>
        <v>6.0799999999999983</v>
      </c>
      <c r="AA1305" s="54">
        <f>STOCK[[#This Row],[Costo total]]*STOCK[[#This Row],[Entradas]]</f>
        <v>11.920000000000002</v>
      </c>
      <c r="AB1305" s="54">
        <f>STOCK[[#This Row],[Stock Actual]]*STOCK[[#This Row],[Costo total]]</f>
        <v>0</v>
      </c>
    </row>
    <row r="1306" spans="1:29" s="53" customFormat="1" ht="50" customHeight="1">
      <c r="A1306" s="53" t="s">
        <v>2693</v>
      </c>
      <c r="B1306" s="64"/>
      <c r="C1306" s="53" t="s">
        <v>32</v>
      </c>
      <c r="D1306" s="53" t="s">
        <v>2128</v>
      </c>
      <c r="E1306" s="65" t="s">
        <v>2694</v>
      </c>
      <c r="F1306" s="53" t="s">
        <v>62</v>
      </c>
      <c r="H1306" s="53">
        <f>STOCK[[#This Row],[Precio Final]]</f>
        <v>25</v>
      </c>
      <c r="I1306" s="53">
        <f>STOCK[[#This Row],[Precio Venta Ideal (x1.5)]]</f>
        <v>22.17</v>
      </c>
      <c r="J1306" s="69">
        <v>1</v>
      </c>
      <c r="K1306" s="69">
        <f>SUMIFS(VENTAS[Cantidad],VENTAS[Código del producto Vendido],STOCK[[#This Row],[Code]])</f>
        <v>1</v>
      </c>
      <c r="L1306" s="69">
        <f>STOCK[[#This Row],[Entradas]]-STOCK[[#This Row],[Salidas]]</f>
        <v>0</v>
      </c>
      <c r="M1306" s="53">
        <f>STOCK[[#This Row],[Precio Final]]*10%</f>
        <v>2.5</v>
      </c>
      <c r="N1306" s="53">
        <v>0</v>
      </c>
      <c r="O1306" s="53">
        <v>0</v>
      </c>
      <c r="P1306" s="53">
        <v>10.31</v>
      </c>
      <c r="Q1306" s="69">
        <v>0</v>
      </c>
      <c r="R1306" s="53">
        <v>0</v>
      </c>
      <c r="S1306" s="54">
        <v>1.97</v>
      </c>
      <c r="T1306" s="53">
        <f>STOCK[[#This Row],[Costo Unitario (USD)]]+STOCK[[#This Row],[Costo Envío (USD)]]+STOCK[[#This Row],[Comisión 10%]]</f>
        <v>14.780000000000001</v>
      </c>
      <c r="U1306" s="53">
        <f>STOCK[[#This Row],[Costo total]]*1.5</f>
        <v>22.17</v>
      </c>
      <c r="V1306" s="53">
        <v>25</v>
      </c>
      <c r="W1306" s="53">
        <f>STOCK[[#This Row],[Precio Final]]-STOCK[[#This Row],[Costo total]]</f>
        <v>10.219999999999999</v>
      </c>
      <c r="X1306" s="53">
        <f>STOCK[[#This Row],[Ganancia Unitaria]]*STOCK[[#This Row],[Salidas]]</f>
        <v>10.219999999999999</v>
      </c>
      <c r="AA1306" s="54">
        <f>STOCK[[#This Row],[Costo total]]*STOCK[[#This Row],[Entradas]]</f>
        <v>14.780000000000001</v>
      </c>
      <c r="AB1306" s="54">
        <f>STOCK[[#This Row],[Stock Actual]]*STOCK[[#This Row],[Costo total]]</f>
        <v>0</v>
      </c>
    </row>
    <row r="1307" spans="1:29" s="54" customFormat="1" ht="50" customHeight="1">
      <c r="A1307" s="54" t="s">
        <v>2695</v>
      </c>
      <c r="B1307" s="64"/>
      <c r="C1307" s="54" t="s">
        <v>32</v>
      </c>
      <c r="D1307" s="54" t="s">
        <v>392</v>
      </c>
      <c r="E1307" s="66" t="s">
        <v>2696</v>
      </c>
      <c r="H1307" s="54">
        <f>STOCK[[#This Row],[Precio Final]]</f>
        <v>40</v>
      </c>
      <c r="I1307" s="54">
        <f>STOCK[[#This Row],[Precio Venta Ideal (x1.5)]]</f>
        <v>30.555</v>
      </c>
      <c r="J1307" s="70">
        <v>1</v>
      </c>
      <c r="K1307" s="70">
        <f>SUMIFS(VENTAS[Cantidad],VENTAS[Código del producto Vendido],STOCK[[#This Row],[Code]])</f>
        <v>1</v>
      </c>
      <c r="L1307" s="70">
        <f>STOCK[[#This Row],[Entradas]]-STOCK[[#This Row],[Salidas]]</f>
        <v>0</v>
      </c>
      <c r="M1307" s="54">
        <f>STOCK[[#This Row],[Precio Final]]*10%</f>
        <v>4</v>
      </c>
      <c r="N1307" s="53">
        <v>0</v>
      </c>
      <c r="O1307" s="53">
        <v>0</v>
      </c>
      <c r="P1307" s="54">
        <v>14.4</v>
      </c>
      <c r="Q1307" s="70">
        <v>0</v>
      </c>
      <c r="R1307" s="54">
        <v>0</v>
      </c>
      <c r="S1307" s="54">
        <v>1.97</v>
      </c>
      <c r="T1307" s="53">
        <f>STOCK[[#This Row],[Costo Unitario (USD)]]+STOCK[[#This Row],[Costo Envío (USD)]]+STOCK[[#This Row],[Comisión 10%]]</f>
        <v>20.37</v>
      </c>
      <c r="U1307" s="54">
        <f>STOCK[[#This Row],[Costo total]]*1.5</f>
        <v>30.555</v>
      </c>
      <c r="V1307" s="54">
        <v>40</v>
      </c>
      <c r="W1307" s="54">
        <f>STOCK[[#This Row],[Precio Final]]-STOCK[[#This Row],[Costo total]]</f>
        <v>19.63</v>
      </c>
      <c r="X1307" s="54">
        <f>STOCK[[#This Row],[Ganancia Unitaria]]*STOCK[[#This Row],[Salidas]]</f>
        <v>19.63</v>
      </c>
      <c r="AA1307" s="54">
        <f>STOCK[[#This Row],[Costo total]]*STOCK[[#This Row],[Entradas]]</f>
        <v>20.37</v>
      </c>
      <c r="AB1307" s="54">
        <f>STOCK[[#This Row],[Stock Actual]]*STOCK[[#This Row],[Costo total]]</f>
        <v>0</v>
      </c>
    </row>
    <row r="1308" spans="1:29" s="53" customFormat="1" ht="50" customHeight="1">
      <c r="A1308" s="53" t="s">
        <v>2697</v>
      </c>
      <c r="B1308" s="64"/>
      <c r="C1308" s="53" t="s">
        <v>32</v>
      </c>
      <c r="D1308" s="53" t="s">
        <v>392</v>
      </c>
      <c r="E1308" s="65" t="s">
        <v>2698</v>
      </c>
      <c r="H1308" s="53">
        <f>STOCK[[#This Row],[Precio Final]]</f>
        <v>40</v>
      </c>
      <c r="I1308" s="53">
        <f>STOCK[[#This Row],[Precio Venta Ideal (x1.5)]]</f>
        <v>30.555</v>
      </c>
      <c r="J1308" s="69">
        <v>1</v>
      </c>
      <c r="K1308" s="69">
        <f>SUMIFS(VENTAS[Cantidad],VENTAS[Código del producto Vendido],STOCK[[#This Row],[Code]])</f>
        <v>1</v>
      </c>
      <c r="L1308" s="69">
        <f>STOCK[[#This Row],[Entradas]]-STOCK[[#This Row],[Salidas]]</f>
        <v>0</v>
      </c>
      <c r="M1308" s="53">
        <f>STOCK[[#This Row],[Precio Final]]*10%</f>
        <v>4</v>
      </c>
      <c r="N1308" s="53">
        <v>0</v>
      </c>
      <c r="O1308" s="53">
        <v>0</v>
      </c>
      <c r="P1308" s="54">
        <v>14.4</v>
      </c>
      <c r="Q1308" s="69">
        <v>0</v>
      </c>
      <c r="R1308" s="53">
        <v>0</v>
      </c>
      <c r="S1308" s="54">
        <v>1.97</v>
      </c>
      <c r="T1308" s="53">
        <f>STOCK[[#This Row],[Costo Unitario (USD)]]+STOCK[[#This Row],[Costo Envío (USD)]]+STOCK[[#This Row],[Comisión 10%]]</f>
        <v>20.37</v>
      </c>
      <c r="U1308" s="53">
        <f>STOCK[[#This Row],[Costo total]]*1.5</f>
        <v>30.555</v>
      </c>
      <c r="V1308" s="53">
        <v>40</v>
      </c>
      <c r="W1308" s="53">
        <f>STOCK[[#This Row],[Precio Final]]-STOCK[[#This Row],[Costo total]]</f>
        <v>19.63</v>
      </c>
      <c r="X1308" s="53">
        <f>STOCK[[#This Row],[Ganancia Unitaria]]*STOCK[[#This Row],[Salidas]]</f>
        <v>19.63</v>
      </c>
      <c r="AA1308" s="54">
        <f>STOCK[[#This Row],[Costo total]]*STOCK[[#This Row],[Entradas]]</f>
        <v>20.37</v>
      </c>
      <c r="AB1308" s="54">
        <f>STOCK[[#This Row],[Stock Actual]]*STOCK[[#This Row],[Costo total]]</f>
        <v>0</v>
      </c>
    </row>
    <row r="1309" spans="1:29" s="54" customFormat="1" ht="50" customHeight="1">
      <c r="A1309" s="54" t="s">
        <v>2699</v>
      </c>
      <c r="B1309" s="64"/>
      <c r="C1309" s="54" t="s">
        <v>32</v>
      </c>
      <c r="D1309" s="53" t="s">
        <v>392</v>
      </c>
      <c r="E1309" s="65" t="s">
        <v>2700</v>
      </c>
      <c r="F1309" s="54" t="s">
        <v>2701</v>
      </c>
      <c r="H1309" s="54">
        <f>STOCK[[#This Row],[Precio Final]]</f>
        <v>40</v>
      </c>
      <c r="I1309" s="54">
        <f>STOCK[[#This Row],[Precio Venta Ideal (x1.5)]]</f>
        <v>30.555</v>
      </c>
      <c r="J1309" s="70">
        <v>1</v>
      </c>
      <c r="K1309" s="70">
        <f>SUMIFS(VENTAS[Cantidad],VENTAS[Código del producto Vendido],STOCK[[#This Row],[Code]])</f>
        <v>1</v>
      </c>
      <c r="L1309" s="70">
        <f>STOCK[[#This Row],[Entradas]]-STOCK[[#This Row],[Salidas]]</f>
        <v>0</v>
      </c>
      <c r="M1309" s="54">
        <f>STOCK[[#This Row],[Precio Final]]*10%</f>
        <v>4</v>
      </c>
      <c r="N1309" s="53">
        <v>0</v>
      </c>
      <c r="O1309" s="53">
        <v>0</v>
      </c>
      <c r="P1309" s="54">
        <v>14.4</v>
      </c>
      <c r="Q1309" s="70">
        <v>0</v>
      </c>
      <c r="R1309" s="54">
        <v>0</v>
      </c>
      <c r="S1309" s="54">
        <v>1.97</v>
      </c>
      <c r="T1309" s="53">
        <f>STOCK[[#This Row],[Costo Unitario (USD)]]+STOCK[[#This Row],[Costo Envío (USD)]]+STOCK[[#This Row],[Comisión 10%]]</f>
        <v>20.37</v>
      </c>
      <c r="U1309" s="54">
        <f>STOCK[[#This Row],[Costo total]]*1.5</f>
        <v>30.555</v>
      </c>
      <c r="V1309" s="54">
        <v>40</v>
      </c>
      <c r="W1309" s="54">
        <f>STOCK[[#This Row],[Precio Final]]-STOCK[[#This Row],[Costo total]]</f>
        <v>19.63</v>
      </c>
      <c r="X1309" s="54">
        <f>STOCK[[#This Row],[Ganancia Unitaria]]*STOCK[[#This Row],[Salidas]]</f>
        <v>19.63</v>
      </c>
      <c r="AA1309" s="54">
        <f>STOCK[[#This Row],[Costo total]]*STOCK[[#This Row],[Entradas]]</f>
        <v>20.37</v>
      </c>
      <c r="AB1309" s="54">
        <f>STOCK[[#This Row],[Stock Actual]]*STOCK[[#This Row],[Costo total]]</f>
        <v>0</v>
      </c>
    </row>
    <row r="1310" spans="1:29" s="53" customFormat="1" ht="50" customHeight="1">
      <c r="A1310" s="53" t="s">
        <v>2702</v>
      </c>
      <c r="C1310" s="53" t="s">
        <v>32</v>
      </c>
      <c r="D1310" s="53" t="s">
        <v>392</v>
      </c>
      <c r="E1310" s="65" t="s">
        <v>2703</v>
      </c>
      <c r="F1310" s="53" t="s">
        <v>2701</v>
      </c>
      <c r="H1310" s="53">
        <f>STOCK[[#This Row],[Precio Final]]</f>
        <v>40</v>
      </c>
      <c r="I1310" s="53">
        <f>STOCK[[#This Row],[Precio Venta Ideal (x1.5)]]</f>
        <v>30.555</v>
      </c>
      <c r="J1310" s="69">
        <v>1</v>
      </c>
      <c r="K1310" s="69">
        <f>SUMIFS(VENTAS[Cantidad],VENTAS[Código del producto Vendido],STOCK[[#This Row],[Code]])</f>
        <v>0</v>
      </c>
      <c r="L1310" s="69">
        <f>STOCK[[#This Row],[Entradas]]-STOCK[[#This Row],[Salidas]]</f>
        <v>1</v>
      </c>
      <c r="M1310" s="53">
        <f>STOCK[[#This Row],[Precio Final]]*10%</f>
        <v>4</v>
      </c>
      <c r="N1310" s="53">
        <v>0</v>
      </c>
      <c r="O1310" s="53">
        <v>0</v>
      </c>
      <c r="P1310" s="54">
        <v>14.4</v>
      </c>
      <c r="Q1310" s="69">
        <v>0</v>
      </c>
      <c r="R1310" s="53">
        <v>0</v>
      </c>
      <c r="S1310" s="54">
        <v>1.97</v>
      </c>
      <c r="T1310" s="53">
        <f>STOCK[[#This Row],[Costo Unitario (USD)]]+STOCK[[#This Row],[Costo Envío (USD)]]+STOCK[[#This Row],[Comisión 10%]]</f>
        <v>20.37</v>
      </c>
      <c r="U1310" s="54">
        <f>STOCK[[#This Row],[Costo total]]*1.5</f>
        <v>30.555</v>
      </c>
      <c r="V1310" s="53">
        <v>40</v>
      </c>
      <c r="W1310" s="53">
        <f>STOCK[[#This Row],[Precio Final]]-STOCK[[#This Row],[Costo total]]</f>
        <v>19.63</v>
      </c>
      <c r="X1310" s="53">
        <f>STOCK[[#This Row],[Ganancia Unitaria]]*STOCK[[#This Row],[Salidas]]</f>
        <v>0</v>
      </c>
      <c r="AA1310" s="54">
        <f>STOCK[[#This Row],[Costo total]]*STOCK[[#This Row],[Entradas]]</f>
        <v>20.37</v>
      </c>
      <c r="AB1310" s="54">
        <f>STOCK[[#This Row],[Stock Actual]]*STOCK[[#This Row],[Costo total]]</f>
        <v>20.37</v>
      </c>
    </row>
    <row r="1311" spans="1:29" s="53" customFormat="1" ht="50" customHeight="1">
      <c r="A1311" s="53" t="s">
        <v>2704</v>
      </c>
      <c r="C1311" s="53" t="s">
        <v>32</v>
      </c>
      <c r="D1311" s="53" t="s">
        <v>392</v>
      </c>
      <c r="E1311" s="65" t="s">
        <v>2705</v>
      </c>
      <c r="F1311" s="75" t="s">
        <v>2706</v>
      </c>
      <c r="G1311" s="75"/>
      <c r="H1311" s="75">
        <f>STOCK[[#This Row],[Precio Final]]</f>
        <v>20</v>
      </c>
      <c r="I1311" s="75">
        <f>STOCK[[#This Row],[Precio Venta Ideal (x1.5)]]</f>
        <v>12</v>
      </c>
      <c r="J1311" s="78">
        <v>1</v>
      </c>
      <c r="K1311" s="78">
        <f>SUMIFS(VENTAS[Cantidad],VENTAS[Código del producto Vendido],STOCK[[#This Row],[Code]])</f>
        <v>1</v>
      </c>
      <c r="L1311" s="78">
        <f>STOCK[[#This Row],[Entradas]]-STOCK[[#This Row],[Salidas]]</f>
        <v>0</v>
      </c>
      <c r="M1311" s="75">
        <f>STOCK[[#This Row],[Precio Final]]*10%</f>
        <v>2</v>
      </c>
      <c r="N1311" s="53">
        <v>0</v>
      </c>
      <c r="O1311" s="53">
        <v>0</v>
      </c>
      <c r="P1311" s="54">
        <v>7.25</v>
      </c>
      <c r="Q1311" s="78">
        <v>0</v>
      </c>
      <c r="R1311" s="75">
        <v>0</v>
      </c>
      <c r="S1311" s="54">
        <v>1.97</v>
      </c>
      <c r="T1311" s="75">
        <f>STOCK[[#This Row],[Costo Unitario (USD)]]+STOCK[[#This Row],[Costo Envío (USD)]]+STOCK[[#This Row],[Comisión 10%]]</f>
        <v>11.22</v>
      </c>
      <c r="U1311" s="54">
        <f>ROUNDUP(T1311,0)</f>
        <v>12</v>
      </c>
      <c r="V1311" s="75">
        <v>20</v>
      </c>
      <c r="W1311" s="75">
        <f>STOCK[[#This Row],[Precio Final]]-STOCK[[#This Row],[Costo total]]</f>
        <v>8.7799999999999994</v>
      </c>
      <c r="X1311" s="75">
        <f>STOCK[[#This Row],[Ganancia Unitaria]]*STOCK[[#This Row],[Salidas]]</f>
        <v>8.7799999999999994</v>
      </c>
      <c r="Y1311" s="75"/>
      <c r="Z1311" s="75"/>
      <c r="AA1311" s="54">
        <f>STOCK[[#This Row],[Costo total]]*STOCK[[#This Row],[Entradas]]</f>
        <v>11.22</v>
      </c>
      <c r="AB1311" s="54">
        <f>STOCK[[#This Row],[Stock Actual]]*STOCK[[#This Row],[Costo total]]</f>
        <v>0</v>
      </c>
      <c r="AC1311" s="75"/>
    </row>
    <row r="1312" spans="1:29" s="54" customFormat="1" ht="50" customHeight="1">
      <c r="A1312" s="53" t="s">
        <v>2707</v>
      </c>
      <c r="B1312" s="53"/>
      <c r="C1312" s="53" t="s">
        <v>32</v>
      </c>
      <c r="D1312" s="53" t="s">
        <v>392</v>
      </c>
      <c r="E1312" s="65" t="s">
        <v>2708</v>
      </c>
      <c r="F1312" s="75" t="s">
        <v>2706</v>
      </c>
      <c r="G1312" s="75"/>
      <c r="H1312" s="75">
        <f>STOCK[[#This Row],[Precio Final]]</f>
        <v>22</v>
      </c>
      <c r="I1312" s="75">
        <f>STOCK[[#This Row],[Precio Venta Ideal (x1.5)]]</f>
        <v>17.130000000000003</v>
      </c>
      <c r="J1312" s="78">
        <v>1</v>
      </c>
      <c r="K1312" s="78">
        <f>SUMIFS(VENTAS[Cantidad],VENTAS[Código del producto Vendido],STOCK[[#This Row],[Code]])</f>
        <v>0</v>
      </c>
      <c r="L1312" s="78">
        <f>STOCK[[#This Row],[Entradas]]-STOCK[[#This Row],[Salidas]]</f>
        <v>1</v>
      </c>
      <c r="M1312" s="75">
        <f>STOCK[[#This Row],[Precio Final]]*10%</f>
        <v>2.2000000000000002</v>
      </c>
      <c r="N1312" s="53">
        <v>0</v>
      </c>
      <c r="O1312" s="53">
        <v>0</v>
      </c>
      <c r="P1312" s="54">
        <v>7.25</v>
      </c>
      <c r="Q1312" s="78">
        <v>0</v>
      </c>
      <c r="R1312" s="75">
        <v>0</v>
      </c>
      <c r="S1312" s="54">
        <v>1.97</v>
      </c>
      <c r="T1312" s="75">
        <f>STOCK[[#This Row],[Costo Unitario (USD)]]+STOCK[[#This Row],[Costo Envío (USD)]]+STOCK[[#This Row],[Comisión 10%]]</f>
        <v>11.420000000000002</v>
      </c>
      <c r="U1312" s="54">
        <f>STOCK[[#This Row],[Costo total]]*1.5</f>
        <v>17.130000000000003</v>
      </c>
      <c r="V1312" s="75">
        <v>22</v>
      </c>
      <c r="W1312" s="75">
        <f>STOCK[[#This Row],[Precio Final]]-STOCK[[#This Row],[Costo total]]</f>
        <v>10.579999999999998</v>
      </c>
      <c r="X1312" s="75">
        <f>STOCK[[#This Row],[Ganancia Unitaria]]*STOCK[[#This Row],[Salidas]]</f>
        <v>0</v>
      </c>
      <c r="Y1312" s="75"/>
      <c r="Z1312" s="75"/>
      <c r="AA1312" s="54">
        <f>STOCK[[#This Row],[Costo total]]*STOCK[[#This Row],[Entradas]]</f>
        <v>11.420000000000002</v>
      </c>
      <c r="AB1312" s="54">
        <f>STOCK[[#This Row],[Stock Actual]]*STOCK[[#This Row],[Costo total]]</f>
        <v>11.420000000000002</v>
      </c>
      <c r="AC1312" s="75"/>
    </row>
    <row r="1313" spans="1:29" s="53" customFormat="1" ht="50" customHeight="1">
      <c r="A1313" s="53" t="s">
        <v>2709</v>
      </c>
      <c r="B1313" s="75"/>
      <c r="C1313" s="53" t="s">
        <v>32</v>
      </c>
      <c r="D1313" s="53" t="s">
        <v>392</v>
      </c>
      <c r="E1313" s="65" t="s">
        <v>2710</v>
      </c>
      <c r="F1313" s="75" t="s">
        <v>2711</v>
      </c>
      <c r="G1313" s="75"/>
      <c r="H1313" s="75">
        <v>22</v>
      </c>
      <c r="I1313" s="75">
        <f>STOCK[[#This Row],[Precio Venta Ideal (x1.5)]]</f>
        <v>16.830000000000002</v>
      </c>
      <c r="J1313" s="78">
        <v>1</v>
      </c>
      <c r="K1313" s="78">
        <f>SUMIFS(VENTAS[Cantidad],VENTAS[Código del producto Vendido],STOCK[[#This Row],[Code]])</f>
        <v>1</v>
      </c>
      <c r="L1313" s="78">
        <f>STOCK[[#This Row],[Entradas]]-STOCK[[#This Row],[Salidas]]</f>
        <v>0</v>
      </c>
      <c r="M1313" s="75">
        <f>STOCK[[#This Row],[Precio Final]]*10%</f>
        <v>2</v>
      </c>
      <c r="N1313" s="53">
        <v>0</v>
      </c>
      <c r="O1313" s="53">
        <v>0</v>
      </c>
      <c r="P1313" s="54">
        <v>7.25</v>
      </c>
      <c r="Q1313" s="78">
        <v>0</v>
      </c>
      <c r="R1313" s="75">
        <v>0</v>
      </c>
      <c r="S1313" s="54">
        <v>1.97</v>
      </c>
      <c r="T1313" s="75">
        <f>STOCK[[#This Row],[Costo Unitario (USD)]]+STOCK[[#This Row],[Costo Envío (USD)]]+STOCK[[#This Row],[Comisión 10%]]</f>
        <v>11.22</v>
      </c>
      <c r="U1313" s="54">
        <f>STOCK[[#This Row],[Costo total]]*1.5</f>
        <v>16.830000000000002</v>
      </c>
      <c r="V1313" s="75">
        <v>20</v>
      </c>
      <c r="W1313" s="75">
        <f>STOCK[[#This Row],[Precio Final]]-STOCK[[#This Row],[Costo total]]</f>
        <v>8.7799999999999994</v>
      </c>
      <c r="X1313" s="75">
        <f>STOCK[[#This Row],[Ganancia Unitaria]]*STOCK[[#This Row],[Salidas]]</f>
        <v>8.7799999999999994</v>
      </c>
      <c r="Y1313" s="75"/>
      <c r="Z1313" s="75"/>
      <c r="AA1313" s="54">
        <f>STOCK[[#This Row],[Costo total]]*STOCK[[#This Row],[Entradas]]</f>
        <v>11.22</v>
      </c>
      <c r="AB1313" s="54">
        <f>STOCK[[#This Row],[Stock Actual]]*STOCK[[#This Row],[Costo total]]</f>
        <v>0</v>
      </c>
      <c r="AC1313" s="75"/>
    </row>
    <row r="1314" spans="1:29" s="53" customFormat="1" ht="50" customHeight="1">
      <c r="A1314" s="53" t="s">
        <v>2712</v>
      </c>
      <c r="B1314" s="75"/>
      <c r="C1314" s="53" t="s">
        <v>32</v>
      </c>
      <c r="D1314" s="53" t="s">
        <v>392</v>
      </c>
      <c r="E1314" s="65" t="s">
        <v>2713</v>
      </c>
      <c r="F1314" s="75" t="s">
        <v>2711</v>
      </c>
      <c r="G1314" s="75"/>
      <c r="H1314" s="75">
        <v>20</v>
      </c>
      <c r="I1314" s="75">
        <f>STOCK[[#This Row],[Precio Venta Ideal (x1.5)]]</f>
        <v>12</v>
      </c>
      <c r="J1314" s="78">
        <v>1</v>
      </c>
      <c r="K1314" s="78">
        <f>SUMIFS(VENTAS[Cantidad],VENTAS[Código del producto Vendido],STOCK[[#This Row],[Code]])</f>
        <v>0</v>
      </c>
      <c r="L1314" s="78">
        <f>STOCK[[#This Row],[Entradas]]-STOCK[[#This Row],[Salidas]]</f>
        <v>1</v>
      </c>
      <c r="M1314" s="75">
        <f>STOCK[[#This Row],[Precio Final]]*10%</f>
        <v>2.2000000000000002</v>
      </c>
      <c r="N1314" s="75">
        <v>0</v>
      </c>
      <c r="O1314" s="75">
        <v>0</v>
      </c>
      <c r="P1314" s="75">
        <v>7.25</v>
      </c>
      <c r="Q1314" s="78">
        <v>0</v>
      </c>
      <c r="R1314" s="75">
        <v>0</v>
      </c>
      <c r="S1314" s="54">
        <v>1.97</v>
      </c>
      <c r="T1314" s="75">
        <f>STOCK[[#This Row],[Costo Unitario (USD)]]+STOCK[[#This Row],[Costo Envío (USD)]]+STOCK[[#This Row],[Comisión 10%]]</f>
        <v>11.420000000000002</v>
      </c>
      <c r="U1314" s="75">
        <f>ROUNDUP(T1314,0)</f>
        <v>12</v>
      </c>
      <c r="V1314" s="75">
        <v>22</v>
      </c>
      <c r="W1314" s="75">
        <f>STOCK[[#This Row],[Precio Final]]-STOCK[[#This Row],[Costo total]]</f>
        <v>10.579999999999998</v>
      </c>
      <c r="X1314" s="75">
        <f>STOCK[[#This Row],[Ganancia Unitaria]]*STOCK[[#This Row],[Salidas]]</f>
        <v>0</v>
      </c>
      <c r="Y1314" s="75"/>
      <c r="Z1314" s="75"/>
      <c r="AA1314" s="54">
        <f>STOCK[[#This Row],[Costo total]]*STOCK[[#This Row],[Entradas]]</f>
        <v>11.420000000000002</v>
      </c>
      <c r="AB1314" s="54">
        <f>STOCK[[#This Row],[Stock Actual]]*STOCK[[#This Row],[Costo total]]</f>
        <v>11.420000000000002</v>
      </c>
      <c r="AC1314" s="75"/>
    </row>
    <row r="1315" spans="1:29" s="54" customFormat="1" ht="50" customHeight="1">
      <c r="A1315" s="53" t="s">
        <v>2714</v>
      </c>
      <c r="B1315" s="75"/>
      <c r="C1315" s="53" t="s">
        <v>32</v>
      </c>
      <c r="D1315" s="53" t="s">
        <v>392</v>
      </c>
      <c r="E1315" s="65" t="s">
        <v>2715</v>
      </c>
      <c r="F1315" s="75"/>
      <c r="G1315" s="75"/>
      <c r="H1315" s="75">
        <f>STOCK[[#This Row],[Precio Final]]</f>
        <v>40</v>
      </c>
      <c r="I1315" s="75">
        <f>STOCK[[#This Row],[Precio Venta Ideal (x1.5)]]</f>
        <v>21</v>
      </c>
      <c r="J1315" s="78">
        <v>1</v>
      </c>
      <c r="K1315" s="78">
        <f>SUMIFS(VENTAS[Cantidad],VENTAS[Código del producto Vendido],STOCK[[#This Row],[Code]])</f>
        <v>1</v>
      </c>
      <c r="L1315" s="78">
        <f>STOCK[[#This Row],[Entradas]]-STOCK[[#This Row],[Salidas]]</f>
        <v>0</v>
      </c>
      <c r="M1315" s="75">
        <f>STOCK[[#This Row],[Precio Final]]*10%</f>
        <v>4</v>
      </c>
      <c r="N1315" s="75">
        <v>0</v>
      </c>
      <c r="O1315" s="75">
        <v>0</v>
      </c>
      <c r="P1315" s="75">
        <v>14.4</v>
      </c>
      <c r="Q1315" s="78">
        <v>0</v>
      </c>
      <c r="R1315" s="75">
        <v>0</v>
      </c>
      <c r="S1315" s="75">
        <v>1.97</v>
      </c>
      <c r="T1315" s="75">
        <f>STOCK[[#This Row],[Costo Unitario (USD)]]+STOCK[[#This Row],[Costo Envío (USD)]]+STOCK[[#This Row],[Comisión 10%]]</f>
        <v>20.37</v>
      </c>
      <c r="U1315" s="75">
        <f>ROUNDUP(T1315,0)</f>
        <v>21</v>
      </c>
      <c r="V1315" s="75">
        <v>40</v>
      </c>
      <c r="W1315" s="75">
        <f>STOCK[[#This Row],[Precio Final]]-STOCK[[#This Row],[Costo total]]</f>
        <v>19.63</v>
      </c>
      <c r="X1315" s="75">
        <f>STOCK[[#This Row],[Ganancia Unitaria]]*STOCK[[#This Row],[Salidas]]</f>
        <v>19.63</v>
      </c>
      <c r="Y1315" s="75"/>
      <c r="Z1315" s="75"/>
      <c r="AA1315" s="54">
        <f>STOCK[[#This Row],[Costo total]]*STOCK[[#This Row],[Entradas]]</f>
        <v>20.37</v>
      </c>
      <c r="AB1315" s="54">
        <f>STOCK[[#This Row],[Stock Actual]]*STOCK[[#This Row],[Costo total]]</f>
        <v>0</v>
      </c>
      <c r="AC1315" s="75"/>
    </row>
    <row r="1316" spans="1:29" s="53" customFormat="1" ht="50" customHeight="1">
      <c r="A1316" s="53" t="s">
        <v>2716</v>
      </c>
      <c r="B1316" s="64"/>
      <c r="C1316" s="53" t="s">
        <v>32</v>
      </c>
      <c r="D1316" s="53" t="s">
        <v>1482</v>
      </c>
      <c r="E1316" s="65" t="s">
        <v>2462</v>
      </c>
      <c r="F1316" s="53" t="s">
        <v>517</v>
      </c>
      <c r="G1316" s="53" t="s">
        <v>2452</v>
      </c>
      <c r="H1316" s="53">
        <f>STOCK[[#This Row],[Precio Final]]</f>
        <v>45</v>
      </c>
      <c r="I1316" s="53">
        <f>STOCK[[#This Row],[Precio Venta Ideal (x1.5)]]</f>
        <v>43.454999999999998</v>
      </c>
      <c r="J1316" s="69">
        <v>2</v>
      </c>
      <c r="K1316" s="78">
        <f>SUMIFS(VENTAS[Cantidad],VENTAS[Código del producto Vendido],STOCK[[#This Row],[Code]])</f>
        <v>0</v>
      </c>
      <c r="L1316" s="69">
        <f>STOCK[[#This Row],[Entradas]]-STOCK[[#This Row],[Salidas]]</f>
        <v>2</v>
      </c>
      <c r="M1316" s="53">
        <f>STOCK[[#This Row],[Precio Final]]*10%</f>
        <v>4.5</v>
      </c>
      <c r="N1316" s="53">
        <v>0</v>
      </c>
      <c r="O1316" s="53">
        <v>0</v>
      </c>
      <c r="P1316" s="53">
        <v>22.5</v>
      </c>
      <c r="Q1316" s="69">
        <v>0</v>
      </c>
      <c r="R1316" s="53">
        <v>0</v>
      </c>
      <c r="S1316" s="53">
        <v>1.97</v>
      </c>
      <c r="T1316" s="53">
        <f>STOCK[[#This Row],[Costo Unitario (USD)]]+STOCK[[#This Row],[Costo Envío (USD)]]+STOCK[[#This Row],[Comisión 10%]]</f>
        <v>28.97</v>
      </c>
      <c r="U1316" s="53">
        <f>STOCK[[#This Row],[Costo total]]*1.5</f>
        <v>43.454999999999998</v>
      </c>
      <c r="V1316" s="53">
        <v>45</v>
      </c>
      <c r="W1316" s="53">
        <f>STOCK[[#This Row],[Precio Final]]-STOCK[[#This Row],[Costo total]]</f>
        <v>16.03</v>
      </c>
      <c r="X1316" s="53">
        <f>STOCK[[#This Row],[Ganancia Unitaria]]*STOCK[[#This Row],[Salidas]]</f>
        <v>0</v>
      </c>
      <c r="Y1316" s="53" t="s">
        <v>2453</v>
      </c>
      <c r="AA1316" s="54">
        <f>STOCK[[#This Row],[Costo total]]*STOCK[[#This Row],[Entradas]]</f>
        <v>57.94</v>
      </c>
      <c r="AB1316" s="54">
        <f>STOCK[[#This Row],[Stock Actual]]*STOCK[[#This Row],[Costo total]]</f>
        <v>57.94</v>
      </c>
    </row>
    <row r="1317" spans="1:29" s="53" customFormat="1" ht="50" customHeight="1">
      <c r="A1317" s="53" t="s">
        <v>2717</v>
      </c>
      <c r="B1317" s="64"/>
      <c r="C1317" s="53" t="s">
        <v>32</v>
      </c>
      <c r="D1317" s="53" t="s">
        <v>1482</v>
      </c>
      <c r="E1317" s="65" t="s">
        <v>2462</v>
      </c>
      <c r="F1317" s="53" t="s">
        <v>765</v>
      </c>
      <c r="G1317" s="53" t="s">
        <v>2452</v>
      </c>
      <c r="H1317" s="53">
        <f>STOCK[[#This Row],[Precio Final]]</f>
        <v>46</v>
      </c>
      <c r="I1317" s="53">
        <f>STOCK[[#This Row],[Precio Venta Ideal (x1.5)]]</f>
        <v>43.605000000000004</v>
      </c>
      <c r="J1317" s="69">
        <v>2</v>
      </c>
      <c r="K1317" s="78">
        <f>SUMIFS(VENTAS[Cantidad],VENTAS[Código del producto Vendido],STOCK[[#This Row],[Code]])</f>
        <v>2</v>
      </c>
      <c r="L1317" s="69">
        <f>STOCK[[#This Row],[Entradas]]-STOCK[[#This Row],[Salidas]]</f>
        <v>0</v>
      </c>
      <c r="M1317" s="53">
        <f>STOCK[[#This Row],[Precio Final]]*10%</f>
        <v>4.6000000000000005</v>
      </c>
      <c r="N1317" s="53">
        <v>0</v>
      </c>
      <c r="O1317" s="53">
        <v>0</v>
      </c>
      <c r="P1317" s="53">
        <v>22.5</v>
      </c>
      <c r="Q1317" s="69">
        <v>0</v>
      </c>
      <c r="R1317" s="53">
        <v>0</v>
      </c>
      <c r="S1317" s="53">
        <v>1.97</v>
      </c>
      <c r="T1317" s="53">
        <f>STOCK[[#This Row],[Costo Unitario (USD)]]+STOCK[[#This Row],[Costo Envío (USD)]]+STOCK[[#This Row],[Comisión 10%]]</f>
        <v>29.07</v>
      </c>
      <c r="U1317" s="53">
        <f>STOCK[[#This Row],[Costo total]]*1.5</f>
        <v>43.605000000000004</v>
      </c>
      <c r="V1317" s="53">
        <v>46</v>
      </c>
      <c r="W1317" s="53">
        <f>STOCK[[#This Row],[Precio Final]]-STOCK[[#This Row],[Costo total]]</f>
        <v>16.93</v>
      </c>
      <c r="X1317" s="53">
        <f>STOCK[[#This Row],[Ganancia Unitaria]]*STOCK[[#This Row],[Salidas]]</f>
        <v>33.86</v>
      </c>
      <c r="Y1317" s="53" t="s">
        <v>2453</v>
      </c>
      <c r="AA1317" s="54">
        <f>STOCK[[#This Row],[Costo total]]*STOCK[[#This Row],[Entradas]]</f>
        <v>58.14</v>
      </c>
      <c r="AB1317" s="54">
        <f>STOCK[[#This Row],[Stock Actual]]*STOCK[[#This Row],[Costo total]]</f>
        <v>0</v>
      </c>
    </row>
    <row r="1318" spans="1:29" s="53" customFormat="1" ht="50" customHeight="1">
      <c r="A1318" s="53" t="s">
        <v>2718</v>
      </c>
      <c r="B1318" s="64"/>
      <c r="C1318" s="53" t="s">
        <v>32</v>
      </c>
      <c r="D1318" s="53" t="s">
        <v>1482</v>
      </c>
      <c r="E1318" s="65" t="s">
        <v>2462</v>
      </c>
      <c r="F1318" s="53" t="s">
        <v>540</v>
      </c>
      <c r="G1318" s="53" t="s">
        <v>2452</v>
      </c>
      <c r="H1318" s="53">
        <f>STOCK[[#This Row],[Precio Final]]</f>
        <v>47</v>
      </c>
      <c r="I1318" s="53">
        <f>STOCK[[#This Row],[Precio Venta Ideal (x1.5)]]</f>
        <v>43.754999999999995</v>
      </c>
      <c r="J1318" s="69">
        <v>2</v>
      </c>
      <c r="K1318" s="78">
        <f>SUMIFS(VENTAS[Cantidad],VENTAS[Código del producto Vendido],STOCK[[#This Row],[Code]])</f>
        <v>2</v>
      </c>
      <c r="L1318" s="69">
        <f>STOCK[[#This Row],[Entradas]]-STOCK[[#This Row],[Salidas]]</f>
        <v>0</v>
      </c>
      <c r="M1318" s="53">
        <f>STOCK[[#This Row],[Precio Final]]*10%</f>
        <v>4.7</v>
      </c>
      <c r="N1318" s="53">
        <v>0</v>
      </c>
      <c r="O1318" s="53">
        <v>0</v>
      </c>
      <c r="P1318" s="53">
        <v>22.5</v>
      </c>
      <c r="Q1318" s="69">
        <v>0</v>
      </c>
      <c r="R1318" s="53">
        <v>0</v>
      </c>
      <c r="S1318" s="53">
        <v>1.97</v>
      </c>
      <c r="T1318" s="53">
        <f>STOCK[[#This Row],[Costo Unitario (USD)]]+STOCK[[#This Row],[Costo Envío (USD)]]+STOCK[[#This Row],[Comisión 10%]]</f>
        <v>29.169999999999998</v>
      </c>
      <c r="U1318" s="53">
        <f>STOCK[[#This Row],[Costo total]]*1.5</f>
        <v>43.754999999999995</v>
      </c>
      <c r="V1318" s="53">
        <v>47</v>
      </c>
      <c r="W1318" s="53">
        <f>STOCK[[#This Row],[Precio Final]]-STOCK[[#This Row],[Costo total]]</f>
        <v>17.830000000000002</v>
      </c>
      <c r="X1318" s="53">
        <f>STOCK[[#This Row],[Ganancia Unitaria]]*STOCK[[#This Row],[Salidas]]</f>
        <v>35.660000000000004</v>
      </c>
      <c r="Y1318" s="53" t="s">
        <v>2453</v>
      </c>
      <c r="AA1318" s="54">
        <f>STOCK[[#This Row],[Costo total]]*STOCK[[#This Row],[Entradas]]</f>
        <v>58.339999999999996</v>
      </c>
      <c r="AB1318" s="54">
        <f>STOCK[[#This Row],[Stock Actual]]*STOCK[[#This Row],[Costo total]]</f>
        <v>0</v>
      </c>
    </row>
    <row r="1319" spans="1:29" s="53" customFormat="1" ht="50" customHeight="1">
      <c r="A1319" s="53" t="s">
        <v>2719</v>
      </c>
      <c r="B1319" s="76"/>
      <c r="C1319" s="75" t="s">
        <v>32</v>
      </c>
      <c r="D1319" s="75" t="s">
        <v>2640</v>
      </c>
      <c r="E1319" s="77" t="s">
        <v>2720</v>
      </c>
      <c r="F1319" s="75" t="s">
        <v>49</v>
      </c>
      <c r="G1319" s="75" t="s">
        <v>2396</v>
      </c>
      <c r="H1319" s="75">
        <f>STOCK[[#This Row],[Precio Final]]</f>
        <v>30</v>
      </c>
      <c r="I1319" s="53">
        <f>STOCK[[#This Row],[Precio Venta Ideal (x1.5)]]</f>
        <v>33</v>
      </c>
      <c r="J1319" s="78">
        <v>1</v>
      </c>
      <c r="K1319" s="78">
        <f>SUMIFS(VENTAS[Cantidad],VENTAS[Código del producto Vendido],STOCK[[#This Row],[Code]])</f>
        <v>1</v>
      </c>
      <c r="L1319" s="78">
        <f>STOCK[[#This Row],[Entradas]]-STOCK[[#This Row],[Salidas]]</f>
        <v>0</v>
      </c>
      <c r="M1319" s="75">
        <f>STOCK[[#This Row],[Precio Final]]*10%</f>
        <v>3</v>
      </c>
      <c r="N1319" s="53">
        <v>0</v>
      </c>
      <c r="O1319" s="53">
        <v>0</v>
      </c>
      <c r="P1319" s="75">
        <v>17</v>
      </c>
      <c r="Q1319" s="78">
        <v>0</v>
      </c>
      <c r="R1319" s="75">
        <v>0</v>
      </c>
      <c r="S1319" s="53">
        <v>2</v>
      </c>
      <c r="T1319" s="75">
        <f>STOCK[[#This Row],[Costo Unitario (USD)]]+STOCK[[#This Row],[Costo Envío (USD)]]+STOCK[[#This Row],[Comisión 10%]]</f>
        <v>22</v>
      </c>
      <c r="U1319" s="53">
        <f>STOCK[[#This Row],[Costo total]]*1.5</f>
        <v>33</v>
      </c>
      <c r="V1319" s="75">
        <v>30</v>
      </c>
      <c r="W1319" s="75">
        <f>STOCK[[#This Row],[Precio Final]]-STOCK[[#This Row],[Costo total]]</f>
        <v>8</v>
      </c>
      <c r="X1319" s="75">
        <f>STOCK[[#This Row],[Ganancia Unitaria]]*STOCK[[#This Row],[Salidas]]</f>
        <v>8</v>
      </c>
      <c r="Y1319" s="75"/>
      <c r="Z1319" s="75"/>
      <c r="AA1319" s="54">
        <f>STOCK[[#This Row],[Costo total]]*STOCK[[#This Row],[Entradas]]</f>
        <v>22</v>
      </c>
      <c r="AB1319" s="54">
        <f>STOCK[[#This Row],[Stock Actual]]*STOCK[[#This Row],[Costo total]]</f>
        <v>0</v>
      </c>
      <c r="AC1319" s="75"/>
    </row>
    <row r="1320" spans="1:29" s="53" customFormat="1" ht="50" customHeight="1">
      <c r="A1320" s="53" t="s">
        <v>2721</v>
      </c>
      <c r="B1320" s="76"/>
      <c r="C1320" s="75" t="s">
        <v>32</v>
      </c>
      <c r="D1320" s="75" t="s">
        <v>2722</v>
      </c>
      <c r="E1320" s="77" t="s">
        <v>2723</v>
      </c>
      <c r="F1320" s="75" t="s">
        <v>2724</v>
      </c>
      <c r="G1320" s="75" t="s">
        <v>2396</v>
      </c>
      <c r="H1320" s="75">
        <f>STOCK[[#This Row],[Precio Final]]</f>
        <v>35</v>
      </c>
      <c r="I1320" s="53">
        <f>STOCK[[#This Row],[Precio Venta Ideal (x1.5)]]</f>
        <v>47.7</v>
      </c>
      <c r="J1320" s="78">
        <v>1</v>
      </c>
      <c r="K1320" s="78">
        <f>SUMIFS(VENTAS[Cantidad],VENTAS[Código del producto Vendido],STOCK[[#This Row],[Code]])</f>
        <v>1</v>
      </c>
      <c r="L1320" s="78">
        <f>STOCK[[#This Row],[Entradas]]-STOCK[[#This Row],[Salidas]]</f>
        <v>0</v>
      </c>
      <c r="M1320" s="75">
        <f>STOCK[[#This Row],[Precio Final]]*10%</f>
        <v>3.5</v>
      </c>
      <c r="N1320" s="53">
        <v>0</v>
      </c>
      <c r="O1320" s="53">
        <v>0</v>
      </c>
      <c r="P1320" s="75">
        <v>26.3</v>
      </c>
      <c r="Q1320" s="78">
        <v>0</v>
      </c>
      <c r="R1320" s="75">
        <v>0</v>
      </c>
      <c r="S1320" s="53">
        <v>2</v>
      </c>
      <c r="T1320" s="75">
        <f>STOCK[[#This Row],[Costo Unitario (USD)]]+STOCK[[#This Row],[Costo Envío (USD)]]+STOCK[[#This Row],[Comisión 10%]]</f>
        <v>31.8</v>
      </c>
      <c r="U1320" s="53">
        <f>STOCK[[#This Row],[Costo total]]*1.5</f>
        <v>47.7</v>
      </c>
      <c r="V1320" s="75">
        <v>35</v>
      </c>
      <c r="W1320" s="75">
        <f>STOCK[[#This Row],[Precio Final]]-STOCK[[#This Row],[Costo total]]</f>
        <v>3.1999999999999993</v>
      </c>
      <c r="X1320" s="75">
        <f>STOCK[[#This Row],[Ganancia Unitaria]]*STOCK[[#This Row],[Salidas]]</f>
        <v>3.1999999999999993</v>
      </c>
      <c r="Y1320" s="75"/>
      <c r="Z1320" s="75"/>
      <c r="AA1320" s="54">
        <f>STOCK[[#This Row],[Costo total]]*STOCK[[#This Row],[Entradas]]</f>
        <v>31.8</v>
      </c>
      <c r="AB1320" s="54">
        <f>STOCK[[#This Row],[Stock Actual]]*STOCK[[#This Row],[Costo total]]</f>
        <v>0</v>
      </c>
      <c r="AC1320" s="75"/>
    </row>
    <row r="1321" spans="1:29" s="53" customFormat="1" ht="50" customHeight="1">
      <c r="A1321" s="53" t="s">
        <v>2725</v>
      </c>
      <c r="B1321" s="76"/>
      <c r="C1321" s="75" t="s">
        <v>32</v>
      </c>
      <c r="D1321" s="75" t="s">
        <v>2722</v>
      </c>
      <c r="E1321" s="77" t="s">
        <v>2726</v>
      </c>
      <c r="F1321" s="75" t="s">
        <v>2724</v>
      </c>
      <c r="G1321" s="75" t="s">
        <v>2396</v>
      </c>
      <c r="H1321" s="75">
        <f>STOCK[[#This Row],[Precio Final]]</f>
        <v>35</v>
      </c>
      <c r="I1321" s="53">
        <f>STOCK[[#This Row],[Precio Venta Ideal (x1.5)]]</f>
        <v>47.7</v>
      </c>
      <c r="J1321" s="78">
        <v>1</v>
      </c>
      <c r="K1321" s="78">
        <f>SUMIFS(VENTAS[Cantidad],VENTAS[Código del producto Vendido],STOCK[[#This Row],[Code]])</f>
        <v>1</v>
      </c>
      <c r="L1321" s="78">
        <f>STOCK[[#This Row],[Entradas]]-STOCK[[#This Row],[Salidas]]</f>
        <v>0</v>
      </c>
      <c r="M1321" s="75">
        <f>STOCK[[#This Row],[Precio Final]]*10%</f>
        <v>3.5</v>
      </c>
      <c r="N1321" s="53">
        <v>0</v>
      </c>
      <c r="O1321" s="53">
        <v>0</v>
      </c>
      <c r="P1321" s="75">
        <v>26.3</v>
      </c>
      <c r="Q1321" s="78">
        <v>0</v>
      </c>
      <c r="R1321" s="75">
        <v>0</v>
      </c>
      <c r="S1321" s="75">
        <v>2</v>
      </c>
      <c r="T1321" s="75">
        <f>STOCK[[#This Row],[Costo Unitario (USD)]]+STOCK[[#This Row],[Costo Envío (USD)]]+STOCK[[#This Row],[Comisión 10%]]</f>
        <v>31.8</v>
      </c>
      <c r="U1321" s="53">
        <f>STOCK[[#This Row],[Costo total]]*1.5</f>
        <v>47.7</v>
      </c>
      <c r="V1321" s="75">
        <v>35</v>
      </c>
      <c r="W1321" s="75">
        <f>STOCK[[#This Row],[Precio Final]]-STOCK[[#This Row],[Costo total]]</f>
        <v>3.1999999999999993</v>
      </c>
      <c r="X1321" s="75">
        <f>STOCK[[#This Row],[Ganancia Unitaria]]*STOCK[[#This Row],[Salidas]]</f>
        <v>3.1999999999999993</v>
      </c>
      <c r="Y1321" s="75"/>
      <c r="Z1321" s="75"/>
      <c r="AA1321" s="54">
        <f>STOCK[[#This Row],[Costo total]]*STOCK[[#This Row],[Entradas]]</f>
        <v>31.8</v>
      </c>
      <c r="AB1321" s="54">
        <f>STOCK[[#This Row],[Stock Actual]]*STOCK[[#This Row],[Costo total]]</f>
        <v>0</v>
      </c>
      <c r="AC1321" s="75"/>
    </row>
    <row r="1322" spans="1:29" s="53" customFormat="1" ht="50" customHeight="1">
      <c r="A1322" s="53" t="s">
        <v>2727</v>
      </c>
      <c r="B1322" s="76"/>
      <c r="C1322" s="75" t="s">
        <v>32</v>
      </c>
      <c r="D1322" s="75" t="s">
        <v>2722</v>
      </c>
      <c r="E1322" s="77" t="s">
        <v>2728</v>
      </c>
      <c r="F1322" s="75" t="s">
        <v>2724</v>
      </c>
      <c r="G1322" s="75" t="s">
        <v>2396</v>
      </c>
      <c r="H1322" s="75">
        <f>STOCK[[#This Row],[Precio Final]]</f>
        <v>35</v>
      </c>
      <c r="I1322" s="53">
        <f>STOCK[[#This Row],[Precio Venta Ideal (x1.5)]]</f>
        <v>47.7</v>
      </c>
      <c r="J1322" s="78">
        <v>1</v>
      </c>
      <c r="K1322" s="78">
        <f>SUMIFS(VENTAS[Cantidad],VENTAS[Código del producto Vendido],STOCK[[#This Row],[Code]])</f>
        <v>1</v>
      </c>
      <c r="L1322" s="78">
        <f>STOCK[[#This Row],[Entradas]]-STOCK[[#This Row],[Salidas]]</f>
        <v>0</v>
      </c>
      <c r="M1322" s="75">
        <f>STOCK[[#This Row],[Precio Final]]*10%</f>
        <v>3.5</v>
      </c>
      <c r="N1322" s="53">
        <v>0</v>
      </c>
      <c r="O1322" s="53">
        <v>0</v>
      </c>
      <c r="P1322" s="75">
        <v>26.3</v>
      </c>
      <c r="Q1322" s="78">
        <v>0</v>
      </c>
      <c r="R1322" s="75">
        <v>0</v>
      </c>
      <c r="S1322" s="75">
        <v>2</v>
      </c>
      <c r="T1322" s="75">
        <f>STOCK[[#This Row],[Costo Unitario (USD)]]+STOCK[[#This Row],[Costo Envío (USD)]]+STOCK[[#This Row],[Comisión 10%]]</f>
        <v>31.8</v>
      </c>
      <c r="U1322" s="53">
        <f>STOCK[[#This Row],[Costo total]]*1.5</f>
        <v>47.7</v>
      </c>
      <c r="V1322" s="75">
        <v>35</v>
      </c>
      <c r="W1322" s="75">
        <f>STOCK[[#This Row],[Precio Final]]-STOCK[[#This Row],[Costo total]]</f>
        <v>3.1999999999999993</v>
      </c>
      <c r="X1322" s="75">
        <f>STOCK[[#This Row],[Ganancia Unitaria]]*STOCK[[#This Row],[Salidas]]</f>
        <v>3.1999999999999993</v>
      </c>
      <c r="Y1322" s="75"/>
      <c r="Z1322" s="75"/>
      <c r="AA1322" s="54">
        <f>STOCK[[#This Row],[Costo total]]*STOCK[[#This Row],[Entradas]]</f>
        <v>31.8</v>
      </c>
      <c r="AB1322" s="54">
        <f>STOCK[[#This Row],[Stock Actual]]*STOCK[[#This Row],[Costo total]]</f>
        <v>0</v>
      </c>
      <c r="AC1322" s="75"/>
    </row>
    <row r="1323" spans="1:29" s="53" customFormat="1" ht="50" customHeight="1">
      <c r="A1323" s="53" t="s">
        <v>2729</v>
      </c>
      <c r="B1323" s="76"/>
      <c r="C1323" s="75" t="s">
        <v>32</v>
      </c>
      <c r="D1323" s="75" t="s">
        <v>1226</v>
      </c>
      <c r="E1323" s="77" t="s">
        <v>2730</v>
      </c>
      <c r="F1323" s="75" t="s">
        <v>540</v>
      </c>
      <c r="G1323" s="75" t="s">
        <v>1296</v>
      </c>
      <c r="H1323" s="75">
        <f>STOCK[[#This Row],[Precio Final]]</f>
        <v>60</v>
      </c>
      <c r="I1323" s="75">
        <f>STOCK[[#This Row],[Precio Venta Ideal (x1.5)]]</f>
        <v>61.5</v>
      </c>
      <c r="J1323" s="78">
        <v>1</v>
      </c>
      <c r="K1323" s="78">
        <f>SUMIFS(VENTAS[Cantidad],VENTAS[Código del producto Vendido],STOCK[[#This Row],[Code]])</f>
        <v>0</v>
      </c>
      <c r="L1323" s="78">
        <f>STOCK[[#This Row],[Entradas]]-STOCK[[#This Row],[Salidas]]</f>
        <v>1</v>
      </c>
      <c r="M1323" s="75">
        <f>STOCK[[#This Row],[Precio Final]]*10%</f>
        <v>6</v>
      </c>
      <c r="N1323" s="75">
        <v>0</v>
      </c>
      <c r="O1323" s="75">
        <v>0</v>
      </c>
      <c r="P1323" s="75">
        <v>35</v>
      </c>
      <c r="Q1323" s="78">
        <v>0</v>
      </c>
      <c r="R1323" s="75">
        <v>0</v>
      </c>
      <c r="S1323" s="75">
        <f>STOCK[[#This Row],[Peso (g)]]*STOCK[[#This Row],[Precio Envío Kilogramo (USD)]]/1000</f>
        <v>0</v>
      </c>
      <c r="T1323" s="75">
        <f>STOCK[[#This Row],[Costo Unitario (USD)]]+STOCK[[#This Row],[Costo Envío (USD)]]+STOCK[[#This Row],[Comisión 10%]]</f>
        <v>41</v>
      </c>
      <c r="U1323" s="53">
        <f>STOCK[[#This Row],[Costo total]]*1.5</f>
        <v>61.5</v>
      </c>
      <c r="V1323" s="75">
        <v>60</v>
      </c>
      <c r="W1323" s="75">
        <f>STOCK[[#This Row],[Precio Final]]-STOCK[[#This Row],[Costo total]]</f>
        <v>19</v>
      </c>
      <c r="X1323" s="75">
        <f>STOCK[[#This Row],[Ganancia Unitaria]]*STOCK[[#This Row],[Salidas]]</f>
        <v>0</v>
      </c>
      <c r="Y1323" s="75"/>
      <c r="Z1323" s="75"/>
      <c r="AA1323" s="54">
        <f>STOCK[[#This Row],[Costo total]]*STOCK[[#This Row],[Entradas]]</f>
        <v>41</v>
      </c>
      <c r="AB1323" s="54">
        <f>STOCK[[#This Row],[Stock Actual]]*STOCK[[#This Row],[Costo total]]</f>
        <v>41</v>
      </c>
      <c r="AC1323" s="75"/>
    </row>
    <row r="1324" spans="1:29" s="53" customFormat="1" ht="50" customHeight="1">
      <c r="A1324" s="53" t="s">
        <v>2731</v>
      </c>
      <c r="B1324" s="76"/>
      <c r="C1324" s="75" t="s">
        <v>32</v>
      </c>
      <c r="D1324" s="75" t="s">
        <v>44</v>
      </c>
      <c r="E1324" s="77" t="s">
        <v>2732</v>
      </c>
      <c r="F1324" s="75" t="s">
        <v>46</v>
      </c>
      <c r="G1324" s="75" t="s">
        <v>36</v>
      </c>
      <c r="H1324" s="75">
        <f>STOCK[[#This Row],[Precio Final]]</f>
        <v>55</v>
      </c>
      <c r="I1324" s="75">
        <f>STOCK[[#This Row],[Precio Venta Ideal (x1.5)]]</f>
        <v>55.935000000000002</v>
      </c>
      <c r="J1324" s="78">
        <v>0</v>
      </c>
      <c r="K1324" s="78">
        <f>SUMIFS(VENTAS[Cantidad],VENTAS[Código del producto Vendido],STOCK[[#This Row],[Code]])</f>
        <v>0</v>
      </c>
      <c r="L1324" s="78">
        <f>STOCK[[#This Row],[Entradas]]-STOCK[[#This Row],[Salidas]]</f>
        <v>0</v>
      </c>
      <c r="M1324" s="75">
        <f>STOCK[[#This Row],[Precio Final]]*10%</f>
        <v>5.5</v>
      </c>
      <c r="N1324" s="75">
        <v>0</v>
      </c>
      <c r="O1324" s="75">
        <v>0</v>
      </c>
      <c r="P1324" s="75">
        <v>29.41</v>
      </c>
      <c r="Q1324" s="78">
        <v>0</v>
      </c>
      <c r="R1324" s="75">
        <v>0</v>
      </c>
      <c r="S1324" s="75">
        <v>2.38</v>
      </c>
      <c r="T1324" s="75">
        <f>STOCK[[#This Row],[Costo Unitario (USD)]]+STOCK[[#This Row],[Costo Envío (USD)]]+STOCK[[#This Row],[Comisión 10%]]</f>
        <v>37.29</v>
      </c>
      <c r="U1324" s="53">
        <f>STOCK[[#This Row],[Costo total]]*1.5</f>
        <v>55.935000000000002</v>
      </c>
      <c r="V1324" s="75">
        <v>55</v>
      </c>
      <c r="W1324" s="75">
        <f>STOCK[[#This Row],[Precio Final]]-STOCK[[#This Row],[Costo total]]</f>
        <v>17.71</v>
      </c>
      <c r="X1324" s="75">
        <f>STOCK[[#This Row],[Ganancia Unitaria]]*STOCK[[#This Row],[Salidas]]</f>
        <v>0</v>
      </c>
      <c r="Y1324" s="75" t="s">
        <v>2733</v>
      </c>
      <c r="Z1324" s="75"/>
      <c r="AA1324" s="54">
        <f>STOCK[[#This Row],[Costo total]]*STOCK[[#This Row],[Entradas]]</f>
        <v>0</v>
      </c>
      <c r="AB1324" s="54">
        <f>STOCK[[#This Row],[Stock Actual]]*STOCK[[#This Row],[Costo total]]</f>
        <v>0</v>
      </c>
      <c r="AC1324" s="75"/>
    </row>
    <row r="1325" spans="1:29" s="53" customFormat="1" ht="50" customHeight="1">
      <c r="A1325" s="53" t="s">
        <v>2734</v>
      </c>
      <c r="B1325" s="76"/>
      <c r="C1325" s="75" t="s">
        <v>32</v>
      </c>
      <c r="D1325" s="75" t="s">
        <v>2128</v>
      </c>
      <c r="E1325" s="77" t="s">
        <v>2735</v>
      </c>
      <c r="F1325" s="75" t="s">
        <v>62</v>
      </c>
      <c r="G1325" s="75" t="s">
        <v>36</v>
      </c>
      <c r="H1325" s="75">
        <f>STOCK[[#This Row],[Precio Final]]</f>
        <v>20</v>
      </c>
      <c r="I1325" s="75">
        <f>STOCK[[#This Row],[Precio Venta Ideal (x1.5)]]</f>
        <v>19.589999999999996</v>
      </c>
      <c r="J1325" s="78">
        <v>2</v>
      </c>
      <c r="K1325" s="78">
        <f>SUMIFS(VENTAS[Cantidad],VENTAS[Código del producto Vendido],STOCK[[#This Row],[Code]])</f>
        <v>3</v>
      </c>
      <c r="L1325" s="78">
        <f>STOCK[[#This Row],[Entradas]]-STOCK[[#This Row],[Salidas]]</f>
        <v>-1</v>
      </c>
      <c r="M1325" s="75">
        <f>STOCK[[#This Row],[Precio Final]]*10%</f>
        <v>2</v>
      </c>
      <c r="N1325" s="75">
        <v>0</v>
      </c>
      <c r="O1325" s="75">
        <v>0</v>
      </c>
      <c r="P1325" s="75">
        <v>8.69</v>
      </c>
      <c r="Q1325" s="78">
        <v>0</v>
      </c>
      <c r="R1325" s="75">
        <v>0</v>
      </c>
      <c r="S1325" s="75">
        <v>2.37</v>
      </c>
      <c r="T1325" s="75">
        <f>STOCK[[#This Row],[Costo Unitario (USD)]]+STOCK[[#This Row],[Costo Envío (USD)]]+STOCK[[#This Row],[Comisión 10%]]</f>
        <v>13.059999999999999</v>
      </c>
      <c r="U1325" s="53">
        <f>STOCK[[#This Row],[Costo total]]*1.5</f>
        <v>19.589999999999996</v>
      </c>
      <c r="V1325" s="75">
        <v>20</v>
      </c>
      <c r="W1325" s="75">
        <f>STOCK[[#This Row],[Precio Final]]-STOCK[[#This Row],[Costo total]]</f>
        <v>6.9400000000000013</v>
      </c>
      <c r="X1325" s="75">
        <f>STOCK[[#This Row],[Ganancia Unitaria]]*STOCK[[#This Row],[Salidas]]</f>
        <v>20.820000000000004</v>
      </c>
      <c r="Y1325" s="75" t="s">
        <v>2733</v>
      </c>
      <c r="Z1325" s="75"/>
      <c r="AA1325" s="54">
        <f>STOCK[[#This Row],[Costo total]]*STOCK[[#This Row],[Entradas]]</f>
        <v>26.119999999999997</v>
      </c>
      <c r="AB1325" s="54">
        <f>STOCK[[#This Row],[Stock Actual]]*STOCK[[#This Row],[Costo total]]</f>
        <v>-13.059999999999999</v>
      </c>
      <c r="AC1325" s="75"/>
    </row>
    <row r="1326" spans="1:29" s="53" customFormat="1" ht="50" customHeight="1">
      <c r="A1326" s="53" t="s">
        <v>2736</v>
      </c>
      <c r="B1326" s="76"/>
      <c r="C1326" s="75" t="s">
        <v>32</v>
      </c>
      <c r="D1326" s="75" t="s">
        <v>2128</v>
      </c>
      <c r="E1326" s="77" t="s">
        <v>2735</v>
      </c>
      <c r="F1326" s="75" t="s">
        <v>49</v>
      </c>
      <c r="G1326" s="75" t="s">
        <v>36</v>
      </c>
      <c r="H1326" s="75">
        <f>STOCK[[#This Row],[Precio Final]]</f>
        <v>20</v>
      </c>
      <c r="I1326" s="75">
        <f>STOCK[[#This Row],[Precio Venta Ideal (x1.5)]]</f>
        <v>19.589999999999996</v>
      </c>
      <c r="J1326" s="78">
        <v>2</v>
      </c>
      <c r="K1326" s="78">
        <f>SUMIFS(VENTAS[Cantidad],VENTAS[Código del producto Vendido],STOCK[[#This Row],[Code]])</f>
        <v>0</v>
      </c>
      <c r="L1326" s="78">
        <f>STOCK[[#This Row],[Entradas]]-STOCK[[#This Row],[Salidas]]</f>
        <v>2</v>
      </c>
      <c r="M1326" s="75">
        <f>STOCK[[#This Row],[Precio Final]]*10%</f>
        <v>2</v>
      </c>
      <c r="N1326" s="75">
        <v>0</v>
      </c>
      <c r="O1326" s="75">
        <v>0</v>
      </c>
      <c r="P1326" s="75">
        <v>8.69</v>
      </c>
      <c r="Q1326" s="78">
        <v>0</v>
      </c>
      <c r="R1326" s="75">
        <v>0</v>
      </c>
      <c r="S1326" s="75">
        <v>2.37</v>
      </c>
      <c r="T1326" s="75">
        <f>STOCK[[#This Row],[Costo Unitario (USD)]]+STOCK[[#This Row],[Costo Envío (USD)]]+STOCK[[#This Row],[Comisión 10%]]</f>
        <v>13.059999999999999</v>
      </c>
      <c r="U1326" s="53">
        <f>STOCK[[#This Row],[Costo total]]*1.5</f>
        <v>19.589999999999996</v>
      </c>
      <c r="V1326" s="75">
        <v>20</v>
      </c>
      <c r="W1326" s="75">
        <f>STOCK[[#This Row],[Precio Final]]-STOCK[[#This Row],[Costo total]]</f>
        <v>6.9400000000000013</v>
      </c>
      <c r="X1326" s="75">
        <f>STOCK[[#This Row],[Ganancia Unitaria]]*STOCK[[#This Row],[Salidas]]</f>
        <v>0</v>
      </c>
      <c r="Y1326" s="75" t="s">
        <v>2733</v>
      </c>
      <c r="Z1326" s="75"/>
      <c r="AA1326" s="54">
        <f>STOCK[[#This Row],[Costo total]]*STOCK[[#This Row],[Entradas]]</f>
        <v>26.119999999999997</v>
      </c>
      <c r="AB1326" s="54">
        <f>STOCK[[#This Row],[Stock Actual]]*STOCK[[#This Row],[Costo total]]</f>
        <v>26.119999999999997</v>
      </c>
      <c r="AC1326" s="75"/>
    </row>
    <row r="1327" spans="1:29" s="53" customFormat="1" ht="50" customHeight="1">
      <c r="A1327" s="53" t="s">
        <v>2737</v>
      </c>
      <c r="B1327" s="76"/>
      <c r="C1327" s="75" t="s">
        <v>32</v>
      </c>
      <c r="D1327" s="75" t="s">
        <v>2128</v>
      </c>
      <c r="E1327" s="77" t="s">
        <v>2735</v>
      </c>
      <c r="F1327" s="75" t="s">
        <v>46</v>
      </c>
      <c r="G1327" s="75" t="s">
        <v>36</v>
      </c>
      <c r="H1327" s="75">
        <f>STOCK[[#This Row],[Precio Final]]</f>
        <v>20</v>
      </c>
      <c r="I1327" s="75">
        <f>STOCK[[#This Row],[Precio Venta Ideal (x1.5)]]</f>
        <v>19.589999999999996</v>
      </c>
      <c r="J1327" s="78">
        <v>2</v>
      </c>
      <c r="K1327" s="78">
        <f>SUMIFS(VENTAS[Cantidad],VENTAS[Código del producto Vendido],STOCK[[#This Row],[Code]])</f>
        <v>0</v>
      </c>
      <c r="L1327" s="78">
        <f>STOCK[[#This Row],[Entradas]]-STOCK[[#This Row],[Salidas]]</f>
        <v>2</v>
      </c>
      <c r="M1327" s="75">
        <f>STOCK[[#This Row],[Precio Final]]*10%</f>
        <v>2</v>
      </c>
      <c r="N1327" s="75">
        <v>0</v>
      </c>
      <c r="O1327" s="75">
        <v>0</v>
      </c>
      <c r="P1327" s="75">
        <v>8.69</v>
      </c>
      <c r="Q1327" s="78">
        <v>0</v>
      </c>
      <c r="R1327" s="75">
        <v>0</v>
      </c>
      <c r="S1327" s="75">
        <v>2.37</v>
      </c>
      <c r="T1327" s="75">
        <f>STOCK[[#This Row],[Costo Unitario (USD)]]+STOCK[[#This Row],[Costo Envío (USD)]]+STOCK[[#This Row],[Comisión 10%]]</f>
        <v>13.059999999999999</v>
      </c>
      <c r="U1327" s="53">
        <f>STOCK[[#This Row],[Costo total]]*1.5</f>
        <v>19.589999999999996</v>
      </c>
      <c r="V1327" s="75">
        <v>20</v>
      </c>
      <c r="W1327" s="75">
        <f>STOCK[[#This Row],[Precio Final]]-STOCK[[#This Row],[Costo total]]</f>
        <v>6.9400000000000013</v>
      </c>
      <c r="X1327" s="75">
        <f>STOCK[[#This Row],[Ganancia Unitaria]]*STOCK[[#This Row],[Salidas]]</f>
        <v>0</v>
      </c>
      <c r="Y1327" s="75" t="s">
        <v>2733</v>
      </c>
      <c r="Z1327" s="75"/>
      <c r="AA1327" s="54">
        <f>STOCK[[#This Row],[Costo total]]*STOCK[[#This Row],[Entradas]]</f>
        <v>26.119999999999997</v>
      </c>
      <c r="AB1327" s="54">
        <f>STOCK[[#This Row],[Stock Actual]]*STOCK[[#This Row],[Costo total]]</f>
        <v>26.119999999999997</v>
      </c>
      <c r="AC1327" s="75"/>
    </row>
    <row r="1328" spans="1:29" s="53" customFormat="1" ht="50" customHeight="1">
      <c r="A1328" s="53" t="s">
        <v>2738</v>
      </c>
      <c r="B1328" s="76"/>
      <c r="C1328" s="75" t="s">
        <v>32</v>
      </c>
      <c r="D1328" s="75" t="s">
        <v>44</v>
      </c>
      <c r="E1328" s="77" t="s">
        <v>2739</v>
      </c>
      <c r="F1328" s="75" t="s">
        <v>62</v>
      </c>
      <c r="G1328" s="75" t="s">
        <v>36</v>
      </c>
      <c r="H1328" s="75">
        <f>STOCK[[#This Row],[Precio Final]]</f>
        <v>12</v>
      </c>
      <c r="I1328" s="75">
        <f>STOCK[[#This Row],[Precio Venta Ideal (x1.5)]]</f>
        <v>17.160000000000004</v>
      </c>
      <c r="J1328" s="78">
        <v>0</v>
      </c>
      <c r="K1328" s="78">
        <f>SUMIFS(VENTAS[Cantidad],VENTAS[Código del producto Vendido],STOCK[[#This Row],[Code]])</f>
        <v>0</v>
      </c>
      <c r="L1328" s="78">
        <f>STOCK[[#This Row],[Entradas]]-STOCK[[#This Row],[Salidas]]</f>
        <v>0</v>
      </c>
      <c r="M1328" s="75">
        <f>STOCK[[#This Row],[Precio Final]]*10%</f>
        <v>1.2000000000000002</v>
      </c>
      <c r="N1328" s="75">
        <v>0</v>
      </c>
      <c r="O1328" s="75">
        <v>0</v>
      </c>
      <c r="P1328" s="75">
        <v>7.87</v>
      </c>
      <c r="Q1328" s="78">
        <v>0</v>
      </c>
      <c r="R1328" s="75">
        <v>0</v>
      </c>
      <c r="S1328" s="75">
        <v>2.37</v>
      </c>
      <c r="T1328" s="75">
        <f>STOCK[[#This Row],[Costo Unitario (USD)]]+STOCK[[#This Row],[Costo Envío (USD)]]+STOCK[[#This Row],[Comisión 10%]]</f>
        <v>11.440000000000001</v>
      </c>
      <c r="U1328" s="53">
        <f>STOCK[[#This Row],[Costo total]]*1.5</f>
        <v>17.160000000000004</v>
      </c>
      <c r="V1328" s="75">
        <v>12</v>
      </c>
      <c r="W1328" s="75">
        <f>STOCK[[#This Row],[Precio Final]]-STOCK[[#This Row],[Costo total]]</f>
        <v>0.55999999999999872</v>
      </c>
      <c r="X1328" s="75">
        <f>STOCK[[#This Row],[Ganancia Unitaria]]*STOCK[[#This Row],[Salidas]]</f>
        <v>0</v>
      </c>
      <c r="Y1328" s="75" t="s">
        <v>2733</v>
      </c>
      <c r="Z1328" s="75"/>
      <c r="AA1328" s="54">
        <f>STOCK[[#This Row],[Costo total]]*STOCK[[#This Row],[Entradas]]</f>
        <v>0</v>
      </c>
      <c r="AB1328" s="54">
        <f>STOCK[[#This Row],[Stock Actual]]*STOCK[[#This Row],[Costo total]]</f>
        <v>0</v>
      </c>
      <c r="AC1328" s="75"/>
    </row>
    <row r="1329" spans="1:29" s="53" customFormat="1" ht="50" customHeight="1">
      <c r="A1329" s="53" t="s">
        <v>2740</v>
      </c>
      <c r="B1329" s="76"/>
      <c r="C1329" s="75" t="s">
        <v>32</v>
      </c>
      <c r="D1329" s="75" t="s">
        <v>1226</v>
      </c>
      <c r="E1329" s="77" t="s">
        <v>2741</v>
      </c>
      <c r="F1329" s="75" t="s">
        <v>754</v>
      </c>
      <c r="G1329" s="75" t="s">
        <v>36</v>
      </c>
      <c r="H1329" s="75">
        <f>STOCK[[#This Row],[Precio Final]]</f>
        <v>12</v>
      </c>
      <c r="I1329" s="75">
        <f>STOCK[[#This Row],[Precio Venta Ideal (x1.5)]]</f>
        <v>14.309999999999999</v>
      </c>
      <c r="J1329" s="78">
        <v>1</v>
      </c>
      <c r="K1329" s="78">
        <f>SUMIFS(VENTAS[Cantidad],VENTAS[Código del producto Vendido],STOCK[[#This Row],[Code]])</f>
        <v>1</v>
      </c>
      <c r="L1329" s="78">
        <f>STOCK[[#This Row],[Entradas]]-STOCK[[#This Row],[Salidas]]</f>
        <v>0</v>
      </c>
      <c r="M1329" s="75">
        <f>STOCK[[#This Row],[Precio Final]]*10%</f>
        <v>1.2000000000000002</v>
      </c>
      <c r="N1329" s="75">
        <v>0</v>
      </c>
      <c r="O1329" s="75">
        <v>0</v>
      </c>
      <c r="P1329" s="75">
        <v>5.97</v>
      </c>
      <c r="Q1329" s="78">
        <v>0</v>
      </c>
      <c r="R1329" s="75">
        <v>0</v>
      </c>
      <c r="S1329" s="75">
        <v>2.37</v>
      </c>
      <c r="T1329" s="75">
        <f>STOCK[[#This Row],[Costo Unitario (USD)]]+STOCK[[#This Row],[Costo Envío (USD)]]+STOCK[[#This Row],[Comisión 10%]]</f>
        <v>9.5399999999999991</v>
      </c>
      <c r="U1329" s="53">
        <f>STOCK[[#This Row],[Costo total]]*1.5</f>
        <v>14.309999999999999</v>
      </c>
      <c r="V1329" s="75">
        <v>12</v>
      </c>
      <c r="W1329" s="75">
        <f>STOCK[[#This Row],[Precio Final]]-STOCK[[#This Row],[Costo total]]</f>
        <v>2.4600000000000009</v>
      </c>
      <c r="X1329" s="75">
        <f>STOCK[[#This Row],[Ganancia Unitaria]]*STOCK[[#This Row],[Salidas]]</f>
        <v>2.4600000000000009</v>
      </c>
      <c r="Y1329" s="75" t="s">
        <v>2733</v>
      </c>
      <c r="Z1329" s="75"/>
      <c r="AA1329" s="54">
        <f>STOCK[[#This Row],[Costo total]]*STOCK[[#This Row],[Entradas]]</f>
        <v>9.5399999999999991</v>
      </c>
      <c r="AB1329" s="54">
        <f>STOCK[[#This Row],[Stock Actual]]*STOCK[[#This Row],[Costo total]]</f>
        <v>0</v>
      </c>
      <c r="AC1329" s="75"/>
    </row>
    <row r="1330" spans="1:29" s="53" customFormat="1" ht="50" customHeight="1">
      <c r="A1330" s="53" t="s">
        <v>2742</v>
      </c>
      <c r="B1330" s="76"/>
      <c r="C1330" s="75" t="s">
        <v>32</v>
      </c>
      <c r="D1330" s="75" t="s">
        <v>1226</v>
      </c>
      <c r="E1330" s="77" t="s">
        <v>2743</v>
      </c>
      <c r="F1330" s="75" t="s">
        <v>2744</v>
      </c>
      <c r="G1330" s="75" t="s">
        <v>36</v>
      </c>
      <c r="H1330" s="75">
        <f>STOCK[[#This Row],[Precio Final]]</f>
        <v>12</v>
      </c>
      <c r="I1330" s="75">
        <f>STOCK[[#This Row],[Precio Venta Ideal (x1.5)]]</f>
        <v>14.309999999999999</v>
      </c>
      <c r="J1330" s="78">
        <v>1</v>
      </c>
      <c r="K1330" s="78">
        <f>SUMIFS(VENTAS[Cantidad],VENTAS[Código del producto Vendido],STOCK[[#This Row],[Code]])</f>
        <v>1</v>
      </c>
      <c r="L1330" s="78">
        <f>STOCK[[#This Row],[Entradas]]-STOCK[[#This Row],[Salidas]]</f>
        <v>0</v>
      </c>
      <c r="M1330" s="75">
        <f>STOCK[[#This Row],[Precio Final]]*10%</f>
        <v>1.2000000000000002</v>
      </c>
      <c r="N1330" s="75">
        <v>0</v>
      </c>
      <c r="O1330" s="75">
        <v>0</v>
      </c>
      <c r="P1330" s="75">
        <v>5.97</v>
      </c>
      <c r="Q1330" s="78">
        <v>0</v>
      </c>
      <c r="R1330" s="75">
        <v>0</v>
      </c>
      <c r="S1330" s="75">
        <v>2.37</v>
      </c>
      <c r="T1330" s="75">
        <f>STOCK[[#This Row],[Costo Unitario (USD)]]+STOCK[[#This Row],[Costo Envío (USD)]]+STOCK[[#This Row],[Comisión 10%]]</f>
        <v>9.5399999999999991</v>
      </c>
      <c r="U1330" s="53">
        <f>STOCK[[#This Row],[Costo total]]*1.5</f>
        <v>14.309999999999999</v>
      </c>
      <c r="V1330" s="75">
        <v>12</v>
      </c>
      <c r="W1330" s="75">
        <f>STOCK[[#This Row],[Precio Final]]-STOCK[[#This Row],[Costo total]]</f>
        <v>2.4600000000000009</v>
      </c>
      <c r="X1330" s="75">
        <f>STOCK[[#This Row],[Ganancia Unitaria]]*STOCK[[#This Row],[Salidas]]</f>
        <v>2.4600000000000009</v>
      </c>
      <c r="Y1330" s="75" t="s">
        <v>2733</v>
      </c>
      <c r="Z1330" s="75"/>
      <c r="AA1330" s="54">
        <f>STOCK[[#This Row],[Costo total]]*STOCK[[#This Row],[Entradas]]</f>
        <v>9.5399999999999991</v>
      </c>
      <c r="AB1330" s="54">
        <f>STOCK[[#This Row],[Stock Actual]]*STOCK[[#This Row],[Costo total]]</f>
        <v>0</v>
      </c>
      <c r="AC1330" s="75"/>
    </row>
    <row r="1331" spans="1:29" s="53" customFormat="1" ht="50" customHeight="1">
      <c r="A1331" s="53" t="s">
        <v>2745</v>
      </c>
      <c r="B1331" s="76"/>
      <c r="C1331" s="75" t="s">
        <v>32</v>
      </c>
      <c r="D1331" s="75" t="s">
        <v>2128</v>
      </c>
      <c r="E1331" s="77" t="s">
        <v>2746</v>
      </c>
      <c r="F1331" s="75" t="s">
        <v>46</v>
      </c>
      <c r="G1331" s="75" t="s">
        <v>36</v>
      </c>
      <c r="H1331" s="75">
        <f>STOCK[[#This Row],[Precio Final]]</f>
        <v>15</v>
      </c>
      <c r="I1331" s="75">
        <f>STOCK[[#This Row],[Precio Venta Ideal (x1.5)]]</f>
        <v>13.095000000000001</v>
      </c>
      <c r="J1331" s="78">
        <v>1</v>
      </c>
      <c r="K1331" s="78">
        <f>SUMIFS(VENTAS[Cantidad],VENTAS[Código del producto Vendido],STOCK[[#This Row],[Code]])</f>
        <v>0</v>
      </c>
      <c r="L1331" s="78">
        <f>STOCK[[#This Row],[Entradas]]-STOCK[[#This Row],[Salidas]]</f>
        <v>1</v>
      </c>
      <c r="M1331" s="75">
        <f>STOCK[[#This Row],[Precio Final]]*10%</f>
        <v>1.5</v>
      </c>
      <c r="N1331" s="75">
        <v>0</v>
      </c>
      <c r="O1331" s="75">
        <v>0</v>
      </c>
      <c r="P1331" s="75">
        <v>4.8600000000000003</v>
      </c>
      <c r="Q1331" s="78">
        <v>0</v>
      </c>
      <c r="R1331" s="75">
        <v>0</v>
      </c>
      <c r="S1331" s="75">
        <v>2.37</v>
      </c>
      <c r="T1331" s="75">
        <f>STOCK[[#This Row],[Costo Unitario (USD)]]+STOCK[[#This Row],[Costo Envío (USD)]]+STOCK[[#This Row],[Comisión 10%]]</f>
        <v>8.73</v>
      </c>
      <c r="U1331" s="53">
        <f>STOCK[[#This Row],[Costo total]]*1.5</f>
        <v>13.095000000000001</v>
      </c>
      <c r="V1331" s="75">
        <v>15</v>
      </c>
      <c r="W1331" s="75">
        <f>STOCK[[#This Row],[Precio Final]]-STOCK[[#This Row],[Costo total]]</f>
        <v>6.27</v>
      </c>
      <c r="X1331" s="75">
        <f>STOCK[[#This Row],[Ganancia Unitaria]]*STOCK[[#This Row],[Salidas]]</f>
        <v>0</v>
      </c>
      <c r="Y1331" s="75" t="s">
        <v>2733</v>
      </c>
      <c r="Z1331" s="75"/>
      <c r="AA1331" s="54">
        <f>STOCK[[#This Row],[Costo total]]*STOCK[[#This Row],[Entradas]]</f>
        <v>8.73</v>
      </c>
      <c r="AB1331" s="54">
        <f>STOCK[[#This Row],[Stock Actual]]*STOCK[[#This Row],[Costo total]]</f>
        <v>8.73</v>
      </c>
      <c r="AC1331" s="75"/>
    </row>
    <row r="1332" spans="1:29" s="53" customFormat="1" ht="50" customHeight="1">
      <c r="A1332" s="53" t="s">
        <v>2747</v>
      </c>
      <c r="B1332" s="76"/>
      <c r="C1332" s="75" t="s">
        <v>32</v>
      </c>
      <c r="D1332" s="75" t="s">
        <v>2128</v>
      </c>
      <c r="E1332" s="77" t="s">
        <v>2748</v>
      </c>
      <c r="F1332" s="75" t="s">
        <v>49</v>
      </c>
      <c r="G1332" s="75" t="s">
        <v>36</v>
      </c>
      <c r="H1332" s="75">
        <f>STOCK[[#This Row],[Precio Final]]</f>
        <v>25</v>
      </c>
      <c r="I1332" s="75">
        <f>STOCK[[#This Row],[Precio Venta Ideal (x1.5)]]</f>
        <v>26.73</v>
      </c>
      <c r="J1332" s="78">
        <v>1</v>
      </c>
      <c r="K1332" s="78">
        <f>SUMIFS(VENTAS[Cantidad],VENTAS[Código del producto Vendido],STOCK[[#This Row],[Code]])</f>
        <v>0</v>
      </c>
      <c r="L1332" s="78">
        <f>STOCK[[#This Row],[Entradas]]-STOCK[[#This Row],[Salidas]]</f>
        <v>1</v>
      </c>
      <c r="M1332" s="75">
        <f>STOCK[[#This Row],[Precio Final]]*10%</f>
        <v>2.5</v>
      </c>
      <c r="N1332" s="75">
        <v>0</v>
      </c>
      <c r="O1332" s="75">
        <v>0</v>
      </c>
      <c r="P1332" s="75">
        <v>12.95</v>
      </c>
      <c r="Q1332" s="78">
        <v>0</v>
      </c>
      <c r="R1332" s="75">
        <v>0</v>
      </c>
      <c r="S1332" s="75">
        <v>2.37</v>
      </c>
      <c r="T1332" s="75">
        <f>STOCK[[#This Row],[Costo Unitario (USD)]]+STOCK[[#This Row],[Costo Envío (USD)]]+STOCK[[#This Row],[Comisión 10%]]</f>
        <v>17.82</v>
      </c>
      <c r="U1332" s="53">
        <f>STOCK[[#This Row],[Costo total]]*1.5</f>
        <v>26.73</v>
      </c>
      <c r="V1332" s="75">
        <v>25</v>
      </c>
      <c r="W1332" s="75">
        <f>STOCK[[#This Row],[Precio Final]]-STOCK[[#This Row],[Costo total]]</f>
        <v>7.18</v>
      </c>
      <c r="X1332" s="75">
        <f>STOCK[[#This Row],[Ganancia Unitaria]]*STOCK[[#This Row],[Salidas]]</f>
        <v>0</v>
      </c>
      <c r="Y1332" s="75" t="s">
        <v>2733</v>
      </c>
      <c r="Z1332" s="75"/>
      <c r="AA1332" s="54">
        <f>STOCK[[#This Row],[Costo total]]*STOCK[[#This Row],[Entradas]]</f>
        <v>17.82</v>
      </c>
      <c r="AB1332" s="54">
        <f>STOCK[[#This Row],[Stock Actual]]*STOCK[[#This Row],[Costo total]]</f>
        <v>17.82</v>
      </c>
      <c r="AC1332" s="75"/>
    </row>
    <row r="1333" spans="1:29" s="53" customFormat="1" ht="50" customHeight="1">
      <c r="A1333" s="53" t="s">
        <v>2749</v>
      </c>
      <c r="B1333" s="76"/>
      <c r="C1333" s="75" t="s">
        <v>32</v>
      </c>
      <c r="D1333" s="75" t="s">
        <v>2134</v>
      </c>
      <c r="E1333" s="77" t="s">
        <v>2750</v>
      </c>
      <c r="F1333" s="75" t="s">
        <v>62</v>
      </c>
      <c r="G1333" s="75" t="s">
        <v>36</v>
      </c>
      <c r="H1333" s="75">
        <f>STOCK[[#This Row],[Precio Final]]</f>
        <v>35</v>
      </c>
      <c r="I1333" s="75">
        <f>STOCK[[#This Row],[Precio Venta Ideal (x1.5)]]</f>
        <v>27.03</v>
      </c>
      <c r="J1333" s="78">
        <v>2</v>
      </c>
      <c r="K1333" s="78">
        <f>SUMIFS(VENTAS[Cantidad],VENTAS[Código del producto Vendido],STOCK[[#This Row],[Code]])</f>
        <v>2</v>
      </c>
      <c r="L1333" s="78">
        <f>STOCK[[#This Row],[Entradas]]-STOCK[[#This Row],[Salidas]]</f>
        <v>0</v>
      </c>
      <c r="M1333" s="75">
        <f>STOCK[[#This Row],[Precio Final]]*10%</f>
        <v>3.5</v>
      </c>
      <c r="N1333" s="75">
        <v>0</v>
      </c>
      <c r="O1333" s="75">
        <v>0</v>
      </c>
      <c r="P1333" s="75">
        <v>12.15</v>
      </c>
      <c r="Q1333" s="78">
        <v>0</v>
      </c>
      <c r="R1333" s="75">
        <v>0</v>
      </c>
      <c r="S1333" s="75">
        <v>2.37</v>
      </c>
      <c r="T1333" s="75">
        <f>STOCK[[#This Row],[Costo Unitario (USD)]]+STOCK[[#This Row],[Costo Envío (USD)]]+STOCK[[#This Row],[Comisión 10%]]</f>
        <v>18.02</v>
      </c>
      <c r="U1333" s="53">
        <f>STOCK[[#This Row],[Costo total]]*1.5</f>
        <v>27.03</v>
      </c>
      <c r="V1333" s="75">
        <v>35</v>
      </c>
      <c r="W1333" s="75">
        <f>STOCK[[#This Row],[Precio Final]]-STOCK[[#This Row],[Costo total]]</f>
        <v>16.98</v>
      </c>
      <c r="X1333" s="75">
        <f>STOCK[[#This Row],[Ganancia Unitaria]]*STOCK[[#This Row],[Salidas]]</f>
        <v>33.96</v>
      </c>
      <c r="Y1333" s="75" t="s">
        <v>2733</v>
      </c>
      <c r="Z1333" s="75"/>
      <c r="AA1333" s="54">
        <f>STOCK[[#This Row],[Costo total]]*STOCK[[#This Row],[Entradas]]</f>
        <v>36.04</v>
      </c>
      <c r="AB1333" s="54">
        <f>STOCK[[#This Row],[Stock Actual]]*STOCK[[#This Row],[Costo total]]</f>
        <v>0</v>
      </c>
      <c r="AC1333" s="75"/>
    </row>
    <row r="1334" spans="1:29" s="53" customFormat="1" ht="50" customHeight="1">
      <c r="A1334" s="53" t="s">
        <v>2751</v>
      </c>
      <c r="B1334" s="76"/>
      <c r="C1334" s="75" t="s">
        <v>32</v>
      </c>
      <c r="D1334" s="75" t="s">
        <v>2630</v>
      </c>
      <c r="E1334" s="77" t="s">
        <v>2752</v>
      </c>
      <c r="F1334" s="75" t="s">
        <v>62</v>
      </c>
      <c r="G1334" s="75" t="s">
        <v>36</v>
      </c>
      <c r="H1334" s="75">
        <f>STOCK[[#This Row],[Precio Final]]</f>
        <v>20</v>
      </c>
      <c r="I1334" s="75">
        <f>STOCK[[#This Row],[Precio Venta Ideal (x1.5)]]</f>
        <v>12.180000000000001</v>
      </c>
      <c r="J1334" s="78">
        <v>2</v>
      </c>
      <c r="K1334" s="78">
        <f>SUMIFS(VENTAS[Cantidad],VENTAS[Código del producto Vendido],STOCK[[#This Row],[Code]])</f>
        <v>1</v>
      </c>
      <c r="L1334" s="78">
        <f>STOCK[[#This Row],[Entradas]]-STOCK[[#This Row],[Salidas]]</f>
        <v>1</v>
      </c>
      <c r="M1334" s="75">
        <f>STOCK[[#This Row],[Precio Final]]*10%</f>
        <v>2</v>
      </c>
      <c r="N1334" s="75">
        <v>0</v>
      </c>
      <c r="O1334" s="75">
        <v>0</v>
      </c>
      <c r="P1334" s="75">
        <v>3.75</v>
      </c>
      <c r="Q1334" s="78">
        <v>0</v>
      </c>
      <c r="R1334" s="75">
        <v>0</v>
      </c>
      <c r="S1334" s="75">
        <v>2.37</v>
      </c>
      <c r="T1334" s="75">
        <f>STOCK[[#This Row],[Costo Unitario (USD)]]+STOCK[[#This Row],[Costo Envío (USD)]]+STOCK[[#This Row],[Comisión 10%]]</f>
        <v>8.120000000000001</v>
      </c>
      <c r="U1334" s="53">
        <f>STOCK[[#This Row],[Costo total]]*1.5</f>
        <v>12.180000000000001</v>
      </c>
      <c r="V1334" s="75">
        <v>20</v>
      </c>
      <c r="W1334" s="75">
        <f>STOCK[[#This Row],[Precio Final]]-STOCK[[#This Row],[Costo total]]</f>
        <v>11.879999999999999</v>
      </c>
      <c r="X1334" s="75">
        <f>STOCK[[#This Row],[Ganancia Unitaria]]*STOCK[[#This Row],[Salidas]]</f>
        <v>11.879999999999999</v>
      </c>
      <c r="Y1334" s="75" t="s">
        <v>2733</v>
      </c>
      <c r="Z1334" s="75"/>
      <c r="AA1334" s="54">
        <f>STOCK[[#This Row],[Costo total]]*STOCK[[#This Row],[Entradas]]</f>
        <v>16.240000000000002</v>
      </c>
      <c r="AB1334" s="54">
        <f>STOCK[[#This Row],[Stock Actual]]*STOCK[[#This Row],[Costo total]]</f>
        <v>8.120000000000001</v>
      </c>
      <c r="AC1334" s="75"/>
    </row>
    <row r="1335" spans="1:29" s="53" customFormat="1" ht="50" customHeight="1">
      <c r="A1335" s="53" t="s">
        <v>2753</v>
      </c>
      <c r="B1335" s="76"/>
      <c r="C1335" s="75" t="s">
        <v>32</v>
      </c>
      <c r="D1335" s="75" t="s">
        <v>2630</v>
      </c>
      <c r="E1335" s="77" t="s">
        <v>2752</v>
      </c>
      <c r="F1335" s="75" t="s">
        <v>49</v>
      </c>
      <c r="G1335" s="75" t="s">
        <v>36</v>
      </c>
      <c r="H1335" s="75">
        <f>STOCK[[#This Row],[Precio Final]]</f>
        <v>20</v>
      </c>
      <c r="I1335" s="75">
        <f>STOCK[[#This Row],[Precio Venta Ideal (x1.5)]]</f>
        <v>12.180000000000001</v>
      </c>
      <c r="J1335" s="78">
        <v>2</v>
      </c>
      <c r="K1335" s="78">
        <f>SUMIFS(VENTAS[Cantidad],VENTAS[Código del producto Vendido],STOCK[[#This Row],[Code]])</f>
        <v>2</v>
      </c>
      <c r="L1335" s="78">
        <f>STOCK[[#This Row],[Entradas]]-STOCK[[#This Row],[Salidas]]</f>
        <v>0</v>
      </c>
      <c r="M1335" s="75">
        <f>STOCK[[#This Row],[Precio Final]]*10%</f>
        <v>2</v>
      </c>
      <c r="N1335" s="75">
        <v>0</v>
      </c>
      <c r="O1335" s="75">
        <v>0</v>
      </c>
      <c r="P1335" s="75">
        <v>3.75</v>
      </c>
      <c r="Q1335" s="78">
        <v>0</v>
      </c>
      <c r="R1335" s="75">
        <v>0</v>
      </c>
      <c r="S1335" s="75">
        <v>2.37</v>
      </c>
      <c r="T1335" s="75">
        <f>STOCK[[#This Row],[Costo Unitario (USD)]]+STOCK[[#This Row],[Costo Envío (USD)]]+STOCK[[#This Row],[Comisión 10%]]</f>
        <v>8.120000000000001</v>
      </c>
      <c r="U1335" s="53">
        <f>STOCK[[#This Row],[Costo total]]*1.5</f>
        <v>12.180000000000001</v>
      </c>
      <c r="V1335" s="75">
        <v>20</v>
      </c>
      <c r="W1335" s="75">
        <f>STOCK[[#This Row],[Precio Final]]-STOCK[[#This Row],[Costo total]]</f>
        <v>11.879999999999999</v>
      </c>
      <c r="X1335" s="75">
        <f>STOCK[[#This Row],[Ganancia Unitaria]]*STOCK[[#This Row],[Salidas]]</f>
        <v>23.759999999999998</v>
      </c>
      <c r="Y1335" s="75" t="s">
        <v>2733</v>
      </c>
      <c r="Z1335" s="75"/>
      <c r="AA1335" s="54">
        <f>STOCK[[#This Row],[Costo total]]*STOCK[[#This Row],[Entradas]]</f>
        <v>16.240000000000002</v>
      </c>
      <c r="AB1335" s="54">
        <f>STOCK[[#This Row],[Stock Actual]]*STOCK[[#This Row],[Costo total]]</f>
        <v>0</v>
      </c>
      <c r="AC1335" s="75"/>
    </row>
    <row r="1336" spans="1:29" s="53" customFormat="1" ht="50" customHeight="1">
      <c r="A1336" s="53" t="s">
        <v>2754</v>
      </c>
      <c r="B1336" s="76"/>
      <c r="C1336" s="75" t="s">
        <v>32</v>
      </c>
      <c r="D1336" s="75" t="s">
        <v>2630</v>
      </c>
      <c r="E1336" s="77" t="s">
        <v>2752</v>
      </c>
      <c r="F1336" s="75" t="s">
        <v>46</v>
      </c>
      <c r="G1336" s="75" t="s">
        <v>36</v>
      </c>
      <c r="H1336" s="75">
        <f>STOCK[[#This Row],[Precio Final]]</f>
        <v>20</v>
      </c>
      <c r="I1336" s="75">
        <f>STOCK[[#This Row],[Precio Venta Ideal (x1.5)]]</f>
        <v>12.180000000000001</v>
      </c>
      <c r="J1336" s="78">
        <v>2</v>
      </c>
      <c r="K1336" s="78">
        <f>SUMIFS(VENTAS[Cantidad],VENTAS[Código del producto Vendido],STOCK[[#This Row],[Code]])</f>
        <v>2</v>
      </c>
      <c r="L1336" s="78">
        <f>STOCK[[#This Row],[Entradas]]-STOCK[[#This Row],[Salidas]]</f>
        <v>0</v>
      </c>
      <c r="M1336" s="75">
        <f>STOCK[[#This Row],[Precio Final]]*10%</f>
        <v>2</v>
      </c>
      <c r="N1336" s="75">
        <v>0</v>
      </c>
      <c r="O1336" s="75">
        <v>0</v>
      </c>
      <c r="P1336" s="75">
        <v>3.75</v>
      </c>
      <c r="Q1336" s="78">
        <v>0</v>
      </c>
      <c r="R1336" s="75">
        <v>0</v>
      </c>
      <c r="S1336" s="75">
        <v>2.37</v>
      </c>
      <c r="T1336" s="75">
        <f>STOCK[[#This Row],[Costo Unitario (USD)]]+STOCK[[#This Row],[Costo Envío (USD)]]+STOCK[[#This Row],[Comisión 10%]]</f>
        <v>8.120000000000001</v>
      </c>
      <c r="U1336" s="53">
        <f>STOCK[[#This Row],[Costo total]]*1.5</f>
        <v>12.180000000000001</v>
      </c>
      <c r="V1336" s="75">
        <v>20</v>
      </c>
      <c r="W1336" s="75">
        <f>STOCK[[#This Row],[Precio Final]]-STOCK[[#This Row],[Costo total]]</f>
        <v>11.879999999999999</v>
      </c>
      <c r="X1336" s="75">
        <f>STOCK[[#This Row],[Ganancia Unitaria]]*STOCK[[#This Row],[Salidas]]</f>
        <v>23.759999999999998</v>
      </c>
      <c r="Y1336" s="75" t="s">
        <v>2733</v>
      </c>
      <c r="Z1336" s="75"/>
      <c r="AA1336" s="54">
        <f>STOCK[[#This Row],[Costo total]]*STOCK[[#This Row],[Entradas]]</f>
        <v>16.240000000000002</v>
      </c>
      <c r="AB1336" s="54">
        <f>STOCK[[#This Row],[Stock Actual]]*STOCK[[#This Row],[Costo total]]</f>
        <v>0</v>
      </c>
      <c r="AC1336" s="75"/>
    </row>
    <row r="1337" spans="1:29" s="53" customFormat="1" ht="50" customHeight="1">
      <c r="A1337" s="53" t="s">
        <v>2755</v>
      </c>
      <c r="B1337" s="76"/>
      <c r="C1337" s="75" t="s">
        <v>32</v>
      </c>
      <c r="D1337" s="75" t="s">
        <v>2630</v>
      </c>
      <c r="E1337" s="77" t="s">
        <v>2756</v>
      </c>
      <c r="F1337" s="75" t="s">
        <v>62</v>
      </c>
      <c r="G1337" s="75" t="s">
        <v>36</v>
      </c>
      <c r="H1337" s="75">
        <f>STOCK[[#This Row],[Precio Final]]</f>
        <v>35</v>
      </c>
      <c r="I1337" s="75">
        <f>STOCK[[#This Row],[Precio Venta Ideal (x1.5)]]</f>
        <v>24.285000000000004</v>
      </c>
      <c r="J1337" s="78">
        <v>3</v>
      </c>
      <c r="K1337" s="78">
        <f>SUMIFS(VENTAS[Cantidad],VENTAS[Código del producto Vendido],STOCK[[#This Row],[Code]])</f>
        <v>0</v>
      </c>
      <c r="L1337" s="78">
        <f>STOCK[[#This Row],[Entradas]]-STOCK[[#This Row],[Salidas]]</f>
        <v>3</v>
      </c>
      <c r="M1337" s="75">
        <f>STOCK[[#This Row],[Precio Final]]*10%</f>
        <v>3.5</v>
      </c>
      <c r="N1337" s="75">
        <v>0</v>
      </c>
      <c r="O1337" s="75">
        <v>0</v>
      </c>
      <c r="P1337" s="75">
        <v>10.32</v>
      </c>
      <c r="Q1337" s="78">
        <v>0</v>
      </c>
      <c r="R1337" s="75">
        <v>0</v>
      </c>
      <c r="S1337" s="75">
        <v>2.37</v>
      </c>
      <c r="T1337" s="75">
        <f>STOCK[[#This Row],[Costo Unitario (USD)]]+STOCK[[#This Row],[Costo Envío (USD)]]+STOCK[[#This Row],[Comisión 10%]]</f>
        <v>16.190000000000001</v>
      </c>
      <c r="U1337" s="53">
        <f>STOCK[[#This Row],[Costo total]]*1.5</f>
        <v>24.285000000000004</v>
      </c>
      <c r="V1337" s="75">
        <v>35</v>
      </c>
      <c r="W1337" s="75">
        <f>STOCK[[#This Row],[Precio Final]]-STOCK[[#This Row],[Costo total]]</f>
        <v>18.809999999999999</v>
      </c>
      <c r="X1337" s="75">
        <f>STOCK[[#This Row],[Ganancia Unitaria]]*STOCK[[#This Row],[Salidas]]</f>
        <v>0</v>
      </c>
      <c r="Y1337" s="75" t="s">
        <v>2733</v>
      </c>
      <c r="Z1337" s="75"/>
      <c r="AA1337" s="54">
        <f>STOCK[[#This Row],[Costo total]]*STOCK[[#This Row],[Entradas]]</f>
        <v>48.570000000000007</v>
      </c>
      <c r="AB1337" s="54">
        <f>STOCK[[#This Row],[Stock Actual]]*STOCK[[#This Row],[Costo total]]</f>
        <v>48.570000000000007</v>
      </c>
      <c r="AC1337" s="75">
        <v>30</v>
      </c>
    </row>
    <row r="1338" spans="1:29" s="53" customFormat="1" ht="50" customHeight="1">
      <c r="A1338" s="53" t="s">
        <v>2757</v>
      </c>
      <c r="B1338" s="76"/>
      <c r="C1338" s="75" t="s">
        <v>32</v>
      </c>
      <c r="D1338" s="75" t="s">
        <v>2630</v>
      </c>
      <c r="E1338" s="77" t="s">
        <v>2756</v>
      </c>
      <c r="F1338" s="75" t="s">
        <v>49</v>
      </c>
      <c r="G1338" s="75" t="s">
        <v>36</v>
      </c>
      <c r="H1338" s="75">
        <f>STOCK[[#This Row],[Precio Final]]</f>
        <v>35</v>
      </c>
      <c r="I1338" s="75">
        <f>STOCK[[#This Row],[Precio Venta Ideal (x1.5)]]</f>
        <v>24.285000000000004</v>
      </c>
      <c r="J1338" s="78">
        <v>3</v>
      </c>
      <c r="K1338" s="78">
        <f>SUMIFS(VENTAS[Cantidad],VENTAS[Código del producto Vendido],STOCK[[#This Row],[Code]])</f>
        <v>0</v>
      </c>
      <c r="L1338" s="78">
        <f>STOCK[[#This Row],[Entradas]]-STOCK[[#This Row],[Salidas]]</f>
        <v>3</v>
      </c>
      <c r="M1338" s="75">
        <f>STOCK[[#This Row],[Precio Final]]*10%</f>
        <v>3.5</v>
      </c>
      <c r="N1338" s="75">
        <v>0</v>
      </c>
      <c r="O1338" s="75">
        <v>0</v>
      </c>
      <c r="P1338" s="75">
        <v>10.32</v>
      </c>
      <c r="Q1338" s="78">
        <v>0</v>
      </c>
      <c r="R1338" s="75">
        <v>0</v>
      </c>
      <c r="S1338" s="75">
        <v>2.37</v>
      </c>
      <c r="T1338" s="75">
        <f>STOCK[[#This Row],[Costo Unitario (USD)]]+STOCK[[#This Row],[Costo Envío (USD)]]+STOCK[[#This Row],[Comisión 10%]]</f>
        <v>16.190000000000001</v>
      </c>
      <c r="U1338" s="53">
        <f>STOCK[[#This Row],[Costo total]]*1.5</f>
        <v>24.285000000000004</v>
      </c>
      <c r="V1338" s="75">
        <v>35</v>
      </c>
      <c r="W1338" s="75">
        <f>STOCK[[#This Row],[Precio Final]]-STOCK[[#This Row],[Costo total]]</f>
        <v>18.809999999999999</v>
      </c>
      <c r="X1338" s="75">
        <f>STOCK[[#This Row],[Ganancia Unitaria]]*STOCK[[#This Row],[Salidas]]</f>
        <v>0</v>
      </c>
      <c r="Y1338" s="75" t="s">
        <v>2733</v>
      </c>
      <c r="Z1338" s="75"/>
      <c r="AA1338" s="54">
        <f>STOCK[[#This Row],[Costo total]]*STOCK[[#This Row],[Entradas]]</f>
        <v>48.570000000000007</v>
      </c>
      <c r="AB1338" s="54">
        <f>STOCK[[#This Row],[Stock Actual]]*STOCK[[#This Row],[Costo total]]</f>
        <v>48.570000000000007</v>
      </c>
      <c r="AC1338" s="75">
        <v>30</v>
      </c>
    </row>
    <row r="1339" spans="1:29" s="53" customFormat="1" ht="50" customHeight="1">
      <c r="A1339" s="53" t="s">
        <v>2758</v>
      </c>
      <c r="B1339" s="76"/>
      <c r="C1339" s="75" t="s">
        <v>32</v>
      </c>
      <c r="D1339" s="75" t="s">
        <v>2630</v>
      </c>
      <c r="E1339" s="77" t="s">
        <v>2756</v>
      </c>
      <c r="F1339" s="75" t="s">
        <v>46</v>
      </c>
      <c r="G1339" s="75" t="s">
        <v>36</v>
      </c>
      <c r="H1339" s="53">
        <f>STOCK[[#This Row],[Precio Final]]</f>
        <v>35</v>
      </c>
      <c r="I1339" s="79">
        <f>STOCK[[#This Row],[Precio Venta Ideal (x1.5)]]</f>
        <v>24.285000000000004</v>
      </c>
      <c r="J1339" s="78">
        <v>3</v>
      </c>
      <c r="K1339" s="69">
        <f>SUMIFS(VENTAS[Cantidad],VENTAS[Código del producto Vendido],STOCK[[#This Row],[Code]])</f>
        <v>0</v>
      </c>
      <c r="L1339" s="69">
        <f>STOCK[[#This Row],[Entradas]]-STOCK[[#This Row],[Salidas]]</f>
        <v>3</v>
      </c>
      <c r="M1339" s="53">
        <f>STOCK[[#This Row],[Precio Final]]*10%</f>
        <v>3.5</v>
      </c>
      <c r="N1339" s="75">
        <v>0</v>
      </c>
      <c r="O1339" s="75">
        <v>0</v>
      </c>
      <c r="P1339" s="53">
        <v>10.32</v>
      </c>
      <c r="Q1339" s="78">
        <v>0</v>
      </c>
      <c r="R1339" s="75">
        <v>0</v>
      </c>
      <c r="S1339" s="75">
        <v>2.37</v>
      </c>
      <c r="T1339" s="53">
        <f>STOCK[[#This Row],[Costo Unitario (USD)]]+STOCK[[#This Row],[Costo Envío (USD)]]+STOCK[[#This Row],[Comisión 10%]]</f>
        <v>16.190000000000001</v>
      </c>
      <c r="U1339" s="53">
        <f>STOCK[[#This Row],[Costo total]]*1.5</f>
        <v>24.285000000000004</v>
      </c>
      <c r="V1339" s="53">
        <v>35</v>
      </c>
      <c r="W1339" s="53">
        <f>STOCK[[#This Row],[Precio Final]]-STOCK[[#This Row],[Costo total]]</f>
        <v>18.809999999999999</v>
      </c>
      <c r="X1339" s="53">
        <f>STOCK[[#This Row],[Ganancia Unitaria]]*STOCK[[#This Row],[Salidas]]</f>
        <v>0</v>
      </c>
      <c r="Y1339" s="75" t="s">
        <v>2733</v>
      </c>
      <c r="AA1339" s="54">
        <f>STOCK[[#This Row],[Costo total]]*STOCK[[#This Row],[Entradas]]</f>
        <v>48.570000000000007</v>
      </c>
      <c r="AB1339" s="54">
        <f>STOCK[[#This Row],[Stock Actual]]*STOCK[[#This Row],[Costo total]]</f>
        <v>48.570000000000007</v>
      </c>
      <c r="AC1339" s="53">
        <v>30</v>
      </c>
    </row>
    <row r="1340" spans="1:29" s="53" customFormat="1" ht="50" customHeight="1">
      <c r="A1340" s="53" t="s">
        <v>2759</v>
      </c>
      <c r="B1340" s="76"/>
      <c r="C1340" s="75" t="s">
        <v>32</v>
      </c>
      <c r="D1340" s="75" t="s">
        <v>2630</v>
      </c>
      <c r="E1340" s="77" t="s">
        <v>2760</v>
      </c>
      <c r="F1340" s="75" t="s">
        <v>62</v>
      </c>
      <c r="G1340" s="75" t="s">
        <v>36</v>
      </c>
      <c r="H1340" s="75">
        <f>STOCK[[#This Row],[Precio Final]]</f>
        <v>15</v>
      </c>
      <c r="I1340" s="80">
        <f>STOCK[[#This Row],[Precio Venta Ideal (x1.5)]]</f>
        <v>18.674999999999997</v>
      </c>
      <c r="J1340" s="78">
        <v>0</v>
      </c>
      <c r="K1340" s="78">
        <f>SUMIFS(VENTAS[Cantidad],VENTAS[Código del producto Vendido],STOCK[[#This Row],[Code]])</f>
        <v>0</v>
      </c>
      <c r="L1340" s="78">
        <f>STOCK[[#This Row],[Entradas]]-STOCK[[#This Row],[Salidas]]</f>
        <v>0</v>
      </c>
      <c r="M1340" s="75">
        <f>STOCK[[#This Row],[Precio Final]]*10%</f>
        <v>1.5</v>
      </c>
      <c r="N1340" s="75">
        <v>0</v>
      </c>
      <c r="O1340" s="75">
        <v>0</v>
      </c>
      <c r="P1340" s="75">
        <v>8.58</v>
      </c>
      <c r="Q1340" s="78">
        <v>0</v>
      </c>
      <c r="R1340" s="75">
        <v>0</v>
      </c>
      <c r="S1340" s="75">
        <v>2.37</v>
      </c>
      <c r="T1340" s="75">
        <f>STOCK[[#This Row],[Costo Unitario (USD)]]+STOCK[[#This Row],[Costo Envío (USD)]]+STOCK[[#This Row],[Comisión 10%]]</f>
        <v>12.45</v>
      </c>
      <c r="U1340" s="53">
        <f>STOCK[[#This Row],[Costo total]]*1.5</f>
        <v>18.674999999999997</v>
      </c>
      <c r="V1340" s="75">
        <v>15</v>
      </c>
      <c r="W1340" s="75">
        <f>STOCK[[#This Row],[Precio Final]]-STOCK[[#This Row],[Costo total]]</f>
        <v>2.5500000000000007</v>
      </c>
      <c r="X1340" s="75">
        <f>STOCK[[#This Row],[Ganancia Unitaria]]*STOCK[[#This Row],[Salidas]]</f>
        <v>0</v>
      </c>
      <c r="Y1340" s="75" t="s">
        <v>2733</v>
      </c>
      <c r="Z1340" s="75"/>
      <c r="AA1340" s="54">
        <f>STOCK[[#This Row],[Costo total]]*STOCK[[#This Row],[Entradas]]</f>
        <v>0</v>
      </c>
      <c r="AB1340" s="54">
        <f>STOCK[[#This Row],[Stock Actual]]*STOCK[[#This Row],[Costo total]]</f>
        <v>0</v>
      </c>
      <c r="AC1340" s="75"/>
    </row>
    <row r="1341" spans="1:29" s="53" customFormat="1" ht="50" customHeight="1">
      <c r="A1341" s="53" t="s">
        <v>2761</v>
      </c>
      <c r="B1341" s="76"/>
      <c r="C1341" s="75" t="s">
        <v>32</v>
      </c>
      <c r="D1341" s="75" t="s">
        <v>2630</v>
      </c>
      <c r="E1341" s="77" t="s">
        <v>2762</v>
      </c>
      <c r="F1341" s="75" t="s">
        <v>62</v>
      </c>
      <c r="G1341" s="75" t="s">
        <v>36</v>
      </c>
      <c r="H1341" s="75">
        <f>STOCK[[#This Row],[Precio Final]]</f>
        <v>25</v>
      </c>
      <c r="I1341" s="80">
        <f>STOCK[[#This Row],[Precio Venta Ideal (x1.5)]]</f>
        <v>21.150000000000002</v>
      </c>
      <c r="J1341" s="78">
        <v>1</v>
      </c>
      <c r="K1341" s="78">
        <f>SUMIFS(VENTAS[Cantidad],VENTAS[Código del producto Vendido],STOCK[[#This Row],[Code]])</f>
        <v>1</v>
      </c>
      <c r="L1341" s="78">
        <f>STOCK[[#This Row],[Entradas]]-STOCK[[#This Row],[Salidas]]</f>
        <v>0</v>
      </c>
      <c r="M1341" s="75">
        <f>STOCK[[#This Row],[Precio Final]]*10%</f>
        <v>2.5</v>
      </c>
      <c r="N1341" s="75">
        <v>0</v>
      </c>
      <c r="O1341" s="75">
        <v>0</v>
      </c>
      <c r="P1341" s="75">
        <v>9.23</v>
      </c>
      <c r="Q1341" s="78">
        <v>0</v>
      </c>
      <c r="R1341" s="75">
        <v>0</v>
      </c>
      <c r="S1341" s="75">
        <v>2.37</v>
      </c>
      <c r="T1341" s="75">
        <f>STOCK[[#This Row],[Costo Unitario (USD)]]+STOCK[[#This Row],[Costo Envío (USD)]]+STOCK[[#This Row],[Comisión 10%]]</f>
        <v>14.100000000000001</v>
      </c>
      <c r="U1341" s="53">
        <f>STOCK[[#This Row],[Costo total]]*1.5</f>
        <v>21.150000000000002</v>
      </c>
      <c r="V1341" s="75">
        <v>25</v>
      </c>
      <c r="W1341" s="75">
        <f>STOCK[[#This Row],[Precio Final]]-STOCK[[#This Row],[Costo total]]</f>
        <v>10.899999999999999</v>
      </c>
      <c r="X1341" s="75">
        <f>STOCK[[#This Row],[Ganancia Unitaria]]*STOCK[[#This Row],[Salidas]]</f>
        <v>10.899999999999999</v>
      </c>
      <c r="Y1341" s="75" t="s">
        <v>2733</v>
      </c>
      <c r="Z1341" s="75"/>
      <c r="AA1341" s="54">
        <f>STOCK[[#This Row],[Costo total]]*STOCK[[#This Row],[Entradas]]</f>
        <v>14.100000000000001</v>
      </c>
      <c r="AB1341" s="54">
        <f>STOCK[[#This Row],[Stock Actual]]*STOCK[[#This Row],[Costo total]]</f>
        <v>0</v>
      </c>
      <c r="AC1341" s="75"/>
    </row>
    <row r="1342" spans="1:29" s="53" customFormat="1" ht="50" customHeight="1">
      <c r="A1342" s="53" t="s">
        <v>2763</v>
      </c>
      <c r="B1342" s="76"/>
      <c r="C1342" s="75" t="s">
        <v>32</v>
      </c>
      <c r="D1342" s="75" t="s">
        <v>2128</v>
      </c>
      <c r="E1342" s="77" t="s">
        <v>2764</v>
      </c>
      <c r="F1342" s="75" t="s">
        <v>62</v>
      </c>
      <c r="G1342" s="75" t="s">
        <v>36</v>
      </c>
      <c r="H1342" s="75">
        <f>STOCK[[#This Row],[Precio Final]]</f>
        <v>22</v>
      </c>
      <c r="I1342" s="80">
        <f>STOCK[[#This Row],[Precio Venta Ideal (x1.5)]]</f>
        <v>23.145</v>
      </c>
      <c r="J1342" s="78">
        <v>2</v>
      </c>
      <c r="K1342" s="78">
        <f>SUMIFS(VENTAS[Cantidad],VENTAS[Código del producto Vendido],STOCK[[#This Row],[Code]])</f>
        <v>2</v>
      </c>
      <c r="L1342" s="78">
        <f>STOCK[[#This Row],[Entradas]]-STOCK[[#This Row],[Salidas]]</f>
        <v>0</v>
      </c>
      <c r="M1342" s="75">
        <f>STOCK[[#This Row],[Precio Final]]*10%</f>
        <v>2.2000000000000002</v>
      </c>
      <c r="N1342" s="75">
        <v>0</v>
      </c>
      <c r="O1342" s="75">
        <v>0</v>
      </c>
      <c r="P1342" s="75">
        <v>10.86</v>
      </c>
      <c r="Q1342" s="78">
        <v>0</v>
      </c>
      <c r="R1342" s="75">
        <v>0</v>
      </c>
      <c r="S1342" s="75">
        <v>2.37</v>
      </c>
      <c r="T1342" s="75">
        <f>STOCK[[#This Row],[Costo Unitario (USD)]]+STOCK[[#This Row],[Costo Envío (USD)]]+STOCK[[#This Row],[Comisión 10%]]</f>
        <v>15.43</v>
      </c>
      <c r="U1342" s="53">
        <f>STOCK[[#This Row],[Costo total]]*1.5</f>
        <v>23.145</v>
      </c>
      <c r="V1342" s="75">
        <v>22</v>
      </c>
      <c r="W1342" s="75">
        <f>STOCK[[#This Row],[Precio Final]]-STOCK[[#This Row],[Costo total]]</f>
        <v>6.57</v>
      </c>
      <c r="X1342" s="75">
        <f>STOCK[[#This Row],[Ganancia Unitaria]]*STOCK[[#This Row],[Salidas]]</f>
        <v>13.14</v>
      </c>
      <c r="Y1342" s="75" t="s">
        <v>2733</v>
      </c>
      <c r="Z1342" s="75"/>
      <c r="AA1342" s="54">
        <f>STOCK[[#This Row],[Costo total]]*STOCK[[#This Row],[Entradas]]</f>
        <v>30.86</v>
      </c>
      <c r="AB1342" s="54">
        <f>STOCK[[#This Row],[Stock Actual]]*STOCK[[#This Row],[Costo total]]</f>
        <v>0</v>
      </c>
      <c r="AC1342" s="75"/>
    </row>
    <row r="1343" spans="1:29" s="53" customFormat="1" ht="50" customHeight="1">
      <c r="A1343" s="53" t="s">
        <v>2765</v>
      </c>
      <c r="B1343" s="76"/>
      <c r="C1343" s="75" t="s">
        <v>32</v>
      </c>
      <c r="D1343" s="75" t="s">
        <v>2128</v>
      </c>
      <c r="E1343" s="77" t="s">
        <v>2764</v>
      </c>
      <c r="F1343" s="75" t="s">
        <v>49</v>
      </c>
      <c r="G1343" s="75" t="s">
        <v>36</v>
      </c>
      <c r="H1343" s="75">
        <f>STOCK[[#This Row],[Precio Final]]</f>
        <v>22</v>
      </c>
      <c r="I1343" s="80">
        <f>STOCK[[#This Row],[Precio Venta Ideal (x1.5)]]</f>
        <v>23.145</v>
      </c>
      <c r="J1343" s="78">
        <v>2</v>
      </c>
      <c r="K1343" s="78">
        <f>SUMIFS(VENTAS[Cantidad],VENTAS[Código del producto Vendido],STOCK[[#This Row],[Code]])</f>
        <v>1</v>
      </c>
      <c r="L1343" s="78">
        <f>STOCK[[#This Row],[Entradas]]-STOCK[[#This Row],[Salidas]]</f>
        <v>1</v>
      </c>
      <c r="M1343" s="75">
        <f>STOCK[[#This Row],[Precio Final]]*10%</f>
        <v>2.2000000000000002</v>
      </c>
      <c r="N1343" s="75">
        <v>0</v>
      </c>
      <c r="O1343" s="75">
        <v>0</v>
      </c>
      <c r="P1343" s="75">
        <v>10.86</v>
      </c>
      <c r="Q1343" s="78">
        <v>0</v>
      </c>
      <c r="R1343" s="75">
        <v>0</v>
      </c>
      <c r="S1343" s="75">
        <v>2.37</v>
      </c>
      <c r="T1343" s="75">
        <f>STOCK[[#This Row],[Costo Unitario (USD)]]+STOCK[[#This Row],[Costo Envío (USD)]]+STOCK[[#This Row],[Comisión 10%]]</f>
        <v>15.43</v>
      </c>
      <c r="U1343" s="53">
        <f>STOCK[[#This Row],[Costo total]]*1.5</f>
        <v>23.145</v>
      </c>
      <c r="V1343" s="75">
        <v>22</v>
      </c>
      <c r="W1343" s="75">
        <f>STOCK[[#This Row],[Precio Final]]-STOCK[[#This Row],[Costo total]]</f>
        <v>6.57</v>
      </c>
      <c r="X1343" s="75">
        <f>STOCK[[#This Row],[Ganancia Unitaria]]*STOCK[[#This Row],[Salidas]]</f>
        <v>6.57</v>
      </c>
      <c r="Y1343" s="75" t="s">
        <v>2733</v>
      </c>
      <c r="Z1343" s="75"/>
      <c r="AA1343" s="54">
        <f>STOCK[[#This Row],[Costo total]]*STOCK[[#This Row],[Entradas]]</f>
        <v>30.86</v>
      </c>
      <c r="AB1343" s="54">
        <f>STOCK[[#This Row],[Stock Actual]]*STOCK[[#This Row],[Costo total]]</f>
        <v>15.43</v>
      </c>
      <c r="AC1343" s="75"/>
    </row>
    <row r="1344" spans="1:29" s="53" customFormat="1" ht="50" customHeight="1">
      <c r="A1344" s="53" t="s">
        <v>2766</v>
      </c>
      <c r="B1344" s="76"/>
      <c r="C1344" s="75" t="s">
        <v>32</v>
      </c>
      <c r="D1344" s="75" t="s">
        <v>2128</v>
      </c>
      <c r="E1344" s="77" t="s">
        <v>2764</v>
      </c>
      <c r="F1344" s="75" t="s">
        <v>46</v>
      </c>
      <c r="G1344" s="75" t="s">
        <v>36</v>
      </c>
      <c r="H1344" s="75">
        <f>STOCK[[#This Row],[Precio Final]]</f>
        <v>22</v>
      </c>
      <c r="I1344" s="80">
        <f>STOCK[[#This Row],[Precio Venta Ideal (x1.5)]]</f>
        <v>23.145</v>
      </c>
      <c r="J1344" s="78">
        <v>2</v>
      </c>
      <c r="K1344" s="78">
        <f>SUMIFS(VENTAS[Cantidad],VENTAS[Código del producto Vendido],STOCK[[#This Row],[Code]])</f>
        <v>0</v>
      </c>
      <c r="L1344" s="78">
        <f>STOCK[[#This Row],[Entradas]]-STOCK[[#This Row],[Salidas]]</f>
        <v>2</v>
      </c>
      <c r="M1344" s="75">
        <f>STOCK[[#This Row],[Precio Final]]*10%</f>
        <v>2.2000000000000002</v>
      </c>
      <c r="N1344" s="75">
        <v>0</v>
      </c>
      <c r="O1344" s="75">
        <v>0</v>
      </c>
      <c r="P1344" s="75">
        <v>10.86</v>
      </c>
      <c r="Q1344" s="78">
        <v>0</v>
      </c>
      <c r="R1344" s="75">
        <v>0</v>
      </c>
      <c r="S1344" s="75">
        <v>2.37</v>
      </c>
      <c r="T1344" s="75">
        <f>STOCK[[#This Row],[Costo Unitario (USD)]]+STOCK[[#This Row],[Costo Envío (USD)]]+STOCK[[#This Row],[Comisión 10%]]</f>
        <v>15.43</v>
      </c>
      <c r="U1344" s="53">
        <f>STOCK[[#This Row],[Costo total]]*1.5</f>
        <v>23.145</v>
      </c>
      <c r="V1344" s="75">
        <v>22</v>
      </c>
      <c r="W1344" s="75">
        <f>STOCK[[#This Row],[Precio Final]]-STOCK[[#This Row],[Costo total]]</f>
        <v>6.57</v>
      </c>
      <c r="X1344" s="75">
        <f>STOCK[[#This Row],[Ganancia Unitaria]]*STOCK[[#This Row],[Salidas]]</f>
        <v>0</v>
      </c>
      <c r="Y1344" s="75" t="s">
        <v>2733</v>
      </c>
      <c r="Z1344" s="75"/>
      <c r="AA1344" s="54">
        <f>STOCK[[#This Row],[Costo total]]*STOCK[[#This Row],[Entradas]]</f>
        <v>30.86</v>
      </c>
      <c r="AB1344" s="54">
        <f>STOCK[[#This Row],[Stock Actual]]*STOCK[[#This Row],[Costo total]]</f>
        <v>30.86</v>
      </c>
      <c r="AC1344" s="75"/>
    </row>
    <row r="1345" spans="1:29" s="53" customFormat="1" ht="50" customHeight="1">
      <c r="A1345" s="53" t="s">
        <v>2767</v>
      </c>
      <c r="B1345" s="76"/>
      <c r="C1345" s="75" t="s">
        <v>32</v>
      </c>
      <c r="D1345" s="75" t="s">
        <v>2128</v>
      </c>
      <c r="E1345" s="77" t="s">
        <v>2768</v>
      </c>
      <c r="F1345" s="75" t="s">
        <v>62</v>
      </c>
      <c r="G1345" s="75" t="s">
        <v>36</v>
      </c>
      <c r="H1345" s="75">
        <f>STOCK[[#This Row],[Precio Final]]</f>
        <v>22</v>
      </c>
      <c r="I1345" s="80">
        <f>STOCK[[#This Row],[Precio Venta Ideal (x1.5)]]</f>
        <v>22.605</v>
      </c>
      <c r="J1345" s="78">
        <v>2</v>
      </c>
      <c r="K1345" s="78">
        <f>SUMIFS(VENTAS[Cantidad],VENTAS[Código del producto Vendido],STOCK[[#This Row],[Code]])</f>
        <v>0</v>
      </c>
      <c r="L1345" s="78">
        <f>STOCK[[#This Row],[Entradas]]-STOCK[[#This Row],[Salidas]]</f>
        <v>2</v>
      </c>
      <c r="M1345" s="75">
        <f>STOCK[[#This Row],[Precio Final]]*10%</f>
        <v>2.2000000000000002</v>
      </c>
      <c r="N1345" s="75">
        <v>0</v>
      </c>
      <c r="O1345" s="75">
        <v>0</v>
      </c>
      <c r="P1345" s="75">
        <v>10.5</v>
      </c>
      <c r="Q1345" s="78">
        <v>0</v>
      </c>
      <c r="R1345" s="75">
        <v>0</v>
      </c>
      <c r="S1345" s="75">
        <v>2.37</v>
      </c>
      <c r="T1345" s="75">
        <f>STOCK[[#This Row],[Costo Unitario (USD)]]+STOCK[[#This Row],[Costo Envío (USD)]]+STOCK[[#This Row],[Comisión 10%]]</f>
        <v>15.07</v>
      </c>
      <c r="U1345" s="53">
        <f>STOCK[[#This Row],[Costo total]]*1.5</f>
        <v>22.605</v>
      </c>
      <c r="V1345" s="75">
        <v>22</v>
      </c>
      <c r="W1345" s="75">
        <f>STOCK[[#This Row],[Precio Final]]-STOCK[[#This Row],[Costo total]]</f>
        <v>6.93</v>
      </c>
      <c r="X1345" s="75">
        <f>STOCK[[#This Row],[Ganancia Unitaria]]*STOCK[[#This Row],[Salidas]]</f>
        <v>0</v>
      </c>
      <c r="Y1345" s="75" t="s">
        <v>2733</v>
      </c>
      <c r="Z1345" s="75"/>
      <c r="AA1345" s="54">
        <f>STOCK[[#This Row],[Costo total]]*STOCK[[#This Row],[Entradas]]</f>
        <v>30.14</v>
      </c>
      <c r="AB1345" s="54">
        <f>STOCK[[#This Row],[Stock Actual]]*STOCK[[#This Row],[Costo total]]</f>
        <v>30.14</v>
      </c>
      <c r="AC1345" s="75"/>
    </row>
    <row r="1346" spans="1:29" s="53" customFormat="1" ht="50" customHeight="1">
      <c r="A1346" s="53" t="s">
        <v>2769</v>
      </c>
      <c r="B1346" s="76"/>
      <c r="C1346" s="75" t="s">
        <v>32</v>
      </c>
      <c r="D1346" s="75" t="s">
        <v>2128</v>
      </c>
      <c r="E1346" s="77" t="s">
        <v>2768</v>
      </c>
      <c r="F1346" s="75" t="s">
        <v>49</v>
      </c>
      <c r="G1346" s="75" t="s">
        <v>36</v>
      </c>
      <c r="H1346" s="75">
        <f>STOCK[[#This Row],[Precio Final]]</f>
        <v>22</v>
      </c>
      <c r="I1346" s="80">
        <f>STOCK[[#This Row],[Precio Venta Ideal (x1.5)]]</f>
        <v>22.605</v>
      </c>
      <c r="J1346" s="78">
        <v>2</v>
      </c>
      <c r="K1346" s="78">
        <f>SUMIFS(VENTAS[Cantidad],VENTAS[Código del producto Vendido],STOCK[[#This Row],[Code]])</f>
        <v>0</v>
      </c>
      <c r="L1346" s="78">
        <f>STOCK[[#This Row],[Entradas]]-STOCK[[#This Row],[Salidas]]</f>
        <v>2</v>
      </c>
      <c r="M1346" s="75">
        <f>STOCK[[#This Row],[Precio Final]]*10%</f>
        <v>2.2000000000000002</v>
      </c>
      <c r="N1346" s="75">
        <v>0</v>
      </c>
      <c r="O1346" s="75">
        <v>0</v>
      </c>
      <c r="P1346" s="75">
        <v>10.5</v>
      </c>
      <c r="Q1346" s="78">
        <v>0</v>
      </c>
      <c r="R1346" s="75">
        <v>0</v>
      </c>
      <c r="S1346" s="75">
        <v>2.37</v>
      </c>
      <c r="T1346" s="75">
        <f>STOCK[[#This Row],[Costo Unitario (USD)]]+STOCK[[#This Row],[Costo Envío (USD)]]+STOCK[[#This Row],[Comisión 10%]]</f>
        <v>15.07</v>
      </c>
      <c r="U1346" s="53">
        <f>STOCK[[#This Row],[Costo total]]*1.5</f>
        <v>22.605</v>
      </c>
      <c r="V1346" s="75">
        <v>22</v>
      </c>
      <c r="W1346" s="75">
        <f>STOCK[[#This Row],[Precio Final]]-STOCK[[#This Row],[Costo total]]</f>
        <v>6.93</v>
      </c>
      <c r="X1346" s="75">
        <f>STOCK[[#This Row],[Ganancia Unitaria]]*STOCK[[#This Row],[Salidas]]</f>
        <v>0</v>
      </c>
      <c r="Y1346" s="75" t="s">
        <v>2733</v>
      </c>
      <c r="Z1346" s="75"/>
      <c r="AA1346" s="54">
        <f>STOCK[[#This Row],[Costo total]]*STOCK[[#This Row],[Entradas]]</f>
        <v>30.14</v>
      </c>
      <c r="AB1346" s="54">
        <f>STOCK[[#This Row],[Stock Actual]]*STOCK[[#This Row],[Costo total]]</f>
        <v>30.14</v>
      </c>
      <c r="AC1346" s="75"/>
    </row>
    <row r="1347" spans="1:29" s="53" customFormat="1" ht="50" customHeight="1">
      <c r="A1347" s="53" t="s">
        <v>2770</v>
      </c>
      <c r="B1347" s="76"/>
      <c r="C1347" s="75" t="s">
        <v>32</v>
      </c>
      <c r="D1347" s="75" t="s">
        <v>2128</v>
      </c>
      <c r="E1347" s="77" t="s">
        <v>2768</v>
      </c>
      <c r="F1347" s="75" t="s">
        <v>46</v>
      </c>
      <c r="G1347" s="75" t="s">
        <v>36</v>
      </c>
      <c r="H1347" s="75">
        <f>STOCK[[#This Row],[Precio Final]]</f>
        <v>22</v>
      </c>
      <c r="I1347" s="80">
        <f>STOCK[[#This Row],[Precio Venta Ideal (x1.5)]]</f>
        <v>22.605</v>
      </c>
      <c r="J1347" s="78">
        <v>2</v>
      </c>
      <c r="K1347" s="78">
        <f>SUMIFS(VENTAS[Cantidad],VENTAS[Código del producto Vendido],STOCK[[#This Row],[Code]])</f>
        <v>2</v>
      </c>
      <c r="L1347" s="78">
        <f>STOCK[[#This Row],[Entradas]]-STOCK[[#This Row],[Salidas]]</f>
        <v>0</v>
      </c>
      <c r="M1347" s="75">
        <f>STOCK[[#This Row],[Precio Final]]*10%</f>
        <v>2.2000000000000002</v>
      </c>
      <c r="N1347" s="75">
        <v>0</v>
      </c>
      <c r="O1347" s="75">
        <v>0</v>
      </c>
      <c r="P1347" s="75">
        <v>10.5</v>
      </c>
      <c r="Q1347" s="78">
        <v>0</v>
      </c>
      <c r="R1347" s="75">
        <v>0</v>
      </c>
      <c r="S1347" s="75">
        <v>2.37</v>
      </c>
      <c r="T1347" s="75">
        <f>STOCK[[#This Row],[Costo Unitario (USD)]]+STOCK[[#This Row],[Costo Envío (USD)]]+STOCK[[#This Row],[Comisión 10%]]</f>
        <v>15.07</v>
      </c>
      <c r="U1347" s="53">
        <f>STOCK[[#This Row],[Costo total]]*1.5</f>
        <v>22.605</v>
      </c>
      <c r="V1347" s="75">
        <v>22</v>
      </c>
      <c r="W1347" s="75">
        <f>STOCK[[#This Row],[Precio Final]]-STOCK[[#This Row],[Costo total]]</f>
        <v>6.93</v>
      </c>
      <c r="X1347" s="75">
        <f>STOCK[[#This Row],[Ganancia Unitaria]]*STOCK[[#This Row],[Salidas]]</f>
        <v>13.86</v>
      </c>
      <c r="Y1347" s="75" t="s">
        <v>2733</v>
      </c>
      <c r="Z1347" s="75"/>
      <c r="AA1347" s="54">
        <f>STOCK[[#This Row],[Costo total]]*STOCK[[#This Row],[Entradas]]</f>
        <v>30.14</v>
      </c>
      <c r="AB1347" s="54">
        <f>STOCK[[#This Row],[Stock Actual]]*STOCK[[#This Row],[Costo total]]</f>
        <v>0</v>
      </c>
      <c r="AC1347" s="75"/>
    </row>
    <row r="1348" spans="1:29" s="53" customFormat="1" ht="50" customHeight="1">
      <c r="A1348" s="53" t="s">
        <v>2771</v>
      </c>
      <c r="B1348" s="76"/>
      <c r="C1348" s="75" t="s">
        <v>32</v>
      </c>
      <c r="D1348" s="75" t="s">
        <v>1226</v>
      </c>
      <c r="E1348" s="77" t="s">
        <v>2772</v>
      </c>
      <c r="F1348" s="75" t="s">
        <v>517</v>
      </c>
      <c r="G1348" s="75" t="s">
        <v>2452</v>
      </c>
      <c r="H1348" s="75">
        <f>STOCK[[#This Row],[Precio Final]]</f>
        <v>45</v>
      </c>
      <c r="I1348" s="80">
        <f>STOCK[[#This Row],[Precio Venta Ideal (x1.5)]]</f>
        <v>36.224999999999994</v>
      </c>
      <c r="J1348" s="78">
        <v>2</v>
      </c>
      <c r="K1348" s="78">
        <f>SUMIFS(VENTAS[Cantidad],VENTAS[Código del producto Vendido],STOCK[[#This Row],[Code]])</f>
        <v>1</v>
      </c>
      <c r="L1348" s="78">
        <f>STOCK[[#This Row],[Entradas]]-STOCK[[#This Row],[Salidas]]</f>
        <v>1</v>
      </c>
      <c r="M1348" s="75">
        <f>STOCK[[#This Row],[Precio Final]]*10%</f>
        <v>4.5</v>
      </c>
      <c r="N1348" s="75">
        <v>0</v>
      </c>
      <c r="O1348" s="75">
        <v>0</v>
      </c>
      <c r="P1348" s="75">
        <v>18</v>
      </c>
      <c r="Q1348" s="78">
        <v>0</v>
      </c>
      <c r="R1348" s="75">
        <v>0</v>
      </c>
      <c r="S1348" s="75">
        <v>1.65</v>
      </c>
      <c r="T1348" s="75">
        <f>STOCK[[#This Row],[Costo Unitario (USD)]]+STOCK[[#This Row],[Costo Envío (USD)]]+STOCK[[#This Row],[Comisión 10%]]</f>
        <v>24.15</v>
      </c>
      <c r="U1348" s="53">
        <f>STOCK[[#This Row],[Costo total]]*1.5</f>
        <v>36.224999999999994</v>
      </c>
      <c r="V1348" s="75">
        <v>45</v>
      </c>
      <c r="W1348" s="75">
        <f>STOCK[[#This Row],[Precio Final]]-STOCK[[#This Row],[Costo total]]</f>
        <v>20.85</v>
      </c>
      <c r="X1348" s="75">
        <f>STOCK[[#This Row],[Ganancia Unitaria]]*STOCK[[#This Row],[Salidas]]</f>
        <v>20.85</v>
      </c>
      <c r="Y1348" s="75" t="s">
        <v>2773</v>
      </c>
      <c r="Z1348" s="75"/>
      <c r="AA1348" s="54">
        <f>STOCK[[#This Row],[Costo total]]*STOCK[[#This Row],[Entradas]]</f>
        <v>48.3</v>
      </c>
      <c r="AB1348" s="54">
        <f>STOCK[[#This Row],[Stock Actual]]*STOCK[[#This Row],[Costo total]]</f>
        <v>24.15</v>
      </c>
      <c r="AC1348" s="75"/>
    </row>
    <row r="1349" spans="1:29" s="53" customFormat="1" ht="50" customHeight="1">
      <c r="A1349" s="53" t="s">
        <v>2774</v>
      </c>
      <c r="B1349" s="76"/>
      <c r="C1349" s="75" t="s">
        <v>32</v>
      </c>
      <c r="D1349" s="75" t="s">
        <v>1226</v>
      </c>
      <c r="E1349" s="77" t="s">
        <v>2772</v>
      </c>
      <c r="F1349" s="75" t="s">
        <v>765</v>
      </c>
      <c r="G1349" s="75" t="s">
        <v>2452</v>
      </c>
      <c r="H1349" s="75">
        <f>STOCK[[#This Row],[Precio Final]]</f>
        <v>45</v>
      </c>
      <c r="I1349" s="80">
        <f>STOCK[[#This Row],[Precio Venta Ideal (x1.5)]]</f>
        <v>36.224999999999994</v>
      </c>
      <c r="J1349" s="78">
        <v>2</v>
      </c>
      <c r="K1349" s="78">
        <f>SUMIFS(VENTAS[Cantidad],VENTAS[Código del producto Vendido],STOCK[[#This Row],[Code]])</f>
        <v>2</v>
      </c>
      <c r="L1349" s="78">
        <f>STOCK[[#This Row],[Entradas]]-STOCK[[#This Row],[Salidas]]</f>
        <v>0</v>
      </c>
      <c r="M1349" s="75">
        <f>STOCK[[#This Row],[Precio Final]]*10%</f>
        <v>4.5</v>
      </c>
      <c r="N1349" s="75">
        <v>0</v>
      </c>
      <c r="O1349" s="75">
        <v>0</v>
      </c>
      <c r="P1349" s="75">
        <v>18</v>
      </c>
      <c r="Q1349" s="78">
        <v>0</v>
      </c>
      <c r="R1349" s="75">
        <v>0</v>
      </c>
      <c r="S1349" s="75">
        <v>1.65</v>
      </c>
      <c r="T1349" s="75">
        <f>STOCK[[#This Row],[Costo Unitario (USD)]]+STOCK[[#This Row],[Costo Envío (USD)]]+STOCK[[#This Row],[Comisión 10%]]</f>
        <v>24.15</v>
      </c>
      <c r="U1349" s="53">
        <f>STOCK[[#This Row],[Costo total]]*1.5</f>
        <v>36.224999999999994</v>
      </c>
      <c r="V1349" s="75">
        <v>45</v>
      </c>
      <c r="W1349" s="75">
        <f>STOCK[[#This Row],[Precio Final]]-STOCK[[#This Row],[Costo total]]</f>
        <v>20.85</v>
      </c>
      <c r="X1349" s="75">
        <f>STOCK[[#This Row],[Ganancia Unitaria]]*STOCK[[#This Row],[Salidas]]</f>
        <v>41.7</v>
      </c>
      <c r="Y1349" s="75"/>
      <c r="Z1349" s="75"/>
      <c r="AA1349" s="54">
        <f>STOCK[[#This Row],[Costo total]]*STOCK[[#This Row],[Entradas]]</f>
        <v>48.3</v>
      </c>
      <c r="AB1349" s="54">
        <f>STOCK[[#This Row],[Stock Actual]]*STOCK[[#This Row],[Costo total]]</f>
        <v>0</v>
      </c>
      <c r="AC1349" s="75"/>
    </row>
    <row r="1350" spans="1:29" s="53" customFormat="1" ht="50" customHeight="1">
      <c r="A1350" s="53" t="s">
        <v>2775</v>
      </c>
      <c r="B1350" s="76"/>
      <c r="C1350" s="75" t="s">
        <v>32</v>
      </c>
      <c r="D1350" s="75" t="s">
        <v>1226</v>
      </c>
      <c r="E1350" s="77" t="s">
        <v>2772</v>
      </c>
      <c r="F1350" s="75" t="s">
        <v>1102</v>
      </c>
      <c r="G1350" s="75" t="s">
        <v>2452</v>
      </c>
      <c r="H1350" s="75">
        <f>STOCK[[#This Row],[Precio Final]]</f>
        <v>45</v>
      </c>
      <c r="I1350" s="80">
        <f>STOCK[[#This Row],[Precio Venta Ideal (x1.5)]]</f>
        <v>36.224999999999994</v>
      </c>
      <c r="J1350" s="78">
        <v>1</v>
      </c>
      <c r="K1350" s="78">
        <f>SUMIFS(VENTAS[Cantidad],VENTAS[Código del producto Vendido],STOCK[[#This Row],[Code]])</f>
        <v>1</v>
      </c>
      <c r="L1350" s="78">
        <f>STOCK[[#This Row],[Entradas]]-STOCK[[#This Row],[Salidas]]</f>
        <v>0</v>
      </c>
      <c r="M1350" s="75">
        <f>STOCK[[#This Row],[Precio Final]]*10%</f>
        <v>4.5</v>
      </c>
      <c r="N1350" s="75">
        <v>0</v>
      </c>
      <c r="O1350" s="75">
        <v>0</v>
      </c>
      <c r="P1350" s="75">
        <v>18</v>
      </c>
      <c r="Q1350" s="78">
        <v>0</v>
      </c>
      <c r="R1350" s="75">
        <v>0</v>
      </c>
      <c r="S1350" s="75">
        <v>1.65</v>
      </c>
      <c r="T1350" s="75">
        <f>STOCK[[#This Row],[Costo Unitario (USD)]]+STOCK[[#This Row],[Costo Envío (USD)]]+STOCK[[#This Row],[Comisión 10%]]</f>
        <v>24.15</v>
      </c>
      <c r="U1350" s="53">
        <f>STOCK[[#This Row],[Costo total]]*1.5</f>
        <v>36.224999999999994</v>
      </c>
      <c r="V1350" s="75">
        <v>45</v>
      </c>
      <c r="W1350" s="75">
        <f>STOCK[[#This Row],[Precio Final]]-STOCK[[#This Row],[Costo total]]</f>
        <v>20.85</v>
      </c>
      <c r="X1350" s="75">
        <f>STOCK[[#This Row],[Ganancia Unitaria]]*STOCK[[#This Row],[Salidas]]</f>
        <v>20.85</v>
      </c>
      <c r="Y1350" s="75"/>
      <c r="Z1350" s="75"/>
      <c r="AA1350" s="54">
        <f>STOCK[[#This Row],[Costo total]]*STOCK[[#This Row],[Entradas]]</f>
        <v>24.15</v>
      </c>
      <c r="AB1350" s="54">
        <f>STOCK[[#This Row],[Stock Actual]]*STOCK[[#This Row],[Costo total]]</f>
        <v>0</v>
      </c>
      <c r="AC1350" s="75"/>
    </row>
    <row r="1351" spans="1:29" s="53" customFormat="1" ht="50" customHeight="1">
      <c r="A1351" s="53" t="s">
        <v>2776</v>
      </c>
      <c r="B1351" s="76"/>
      <c r="C1351" s="75" t="s">
        <v>32</v>
      </c>
      <c r="D1351" s="75" t="s">
        <v>1226</v>
      </c>
      <c r="E1351" s="77" t="s">
        <v>2772</v>
      </c>
      <c r="F1351" s="75" t="s">
        <v>759</v>
      </c>
      <c r="G1351" s="75" t="s">
        <v>2452</v>
      </c>
      <c r="H1351" s="75">
        <f>STOCK[[#This Row],[Precio Final]]</f>
        <v>45</v>
      </c>
      <c r="I1351" s="80">
        <f>STOCK[[#This Row],[Precio Venta Ideal (x1.5)]]</f>
        <v>36.224999999999994</v>
      </c>
      <c r="J1351" s="78">
        <v>2</v>
      </c>
      <c r="K1351" s="78">
        <f>SUMIFS(VENTAS[Cantidad],VENTAS[Código del producto Vendido],STOCK[[#This Row],[Code]])</f>
        <v>0</v>
      </c>
      <c r="L1351" s="78">
        <f>STOCK[[#This Row],[Entradas]]-STOCK[[#This Row],[Salidas]]</f>
        <v>2</v>
      </c>
      <c r="M1351" s="75">
        <f>STOCK[[#This Row],[Precio Final]]*10%</f>
        <v>4.5</v>
      </c>
      <c r="N1351" s="75">
        <v>0</v>
      </c>
      <c r="O1351" s="75">
        <v>0</v>
      </c>
      <c r="P1351" s="75">
        <v>18</v>
      </c>
      <c r="Q1351" s="78">
        <v>0</v>
      </c>
      <c r="R1351" s="75">
        <v>0</v>
      </c>
      <c r="S1351" s="75">
        <v>1.65</v>
      </c>
      <c r="T1351" s="75">
        <f>STOCK[[#This Row],[Costo Unitario (USD)]]+STOCK[[#This Row],[Costo Envío (USD)]]+STOCK[[#This Row],[Comisión 10%]]</f>
        <v>24.15</v>
      </c>
      <c r="U1351" s="53">
        <f>STOCK[[#This Row],[Costo total]]*1.5</f>
        <v>36.224999999999994</v>
      </c>
      <c r="V1351" s="75">
        <v>45</v>
      </c>
      <c r="W1351" s="75">
        <f>STOCK[[#This Row],[Precio Final]]-STOCK[[#This Row],[Costo total]]</f>
        <v>20.85</v>
      </c>
      <c r="X1351" s="75">
        <f>STOCK[[#This Row],[Ganancia Unitaria]]*STOCK[[#This Row],[Salidas]]</f>
        <v>0</v>
      </c>
      <c r="Y1351" s="75"/>
      <c r="Z1351" s="75"/>
      <c r="AA1351" s="54">
        <f>STOCK[[#This Row],[Costo total]]*STOCK[[#This Row],[Entradas]]</f>
        <v>48.3</v>
      </c>
      <c r="AB1351" s="54">
        <f>STOCK[[#This Row],[Stock Actual]]*STOCK[[#This Row],[Costo total]]</f>
        <v>48.3</v>
      </c>
      <c r="AC1351" s="75"/>
    </row>
    <row r="1352" spans="1:29" s="53" customFormat="1" ht="50" customHeight="1">
      <c r="A1352" s="53" t="s">
        <v>2777</v>
      </c>
      <c r="B1352" s="76"/>
      <c r="C1352" s="75" t="s">
        <v>32</v>
      </c>
      <c r="D1352" s="75" t="s">
        <v>1226</v>
      </c>
      <c r="E1352" s="77" t="s">
        <v>2778</v>
      </c>
      <c r="F1352" s="75" t="s">
        <v>517</v>
      </c>
      <c r="G1352" s="75" t="s">
        <v>2452</v>
      </c>
      <c r="H1352" s="75">
        <f>STOCK[[#This Row],[Precio Final]]</f>
        <v>35</v>
      </c>
      <c r="I1352" s="80">
        <f>STOCK[[#This Row],[Precio Venta Ideal (x1.5)]]</f>
        <v>23.475000000000001</v>
      </c>
      <c r="J1352" s="78">
        <v>1</v>
      </c>
      <c r="K1352" s="78">
        <f>SUMIFS(VENTAS[Cantidad],VENTAS[Código del producto Vendido],STOCK[[#This Row],[Code]])</f>
        <v>1</v>
      </c>
      <c r="L1352" s="78">
        <f>STOCK[[#This Row],[Entradas]]-STOCK[[#This Row],[Salidas]]</f>
        <v>0</v>
      </c>
      <c r="M1352" s="75">
        <f>STOCK[[#This Row],[Precio Final]]*10%</f>
        <v>3.5</v>
      </c>
      <c r="N1352" s="75">
        <v>0</v>
      </c>
      <c r="O1352" s="75">
        <v>0</v>
      </c>
      <c r="P1352" s="75">
        <v>10.5</v>
      </c>
      <c r="Q1352" s="78">
        <v>0</v>
      </c>
      <c r="R1352" s="75">
        <v>0</v>
      </c>
      <c r="S1352" s="75">
        <v>1.65</v>
      </c>
      <c r="T1352" s="75">
        <f>STOCK[[#This Row],[Costo Unitario (USD)]]+STOCK[[#This Row],[Costo Envío (USD)]]+STOCK[[#This Row],[Comisión 10%]]</f>
        <v>15.65</v>
      </c>
      <c r="U1352" s="53">
        <f>STOCK[[#This Row],[Costo total]]*1.5</f>
        <v>23.475000000000001</v>
      </c>
      <c r="V1352" s="75">
        <v>35</v>
      </c>
      <c r="W1352" s="75">
        <f>STOCK[[#This Row],[Precio Final]]-STOCK[[#This Row],[Costo total]]</f>
        <v>19.350000000000001</v>
      </c>
      <c r="X1352" s="75">
        <f>STOCK[[#This Row],[Ganancia Unitaria]]*STOCK[[#This Row],[Salidas]]</f>
        <v>19.350000000000001</v>
      </c>
      <c r="Y1352" s="75"/>
      <c r="Z1352" s="75"/>
      <c r="AA1352" s="54">
        <f>STOCK[[#This Row],[Costo total]]*STOCK[[#This Row],[Entradas]]</f>
        <v>15.65</v>
      </c>
      <c r="AB1352" s="54">
        <f>STOCK[[#This Row],[Stock Actual]]*STOCK[[#This Row],[Costo total]]</f>
        <v>0</v>
      </c>
      <c r="AC1352" s="75"/>
    </row>
    <row r="1353" spans="1:29" s="53" customFormat="1" ht="50" customHeight="1">
      <c r="A1353" s="53" t="s">
        <v>2779</v>
      </c>
      <c r="B1353" s="76"/>
      <c r="C1353" s="75" t="s">
        <v>32</v>
      </c>
      <c r="D1353" s="75" t="s">
        <v>1226</v>
      </c>
      <c r="E1353" s="77" t="s">
        <v>2778</v>
      </c>
      <c r="F1353" s="75" t="s">
        <v>540</v>
      </c>
      <c r="G1353" s="75" t="s">
        <v>2452</v>
      </c>
      <c r="H1353" s="75">
        <f>STOCK[[#This Row],[Precio Final]]</f>
        <v>35</v>
      </c>
      <c r="I1353" s="80">
        <f>STOCK[[#This Row],[Precio Venta Ideal (x1.5)]]</f>
        <v>23.475000000000001</v>
      </c>
      <c r="J1353" s="78">
        <v>2</v>
      </c>
      <c r="K1353" s="78">
        <v>1</v>
      </c>
      <c r="L1353" s="78">
        <f>STOCK[[#This Row],[Entradas]]-STOCK[[#This Row],[Salidas]]</f>
        <v>1</v>
      </c>
      <c r="M1353" s="75">
        <f>STOCK[[#This Row],[Precio Final]]*10%</f>
        <v>3.5</v>
      </c>
      <c r="N1353" s="75">
        <v>0</v>
      </c>
      <c r="O1353" s="75">
        <v>0</v>
      </c>
      <c r="P1353" s="75">
        <v>10.5</v>
      </c>
      <c r="Q1353" s="78">
        <v>0</v>
      </c>
      <c r="R1353" s="75">
        <v>0</v>
      </c>
      <c r="S1353" s="75">
        <v>1.65</v>
      </c>
      <c r="T1353" s="75">
        <f>STOCK[[#This Row],[Costo Unitario (USD)]]+STOCK[[#This Row],[Costo Envío (USD)]]+STOCK[[#This Row],[Comisión 10%]]</f>
        <v>15.65</v>
      </c>
      <c r="U1353" s="53">
        <f>STOCK[[#This Row],[Costo total]]*1.5</f>
        <v>23.475000000000001</v>
      </c>
      <c r="V1353" s="75">
        <v>35</v>
      </c>
      <c r="W1353" s="75">
        <f>STOCK[[#This Row],[Precio Final]]-STOCK[[#This Row],[Costo total]]</f>
        <v>19.350000000000001</v>
      </c>
      <c r="X1353" s="75">
        <f>STOCK[[#This Row],[Ganancia Unitaria]]*STOCK[[#This Row],[Salidas]]</f>
        <v>19.350000000000001</v>
      </c>
      <c r="Y1353" s="75"/>
      <c r="Z1353" s="75"/>
      <c r="AA1353" s="54">
        <f>STOCK[[#This Row],[Costo total]]*STOCK[[#This Row],[Entradas]]</f>
        <v>31.3</v>
      </c>
      <c r="AB1353" s="54">
        <f>STOCK[[#This Row],[Stock Actual]]*STOCK[[#This Row],[Costo total]]</f>
        <v>15.65</v>
      </c>
      <c r="AC1353" s="75"/>
    </row>
    <row r="1354" spans="1:29" s="53" customFormat="1" ht="50" customHeight="1">
      <c r="A1354" s="53" t="s">
        <v>2780</v>
      </c>
      <c r="B1354" s="76"/>
      <c r="C1354" s="75" t="s">
        <v>32</v>
      </c>
      <c r="D1354" s="75" t="s">
        <v>1226</v>
      </c>
      <c r="E1354" s="77" t="s">
        <v>2778</v>
      </c>
      <c r="F1354" s="75" t="s">
        <v>754</v>
      </c>
      <c r="G1354" s="75" t="s">
        <v>2452</v>
      </c>
      <c r="H1354" s="75">
        <f>STOCK[[#This Row],[Precio Final]]</f>
        <v>35</v>
      </c>
      <c r="I1354" s="80">
        <f>STOCK[[#This Row],[Precio Venta Ideal (x1.5)]]</f>
        <v>23.475000000000001</v>
      </c>
      <c r="J1354" s="78">
        <v>2</v>
      </c>
      <c r="K1354" s="78">
        <v>2</v>
      </c>
      <c r="L1354" s="78">
        <f>STOCK[[#This Row],[Entradas]]-STOCK[[#This Row],[Salidas]]</f>
        <v>0</v>
      </c>
      <c r="M1354" s="75">
        <f>STOCK[[#This Row],[Precio Final]]*10%</f>
        <v>3.5</v>
      </c>
      <c r="N1354" s="75">
        <v>0</v>
      </c>
      <c r="O1354" s="75">
        <v>0</v>
      </c>
      <c r="P1354" s="75">
        <v>10.5</v>
      </c>
      <c r="Q1354" s="78">
        <v>0</v>
      </c>
      <c r="R1354" s="75">
        <v>0</v>
      </c>
      <c r="S1354" s="75">
        <v>1.65</v>
      </c>
      <c r="T1354" s="75">
        <f>STOCK[[#This Row],[Costo Unitario (USD)]]+STOCK[[#This Row],[Costo Envío (USD)]]+STOCK[[#This Row],[Comisión 10%]]</f>
        <v>15.65</v>
      </c>
      <c r="U1354" s="53">
        <f>STOCK[[#This Row],[Costo total]]*1.5</f>
        <v>23.475000000000001</v>
      </c>
      <c r="V1354" s="75">
        <v>35</v>
      </c>
      <c r="W1354" s="75">
        <f>STOCK[[#This Row],[Precio Final]]-STOCK[[#This Row],[Costo total]]</f>
        <v>19.350000000000001</v>
      </c>
      <c r="X1354" s="75">
        <f>STOCK[[#This Row],[Ganancia Unitaria]]*STOCK[[#This Row],[Salidas]]</f>
        <v>38.700000000000003</v>
      </c>
      <c r="Y1354" s="75"/>
      <c r="Z1354" s="75"/>
      <c r="AA1354" s="54">
        <f>STOCK[[#This Row],[Costo total]]*STOCK[[#This Row],[Entradas]]</f>
        <v>31.3</v>
      </c>
      <c r="AB1354" s="54">
        <f>STOCK[[#This Row],[Stock Actual]]*STOCK[[#This Row],[Costo total]]</f>
        <v>0</v>
      </c>
      <c r="AC1354" s="75"/>
    </row>
    <row r="1355" spans="1:29" s="53" customFormat="1" ht="50" customHeight="1">
      <c r="A1355" s="53" t="s">
        <v>2781</v>
      </c>
      <c r="B1355" s="76"/>
      <c r="C1355" s="75" t="s">
        <v>32</v>
      </c>
      <c r="D1355" s="75" t="s">
        <v>1226</v>
      </c>
      <c r="E1355" s="77" t="s">
        <v>2782</v>
      </c>
      <c r="F1355" s="75" t="s">
        <v>517</v>
      </c>
      <c r="G1355" s="75" t="s">
        <v>2452</v>
      </c>
      <c r="H1355" s="75">
        <f>STOCK[[#This Row],[Precio Final]]</f>
        <v>35</v>
      </c>
      <c r="I1355" s="80">
        <f>STOCK[[#This Row],[Precio Venta Ideal (x1.5)]]</f>
        <v>20.85</v>
      </c>
      <c r="J1355" s="78">
        <v>2</v>
      </c>
      <c r="K1355" s="78">
        <f>SUMIFS(VENTAS[Cantidad],VENTAS[Código del producto Vendido],STOCK[[#This Row],[Code]])</f>
        <v>2</v>
      </c>
      <c r="L1355" s="78">
        <f>STOCK[[#This Row],[Entradas]]-STOCK[[#This Row],[Salidas]]</f>
        <v>0</v>
      </c>
      <c r="M1355" s="75">
        <f>STOCK[[#This Row],[Precio Final]]*10%</f>
        <v>3.5</v>
      </c>
      <c r="N1355" s="75">
        <v>0</v>
      </c>
      <c r="O1355" s="75">
        <v>0</v>
      </c>
      <c r="P1355" s="75">
        <v>8.75</v>
      </c>
      <c r="Q1355" s="78">
        <v>0</v>
      </c>
      <c r="R1355" s="75">
        <v>0</v>
      </c>
      <c r="S1355" s="75">
        <v>1.65</v>
      </c>
      <c r="T1355" s="75">
        <f>STOCK[[#This Row],[Costo Unitario (USD)]]+STOCK[[#This Row],[Costo Envío (USD)]]+STOCK[[#This Row],[Comisión 10%]]</f>
        <v>13.9</v>
      </c>
      <c r="U1355" s="53">
        <f>STOCK[[#This Row],[Costo total]]*1.5</f>
        <v>20.85</v>
      </c>
      <c r="V1355" s="75">
        <v>35</v>
      </c>
      <c r="W1355" s="75">
        <f>STOCK[[#This Row],[Precio Final]]-STOCK[[#This Row],[Costo total]]</f>
        <v>21.1</v>
      </c>
      <c r="X1355" s="75">
        <f>STOCK[[#This Row],[Ganancia Unitaria]]*STOCK[[#This Row],[Salidas]]</f>
        <v>42.2</v>
      </c>
      <c r="Y1355" s="75"/>
      <c r="Z1355" s="75"/>
      <c r="AA1355" s="54">
        <f>STOCK[[#This Row],[Costo total]]*STOCK[[#This Row],[Entradas]]</f>
        <v>27.8</v>
      </c>
      <c r="AB1355" s="54">
        <f>STOCK[[#This Row],[Stock Actual]]*STOCK[[#This Row],[Costo total]]</f>
        <v>0</v>
      </c>
      <c r="AC1355" s="75"/>
    </row>
    <row r="1356" spans="1:29" s="53" customFormat="1" ht="50" customHeight="1">
      <c r="A1356" s="53" t="s">
        <v>2783</v>
      </c>
      <c r="B1356" s="76"/>
      <c r="C1356" s="75" t="s">
        <v>32</v>
      </c>
      <c r="D1356" s="75" t="s">
        <v>1226</v>
      </c>
      <c r="E1356" s="77" t="s">
        <v>2782</v>
      </c>
      <c r="F1356" s="75" t="s">
        <v>765</v>
      </c>
      <c r="G1356" s="75" t="s">
        <v>2452</v>
      </c>
      <c r="H1356" s="75">
        <f>STOCK[[#This Row],[Precio Final]]</f>
        <v>35</v>
      </c>
      <c r="I1356" s="80">
        <f>STOCK[[#This Row],[Precio Venta Ideal (x1.5)]]</f>
        <v>20.85</v>
      </c>
      <c r="J1356" s="78">
        <v>2</v>
      </c>
      <c r="K1356" s="78">
        <f>SUMIFS(VENTAS[Cantidad],VENTAS[Código del producto Vendido],STOCK[[#This Row],[Code]])</f>
        <v>1</v>
      </c>
      <c r="L1356" s="78">
        <f>STOCK[[#This Row],[Entradas]]-STOCK[[#This Row],[Salidas]]</f>
        <v>1</v>
      </c>
      <c r="M1356" s="75">
        <f>STOCK[[#This Row],[Precio Final]]*10%</f>
        <v>3.5</v>
      </c>
      <c r="N1356" s="75">
        <v>0</v>
      </c>
      <c r="O1356" s="75">
        <v>0</v>
      </c>
      <c r="P1356" s="75">
        <v>8.75</v>
      </c>
      <c r="Q1356" s="78">
        <v>0</v>
      </c>
      <c r="R1356" s="75">
        <v>0</v>
      </c>
      <c r="S1356" s="75">
        <v>1.65</v>
      </c>
      <c r="T1356" s="75">
        <f>STOCK[[#This Row],[Costo Unitario (USD)]]+STOCK[[#This Row],[Costo Envío (USD)]]+STOCK[[#This Row],[Comisión 10%]]</f>
        <v>13.9</v>
      </c>
      <c r="U1356" s="53">
        <f>STOCK[[#This Row],[Costo total]]*1.5</f>
        <v>20.85</v>
      </c>
      <c r="V1356" s="75">
        <v>35</v>
      </c>
      <c r="W1356" s="75">
        <f>STOCK[[#This Row],[Precio Final]]-STOCK[[#This Row],[Costo total]]</f>
        <v>21.1</v>
      </c>
      <c r="X1356" s="75">
        <f>STOCK[[#This Row],[Ganancia Unitaria]]*STOCK[[#This Row],[Salidas]]</f>
        <v>21.1</v>
      </c>
      <c r="Y1356" s="75"/>
      <c r="Z1356" s="75"/>
      <c r="AA1356" s="54">
        <f>STOCK[[#This Row],[Costo total]]*STOCK[[#This Row],[Entradas]]</f>
        <v>27.8</v>
      </c>
      <c r="AB1356" s="54">
        <f>STOCK[[#This Row],[Stock Actual]]*STOCK[[#This Row],[Costo total]]</f>
        <v>13.9</v>
      </c>
      <c r="AC1356" s="75"/>
    </row>
    <row r="1357" spans="1:29" s="53" customFormat="1" ht="50" customHeight="1">
      <c r="A1357" s="53" t="s">
        <v>2784</v>
      </c>
      <c r="B1357" s="76"/>
      <c r="C1357" s="75" t="s">
        <v>32</v>
      </c>
      <c r="D1357" s="75" t="s">
        <v>1226</v>
      </c>
      <c r="E1357" s="77" t="s">
        <v>2782</v>
      </c>
      <c r="F1357" s="75" t="s">
        <v>540</v>
      </c>
      <c r="G1357" s="75" t="s">
        <v>2452</v>
      </c>
      <c r="H1357" s="75">
        <f>STOCK[[#This Row],[Precio Final]]</f>
        <v>35</v>
      </c>
      <c r="I1357" s="80">
        <f>STOCK[[#This Row],[Precio Venta Ideal (x1.5)]]</f>
        <v>20.85</v>
      </c>
      <c r="J1357" s="78">
        <v>2</v>
      </c>
      <c r="K1357" s="78">
        <f>SUMIFS(VENTAS[Cantidad],VENTAS[Código del producto Vendido],STOCK[[#This Row],[Code]])</f>
        <v>1</v>
      </c>
      <c r="L1357" s="78">
        <f>STOCK[[#This Row],[Entradas]]-STOCK[[#This Row],[Salidas]]</f>
        <v>1</v>
      </c>
      <c r="M1357" s="75">
        <f>STOCK[[#This Row],[Precio Final]]*10%</f>
        <v>3.5</v>
      </c>
      <c r="N1357" s="75">
        <v>0</v>
      </c>
      <c r="O1357" s="75">
        <v>0</v>
      </c>
      <c r="P1357" s="75">
        <v>8.75</v>
      </c>
      <c r="Q1357" s="78">
        <v>0</v>
      </c>
      <c r="R1357" s="75">
        <v>0</v>
      </c>
      <c r="S1357" s="75">
        <v>1.65</v>
      </c>
      <c r="T1357" s="75">
        <f>STOCK[[#This Row],[Costo Unitario (USD)]]+STOCK[[#This Row],[Costo Envío (USD)]]+STOCK[[#This Row],[Comisión 10%]]</f>
        <v>13.9</v>
      </c>
      <c r="U1357" s="53">
        <f>STOCK[[#This Row],[Costo total]]*1.5</f>
        <v>20.85</v>
      </c>
      <c r="V1357" s="75">
        <v>35</v>
      </c>
      <c r="W1357" s="75">
        <f>STOCK[[#This Row],[Precio Final]]-STOCK[[#This Row],[Costo total]]</f>
        <v>21.1</v>
      </c>
      <c r="X1357" s="75">
        <f>STOCK[[#This Row],[Ganancia Unitaria]]*STOCK[[#This Row],[Salidas]]</f>
        <v>21.1</v>
      </c>
      <c r="Y1357" s="75"/>
      <c r="Z1357" s="75"/>
      <c r="AA1357" s="54">
        <f>STOCK[[#This Row],[Costo total]]*STOCK[[#This Row],[Entradas]]</f>
        <v>27.8</v>
      </c>
      <c r="AB1357" s="54">
        <f>STOCK[[#This Row],[Stock Actual]]*STOCK[[#This Row],[Costo total]]</f>
        <v>13.9</v>
      </c>
      <c r="AC1357" s="75"/>
    </row>
    <row r="1358" spans="1:29" s="53" customFormat="1" ht="50" customHeight="1">
      <c r="A1358" s="53" t="s">
        <v>2785</v>
      </c>
      <c r="B1358" s="76"/>
      <c r="C1358" s="75" t="s">
        <v>32</v>
      </c>
      <c r="D1358" s="75" t="s">
        <v>1226</v>
      </c>
      <c r="E1358" s="77" t="s">
        <v>2786</v>
      </c>
      <c r="F1358" s="75" t="s">
        <v>517</v>
      </c>
      <c r="G1358" s="75" t="s">
        <v>2452</v>
      </c>
      <c r="H1358" s="75">
        <f>STOCK[[#This Row],[Precio Final]]</f>
        <v>20</v>
      </c>
      <c r="I1358" s="80">
        <f>STOCK[[#This Row],[Precio Venta Ideal (x1.5)]]</f>
        <v>12.975000000000001</v>
      </c>
      <c r="J1358" s="78">
        <v>2</v>
      </c>
      <c r="K1358" s="78">
        <v>2</v>
      </c>
      <c r="L1358" s="78">
        <f>STOCK[[#This Row],[Entradas]]-STOCK[[#This Row],[Salidas]]</f>
        <v>0</v>
      </c>
      <c r="M1358" s="75">
        <f>STOCK[[#This Row],[Precio Final]]*10%</f>
        <v>2</v>
      </c>
      <c r="N1358" s="75">
        <v>0</v>
      </c>
      <c r="O1358" s="75">
        <v>0</v>
      </c>
      <c r="P1358" s="75">
        <v>5</v>
      </c>
      <c r="Q1358" s="78">
        <v>0</v>
      </c>
      <c r="R1358" s="75">
        <v>0</v>
      </c>
      <c r="S1358" s="75">
        <v>1.65</v>
      </c>
      <c r="T1358" s="75">
        <f>STOCK[[#This Row],[Costo Unitario (USD)]]+STOCK[[#This Row],[Costo Envío (USD)]]+STOCK[[#This Row],[Comisión 10%]]</f>
        <v>8.65</v>
      </c>
      <c r="U1358" s="53">
        <f>STOCK[[#This Row],[Costo total]]*1.5</f>
        <v>12.975000000000001</v>
      </c>
      <c r="V1358" s="75">
        <v>20</v>
      </c>
      <c r="W1358" s="75">
        <f>STOCK[[#This Row],[Precio Final]]-STOCK[[#This Row],[Costo total]]</f>
        <v>11.35</v>
      </c>
      <c r="X1358" s="75">
        <f>STOCK[[#This Row],[Ganancia Unitaria]]*STOCK[[#This Row],[Salidas]]</f>
        <v>22.7</v>
      </c>
      <c r="Y1358" s="75"/>
      <c r="Z1358" s="75"/>
      <c r="AA1358" s="54">
        <f>STOCK[[#This Row],[Costo total]]*STOCK[[#This Row],[Entradas]]</f>
        <v>17.3</v>
      </c>
      <c r="AB1358" s="54">
        <f>STOCK[[#This Row],[Stock Actual]]*STOCK[[#This Row],[Costo total]]</f>
        <v>0</v>
      </c>
      <c r="AC1358" s="75"/>
    </row>
    <row r="1359" spans="1:29" s="53" customFormat="1" ht="50" customHeight="1">
      <c r="A1359" s="53" t="s">
        <v>2787</v>
      </c>
      <c r="B1359" s="76"/>
      <c r="C1359" s="75" t="s">
        <v>32</v>
      </c>
      <c r="D1359" s="75" t="s">
        <v>1226</v>
      </c>
      <c r="E1359" s="77" t="s">
        <v>2786</v>
      </c>
      <c r="F1359" s="75" t="s">
        <v>765</v>
      </c>
      <c r="G1359" s="75" t="s">
        <v>2452</v>
      </c>
      <c r="H1359" s="75">
        <f>STOCK[[#This Row],[Precio Final]]</f>
        <v>20</v>
      </c>
      <c r="I1359" s="80">
        <f>STOCK[[#This Row],[Precio Venta Ideal (x1.5)]]</f>
        <v>12.975000000000001</v>
      </c>
      <c r="J1359" s="78">
        <v>2</v>
      </c>
      <c r="K1359" s="78">
        <f>SUMIFS(VENTAS[Cantidad],VENTAS[Código del producto Vendido],STOCK[[#This Row],[Code]])</f>
        <v>2</v>
      </c>
      <c r="L1359" s="78">
        <f>STOCK[[#This Row],[Entradas]]-STOCK[[#This Row],[Salidas]]</f>
        <v>0</v>
      </c>
      <c r="M1359" s="75">
        <f>STOCK[[#This Row],[Precio Final]]*10%</f>
        <v>2</v>
      </c>
      <c r="N1359" s="75">
        <v>0</v>
      </c>
      <c r="O1359" s="75">
        <v>0</v>
      </c>
      <c r="P1359" s="75">
        <v>5</v>
      </c>
      <c r="Q1359" s="78">
        <v>0</v>
      </c>
      <c r="R1359" s="75">
        <v>0</v>
      </c>
      <c r="S1359" s="75">
        <v>1.65</v>
      </c>
      <c r="T1359" s="75">
        <f>STOCK[[#This Row],[Costo Unitario (USD)]]+STOCK[[#This Row],[Costo Envío (USD)]]+STOCK[[#This Row],[Comisión 10%]]</f>
        <v>8.65</v>
      </c>
      <c r="U1359" s="53">
        <f>STOCK[[#This Row],[Costo total]]*1.5</f>
        <v>12.975000000000001</v>
      </c>
      <c r="V1359" s="75">
        <v>20</v>
      </c>
      <c r="W1359" s="75">
        <f>STOCK[[#This Row],[Precio Final]]-STOCK[[#This Row],[Costo total]]</f>
        <v>11.35</v>
      </c>
      <c r="X1359" s="75">
        <f>STOCK[[#This Row],[Ganancia Unitaria]]*STOCK[[#This Row],[Salidas]]</f>
        <v>22.7</v>
      </c>
      <c r="Y1359" s="75"/>
      <c r="Z1359" s="75"/>
      <c r="AA1359" s="54">
        <f>STOCK[[#This Row],[Costo total]]*STOCK[[#This Row],[Entradas]]</f>
        <v>17.3</v>
      </c>
      <c r="AB1359" s="54">
        <f>STOCK[[#This Row],[Stock Actual]]*STOCK[[#This Row],[Costo total]]</f>
        <v>0</v>
      </c>
      <c r="AC1359" s="75"/>
    </row>
    <row r="1360" spans="1:29" s="53" customFormat="1" ht="50" customHeight="1">
      <c r="A1360" s="53" t="s">
        <v>2788</v>
      </c>
      <c r="B1360" s="76"/>
      <c r="C1360" s="75" t="s">
        <v>32</v>
      </c>
      <c r="D1360" s="75" t="s">
        <v>1226</v>
      </c>
      <c r="E1360" s="77" t="s">
        <v>2786</v>
      </c>
      <c r="F1360" s="75" t="s">
        <v>2789</v>
      </c>
      <c r="G1360" s="75" t="s">
        <v>2452</v>
      </c>
      <c r="H1360" s="75">
        <f>STOCK[[#This Row],[Precio Final]]</f>
        <v>20</v>
      </c>
      <c r="I1360" s="80">
        <f>STOCK[[#This Row],[Precio Venta Ideal (x1.5)]]</f>
        <v>12.975000000000001</v>
      </c>
      <c r="J1360" s="78">
        <v>2</v>
      </c>
      <c r="K1360" s="78">
        <v>0</v>
      </c>
      <c r="L1360" s="78">
        <f>STOCK[[#This Row],[Entradas]]-STOCK[[#This Row],[Salidas]]</f>
        <v>2</v>
      </c>
      <c r="M1360" s="75">
        <f>STOCK[[#This Row],[Precio Final]]*10%</f>
        <v>2</v>
      </c>
      <c r="N1360" s="75">
        <v>0</v>
      </c>
      <c r="O1360" s="75">
        <v>0</v>
      </c>
      <c r="P1360" s="75">
        <v>5</v>
      </c>
      <c r="Q1360" s="78">
        <v>0</v>
      </c>
      <c r="R1360" s="75">
        <v>0</v>
      </c>
      <c r="S1360" s="75">
        <v>1.65</v>
      </c>
      <c r="T1360" s="75">
        <f>STOCK[[#This Row],[Costo Unitario (USD)]]+STOCK[[#This Row],[Costo Envío (USD)]]+STOCK[[#This Row],[Comisión 10%]]</f>
        <v>8.65</v>
      </c>
      <c r="U1360" s="53">
        <f>STOCK[[#This Row],[Costo total]]*1.5</f>
        <v>12.975000000000001</v>
      </c>
      <c r="V1360" s="75">
        <v>20</v>
      </c>
      <c r="W1360" s="75">
        <f>STOCK[[#This Row],[Precio Final]]-STOCK[[#This Row],[Costo total]]</f>
        <v>11.35</v>
      </c>
      <c r="X1360" s="75">
        <f>STOCK[[#This Row],[Ganancia Unitaria]]*STOCK[[#This Row],[Salidas]]</f>
        <v>0</v>
      </c>
      <c r="Y1360" s="75"/>
      <c r="Z1360" s="75"/>
      <c r="AA1360" s="54">
        <f>STOCK[[#This Row],[Costo total]]*STOCK[[#This Row],[Entradas]]</f>
        <v>17.3</v>
      </c>
      <c r="AB1360" s="54">
        <f>STOCK[[#This Row],[Stock Actual]]*STOCK[[#This Row],[Costo total]]</f>
        <v>17.3</v>
      </c>
      <c r="AC1360" s="75"/>
    </row>
    <row r="1361" spans="1:29" s="53" customFormat="1" ht="50" customHeight="1">
      <c r="A1361" s="53" t="s">
        <v>2790</v>
      </c>
      <c r="B1361" s="76"/>
      <c r="C1361" s="75" t="s">
        <v>32</v>
      </c>
      <c r="D1361" s="75" t="s">
        <v>1226</v>
      </c>
      <c r="E1361" s="77" t="s">
        <v>2786</v>
      </c>
      <c r="F1361" s="75" t="s">
        <v>754</v>
      </c>
      <c r="G1361" s="75" t="s">
        <v>2452</v>
      </c>
      <c r="H1361" s="75">
        <f>STOCK[[#This Row],[Precio Final]]</f>
        <v>20</v>
      </c>
      <c r="I1361" s="80">
        <f>STOCK[[#This Row],[Precio Venta Ideal (x1.5)]]</f>
        <v>12.975000000000001</v>
      </c>
      <c r="J1361" s="78">
        <v>2</v>
      </c>
      <c r="K1361" s="78">
        <v>1</v>
      </c>
      <c r="L1361" s="78">
        <f>STOCK[[#This Row],[Entradas]]-STOCK[[#This Row],[Salidas]]</f>
        <v>1</v>
      </c>
      <c r="M1361" s="75">
        <f>STOCK[[#This Row],[Precio Final]]*10%</f>
        <v>2</v>
      </c>
      <c r="N1361" s="75">
        <v>0</v>
      </c>
      <c r="O1361" s="75">
        <v>0</v>
      </c>
      <c r="P1361" s="75">
        <v>5</v>
      </c>
      <c r="Q1361" s="78">
        <v>0</v>
      </c>
      <c r="R1361" s="75">
        <v>0</v>
      </c>
      <c r="S1361" s="75">
        <v>1.65</v>
      </c>
      <c r="T1361" s="75">
        <f>STOCK[[#This Row],[Costo Unitario (USD)]]+STOCK[[#This Row],[Costo Envío (USD)]]+STOCK[[#This Row],[Comisión 10%]]</f>
        <v>8.65</v>
      </c>
      <c r="U1361" s="53">
        <f>STOCK[[#This Row],[Costo total]]*1.5</f>
        <v>12.975000000000001</v>
      </c>
      <c r="V1361" s="75">
        <v>20</v>
      </c>
      <c r="W1361" s="75">
        <f>STOCK[[#This Row],[Precio Final]]-STOCK[[#This Row],[Costo total]]</f>
        <v>11.35</v>
      </c>
      <c r="X1361" s="75">
        <f>STOCK[[#This Row],[Ganancia Unitaria]]*STOCK[[#This Row],[Salidas]]</f>
        <v>11.35</v>
      </c>
      <c r="Y1361" s="75"/>
      <c r="Z1361" s="75"/>
      <c r="AA1361" s="54">
        <f>STOCK[[#This Row],[Costo total]]*STOCK[[#This Row],[Entradas]]</f>
        <v>17.3</v>
      </c>
      <c r="AB1361" s="54">
        <f>STOCK[[#This Row],[Stock Actual]]*STOCK[[#This Row],[Costo total]]</f>
        <v>8.65</v>
      </c>
      <c r="AC1361" s="75"/>
    </row>
    <row r="1362" spans="1:29" s="53" customFormat="1" ht="50" customHeight="1">
      <c r="A1362" s="53" t="s">
        <v>2791</v>
      </c>
      <c r="B1362" s="76"/>
      <c r="C1362" s="75" t="s">
        <v>32</v>
      </c>
      <c r="D1362" s="75" t="s">
        <v>1226</v>
      </c>
      <c r="E1362" s="77" t="s">
        <v>2792</v>
      </c>
      <c r="F1362" s="75" t="s">
        <v>517</v>
      </c>
      <c r="G1362" s="75" t="s">
        <v>2452</v>
      </c>
      <c r="H1362" s="75">
        <f>STOCK[[#This Row],[Precio Final]]</f>
        <v>30</v>
      </c>
      <c r="I1362" s="80">
        <f>STOCK[[#This Row],[Precio Venta Ideal (x1.5)]]</f>
        <v>20.100000000000001</v>
      </c>
      <c r="J1362" s="78">
        <v>1</v>
      </c>
      <c r="K1362" s="78">
        <f>SUMIFS(VENTAS[Cantidad],VENTAS[Código del producto Vendido],STOCK[[#This Row],[Code]])</f>
        <v>1</v>
      </c>
      <c r="L1362" s="78">
        <f>STOCK[[#This Row],[Entradas]]-STOCK[[#This Row],[Salidas]]</f>
        <v>0</v>
      </c>
      <c r="M1362" s="75">
        <f>STOCK[[#This Row],[Precio Final]]*10%</f>
        <v>3</v>
      </c>
      <c r="N1362" s="75">
        <v>0</v>
      </c>
      <c r="O1362" s="75">
        <v>0</v>
      </c>
      <c r="P1362" s="75">
        <v>8.75</v>
      </c>
      <c r="Q1362" s="78">
        <v>0</v>
      </c>
      <c r="R1362" s="75">
        <v>0</v>
      </c>
      <c r="S1362" s="75">
        <v>1.65</v>
      </c>
      <c r="T1362" s="75">
        <f>STOCK[[#This Row],[Costo Unitario (USD)]]+STOCK[[#This Row],[Costo Envío (USD)]]+STOCK[[#This Row],[Comisión 10%]]</f>
        <v>13.4</v>
      </c>
      <c r="U1362" s="53">
        <f>STOCK[[#This Row],[Costo total]]*1.5</f>
        <v>20.100000000000001</v>
      </c>
      <c r="V1362" s="75">
        <v>30</v>
      </c>
      <c r="W1362" s="75">
        <f>STOCK[[#This Row],[Precio Final]]-STOCK[[#This Row],[Costo total]]</f>
        <v>16.600000000000001</v>
      </c>
      <c r="X1362" s="75">
        <f>STOCK[[#This Row],[Ganancia Unitaria]]*STOCK[[#This Row],[Salidas]]</f>
        <v>16.600000000000001</v>
      </c>
      <c r="Y1362" s="75"/>
      <c r="Z1362" s="75"/>
      <c r="AA1362" s="54">
        <f>STOCK[[#This Row],[Costo total]]*STOCK[[#This Row],[Entradas]]</f>
        <v>13.4</v>
      </c>
      <c r="AB1362" s="54">
        <f>STOCK[[#This Row],[Stock Actual]]*STOCK[[#This Row],[Costo total]]</f>
        <v>0</v>
      </c>
      <c r="AC1362" s="75"/>
    </row>
    <row r="1363" spans="1:29" s="53" customFormat="1" ht="50" customHeight="1">
      <c r="A1363" s="53" t="s">
        <v>2793</v>
      </c>
      <c r="B1363" s="76"/>
      <c r="C1363" s="75" t="s">
        <v>32</v>
      </c>
      <c r="D1363" s="75" t="s">
        <v>1226</v>
      </c>
      <c r="E1363" s="77" t="s">
        <v>2792</v>
      </c>
      <c r="F1363" s="75" t="s">
        <v>765</v>
      </c>
      <c r="G1363" s="75" t="s">
        <v>2452</v>
      </c>
      <c r="H1363" s="75">
        <f>STOCK[[#This Row],[Precio Final]]</f>
        <v>30</v>
      </c>
      <c r="I1363" s="80">
        <f>STOCK[[#This Row],[Precio Venta Ideal (x1.5)]]</f>
        <v>20.100000000000001</v>
      </c>
      <c r="J1363" s="78">
        <v>1</v>
      </c>
      <c r="K1363" s="78">
        <f>SUMIFS(VENTAS[Cantidad],VENTAS[Código del producto Vendido],STOCK[[#This Row],[Code]])</f>
        <v>0</v>
      </c>
      <c r="L1363" s="78">
        <f>STOCK[[#This Row],[Entradas]]-STOCK[[#This Row],[Salidas]]</f>
        <v>1</v>
      </c>
      <c r="M1363" s="75">
        <f>STOCK[[#This Row],[Precio Final]]*10%</f>
        <v>3</v>
      </c>
      <c r="N1363" s="75">
        <v>0</v>
      </c>
      <c r="O1363" s="75">
        <v>0</v>
      </c>
      <c r="P1363" s="75">
        <v>8.75</v>
      </c>
      <c r="Q1363" s="78">
        <v>0</v>
      </c>
      <c r="R1363" s="75">
        <v>0</v>
      </c>
      <c r="S1363" s="75">
        <v>1.65</v>
      </c>
      <c r="T1363" s="75">
        <f>STOCK[[#This Row],[Costo Unitario (USD)]]+STOCK[[#This Row],[Costo Envío (USD)]]+STOCK[[#This Row],[Comisión 10%]]</f>
        <v>13.4</v>
      </c>
      <c r="U1363" s="53">
        <f>STOCK[[#This Row],[Costo total]]*1.5</f>
        <v>20.100000000000001</v>
      </c>
      <c r="V1363" s="75">
        <v>30</v>
      </c>
      <c r="W1363" s="75">
        <f>STOCK[[#This Row],[Precio Final]]-STOCK[[#This Row],[Costo total]]</f>
        <v>16.600000000000001</v>
      </c>
      <c r="X1363" s="75">
        <f>STOCK[[#This Row],[Ganancia Unitaria]]*STOCK[[#This Row],[Salidas]]</f>
        <v>0</v>
      </c>
      <c r="Y1363" s="75"/>
      <c r="Z1363" s="75"/>
      <c r="AA1363" s="54">
        <f>STOCK[[#This Row],[Costo total]]*STOCK[[#This Row],[Entradas]]</f>
        <v>13.4</v>
      </c>
      <c r="AB1363" s="54">
        <f>STOCK[[#This Row],[Stock Actual]]*STOCK[[#This Row],[Costo total]]</f>
        <v>13.4</v>
      </c>
      <c r="AC1363" s="75"/>
    </row>
    <row r="1364" spans="1:29" s="53" customFormat="1" ht="50" customHeight="1">
      <c r="A1364" s="53" t="s">
        <v>2794</v>
      </c>
      <c r="B1364" s="76"/>
      <c r="C1364" s="75" t="s">
        <v>32</v>
      </c>
      <c r="D1364" s="75" t="s">
        <v>1226</v>
      </c>
      <c r="E1364" s="77" t="s">
        <v>2795</v>
      </c>
      <c r="F1364" s="75" t="s">
        <v>517</v>
      </c>
      <c r="G1364" s="75" t="s">
        <v>2452</v>
      </c>
      <c r="H1364" s="75">
        <f>STOCK[[#This Row],[Precio Final]]</f>
        <v>35</v>
      </c>
      <c r="I1364" s="80">
        <f>STOCK[[#This Row],[Precio Venta Ideal (x1.5)]]</f>
        <v>25.349999999999998</v>
      </c>
      <c r="J1364" s="78">
        <v>2</v>
      </c>
      <c r="K1364" s="78">
        <f>SUMIFS(VENTAS[Cantidad],VENTAS[Código del producto Vendido],STOCK[[#This Row],[Code]])</f>
        <v>2</v>
      </c>
      <c r="L1364" s="78">
        <f>STOCK[[#This Row],[Entradas]]-STOCK[[#This Row],[Salidas]]</f>
        <v>0</v>
      </c>
      <c r="M1364" s="75">
        <f>STOCK[[#This Row],[Precio Final]]*10%</f>
        <v>3.5</v>
      </c>
      <c r="N1364" s="75">
        <v>0</v>
      </c>
      <c r="O1364" s="75">
        <v>0</v>
      </c>
      <c r="P1364" s="75">
        <v>11.75</v>
      </c>
      <c r="Q1364" s="78">
        <v>0</v>
      </c>
      <c r="R1364" s="75">
        <v>0</v>
      </c>
      <c r="S1364" s="75">
        <v>1.65</v>
      </c>
      <c r="T1364" s="75">
        <f>STOCK[[#This Row],[Costo Unitario (USD)]]+STOCK[[#This Row],[Costo Envío (USD)]]+STOCK[[#This Row],[Comisión 10%]]</f>
        <v>16.899999999999999</v>
      </c>
      <c r="U1364" s="53">
        <f>STOCK[[#This Row],[Costo total]]*1.5</f>
        <v>25.349999999999998</v>
      </c>
      <c r="V1364" s="75">
        <v>35</v>
      </c>
      <c r="W1364" s="75">
        <f>STOCK[[#This Row],[Precio Final]]-STOCK[[#This Row],[Costo total]]</f>
        <v>18.100000000000001</v>
      </c>
      <c r="X1364" s="75">
        <f>STOCK[[#This Row],[Ganancia Unitaria]]*STOCK[[#This Row],[Salidas]]</f>
        <v>36.200000000000003</v>
      </c>
      <c r="Y1364" s="75"/>
      <c r="Z1364" s="75"/>
      <c r="AA1364" s="54">
        <f>STOCK[[#This Row],[Costo total]]*STOCK[[#This Row],[Entradas]]</f>
        <v>33.799999999999997</v>
      </c>
      <c r="AB1364" s="54">
        <f>STOCK[[#This Row],[Stock Actual]]*STOCK[[#This Row],[Costo total]]</f>
        <v>0</v>
      </c>
      <c r="AC1364" s="75"/>
    </row>
    <row r="1365" spans="1:29" s="53" customFormat="1" ht="50" customHeight="1">
      <c r="A1365" s="53" t="s">
        <v>2796</v>
      </c>
      <c r="B1365" s="76"/>
      <c r="C1365" s="75" t="s">
        <v>32</v>
      </c>
      <c r="D1365" s="75" t="s">
        <v>1226</v>
      </c>
      <c r="E1365" s="77" t="s">
        <v>2795</v>
      </c>
      <c r="F1365" s="75" t="s">
        <v>765</v>
      </c>
      <c r="G1365" s="75" t="s">
        <v>2452</v>
      </c>
      <c r="H1365" s="75">
        <f>STOCK[[#This Row],[Precio Final]]</f>
        <v>35</v>
      </c>
      <c r="I1365" s="80">
        <f>STOCK[[#This Row],[Precio Venta Ideal (x1.5)]]</f>
        <v>22.35</v>
      </c>
      <c r="J1365" s="78">
        <v>4</v>
      </c>
      <c r="K1365" s="78">
        <f>SUMIFS(VENTAS[Cantidad],VENTAS[Código del producto Vendido],STOCK[[#This Row],[Code]])</f>
        <v>4</v>
      </c>
      <c r="L1365" s="78">
        <f>STOCK[[#This Row],[Entradas]]-STOCK[[#This Row],[Salidas]]</f>
        <v>0</v>
      </c>
      <c r="M1365" s="75">
        <f>STOCK[[#This Row],[Precio Final]]*10%</f>
        <v>3.5</v>
      </c>
      <c r="N1365" s="75">
        <v>0</v>
      </c>
      <c r="O1365" s="75">
        <v>0</v>
      </c>
      <c r="P1365" s="75">
        <v>9.75</v>
      </c>
      <c r="Q1365" s="78">
        <v>0</v>
      </c>
      <c r="R1365" s="75">
        <v>0</v>
      </c>
      <c r="S1365" s="75">
        <v>1.65</v>
      </c>
      <c r="T1365" s="75">
        <f>STOCK[[#This Row],[Costo Unitario (USD)]]+STOCK[[#This Row],[Costo Envío (USD)]]+STOCK[[#This Row],[Comisión 10%]]</f>
        <v>14.9</v>
      </c>
      <c r="U1365" s="53">
        <f>STOCK[[#This Row],[Costo total]]*1.5</f>
        <v>22.35</v>
      </c>
      <c r="V1365" s="75">
        <v>35</v>
      </c>
      <c r="W1365" s="75">
        <f>STOCK[[#This Row],[Precio Final]]-STOCK[[#This Row],[Costo total]]</f>
        <v>20.100000000000001</v>
      </c>
      <c r="X1365" s="75">
        <f>STOCK[[#This Row],[Ganancia Unitaria]]*STOCK[[#This Row],[Salidas]]</f>
        <v>80.400000000000006</v>
      </c>
      <c r="Y1365" s="75"/>
      <c r="Z1365" s="75"/>
      <c r="AA1365" s="54">
        <f>STOCK[[#This Row],[Costo total]]*STOCK[[#This Row],[Entradas]]</f>
        <v>59.6</v>
      </c>
      <c r="AB1365" s="54">
        <f>STOCK[[#This Row],[Stock Actual]]*STOCK[[#This Row],[Costo total]]</f>
        <v>0</v>
      </c>
      <c r="AC1365" s="75"/>
    </row>
    <row r="1366" spans="1:29" s="53" customFormat="1" ht="50" customHeight="1">
      <c r="A1366" s="53" t="s">
        <v>2797</v>
      </c>
      <c r="B1366" s="76"/>
      <c r="C1366" s="75" t="s">
        <v>32</v>
      </c>
      <c r="D1366" s="75" t="s">
        <v>1226</v>
      </c>
      <c r="E1366" s="77" t="s">
        <v>2795</v>
      </c>
      <c r="F1366" s="75" t="s">
        <v>540</v>
      </c>
      <c r="G1366" s="75" t="s">
        <v>2452</v>
      </c>
      <c r="H1366" s="75">
        <f>STOCK[[#This Row],[Precio Final]]</f>
        <v>35</v>
      </c>
      <c r="I1366" s="80">
        <f>STOCK[[#This Row],[Precio Venta Ideal (x1.5)]]</f>
        <v>25.349999999999998</v>
      </c>
      <c r="J1366" s="78">
        <v>2</v>
      </c>
      <c r="K1366" s="78">
        <f>SUMIFS(VENTAS[Cantidad],VENTAS[Código del producto Vendido],STOCK[[#This Row],[Code]])</f>
        <v>2</v>
      </c>
      <c r="L1366" s="78">
        <f>STOCK[[#This Row],[Entradas]]-STOCK[[#This Row],[Salidas]]</f>
        <v>0</v>
      </c>
      <c r="M1366" s="75">
        <f>STOCK[[#This Row],[Precio Final]]*10%</f>
        <v>3.5</v>
      </c>
      <c r="N1366" s="75">
        <v>0</v>
      </c>
      <c r="O1366" s="75">
        <v>0</v>
      </c>
      <c r="P1366" s="75">
        <v>11.75</v>
      </c>
      <c r="Q1366" s="78">
        <v>0</v>
      </c>
      <c r="R1366" s="75">
        <v>0</v>
      </c>
      <c r="S1366" s="75">
        <v>1.65</v>
      </c>
      <c r="T1366" s="75">
        <f>STOCK[[#This Row],[Costo Unitario (USD)]]+STOCK[[#This Row],[Costo Envío (USD)]]+STOCK[[#This Row],[Comisión 10%]]</f>
        <v>16.899999999999999</v>
      </c>
      <c r="U1366" s="53">
        <f>STOCK[[#This Row],[Costo total]]*1.5</f>
        <v>25.349999999999998</v>
      </c>
      <c r="V1366" s="75">
        <v>35</v>
      </c>
      <c r="W1366" s="75">
        <f>STOCK[[#This Row],[Precio Final]]-STOCK[[#This Row],[Costo total]]</f>
        <v>18.100000000000001</v>
      </c>
      <c r="X1366" s="75">
        <f>STOCK[[#This Row],[Ganancia Unitaria]]*STOCK[[#This Row],[Salidas]]</f>
        <v>36.200000000000003</v>
      </c>
      <c r="Y1366" s="75"/>
      <c r="Z1366" s="75"/>
      <c r="AA1366" s="54">
        <f>STOCK[[#This Row],[Costo total]]*STOCK[[#This Row],[Entradas]]</f>
        <v>33.799999999999997</v>
      </c>
      <c r="AB1366" s="54">
        <f>STOCK[[#This Row],[Stock Actual]]*STOCK[[#This Row],[Costo total]]</f>
        <v>0</v>
      </c>
      <c r="AC1366" s="75"/>
    </row>
    <row r="1367" spans="1:29" s="53" customFormat="1" ht="50" customHeight="1">
      <c r="A1367" s="53" t="s">
        <v>2798</v>
      </c>
      <c r="B1367" s="76"/>
      <c r="C1367" s="75" t="s">
        <v>32</v>
      </c>
      <c r="D1367" s="75" t="s">
        <v>1226</v>
      </c>
      <c r="E1367" s="77" t="s">
        <v>2795</v>
      </c>
      <c r="F1367" s="75" t="s">
        <v>1102</v>
      </c>
      <c r="G1367" s="75" t="s">
        <v>2452</v>
      </c>
      <c r="H1367" s="75">
        <f>STOCK[[#This Row],[Precio Final]]</f>
        <v>35</v>
      </c>
      <c r="I1367" s="80">
        <f>STOCK[[#This Row],[Precio Venta Ideal (x1.5)]]</f>
        <v>34.724999999999994</v>
      </c>
      <c r="J1367" s="78">
        <v>2</v>
      </c>
      <c r="K1367" s="78">
        <f>SUMIFS(VENTAS[Cantidad],VENTAS[Código del producto Vendido],STOCK[[#This Row],[Code]])</f>
        <v>2</v>
      </c>
      <c r="L1367" s="78">
        <f>STOCK[[#This Row],[Entradas]]-STOCK[[#This Row],[Salidas]]</f>
        <v>0</v>
      </c>
      <c r="M1367" s="75">
        <f>STOCK[[#This Row],[Precio Final]]*10%</f>
        <v>3.5</v>
      </c>
      <c r="N1367" s="75">
        <v>0</v>
      </c>
      <c r="O1367" s="75">
        <v>0</v>
      </c>
      <c r="P1367" s="75">
        <v>18</v>
      </c>
      <c r="Q1367" s="78">
        <v>0</v>
      </c>
      <c r="R1367" s="75">
        <v>0</v>
      </c>
      <c r="S1367" s="75">
        <v>1.65</v>
      </c>
      <c r="T1367" s="75">
        <f>STOCK[[#This Row],[Costo Unitario (USD)]]+STOCK[[#This Row],[Costo Envío (USD)]]+STOCK[[#This Row],[Comisión 10%]]</f>
        <v>23.15</v>
      </c>
      <c r="U1367" s="53">
        <f>STOCK[[#This Row],[Costo total]]*1.5</f>
        <v>34.724999999999994</v>
      </c>
      <c r="V1367" s="75">
        <v>35</v>
      </c>
      <c r="W1367" s="75">
        <f>STOCK[[#This Row],[Precio Final]]-STOCK[[#This Row],[Costo total]]</f>
        <v>11.850000000000001</v>
      </c>
      <c r="X1367" s="75">
        <f>STOCK[[#This Row],[Ganancia Unitaria]]*STOCK[[#This Row],[Salidas]]</f>
        <v>23.700000000000003</v>
      </c>
      <c r="Y1367" s="75"/>
      <c r="Z1367" s="75"/>
      <c r="AA1367" s="54">
        <f>STOCK[[#This Row],[Costo total]]*STOCK[[#This Row],[Entradas]]</f>
        <v>46.3</v>
      </c>
      <c r="AB1367" s="54">
        <f>STOCK[[#This Row],[Stock Actual]]*STOCK[[#This Row],[Costo total]]</f>
        <v>0</v>
      </c>
      <c r="AC1367" s="75"/>
    </row>
    <row r="1368" spans="1:29" s="53" customFormat="1" ht="50" customHeight="1">
      <c r="A1368" s="53" t="s">
        <v>2799</v>
      </c>
      <c r="B1368" s="76"/>
      <c r="C1368" s="75" t="s">
        <v>32</v>
      </c>
      <c r="D1368" s="75" t="s">
        <v>1226</v>
      </c>
      <c r="E1368" s="77" t="s">
        <v>2795</v>
      </c>
      <c r="F1368" s="75" t="s">
        <v>754</v>
      </c>
      <c r="G1368" s="75" t="s">
        <v>2452</v>
      </c>
      <c r="H1368" s="75">
        <f>STOCK[[#This Row],[Precio Final]]</f>
        <v>35</v>
      </c>
      <c r="I1368" s="80">
        <f>STOCK[[#This Row],[Precio Venta Ideal (x1.5)]]</f>
        <v>25.349999999999998</v>
      </c>
      <c r="J1368" s="78">
        <v>2</v>
      </c>
      <c r="K1368" s="78">
        <f>SUMIFS(VENTAS[Cantidad],VENTAS[Código del producto Vendido],STOCK[[#This Row],[Code]])</f>
        <v>4</v>
      </c>
      <c r="L1368" s="78">
        <f>STOCK[[#This Row],[Entradas]]-STOCK[[#This Row],[Salidas]]</f>
        <v>-2</v>
      </c>
      <c r="M1368" s="75">
        <f>STOCK[[#This Row],[Precio Final]]*10%</f>
        <v>3.5</v>
      </c>
      <c r="N1368" s="75">
        <v>0</v>
      </c>
      <c r="O1368" s="75">
        <v>0</v>
      </c>
      <c r="P1368" s="75">
        <v>11.75</v>
      </c>
      <c r="Q1368" s="78">
        <v>0</v>
      </c>
      <c r="R1368" s="75">
        <v>0</v>
      </c>
      <c r="S1368" s="75">
        <v>1.65</v>
      </c>
      <c r="T1368" s="75">
        <f>STOCK[[#This Row],[Costo Unitario (USD)]]+STOCK[[#This Row],[Costo Envío (USD)]]+STOCK[[#This Row],[Comisión 10%]]</f>
        <v>16.899999999999999</v>
      </c>
      <c r="U1368" s="53">
        <f>STOCK[[#This Row],[Costo total]]*1.5</f>
        <v>25.349999999999998</v>
      </c>
      <c r="V1368" s="75">
        <v>35</v>
      </c>
      <c r="W1368" s="75">
        <f>STOCK[[#This Row],[Precio Final]]-STOCK[[#This Row],[Costo total]]</f>
        <v>18.100000000000001</v>
      </c>
      <c r="X1368" s="75">
        <f>STOCK[[#This Row],[Ganancia Unitaria]]*STOCK[[#This Row],[Salidas]]</f>
        <v>72.400000000000006</v>
      </c>
      <c r="Y1368" s="75"/>
      <c r="Z1368" s="75"/>
      <c r="AA1368" s="54">
        <f>STOCK[[#This Row],[Costo total]]*STOCK[[#This Row],[Entradas]]</f>
        <v>33.799999999999997</v>
      </c>
      <c r="AB1368" s="54">
        <f>STOCK[[#This Row],[Stock Actual]]*STOCK[[#This Row],[Costo total]]</f>
        <v>-33.799999999999997</v>
      </c>
      <c r="AC1368" s="75"/>
    </row>
    <row r="1369" spans="1:29" s="53" customFormat="1" ht="50" customHeight="1">
      <c r="A1369" s="53" t="s">
        <v>2800</v>
      </c>
      <c r="B1369" s="76"/>
      <c r="C1369" s="75" t="s">
        <v>32</v>
      </c>
      <c r="D1369" s="75" t="s">
        <v>1226</v>
      </c>
      <c r="E1369" s="77" t="s">
        <v>2801</v>
      </c>
      <c r="F1369" s="75" t="s">
        <v>517</v>
      </c>
      <c r="G1369" s="75" t="s">
        <v>2452</v>
      </c>
      <c r="H1369" s="75">
        <f>STOCK[[#This Row],[Precio Final]]</f>
        <v>25</v>
      </c>
      <c r="I1369" s="80">
        <f>STOCK[[#This Row],[Precio Venta Ideal (x1.5)]]</f>
        <v>20.85</v>
      </c>
      <c r="J1369" s="78">
        <v>1</v>
      </c>
      <c r="K1369" s="78">
        <f>SUMIFS(VENTAS[Cantidad],VENTAS[Código del producto Vendido],STOCK[[#This Row],[Code]])</f>
        <v>0</v>
      </c>
      <c r="L1369" s="78">
        <f>STOCK[[#This Row],[Entradas]]-STOCK[[#This Row],[Salidas]]</f>
        <v>1</v>
      </c>
      <c r="M1369" s="75">
        <f>STOCK[[#This Row],[Precio Final]]*10%</f>
        <v>2.5</v>
      </c>
      <c r="N1369" s="75">
        <v>0</v>
      </c>
      <c r="O1369" s="75">
        <v>0</v>
      </c>
      <c r="P1369" s="75">
        <v>9.75</v>
      </c>
      <c r="Q1369" s="78">
        <v>0</v>
      </c>
      <c r="R1369" s="75">
        <v>0</v>
      </c>
      <c r="S1369" s="75">
        <v>1.65</v>
      </c>
      <c r="T1369" s="75">
        <f>STOCK[[#This Row],[Costo Unitario (USD)]]+STOCK[[#This Row],[Costo Envío (USD)]]+STOCK[[#This Row],[Comisión 10%]]</f>
        <v>13.9</v>
      </c>
      <c r="U1369" s="53">
        <f>STOCK[[#This Row],[Costo total]]*1.5</f>
        <v>20.85</v>
      </c>
      <c r="V1369" s="75">
        <v>25</v>
      </c>
      <c r="W1369" s="75">
        <f>STOCK[[#This Row],[Precio Final]]-STOCK[[#This Row],[Costo total]]</f>
        <v>11.1</v>
      </c>
      <c r="X1369" s="75">
        <f>STOCK[[#This Row],[Ganancia Unitaria]]*STOCK[[#This Row],[Salidas]]</f>
        <v>0</v>
      </c>
      <c r="Y1369" s="75"/>
      <c r="Z1369" s="75"/>
      <c r="AA1369" s="54">
        <f>STOCK[[#This Row],[Costo total]]*STOCK[[#This Row],[Entradas]]</f>
        <v>13.9</v>
      </c>
      <c r="AB1369" s="54">
        <f>STOCK[[#This Row],[Stock Actual]]*STOCK[[#This Row],[Costo total]]</f>
        <v>13.9</v>
      </c>
      <c r="AC1369" s="75"/>
    </row>
    <row r="1370" spans="1:29" s="53" customFormat="1" ht="50" customHeight="1">
      <c r="A1370" s="53" t="s">
        <v>2802</v>
      </c>
      <c r="B1370" s="76"/>
      <c r="C1370" s="75" t="s">
        <v>32</v>
      </c>
      <c r="D1370" s="75" t="s">
        <v>1226</v>
      </c>
      <c r="E1370" s="77" t="s">
        <v>2801</v>
      </c>
      <c r="F1370" s="75" t="s">
        <v>765</v>
      </c>
      <c r="G1370" s="75" t="s">
        <v>2452</v>
      </c>
      <c r="H1370" s="75">
        <f>STOCK[[#This Row],[Precio Final]]</f>
        <v>25</v>
      </c>
      <c r="I1370" s="80">
        <f>STOCK[[#This Row],[Precio Venta Ideal (x1.5)]]</f>
        <v>20.85</v>
      </c>
      <c r="J1370" s="78">
        <v>1</v>
      </c>
      <c r="K1370" s="78">
        <f>SUMIFS(VENTAS[Cantidad],VENTAS[Código del producto Vendido],STOCK[[#This Row],[Code]])</f>
        <v>1</v>
      </c>
      <c r="L1370" s="78">
        <f>STOCK[[#This Row],[Entradas]]-STOCK[[#This Row],[Salidas]]</f>
        <v>0</v>
      </c>
      <c r="M1370" s="75">
        <f>STOCK[[#This Row],[Precio Final]]*10%</f>
        <v>2.5</v>
      </c>
      <c r="N1370" s="75">
        <v>0</v>
      </c>
      <c r="O1370" s="75">
        <v>0</v>
      </c>
      <c r="P1370" s="75">
        <v>9.75</v>
      </c>
      <c r="Q1370" s="78">
        <v>0</v>
      </c>
      <c r="R1370" s="75">
        <v>0</v>
      </c>
      <c r="S1370" s="75">
        <v>1.65</v>
      </c>
      <c r="T1370" s="75">
        <f>STOCK[[#This Row],[Costo Unitario (USD)]]+STOCK[[#This Row],[Costo Envío (USD)]]+STOCK[[#This Row],[Comisión 10%]]</f>
        <v>13.9</v>
      </c>
      <c r="U1370" s="53">
        <f>STOCK[[#This Row],[Costo total]]*1.5</f>
        <v>20.85</v>
      </c>
      <c r="V1370" s="75">
        <v>25</v>
      </c>
      <c r="W1370" s="75">
        <f>STOCK[[#This Row],[Precio Final]]-STOCK[[#This Row],[Costo total]]</f>
        <v>11.1</v>
      </c>
      <c r="X1370" s="75">
        <f>STOCK[[#This Row],[Ganancia Unitaria]]*STOCK[[#This Row],[Salidas]]</f>
        <v>11.1</v>
      </c>
      <c r="Y1370" s="75"/>
      <c r="Z1370" s="75"/>
      <c r="AA1370" s="54">
        <f>STOCK[[#This Row],[Costo total]]*STOCK[[#This Row],[Entradas]]</f>
        <v>13.9</v>
      </c>
      <c r="AB1370" s="54">
        <f>STOCK[[#This Row],[Stock Actual]]*STOCK[[#This Row],[Costo total]]</f>
        <v>0</v>
      </c>
      <c r="AC1370" s="75"/>
    </row>
    <row r="1371" spans="1:29" s="53" customFormat="1" ht="50" customHeight="1">
      <c r="A1371" s="53" t="s">
        <v>2803</v>
      </c>
      <c r="B1371" s="76"/>
      <c r="C1371" s="75" t="s">
        <v>32</v>
      </c>
      <c r="D1371" s="75" t="s">
        <v>1226</v>
      </c>
      <c r="E1371" s="77" t="s">
        <v>2804</v>
      </c>
      <c r="F1371" s="75" t="s">
        <v>517</v>
      </c>
      <c r="G1371" s="75" t="s">
        <v>2452</v>
      </c>
      <c r="H1371" s="75">
        <f>STOCK[[#This Row],[Precio Final]]</f>
        <v>40</v>
      </c>
      <c r="I1371" s="80">
        <f>STOCK[[#This Row],[Precio Venta Ideal (x1.5)]]</f>
        <v>23.1</v>
      </c>
      <c r="J1371" s="78">
        <v>1</v>
      </c>
      <c r="K1371" s="78">
        <f>SUMIFS(VENTAS[Cantidad],VENTAS[Código del producto Vendido],STOCK[[#This Row],[Code]])</f>
        <v>2</v>
      </c>
      <c r="L1371" s="78">
        <f>STOCK[[#This Row],[Entradas]]-STOCK[[#This Row],[Salidas]]</f>
        <v>-1</v>
      </c>
      <c r="M1371" s="75">
        <f>STOCK[[#This Row],[Precio Final]]*10%</f>
        <v>4</v>
      </c>
      <c r="N1371" s="75">
        <v>0</v>
      </c>
      <c r="O1371" s="75">
        <v>0</v>
      </c>
      <c r="P1371" s="75">
        <v>9.75</v>
      </c>
      <c r="Q1371" s="78">
        <v>0</v>
      </c>
      <c r="R1371" s="75">
        <v>0</v>
      </c>
      <c r="S1371" s="75">
        <v>1.65</v>
      </c>
      <c r="T1371" s="75">
        <f>STOCK[[#This Row],[Costo Unitario (USD)]]+STOCK[[#This Row],[Costo Envío (USD)]]+STOCK[[#This Row],[Comisión 10%]]</f>
        <v>15.4</v>
      </c>
      <c r="U1371" s="53">
        <f>STOCK[[#This Row],[Costo total]]*1.5</f>
        <v>23.1</v>
      </c>
      <c r="V1371" s="75">
        <v>40</v>
      </c>
      <c r="W1371" s="75">
        <f>STOCK[[#This Row],[Precio Final]]-STOCK[[#This Row],[Costo total]]</f>
        <v>24.6</v>
      </c>
      <c r="X1371" s="75">
        <f>STOCK[[#This Row],[Ganancia Unitaria]]*STOCK[[#This Row],[Salidas]]</f>
        <v>49.2</v>
      </c>
      <c r="Y1371" s="75"/>
      <c r="Z1371" s="75"/>
      <c r="AA1371" s="54">
        <f>STOCK[[#This Row],[Costo total]]*STOCK[[#This Row],[Entradas]]</f>
        <v>15.4</v>
      </c>
      <c r="AB1371" s="54">
        <f>STOCK[[#This Row],[Stock Actual]]*STOCK[[#This Row],[Costo total]]</f>
        <v>-15.4</v>
      </c>
      <c r="AC1371" s="75"/>
    </row>
    <row r="1372" spans="1:29" s="53" customFormat="1" ht="50" customHeight="1">
      <c r="A1372" s="53" t="s">
        <v>2805</v>
      </c>
      <c r="B1372" s="76"/>
      <c r="C1372" s="75" t="s">
        <v>32</v>
      </c>
      <c r="D1372" s="75" t="s">
        <v>1226</v>
      </c>
      <c r="E1372" s="77" t="s">
        <v>2804</v>
      </c>
      <c r="F1372" s="75" t="s">
        <v>540</v>
      </c>
      <c r="G1372" s="75" t="s">
        <v>2452</v>
      </c>
      <c r="H1372" s="75">
        <f>STOCK[[#This Row],[Precio Final]]</f>
        <v>40</v>
      </c>
      <c r="I1372" s="80">
        <f>STOCK[[#This Row],[Precio Venta Ideal (x1.5)]]</f>
        <v>25.514999999999997</v>
      </c>
      <c r="J1372" s="78">
        <v>2</v>
      </c>
      <c r="K1372" s="78">
        <f>SUMIFS(VENTAS[Cantidad],VENTAS[Código del producto Vendido],STOCK[[#This Row],[Code]])</f>
        <v>4</v>
      </c>
      <c r="L1372" s="78">
        <f>STOCK[[#This Row],[Entradas]]-STOCK[[#This Row],[Salidas]]</f>
        <v>-2</v>
      </c>
      <c r="M1372" s="75">
        <f>STOCK[[#This Row],[Precio Final]]*10%</f>
        <v>4</v>
      </c>
      <c r="N1372" s="75">
        <v>0</v>
      </c>
      <c r="O1372" s="75">
        <v>0</v>
      </c>
      <c r="P1372" s="75">
        <v>11.36</v>
      </c>
      <c r="Q1372" s="78">
        <v>0</v>
      </c>
      <c r="R1372" s="75">
        <v>0</v>
      </c>
      <c r="S1372" s="75">
        <v>1.65</v>
      </c>
      <c r="T1372" s="75">
        <f>STOCK[[#This Row],[Costo Unitario (USD)]]+STOCK[[#This Row],[Costo Envío (USD)]]+STOCK[[#This Row],[Comisión 10%]]</f>
        <v>17.009999999999998</v>
      </c>
      <c r="U1372" s="53">
        <f>STOCK[[#This Row],[Costo total]]*1.5</f>
        <v>25.514999999999997</v>
      </c>
      <c r="V1372" s="75">
        <v>40</v>
      </c>
      <c r="W1372" s="75">
        <f>STOCK[[#This Row],[Precio Final]]-STOCK[[#This Row],[Costo total]]</f>
        <v>22.990000000000002</v>
      </c>
      <c r="X1372" s="75">
        <f>STOCK[[#This Row],[Ganancia Unitaria]]*STOCK[[#This Row],[Salidas]]</f>
        <v>91.960000000000008</v>
      </c>
      <c r="Y1372" s="75"/>
      <c r="Z1372" s="75"/>
      <c r="AA1372" s="54">
        <f>STOCK[[#This Row],[Costo total]]*STOCK[[#This Row],[Entradas]]</f>
        <v>34.019999999999996</v>
      </c>
      <c r="AB1372" s="54">
        <f>STOCK[[#This Row],[Stock Actual]]*STOCK[[#This Row],[Costo total]]</f>
        <v>-34.019999999999996</v>
      </c>
      <c r="AC1372" s="75"/>
    </row>
    <row r="1373" spans="1:29" s="53" customFormat="1" ht="50" customHeight="1">
      <c r="A1373" s="53" t="s">
        <v>2806</v>
      </c>
      <c r="B1373" s="76"/>
      <c r="C1373" s="75" t="s">
        <v>32</v>
      </c>
      <c r="D1373" s="75" t="s">
        <v>1226</v>
      </c>
      <c r="E1373" s="77" t="s">
        <v>2804</v>
      </c>
      <c r="F1373" s="75" t="s">
        <v>1102</v>
      </c>
      <c r="G1373" s="75" t="s">
        <v>2452</v>
      </c>
      <c r="H1373" s="75">
        <f>STOCK[[#This Row],[Precio Final]]</f>
        <v>40</v>
      </c>
      <c r="I1373" s="80">
        <f>STOCK[[#This Row],[Precio Venta Ideal (x1.5)]]</f>
        <v>25.514999999999997</v>
      </c>
      <c r="J1373" s="78">
        <v>2</v>
      </c>
      <c r="K1373" s="78">
        <f>SUMIFS(VENTAS[Cantidad],VENTAS[Código del producto Vendido],STOCK[[#This Row],[Code]])</f>
        <v>1</v>
      </c>
      <c r="L1373" s="78">
        <f>STOCK[[#This Row],[Entradas]]-STOCK[[#This Row],[Salidas]]</f>
        <v>1</v>
      </c>
      <c r="M1373" s="75">
        <f>STOCK[[#This Row],[Precio Final]]*10%</f>
        <v>4</v>
      </c>
      <c r="N1373" s="75">
        <v>0</v>
      </c>
      <c r="O1373" s="75">
        <v>0</v>
      </c>
      <c r="P1373" s="75">
        <v>11.36</v>
      </c>
      <c r="Q1373" s="78">
        <v>0</v>
      </c>
      <c r="R1373" s="75">
        <v>0</v>
      </c>
      <c r="S1373" s="75">
        <v>1.65</v>
      </c>
      <c r="T1373" s="75">
        <f>STOCK[[#This Row],[Costo Unitario (USD)]]+STOCK[[#This Row],[Costo Envío (USD)]]+STOCK[[#This Row],[Comisión 10%]]</f>
        <v>17.009999999999998</v>
      </c>
      <c r="U1373" s="53">
        <f>STOCK[[#This Row],[Costo total]]*1.5</f>
        <v>25.514999999999997</v>
      </c>
      <c r="V1373" s="75">
        <v>40</v>
      </c>
      <c r="W1373" s="75">
        <f>STOCK[[#This Row],[Precio Final]]-STOCK[[#This Row],[Costo total]]</f>
        <v>22.990000000000002</v>
      </c>
      <c r="X1373" s="75">
        <f>STOCK[[#This Row],[Ganancia Unitaria]]*STOCK[[#This Row],[Salidas]]</f>
        <v>22.990000000000002</v>
      </c>
      <c r="Y1373" s="75"/>
      <c r="Z1373" s="75"/>
      <c r="AA1373" s="54">
        <f>STOCK[[#This Row],[Costo total]]*STOCK[[#This Row],[Entradas]]</f>
        <v>34.019999999999996</v>
      </c>
      <c r="AB1373" s="54">
        <f>STOCK[[#This Row],[Stock Actual]]*STOCK[[#This Row],[Costo total]]</f>
        <v>17.009999999999998</v>
      </c>
      <c r="AC1373" s="75"/>
    </row>
    <row r="1374" spans="1:29" s="53" customFormat="1" ht="50" customHeight="1">
      <c r="A1374" s="53" t="s">
        <v>2807</v>
      </c>
      <c r="B1374" s="76"/>
      <c r="C1374" s="75" t="s">
        <v>32</v>
      </c>
      <c r="D1374" s="75" t="s">
        <v>1226</v>
      </c>
      <c r="E1374" s="77" t="s">
        <v>2804</v>
      </c>
      <c r="F1374" s="75" t="s">
        <v>759</v>
      </c>
      <c r="G1374" s="75" t="s">
        <v>2452</v>
      </c>
      <c r="H1374" s="75">
        <f>STOCK[[#This Row],[Precio Final]]</f>
        <v>40</v>
      </c>
      <c r="I1374" s="80">
        <f>STOCK[[#This Row],[Precio Venta Ideal (x1.5)]]</f>
        <v>25.514999999999997</v>
      </c>
      <c r="J1374" s="78">
        <v>2</v>
      </c>
      <c r="K1374" s="78">
        <f>SUMIFS(VENTAS[Cantidad],VENTAS[Código del producto Vendido],STOCK[[#This Row],[Code]])</f>
        <v>3</v>
      </c>
      <c r="L1374" s="78">
        <f>STOCK[[#This Row],[Entradas]]-STOCK[[#This Row],[Salidas]]</f>
        <v>-1</v>
      </c>
      <c r="M1374" s="75">
        <f>STOCK[[#This Row],[Precio Final]]*10%</f>
        <v>4</v>
      </c>
      <c r="N1374" s="75">
        <v>0</v>
      </c>
      <c r="O1374" s="75">
        <v>0</v>
      </c>
      <c r="P1374" s="75">
        <v>11.36</v>
      </c>
      <c r="Q1374" s="78">
        <v>0</v>
      </c>
      <c r="R1374" s="75">
        <v>0</v>
      </c>
      <c r="S1374" s="75">
        <v>1.65</v>
      </c>
      <c r="T1374" s="75">
        <f>STOCK[[#This Row],[Costo Unitario (USD)]]+STOCK[[#This Row],[Costo Envío (USD)]]+STOCK[[#This Row],[Comisión 10%]]</f>
        <v>17.009999999999998</v>
      </c>
      <c r="U1374" s="53">
        <f>STOCK[[#This Row],[Costo total]]*1.5</f>
        <v>25.514999999999997</v>
      </c>
      <c r="V1374" s="75">
        <v>40</v>
      </c>
      <c r="W1374" s="75">
        <f>STOCK[[#This Row],[Precio Final]]-STOCK[[#This Row],[Costo total]]</f>
        <v>22.990000000000002</v>
      </c>
      <c r="X1374" s="75">
        <f>STOCK[[#This Row],[Ganancia Unitaria]]*STOCK[[#This Row],[Salidas]]</f>
        <v>68.97</v>
      </c>
      <c r="Y1374" s="75"/>
      <c r="Z1374" s="75"/>
      <c r="AA1374" s="54">
        <f>STOCK[[#This Row],[Costo total]]*STOCK[[#This Row],[Entradas]]</f>
        <v>34.019999999999996</v>
      </c>
      <c r="AB1374" s="54">
        <f>STOCK[[#This Row],[Stock Actual]]*STOCK[[#This Row],[Costo total]]</f>
        <v>-17.009999999999998</v>
      </c>
      <c r="AC1374" s="75"/>
    </row>
    <row r="1375" spans="1:29" s="53" customFormat="1" ht="50" customHeight="1">
      <c r="A1375" s="53" t="s">
        <v>2808</v>
      </c>
      <c r="B1375" s="76"/>
      <c r="C1375" s="75" t="s">
        <v>32</v>
      </c>
      <c r="D1375" s="75" t="s">
        <v>1226</v>
      </c>
      <c r="E1375" s="77" t="s">
        <v>2804</v>
      </c>
      <c r="F1375" s="75" t="s">
        <v>754</v>
      </c>
      <c r="G1375" s="75" t="s">
        <v>2452</v>
      </c>
      <c r="H1375" s="75">
        <f>STOCK[[#This Row],[Precio Final]]</f>
        <v>40</v>
      </c>
      <c r="I1375" s="80">
        <f>STOCK[[#This Row],[Precio Venta Ideal (x1.5)]]</f>
        <v>25.514999999999997</v>
      </c>
      <c r="J1375" s="78">
        <v>2</v>
      </c>
      <c r="K1375" s="78">
        <f>SUMIFS(VENTAS[Cantidad],VENTAS[Código del producto Vendido],STOCK[[#This Row],[Code]])</f>
        <v>0</v>
      </c>
      <c r="L1375" s="78">
        <f>STOCK[[#This Row],[Entradas]]-STOCK[[#This Row],[Salidas]]</f>
        <v>2</v>
      </c>
      <c r="M1375" s="75">
        <f>STOCK[[#This Row],[Precio Final]]*10%</f>
        <v>4</v>
      </c>
      <c r="N1375" s="75">
        <v>0</v>
      </c>
      <c r="O1375" s="75">
        <v>0</v>
      </c>
      <c r="P1375" s="75">
        <v>11.36</v>
      </c>
      <c r="Q1375" s="78">
        <v>0</v>
      </c>
      <c r="R1375" s="75">
        <v>0</v>
      </c>
      <c r="S1375" s="75">
        <v>1.65</v>
      </c>
      <c r="T1375" s="75">
        <f>STOCK[[#This Row],[Costo Unitario (USD)]]+STOCK[[#This Row],[Costo Envío (USD)]]+STOCK[[#This Row],[Comisión 10%]]</f>
        <v>17.009999999999998</v>
      </c>
      <c r="U1375" s="53">
        <f>STOCK[[#This Row],[Costo total]]*1.5</f>
        <v>25.514999999999997</v>
      </c>
      <c r="V1375" s="75">
        <v>40</v>
      </c>
      <c r="W1375" s="75">
        <f>STOCK[[#This Row],[Precio Final]]-STOCK[[#This Row],[Costo total]]</f>
        <v>22.990000000000002</v>
      </c>
      <c r="X1375" s="75">
        <f>STOCK[[#This Row],[Ganancia Unitaria]]*STOCK[[#This Row],[Salidas]]</f>
        <v>0</v>
      </c>
      <c r="Y1375" s="75"/>
      <c r="Z1375" s="75"/>
      <c r="AA1375" s="54">
        <f>STOCK[[#This Row],[Costo total]]*STOCK[[#This Row],[Entradas]]</f>
        <v>34.019999999999996</v>
      </c>
      <c r="AB1375" s="54">
        <f>STOCK[[#This Row],[Stock Actual]]*STOCK[[#This Row],[Costo total]]</f>
        <v>34.019999999999996</v>
      </c>
      <c r="AC1375" s="75"/>
    </row>
    <row r="1376" spans="1:29" s="53" customFormat="1" ht="50" customHeight="1">
      <c r="A1376" s="53" t="s">
        <v>2809</v>
      </c>
      <c r="B1376" s="76"/>
      <c r="C1376" s="75" t="s">
        <v>32</v>
      </c>
      <c r="D1376" s="75" t="s">
        <v>1226</v>
      </c>
      <c r="E1376" s="77" t="s">
        <v>2804</v>
      </c>
      <c r="F1376" s="75" t="s">
        <v>765</v>
      </c>
      <c r="G1376" s="75"/>
      <c r="H1376" s="75">
        <f>STOCK[[#This Row],[Precio Final]]</f>
        <v>40</v>
      </c>
      <c r="I1376" s="80">
        <f>STOCK[[#This Row],[Precio Venta Ideal (x1.5)]]</f>
        <v>25.514999999999997</v>
      </c>
      <c r="J1376" s="78">
        <v>2</v>
      </c>
      <c r="K1376" s="78">
        <f>SUMIFS(VENTAS[Cantidad],VENTAS[Código del producto Vendido],STOCK[[#This Row],[Code]])</f>
        <v>2</v>
      </c>
      <c r="L1376" s="78">
        <f>STOCK[[#This Row],[Entradas]]-STOCK[[#This Row],[Salidas]]</f>
        <v>0</v>
      </c>
      <c r="M1376" s="75">
        <f>STOCK[[#This Row],[Precio Final]]*10%</f>
        <v>4</v>
      </c>
      <c r="N1376" s="75">
        <v>0</v>
      </c>
      <c r="O1376" s="75">
        <v>0</v>
      </c>
      <c r="P1376" s="75">
        <v>11.36</v>
      </c>
      <c r="Q1376" s="78">
        <v>0</v>
      </c>
      <c r="R1376" s="75">
        <v>0</v>
      </c>
      <c r="S1376" s="75">
        <v>1.65</v>
      </c>
      <c r="T1376" s="75">
        <f>STOCK[[#This Row],[Costo Unitario (USD)]]+STOCK[[#This Row],[Costo Envío (USD)]]+STOCK[[#This Row],[Comisión 10%]]</f>
        <v>17.009999999999998</v>
      </c>
      <c r="U1376" s="53">
        <f>STOCK[[#This Row],[Costo total]]*1.5</f>
        <v>25.514999999999997</v>
      </c>
      <c r="V1376" s="75">
        <v>40</v>
      </c>
      <c r="W1376" s="75">
        <f>STOCK[[#This Row],[Precio Final]]-STOCK[[#This Row],[Costo total]]</f>
        <v>22.990000000000002</v>
      </c>
      <c r="X1376" s="75">
        <f>STOCK[[#This Row],[Ganancia Unitaria]]*STOCK[[#This Row],[Salidas]]</f>
        <v>45.980000000000004</v>
      </c>
      <c r="Y1376" s="75"/>
      <c r="Z1376" s="75"/>
      <c r="AA1376" s="54">
        <f>STOCK[[#This Row],[Costo total]]*STOCK[[#This Row],[Entradas]]</f>
        <v>34.019999999999996</v>
      </c>
      <c r="AB1376" s="54">
        <f>STOCK[[#This Row],[Stock Actual]]*STOCK[[#This Row],[Costo total]]</f>
        <v>0</v>
      </c>
      <c r="AC1376" s="75"/>
    </row>
    <row r="1377" spans="1:29" s="53" customFormat="1" ht="50" customHeight="1">
      <c r="A1377" s="53" t="s">
        <v>2810</v>
      </c>
      <c r="B1377" s="76"/>
      <c r="C1377" s="75" t="s">
        <v>32</v>
      </c>
      <c r="D1377" s="75" t="s">
        <v>1212</v>
      </c>
      <c r="E1377" s="77" t="s">
        <v>2811</v>
      </c>
      <c r="F1377" s="75" t="s">
        <v>62</v>
      </c>
      <c r="G1377" s="75"/>
      <c r="H1377" s="75">
        <f>STOCK[[#This Row],[Precio Final]]</f>
        <v>20</v>
      </c>
      <c r="I1377" s="80">
        <f>STOCK[[#This Row],[Precio Venta Ideal (x1.5)]]</f>
        <v>14.145</v>
      </c>
      <c r="J1377" s="78">
        <v>3</v>
      </c>
      <c r="K1377" s="78">
        <f>SUMIFS(VENTAS[Cantidad],VENTAS[Código del producto Vendido],STOCK[[#This Row],[Code]])</f>
        <v>1</v>
      </c>
      <c r="L1377" s="78">
        <f>STOCK[[#This Row],[Entradas]]-STOCK[[#This Row],[Salidas]]</f>
        <v>2</v>
      </c>
      <c r="M1377" s="75">
        <f>STOCK[[#This Row],[Precio Final]]*10%</f>
        <v>2</v>
      </c>
      <c r="N1377" s="75">
        <v>0</v>
      </c>
      <c r="O1377" s="75">
        <v>0</v>
      </c>
      <c r="P1377" s="75">
        <v>5.78</v>
      </c>
      <c r="Q1377" s="78">
        <v>0</v>
      </c>
      <c r="R1377" s="75">
        <v>0</v>
      </c>
      <c r="S1377" s="75">
        <v>1.65</v>
      </c>
      <c r="T1377" s="75">
        <f>STOCK[[#This Row],[Costo Unitario (USD)]]+STOCK[[#This Row],[Costo Envío (USD)]]+STOCK[[#This Row],[Comisión 10%]]</f>
        <v>9.43</v>
      </c>
      <c r="U1377" s="53">
        <f>STOCK[[#This Row],[Costo total]]*1.5</f>
        <v>14.145</v>
      </c>
      <c r="V1377" s="75">
        <v>20</v>
      </c>
      <c r="W1377" s="75">
        <f>STOCK[[#This Row],[Precio Final]]-STOCK[[#This Row],[Costo total]]</f>
        <v>10.57</v>
      </c>
      <c r="X1377" s="75">
        <f>STOCK[[#This Row],[Ganancia Unitaria]]*STOCK[[#This Row],[Salidas]]</f>
        <v>10.57</v>
      </c>
      <c r="Y1377" s="75"/>
      <c r="Z1377" s="75"/>
      <c r="AA1377" s="54">
        <f>STOCK[[#This Row],[Costo total]]*STOCK[[#This Row],[Entradas]]</f>
        <v>28.29</v>
      </c>
      <c r="AB1377" s="54">
        <f>STOCK[[#This Row],[Stock Actual]]*STOCK[[#This Row],[Costo total]]</f>
        <v>18.86</v>
      </c>
      <c r="AC1377" s="75"/>
    </row>
    <row r="1378" spans="1:29" s="53" customFormat="1" ht="50" customHeight="1">
      <c r="A1378" s="53" t="s">
        <v>2812</v>
      </c>
      <c r="B1378" s="76"/>
      <c r="C1378" s="75" t="s">
        <v>32</v>
      </c>
      <c r="D1378" s="75" t="s">
        <v>1212</v>
      </c>
      <c r="E1378" s="77" t="s">
        <v>2811</v>
      </c>
      <c r="F1378" s="75" t="s">
        <v>49</v>
      </c>
      <c r="G1378" s="75"/>
      <c r="H1378" s="75">
        <f>STOCK[[#This Row],[Precio Final]]</f>
        <v>20</v>
      </c>
      <c r="I1378" s="80">
        <f>STOCK[[#This Row],[Precio Venta Ideal (x1.5)]]</f>
        <v>14.145</v>
      </c>
      <c r="J1378" s="78">
        <v>3</v>
      </c>
      <c r="K1378" s="78">
        <f>SUMIFS(VENTAS[Cantidad],VENTAS[Código del producto Vendido],STOCK[[#This Row],[Code]])</f>
        <v>0</v>
      </c>
      <c r="L1378" s="78">
        <f>STOCK[[#This Row],[Entradas]]-STOCK[[#This Row],[Salidas]]</f>
        <v>3</v>
      </c>
      <c r="M1378" s="75">
        <f>STOCK[[#This Row],[Precio Final]]*10%</f>
        <v>2</v>
      </c>
      <c r="N1378" s="75">
        <v>0</v>
      </c>
      <c r="O1378" s="75">
        <v>0</v>
      </c>
      <c r="P1378" s="75">
        <v>5.78</v>
      </c>
      <c r="Q1378" s="78">
        <v>0</v>
      </c>
      <c r="R1378" s="75">
        <v>0</v>
      </c>
      <c r="S1378" s="75">
        <v>1.65</v>
      </c>
      <c r="T1378" s="75">
        <f>STOCK[[#This Row],[Costo Unitario (USD)]]+STOCK[[#This Row],[Costo Envío (USD)]]+STOCK[[#This Row],[Comisión 10%]]</f>
        <v>9.43</v>
      </c>
      <c r="U1378" s="53">
        <f>STOCK[[#This Row],[Costo total]]*1.5</f>
        <v>14.145</v>
      </c>
      <c r="V1378" s="75">
        <v>20</v>
      </c>
      <c r="W1378" s="75">
        <f>STOCK[[#This Row],[Precio Final]]-STOCK[[#This Row],[Costo total]]</f>
        <v>10.57</v>
      </c>
      <c r="X1378" s="75">
        <f>STOCK[[#This Row],[Ganancia Unitaria]]*STOCK[[#This Row],[Salidas]]</f>
        <v>0</v>
      </c>
      <c r="Y1378" s="75"/>
      <c r="Z1378" s="75"/>
      <c r="AA1378" s="54">
        <f>STOCK[[#This Row],[Costo total]]*STOCK[[#This Row],[Entradas]]</f>
        <v>28.29</v>
      </c>
      <c r="AB1378" s="54">
        <f>STOCK[[#This Row],[Stock Actual]]*STOCK[[#This Row],[Costo total]]</f>
        <v>28.29</v>
      </c>
      <c r="AC1378" s="75"/>
    </row>
    <row r="1379" spans="1:29" s="53" customFormat="1" ht="50" customHeight="1">
      <c r="A1379" s="53" t="s">
        <v>2813</v>
      </c>
      <c r="B1379" s="76"/>
      <c r="C1379" s="75" t="s">
        <v>32</v>
      </c>
      <c r="D1379" s="75" t="s">
        <v>1212</v>
      </c>
      <c r="E1379" s="77" t="s">
        <v>2811</v>
      </c>
      <c r="F1379" s="75" t="s">
        <v>46</v>
      </c>
      <c r="G1379" s="75"/>
      <c r="H1379" s="75">
        <f>STOCK[[#This Row],[Precio Final]]</f>
        <v>20</v>
      </c>
      <c r="I1379" s="80">
        <f>STOCK[[#This Row],[Precio Venta Ideal (x1.5)]]</f>
        <v>14.145</v>
      </c>
      <c r="J1379" s="78">
        <v>3</v>
      </c>
      <c r="K1379" s="78">
        <f>SUMIFS(VENTAS[Cantidad],VENTAS[Código del producto Vendido],STOCK[[#This Row],[Code]])</f>
        <v>0</v>
      </c>
      <c r="L1379" s="78">
        <f>STOCK[[#This Row],[Entradas]]-STOCK[[#This Row],[Salidas]]</f>
        <v>3</v>
      </c>
      <c r="M1379" s="75">
        <f>STOCK[[#This Row],[Precio Final]]*10%</f>
        <v>2</v>
      </c>
      <c r="N1379" s="75">
        <v>0</v>
      </c>
      <c r="O1379" s="75">
        <v>0</v>
      </c>
      <c r="P1379" s="75">
        <v>5.78</v>
      </c>
      <c r="Q1379" s="78">
        <v>0</v>
      </c>
      <c r="R1379" s="75">
        <v>0</v>
      </c>
      <c r="S1379" s="75">
        <v>1.65</v>
      </c>
      <c r="T1379" s="75">
        <f>STOCK[[#This Row],[Costo Unitario (USD)]]+STOCK[[#This Row],[Costo Envío (USD)]]+STOCK[[#This Row],[Comisión 10%]]</f>
        <v>9.43</v>
      </c>
      <c r="U1379" s="53">
        <f>STOCK[[#This Row],[Costo total]]*1.5</f>
        <v>14.145</v>
      </c>
      <c r="V1379" s="75">
        <v>20</v>
      </c>
      <c r="W1379" s="75">
        <f>STOCK[[#This Row],[Precio Final]]-STOCK[[#This Row],[Costo total]]</f>
        <v>10.57</v>
      </c>
      <c r="X1379" s="75">
        <f>STOCK[[#This Row],[Ganancia Unitaria]]*STOCK[[#This Row],[Salidas]]</f>
        <v>0</v>
      </c>
      <c r="Y1379" s="75"/>
      <c r="Z1379" s="75"/>
      <c r="AA1379" s="54">
        <f>STOCK[[#This Row],[Costo total]]*STOCK[[#This Row],[Entradas]]</f>
        <v>28.29</v>
      </c>
      <c r="AB1379" s="54">
        <f>STOCK[[#This Row],[Stock Actual]]*STOCK[[#This Row],[Costo total]]</f>
        <v>28.29</v>
      </c>
      <c r="AC1379" s="75"/>
    </row>
    <row r="1380" spans="1:29" s="53" customFormat="1" ht="50" customHeight="1">
      <c r="A1380" s="53" t="s">
        <v>2814</v>
      </c>
      <c r="B1380" s="76"/>
      <c r="C1380" s="75" t="s">
        <v>32</v>
      </c>
      <c r="D1380" s="75" t="s">
        <v>2112</v>
      </c>
      <c r="E1380" s="77" t="s">
        <v>2815</v>
      </c>
      <c r="F1380" s="75" t="s">
        <v>2499</v>
      </c>
      <c r="G1380" s="75"/>
      <c r="H1380" s="75">
        <f>STOCK[[#This Row],[Precio Final]]</f>
        <v>22</v>
      </c>
      <c r="I1380" s="80">
        <f>STOCK[[#This Row],[Precio Venta Ideal (x1.5)]]</f>
        <v>18.72</v>
      </c>
      <c r="J1380" s="78">
        <v>4</v>
      </c>
      <c r="K1380" s="78">
        <f>SUMIFS(VENTAS[Cantidad],VENTAS[Código del producto Vendido],STOCK[[#This Row],[Code]])</f>
        <v>6</v>
      </c>
      <c r="L1380" s="78">
        <f>STOCK[[#This Row],[Entradas]]-STOCK[[#This Row],[Salidas]]</f>
        <v>-2</v>
      </c>
      <c r="M1380" s="75">
        <f>STOCK[[#This Row],[Precio Final]]*10%</f>
        <v>2.2000000000000002</v>
      </c>
      <c r="N1380" s="75">
        <v>0</v>
      </c>
      <c r="O1380" s="75">
        <v>0</v>
      </c>
      <c r="P1380" s="75">
        <v>8.6300000000000008</v>
      </c>
      <c r="Q1380" s="78">
        <v>0</v>
      </c>
      <c r="R1380" s="75">
        <v>0</v>
      </c>
      <c r="S1380" s="75">
        <v>1.65</v>
      </c>
      <c r="T1380" s="75">
        <f>STOCK[[#This Row],[Costo Unitario (USD)]]+STOCK[[#This Row],[Costo Envío (USD)]]+STOCK[[#This Row],[Comisión 10%]]</f>
        <v>12.48</v>
      </c>
      <c r="U1380" s="53">
        <f>STOCK[[#This Row],[Costo total]]*1.5</f>
        <v>18.72</v>
      </c>
      <c r="V1380" s="75">
        <v>22</v>
      </c>
      <c r="W1380" s="75">
        <f>STOCK[[#This Row],[Precio Final]]-STOCK[[#This Row],[Costo total]]</f>
        <v>9.52</v>
      </c>
      <c r="X1380" s="75">
        <f>STOCK[[#This Row],[Ganancia Unitaria]]*STOCK[[#This Row],[Salidas]]</f>
        <v>57.12</v>
      </c>
      <c r="Y1380" s="75"/>
      <c r="Z1380" s="75"/>
      <c r="AA1380" s="54">
        <f>STOCK[[#This Row],[Costo total]]*STOCK[[#This Row],[Entradas]]</f>
        <v>49.92</v>
      </c>
      <c r="AB1380" s="54">
        <f>STOCK[[#This Row],[Stock Actual]]*STOCK[[#This Row],[Costo total]]</f>
        <v>-24.96</v>
      </c>
      <c r="AC1380" s="75"/>
    </row>
    <row r="1381" spans="1:29" s="53" customFormat="1" ht="50" customHeight="1">
      <c r="A1381" s="53" t="s">
        <v>2816</v>
      </c>
      <c r="B1381" s="76"/>
      <c r="C1381" s="75" t="s">
        <v>32</v>
      </c>
      <c r="D1381" s="75" t="s">
        <v>2112</v>
      </c>
      <c r="E1381" s="77" t="s">
        <v>2817</v>
      </c>
      <c r="F1381" s="75" t="s">
        <v>2818</v>
      </c>
      <c r="G1381" s="75"/>
      <c r="H1381" s="75">
        <f>STOCK[[#This Row],[Precio Final]]</f>
        <v>22</v>
      </c>
      <c r="I1381" s="80">
        <f>STOCK[[#This Row],[Precio Venta Ideal (x1.5)]]</f>
        <v>21.555</v>
      </c>
      <c r="J1381" s="78">
        <v>7</v>
      </c>
      <c r="K1381" s="78">
        <f>SUMIFS(VENTAS[Cantidad],VENTAS[Código del producto Vendido],STOCK[[#This Row],[Code]])</f>
        <v>13</v>
      </c>
      <c r="L1381" s="78">
        <f>STOCK[[#This Row],[Entradas]]-STOCK[[#This Row],[Salidas]]</f>
        <v>-6</v>
      </c>
      <c r="M1381" s="75">
        <f>STOCK[[#This Row],[Precio Final]]*10%</f>
        <v>2.2000000000000002</v>
      </c>
      <c r="N1381" s="75">
        <v>0</v>
      </c>
      <c r="O1381" s="75">
        <v>0</v>
      </c>
      <c r="P1381" s="75">
        <v>10.52</v>
      </c>
      <c r="Q1381" s="78">
        <v>0</v>
      </c>
      <c r="R1381" s="75">
        <v>0</v>
      </c>
      <c r="S1381" s="75">
        <v>1.65</v>
      </c>
      <c r="T1381" s="75">
        <f>STOCK[[#This Row],[Costo Unitario (USD)]]+STOCK[[#This Row],[Costo Envío (USD)]]+STOCK[[#This Row],[Comisión 10%]]</f>
        <v>14.370000000000001</v>
      </c>
      <c r="U1381" s="53">
        <f>STOCK[[#This Row],[Costo total]]*1.5</f>
        <v>21.555</v>
      </c>
      <c r="V1381" s="75">
        <v>22</v>
      </c>
      <c r="W1381" s="75">
        <f>STOCK[[#This Row],[Precio Final]]-STOCK[[#This Row],[Costo total]]</f>
        <v>7.629999999999999</v>
      </c>
      <c r="X1381" s="75">
        <f>STOCK[[#This Row],[Ganancia Unitaria]]*STOCK[[#This Row],[Salidas]]</f>
        <v>99.189999999999984</v>
      </c>
      <c r="Y1381" s="75"/>
      <c r="Z1381" s="75"/>
      <c r="AA1381" s="54">
        <f>STOCK[[#This Row],[Costo total]]*STOCK[[#This Row],[Entradas]]</f>
        <v>100.59</v>
      </c>
      <c r="AB1381" s="54">
        <f>STOCK[[#This Row],[Stock Actual]]*STOCK[[#This Row],[Costo total]]</f>
        <v>-86.22</v>
      </c>
      <c r="AC1381" s="75"/>
    </row>
    <row r="1382" spans="1:29" s="53" customFormat="1" ht="50" customHeight="1">
      <c r="A1382" s="53" t="s">
        <v>2819</v>
      </c>
      <c r="B1382" s="76"/>
      <c r="C1382" s="75" t="s">
        <v>32</v>
      </c>
      <c r="D1382" s="75" t="s">
        <v>2112</v>
      </c>
      <c r="E1382" s="77" t="s">
        <v>2820</v>
      </c>
      <c r="F1382" s="75" t="s">
        <v>2499</v>
      </c>
      <c r="G1382" s="75"/>
      <c r="H1382" s="75">
        <f>STOCK[[#This Row],[Precio Final]]</f>
        <v>25</v>
      </c>
      <c r="I1382" s="80">
        <f>STOCK[[#This Row],[Precio Venta Ideal (x1.5)]]</f>
        <v>20.310000000000002</v>
      </c>
      <c r="J1382" s="78">
        <v>3</v>
      </c>
      <c r="K1382" s="78">
        <f>SUMIFS(VENTAS[Cantidad],VENTAS[Código del producto Vendido],STOCK[[#This Row],[Code]])</f>
        <v>3</v>
      </c>
      <c r="L1382" s="78">
        <f>STOCK[[#This Row],[Entradas]]-STOCK[[#This Row],[Salidas]]</f>
        <v>0</v>
      </c>
      <c r="M1382" s="75">
        <f>STOCK[[#This Row],[Precio Final]]*10%</f>
        <v>2.5</v>
      </c>
      <c r="N1382" s="75">
        <v>0</v>
      </c>
      <c r="O1382" s="75">
        <v>0</v>
      </c>
      <c r="P1382" s="75">
        <v>9.39</v>
      </c>
      <c r="Q1382" s="78">
        <v>0</v>
      </c>
      <c r="R1382" s="75">
        <v>0</v>
      </c>
      <c r="S1382" s="75">
        <v>1.65</v>
      </c>
      <c r="T1382" s="75">
        <f>STOCK[[#This Row],[Costo Unitario (USD)]]+STOCK[[#This Row],[Costo Envío (USD)]]+STOCK[[#This Row],[Comisión 10%]]</f>
        <v>13.540000000000001</v>
      </c>
      <c r="U1382" s="53">
        <f>STOCK[[#This Row],[Costo total]]*1.5</f>
        <v>20.310000000000002</v>
      </c>
      <c r="V1382" s="75">
        <v>25</v>
      </c>
      <c r="W1382" s="75">
        <f>STOCK[[#This Row],[Precio Final]]-STOCK[[#This Row],[Costo total]]</f>
        <v>11.459999999999999</v>
      </c>
      <c r="X1382" s="75">
        <f>STOCK[[#This Row],[Ganancia Unitaria]]*STOCK[[#This Row],[Salidas]]</f>
        <v>34.379999999999995</v>
      </c>
      <c r="Y1382" s="75"/>
      <c r="Z1382" s="75"/>
      <c r="AA1382" s="54">
        <f>STOCK[[#This Row],[Costo total]]*STOCK[[#This Row],[Entradas]]</f>
        <v>40.620000000000005</v>
      </c>
      <c r="AB1382" s="54">
        <f>STOCK[[#This Row],[Stock Actual]]*STOCK[[#This Row],[Costo total]]</f>
        <v>0</v>
      </c>
      <c r="AC1382" s="75"/>
    </row>
    <row r="1383" spans="1:29" s="53" customFormat="1" ht="50" customHeight="1">
      <c r="A1383" s="53" t="s">
        <v>2821</v>
      </c>
      <c r="B1383" s="76"/>
      <c r="C1383" s="75" t="s">
        <v>32</v>
      </c>
      <c r="D1383" s="75" t="s">
        <v>2112</v>
      </c>
      <c r="E1383" s="77" t="s">
        <v>2822</v>
      </c>
      <c r="F1383" s="75" t="s">
        <v>2823</v>
      </c>
      <c r="G1383" s="75"/>
      <c r="H1383" s="75">
        <f>STOCK[[#This Row],[Precio Final]]</f>
        <v>25</v>
      </c>
      <c r="I1383" s="80">
        <f>STOCK[[#This Row],[Precio Venta Ideal (x1.5)]]</f>
        <v>18.96</v>
      </c>
      <c r="J1383" s="78">
        <v>5</v>
      </c>
      <c r="K1383" s="78">
        <f>SUMIFS(VENTAS[Cantidad],VENTAS[Código del producto Vendido],STOCK[[#This Row],[Code]])</f>
        <v>7</v>
      </c>
      <c r="L1383" s="78">
        <f>STOCK[[#This Row],[Entradas]]-STOCK[[#This Row],[Salidas]]</f>
        <v>-2</v>
      </c>
      <c r="M1383" s="75">
        <f>STOCK[[#This Row],[Precio Final]]*10%</f>
        <v>2.5</v>
      </c>
      <c r="N1383" s="75">
        <v>0</v>
      </c>
      <c r="O1383" s="75">
        <v>0</v>
      </c>
      <c r="P1383" s="75">
        <v>8.49</v>
      </c>
      <c r="Q1383" s="78">
        <v>0</v>
      </c>
      <c r="R1383" s="75">
        <v>0</v>
      </c>
      <c r="S1383" s="75">
        <v>1.65</v>
      </c>
      <c r="T1383" s="75">
        <f>STOCK[[#This Row],[Costo Unitario (USD)]]+STOCK[[#This Row],[Costo Envío (USD)]]+STOCK[[#This Row],[Comisión 10%]]</f>
        <v>12.64</v>
      </c>
      <c r="U1383" s="53">
        <f>STOCK[[#This Row],[Costo total]]*1.5</f>
        <v>18.96</v>
      </c>
      <c r="V1383" s="75">
        <v>25</v>
      </c>
      <c r="W1383" s="75">
        <f>STOCK[[#This Row],[Precio Final]]-STOCK[[#This Row],[Costo total]]</f>
        <v>12.36</v>
      </c>
      <c r="X1383" s="75">
        <f>STOCK[[#This Row],[Ganancia Unitaria]]*STOCK[[#This Row],[Salidas]]</f>
        <v>86.52</v>
      </c>
      <c r="Y1383" s="75"/>
      <c r="Z1383" s="75"/>
      <c r="AA1383" s="54">
        <f>STOCK[[#This Row],[Costo total]]*STOCK[[#This Row],[Entradas]]</f>
        <v>63.2</v>
      </c>
      <c r="AB1383" s="54">
        <f>STOCK[[#This Row],[Stock Actual]]*STOCK[[#This Row],[Costo total]]</f>
        <v>-25.28</v>
      </c>
      <c r="AC1383" s="75"/>
    </row>
    <row r="1384" spans="1:29" s="53" customFormat="1" ht="50" customHeight="1">
      <c r="A1384" s="53" t="s">
        <v>2824</v>
      </c>
      <c r="B1384" s="76"/>
      <c r="C1384" s="75" t="s">
        <v>32</v>
      </c>
      <c r="D1384" s="75" t="s">
        <v>2112</v>
      </c>
      <c r="E1384" s="77" t="s">
        <v>2825</v>
      </c>
      <c r="F1384" s="75" t="s">
        <v>2818</v>
      </c>
      <c r="G1384" s="75"/>
      <c r="H1384" s="75">
        <f>STOCK[[#This Row],[Precio Final]]</f>
        <v>25</v>
      </c>
      <c r="I1384" s="80">
        <f>STOCK[[#This Row],[Precio Venta Ideal (x1.5)]]</f>
        <v>23.774999999999999</v>
      </c>
      <c r="J1384" s="78">
        <v>4</v>
      </c>
      <c r="K1384" s="78">
        <f>SUMIFS(VENTAS[Cantidad],VENTAS[Código del producto Vendido],STOCK[[#This Row],[Code]])</f>
        <v>8</v>
      </c>
      <c r="L1384" s="78">
        <f>STOCK[[#This Row],[Entradas]]-STOCK[[#This Row],[Salidas]]</f>
        <v>-4</v>
      </c>
      <c r="M1384" s="75">
        <f>STOCK[[#This Row],[Precio Final]]*10%</f>
        <v>2.5</v>
      </c>
      <c r="N1384" s="75">
        <v>0</v>
      </c>
      <c r="O1384" s="75">
        <v>0</v>
      </c>
      <c r="P1384" s="75">
        <v>11.7</v>
      </c>
      <c r="Q1384" s="78">
        <v>0</v>
      </c>
      <c r="R1384" s="75">
        <v>0</v>
      </c>
      <c r="S1384" s="75">
        <v>1.65</v>
      </c>
      <c r="T1384" s="75">
        <f>STOCK[[#This Row],[Costo Unitario (USD)]]+STOCK[[#This Row],[Costo Envío (USD)]]+STOCK[[#This Row],[Comisión 10%]]</f>
        <v>15.85</v>
      </c>
      <c r="U1384" s="53">
        <f>STOCK[[#This Row],[Costo total]]*1.5</f>
        <v>23.774999999999999</v>
      </c>
      <c r="V1384" s="75">
        <v>25</v>
      </c>
      <c r="W1384" s="75">
        <f>STOCK[[#This Row],[Precio Final]]-STOCK[[#This Row],[Costo total]]</f>
        <v>9.15</v>
      </c>
      <c r="X1384" s="75">
        <f>STOCK[[#This Row],[Ganancia Unitaria]]*STOCK[[#This Row],[Salidas]]</f>
        <v>73.2</v>
      </c>
      <c r="Y1384" s="75"/>
      <c r="Z1384" s="75"/>
      <c r="AA1384" s="54">
        <f>STOCK[[#This Row],[Costo total]]*STOCK[[#This Row],[Entradas]]</f>
        <v>63.4</v>
      </c>
      <c r="AB1384" s="54">
        <f>STOCK[[#This Row],[Stock Actual]]*STOCK[[#This Row],[Costo total]]</f>
        <v>-63.4</v>
      </c>
      <c r="AC1384" s="75"/>
    </row>
    <row r="1385" spans="1:29" s="53" customFormat="1" ht="50" customHeight="1">
      <c r="A1385" s="53" t="s">
        <v>2826</v>
      </c>
      <c r="B1385" s="76"/>
      <c r="C1385" s="75" t="s">
        <v>32</v>
      </c>
      <c r="D1385" s="75" t="s">
        <v>2112</v>
      </c>
      <c r="E1385" s="77" t="s">
        <v>2827</v>
      </c>
      <c r="F1385" s="75" t="s">
        <v>2823</v>
      </c>
      <c r="G1385" s="75"/>
      <c r="H1385" s="75">
        <f>STOCK[[#This Row],[Precio Final]]</f>
        <v>25</v>
      </c>
      <c r="I1385" s="80">
        <f>STOCK[[#This Row],[Precio Venta Ideal (x1.5)]]</f>
        <v>22.86</v>
      </c>
      <c r="J1385" s="78">
        <v>3</v>
      </c>
      <c r="K1385" s="78">
        <f>SUMIFS(VENTAS[Cantidad],VENTAS[Código del producto Vendido],STOCK[[#This Row],[Code]])</f>
        <v>6</v>
      </c>
      <c r="L1385" s="78">
        <f>STOCK[[#This Row],[Entradas]]-STOCK[[#This Row],[Salidas]]</f>
        <v>-3</v>
      </c>
      <c r="M1385" s="75">
        <f>STOCK[[#This Row],[Precio Final]]*10%</f>
        <v>2.5</v>
      </c>
      <c r="N1385" s="75">
        <v>0</v>
      </c>
      <c r="O1385" s="75">
        <v>0</v>
      </c>
      <c r="P1385" s="75">
        <v>11.09</v>
      </c>
      <c r="Q1385" s="78">
        <v>0</v>
      </c>
      <c r="R1385" s="75">
        <v>0</v>
      </c>
      <c r="S1385" s="75">
        <v>1.65</v>
      </c>
      <c r="T1385" s="75">
        <f>STOCK[[#This Row],[Costo Unitario (USD)]]+STOCK[[#This Row],[Costo Envío (USD)]]+STOCK[[#This Row],[Comisión 10%]]</f>
        <v>15.24</v>
      </c>
      <c r="U1385" s="53">
        <f>STOCK[[#This Row],[Costo total]]*1.5</f>
        <v>22.86</v>
      </c>
      <c r="V1385" s="75">
        <v>25</v>
      </c>
      <c r="W1385" s="75">
        <f>STOCK[[#This Row],[Precio Final]]-STOCK[[#This Row],[Costo total]]</f>
        <v>9.76</v>
      </c>
      <c r="X1385" s="75">
        <f>STOCK[[#This Row],[Ganancia Unitaria]]*STOCK[[#This Row],[Salidas]]</f>
        <v>58.56</v>
      </c>
      <c r="Y1385" s="75"/>
      <c r="Z1385" s="75"/>
      <c r="AA1385" s="54">
        <f>STOCK[[#This Row],[Costo total]]*STOCK[[#This Row],[Entradas]]</f>
        <v>45.72</v>
      </c>
      <c r="AB1385" s="54">
        <f>STOCK[[#This Row],[Stock Actual]]*STOCK[[#This Row],[Costo total]]</f>
        <v>-45.72</v>
      </c>
      <c r="AC1385" s="75"/>
    </row>
    <row r="1386" spans="1:29" s="53" customFormat="1" ht="50" customHeight="1">
      <c r="A1386" s="53" t="s">
        <v>2828</v>
      </c>
      <c r="B1386" s="76"/>
      <c r="C1386" s="75" t="s">
        <v>32</v>
      </c>
      <c r="D1386" s="75" t="s">
        <v>2112</v>
      </c>
      <c r="E1386" s="77" t="s">
        <v>2829</v>
      </c>
      <c r="F1386" s="75" t="s">
        <v>2823</v>
      </c>
      <c r="G1386" s="75"/>
      <c r="H1386" s="75">
        <f>STOCK[[#This Row],[Precio Final]]</f>
        <v>25</v>
      </c>
      <c r="I1386" s="80">
        <f>STOCK[[#This Row],[Precio Venta Ideal (x1.5)]]</f>
        <v>23.715</v>
      </c>
      <c r="J1386" s="78">
        <v>3</v>
      </c>
      <c r="K1386" s="78">
        <f>SUMIFS(VENTAS[Cantidad],VENTAS[Código del producto Vendido],STOCK[[#This Row],[Code]])</f>
        <v>6</v>
      </c>
      <c r="L1386" s="78">
        <f>STOCK[[#This Row],[Entradas]]-STOCK[[#This Row],[Salidas]]</f>
        <v>-3</v>
      </c>
      <c r="M1386" s="75">
        <f>STOCK[[#This Row],[Precio Final]]*10%</f>
        <v>2.5</v>
      </c>
      <c r="N1386" s="75">
        <v>0</v>
      </c>
      <c r="O1386" s="75">
        <v>0</v>
      </c>
      <c r="P1386" s="75">
        <v>11.66</v>
      </c>
      <c r="Q1386" s="78">
        <v>0</v>
      </c>
      <c r="R1386" s="75">
        <v>0</v>
      </c>
      <c r="S1386" s="75">
        <v>1.65</v>
      </c>
      <c r="T1386" s="75">
        <f>STOCK[[#This Row],[Costo Unitario (USD)]]+STOCK[[#This Row],[Costo Envío (USD)]]+STOCK[[#This Row],[Comisión 10%]]</f>
        <v>15.81</v>
      </c>
      <c r="U1386" s="53">
        <f>STOCK[[#This Row],[Costo total]]*1.5</f>
        <v>23.715</v>
      </c>
      <c r="V1386" s="75">
        <v>25</v>
      </c>
      <c r="W1386" s="75">
        <f>STOCK[[#This Row],[Precio Final]]-STOCK[[#This Row],[Costo total]]</f>
        <v>9.19</v>
      </c>
      <c r="X1386" s="75">
        <f>STOCK[[#This Row],[Ganancia Unitaria]]*STOCK[[#This Row],[Salidas]]</f>
        <v>55.14</v>
      </c>
      <c r="Y1386" s="75"/>
      <c r="Z1386" s="75"/>
      <c r="AA1386" s="54">
        <f>STOCK[[#This Row],[Costo total]]*STOCK[[#This Row],[Entradas]]</f>
        <v>47.43</v>
      </c>
      <c r="AB1386" s="54">
        <f>STOCK[[#This Row],[Stock Actual]]*STOCK[[#This Row],[Costo total]]</f>
        <v>-47.43</v>
      </c>
      <c r="AC1386" s="75"/>
    </row>
    <row r="1387" spans="1:29" s="53" customFormat="1" ht="50" customHeight="1">
      <c r="A1387" s="53" t="s">
        <v>2830</v>
      </c>
      <c r="B1387" s="76"/>
      <c r="C1387" s="75" t="s">
        <v>32</v>
      </c>
      <c r="D1387" s="75" t="s">
        <v>2112</v>
      </c>
      <c r="E1387" s="77" t="s">
        <v>2831</v>
      </c>
      <c r="F1387" s="75" t="s">
        <v>2823</v>
      </c>
      <c r="G1387" s="75"/>
      <c r="H1387" s="75">
        <f>STOCK[[#This Row],[Precio Final]]</f>
        <v>25</v>
      </c>
      <c r="I1387" s="80">
        <f>STOCK[[#This Row],[Precio Venta Ideal (x1.5)]]</f>
        <v>23.295000000000002</v>
      </c>
      <c r="J1387" s="78">
        <v>3</v>
      </c>
      <c r="K1387" s="78">
        <f>SUMIFS(VENTAS[Cantidad],VENTAS[Código del producto Vendido],STOCK[[#This Row],[Code]])</f>
        <v>5</v>
      </c>
      <c r="L1387" s="78">
        <f>STOCK[[#This Row],[Entradas]]-STOCK[[#This Row],[Salidas]]</f>
        <v>-2</v>
      </c>
      <c r="M1387" s="75">
        <f>STOCK[[#This Row],[Precio Final]]*10%</f>
        <v>2.5</v>
      </c>
      <c r="N1387" s="75">
        <v>0</v>
      </c>
      <c r="O1387" s="75">
        <v>0</v>
      </c>
      <c r="P1387" s="75">
        <v>11.38</v>
      </c>
      <c r="Q1387" s="78">
        <v>0</v>
      </c>
      <c r="R1387" s="75">
        <v>0</v>
      </c>
      <c r="S1387" s="75">
        <v>1.65</v>
      </c>
      <c r="T1387" s="75">
        <f>STOCK[[#This Row],[Costo Unitario (USD)]]+STOCK[[#This Row],[Costo Envío (USD)]]+STOCK[[#This Row],[Comisión 10%]]</f>
        <v>15.530000000000001</v>
      </c>
      <c r="U1387" s="53">
        <f>STOCK[[#This Row],[Costo total]]*1.5</f>
        <v>23.295000000000002</v>
      </c>
      <c r="V1387" s="75">
        <v>25</v>
      </c>
      <c r="W1387" s="75">
        <f>STOCK[[#This Row],[Precio Final]]-STOCK[[#This Row],[Costo total]]</f>
        <v>9.4699999999999989</v>
      </c>
      <c r="X1387" s="75">
        <f>STOCK[[#This Row],[Ganancia Unitaria]]*STOCK[[#This Row],[Salidas]]</f>
        <v>47.349999999999994</v>
      </c>
      <c r="Y1387" s="75"/>
      <c r="Z1387" s="75"/>
      <c r="AA1387" s="54">
        <f>STOCK[[#This Row],[Costo total]]*STOCK[[#This Row],[Entradas]]</f>
        <v>46.59</v>
      </c>
      <c r="AB1387" s="54">
        <f>STOCK[[#This Row],[Stock Actual]]*STOCK[[#This Row],[Costo total]]</f>
        <v>-31.060000000000002</v>
      </c>
      <c r="AC1387" s="75"/>
    </row>
    <row r="1388" spans="1:29" s="53" customFormat="1" ht="50" customHeight="1">
      <c r="A1388" s="53" t="s">
        <v>2832</v>
      </c>
      <c r="B1388" s="76"/>
      <c r="C1388" s="75" t="s">
        <v>32</v>
      </c>
      <c r="D1388" s="75" t="s">
        <v>2128</v>
      </c>
      <c r="E1388" s="77" t="s">
        <v>2833</v>
      </c>
      <c r="F1388" s="75" t="s">
        <v>62</v>
      </c>
      <c r="G1388" s="75"/>
      <c r="H1388" s="75">
        <f>STOCK[[#This Row],[Precio Final]]</f>
        <v>25</v>
      </c>
      <c r="I1388" s="80">
        <f>STOCK[[#This Row],[Precio Venta Ideal (x1.5)]]</f>
        <v>21.66</v>
      </c>
      <c r="J1388" s="78">
        <v>4</v>
      </c>
      <c r="K1388" s="78">
        <f>SUMIFS(VENTAS[Cantidad],VENTAS[Código del producto Vendido],STOCK[[#This Row],[Code]])</f>
        <v>2</v>
      </c>
      <c r="L1388" s="78">
        <f>STOCK[[#This Row],[Entradas]]-STOCK[[#This Row],[Salidas]]</f>
        <v>2</v>
      </c>
      <c r="M1388" s="75">
        <f>STOCK[[#This Row],[Precio Final]]*10%</f>
        <v>2.5</v>
      </c>
      <c r="N1388" s="75">
        <v>0</v>
      </c>
      <c r="O1388" s="75">
        <v>0</v>
      </c>
      <c r="P1388" s="75">
        <v>10.29</v>
      </c>
      <c r="Q1388" s="78">
        <v>0</v>
      </c>
      <c r="R1388" s="75">
        <v>0</v>
      </c>
      <c r="S1388" s="75">
        <v>1.65</v>
      </c>
      <c r="T1388" s="75">
        <f>STOCK[[#This Row],[Costo Unitario (USD)]]+STOCK[[#This Row],[Costo Envío (USD)]]+STOCK[[#This Row],[Comisión 10%]]</f>
        <v>14.44</v>
      </c>
      <c r="U1388" s="53">
        <f>STOCK[[#This Row],[Costo total]]*1.5</f>
        <v>21.66</v>
      </c>
      <c r="V1388" s="75">
        <v>25</v>
      </c>
      <c r="W1388" s="75">
        <f>STOCK[[#This Row],[Precio Final]]-STOCK[[#This Row],[Costo total]]</f>
        <v>10.56</v>
      </c>
      <c r="X1388" s="75">
        <f>STOCK[[#This Row],[Ganancia Unitaria]]*STOCK[[#This Row],[Salidas]]</f>
        <v>21.12</v>
      </c>
      <c r="Y1388" s="75"/>
      <c r="Z1388" s="75"/>
      <c r="AA1388" s="54">
        <f>STOCK[[#This Row],[Costo total]]*STOCK[[#This Row],[Entradas]]</f>
        <v>57.76</v>
      </c>
      <c r="AB1388" s="54">
        <f>STOCK[[#This Row],[Stock Actual]]*STOCK[[#This Row],[Costo total]]</f>
        <v>28.88</v>
      </c>
      <c r="AC1388" s="75"/>
    </row>
    <row r="1389" spans="1:29" s="53" customFormat="1" ht="50" customHeight="1">
      <c r="A1389" s="53" t="s">
        <v>2834</v>
      </c>
      <c r="B1389" s="76"/>
      <c r="C1389" s="75" t="s">
        <v>32</v>
      </c>
      <c r="D1389" s="75" t="s">
        <v>2835</v>
      </c>
      <c r="E1389" s="77" t="s">
        <v>2836</v>
      </c>
      <c r="F1389" s="75" t="s">
        <v>40</v>
      </c>
      <c r="G1389" s="75"/>
      <c r="H1389" s="75">
        <f>STOCK[[#This Row],[Precio Final]]</f>
        <v>30</v>
      </c>
      <c r="I1389" s="80">
        <f>STOCK[[#This Row],[Precio Venta Ideal (x1.5)]]</f>
        <v>24.75</v>
      </c>
      <c r="J1389" s="78">
        <v>2</v>
      </c>
      <c r="K1389" s="78">
        <f>SUMIFS(VENTAS[Cantidad],VENTAS[Código del producto Vendido],STOCK[[#This Row],[Code]])</f>
        <v>3</v>
      </c>
      <c r="L1389" s="78">
        <f>STOCK[[#This Row],[Entradas]]-STOCK[[#This Row],[Salidas]]</f>
        <v>-1</v>
      </c>
      <c r="M1389" s="75">
        <f>STOCK[[#This Row],[Precio Final]]*10%</f>
        <v>3</v>
      </c>
      <c r="N1389" s="75">
        <v>0</v>
      </c>
      <c r="O1389" s="75">
        <v>0</v>
      </c>
      <c r="P1389" s="75">
        <v>11.85</v>
      </c>
      <c r="Q1389" s="78">
        <v>0</v>
      </c>
      <c r="R1389" s="75">
        <v>0</v>
      </c>
      <c r="S1389" s="75">
        <v>1.65</v>
      </c>
      <c r="T1389" s="75">
        <f>STOCK[[#This Row],[Costo Unitario (USD)]]+STOCK[[#This Row],[Costo Envío (USD)]]+STOCK[[#This Row],[Comisión 10%]]</f>
        <v>16.5</v>
      </c>
      <c r="U1389" s="53">
        <f>STOCK[[#This Row],[Costo total]]*1.5</f>
        <v>24.75</v>
      </c>
      <c r="V1389" s="75">
        <v>30</v>
      </c>
      <c r="W1389" s="75">
        <f>STOCK[[#This Row],[Precio Final]]-STOCK[[#This Row],[Costo total]]</f>
        <v>13.5</v>
      </c>
      <c r="X1389" s="75">
        <f>STOCK[[#This Row],[Ganancia Unitaria]]*STOCK[[#This Row],[Salidas]]</f>
        <v>40.5</v>
      </c>
      <c r="Y1389" s="75"/>
      <c r="Z1389" s="75"/>
      <c r="AA1389" s="54">
        <f>STOCK[[#This Row],[Costo total]]*STOCK[[#This Row],[Entradas]]</f>
        <v>33</v>
      </c>
      <c r="AB1389" s="54">
        <f>STOCK[[#This Row],[Stock Actual]]*STOCK[[#This Row],[Costo total]]</f>
        <v>-16.5</v>
      </c>
      <c r="AC1389" s="75"/>
    </row>
    <row r="1390" spans="1:29" s="53" customFormat="1" ht="50" customHeight="1">
      <c r="A1390" s="53" t="s">
        <v>2837</v>
      </c>
      <c r="B1390" s="76"/>
      <c r="C1390" s="75" t="s">
        <v>32</v>
      </c>
      <c r="D1390" s="75" t="s">
        <v>2835</v>
      </c>
      <c r="E1390" s="77" t="s">
        <v>2836</v>
      </c>
      <c r="F1390" s="75" t="s">
        <v>62</v>
      </c>
      <c r="G1390" s="75"/>
      <c r="H1390" s="75">
        <f>STOCK[[#This Row],[Precio Final]]</f>
        <v>30</v>
      </c>
      <c r="I1390" s="80">
        <f>STOCK[[#This Row],[Precio Venta Ideal (x1.5)]]</f>
        <v>24.75</v>
      </c>
      <c r="J1390" s="78">
        <v>2</v>
      </c>
      <c r="K1390" s="78">
        <f>SUMIFS(VENTAS[Cantidad],VENTAS[Código del producto Vendido],STOCK[[#This Row],[Code]])</f>
        <v>4</v>
      </c>
      <c r="L1390" s="78">
        <f>STOCK[[#This Row],[Entradas]]-STOCK[[#This Row],[Salidas]]</f>
        <v>-2</v>
      </c>
      <c r="M1390" s="75">
        <f>STOCK[[#This Row],[Precio Final]]*10%</f>
        <v>3</v>
      </c>
      <c r="N1390" s="75">
        <v>0</v>
      </c>
      <c r="O1390" s="75">
        <v>0</v>
      </c>
      <c r="P1390" s="75">
        <v>11.85</v>
      </c>
      <c r="Q1390" s="78">
        <v>0</v>
      </c>
      <c r="R1390" s="75">
        <v>0</v>
      </c>
      <c r="S1390" s="75">
        <v>1.65</v>
      </c>
      <c r="T1390" s="75">
        <f>STOCK[[#This Row],[Costo Unitario (USD)]]+STOCK[[#This Row],[Costo Envío (USD)]]+STOCK[[#This Row],[Comisión 10%]]</f>
        <v>16.5</v>
      </c>
      <c r="U1390" s="53">
        <f>STOCK[[#This Row],[Costo total]]*1.5</f>
        <v>24.75</v>
      </c>
      <c r="V1390" s="75">
        <v>30</v>
      </c>
      <c r="W1390" s="75">
        <f>STOCK[[#This Row],[Precio Final]]-STOCK[[#This Row],[Costo total]]</f>
        <v>13.5</v>
      </c>
      <c r="X1390" s="75">
        <f>STOCK[[#This Row],[Ganancia Unitaria]]*STOCK[[#This Row],[Salidas]]</f>
        <v>54</v>
      </c>
      <c r="Y1390" s="75"/>
      <c r="Z1390" s="75"/>
      <c r="AA1390" s="54">
        <f>STOCK[[#This Row],[Costo total]]*STOCK[[#This Row],[Entradas]]</f>
        <v>33</v>
      </c>
      <c r="AB1390" s="54">
        <f>STOCK[[#This Row],[Stock Actual]]*STOCK[[#This Row],[Costo total]]</f>
        <v>-33</v>
      </c>
      <c r="AC1390" s="75"/>
    </row>
    <row r="1391" spans="1:29" s="53" customFormat="1" ht="50" customHeight="1">
      <c r="A1391" s="53" t="s">
        <v>2838</v>
      </c>
      <c r="B1391" s="76"/>
      <c r="C1391" s="75" t="s">
        <v>32</v>
      </c>
      <c r="D1391" s="75" t="s">
        <v>2835</v>
      </c>
      <c r="E1391" s="77" t="s">
        <v>2836</v>
      </c>
      <c r="F1391" s="75" t="s">
        <v>49</v>
      </c>
      <c r="G1391" s="75"/>
      <c r="H1391" s="75">
        <f>STOCK[[#This Row],[Precio Final]]</f>
        <v>30</v>
      </c>
      <c r="I1391" s="80">
        <f>STOCK[[#This Row],[Precio Venta Ideal (x1.5)]]</f>
        <v>24.75</v>
      </c>
      <c r="J1391" s="78">
        <v>2</v>
      </c>
      <c r="K1391" s="78">
        <f>SUMIFS(VENTAS[Cantidad],VENTAS[Código del producto Vendido],STOCK[[#This Row],[Code]])</f>
        <v>3</v>
      </c>
      <c r="L1391" s="78">
        <f>STOCK[[#This Row],[Entradas]]-STOCK[[#This Row],[Salidas]]</f>
        <v>-1</v>
      </c>
      <c r="M1391" s="75">
        <f>STOCK[[#This Row],[Precio Final]]*10%</f>
        <v>3</v>
      </c>
      <c r="N1391" s="75">
        <v>0</v>
      </c>
      <c r="O1391" s="75">
        <v>0</v>
      </c>
      <c r="P1391" s="75">
        <v>11.85</v>
      </c>
      <c r="Q1391" s="78">
        <v>0</v>
      </c>
      <c r="R1391" s="75">
        <v>0</v>
      </c>
      <c r="S1391" s="75">
        <v>1.65</v>
      </c>
      <c r="T1391" s="75">
        <f>STOCK[[#This Row],[Costo Unitario (USD)]]+STOCK[[#This Row],[Costo Envío (USD)]]+STOCK[[#This Row],[Comisión 10%]]</f>
        <v>16.5</v>
      </c>
      <c r="U1391" s="53">
        <f>STOCK[[#This Row],[Costo total]]*1.5</f>
        <v>24.75</v>
      </c>
      <c r="V1391" s="75">
        <v>30</v>
      </c>
      <c r="W1391" s="75">
        <f>STOCK[[#This Row],[Precio Final]]-STOCK[[#This Row],[Costo total]]</f>
        <v>13.5</v>
      </c>
      <c r="X1391" s="75">
        <f>STOCK[[#This Row],[Ganancia Unitaria]]*STOCK[[#This Row],[Salidas]]</f>
        <v>40.5</v>
      </c>
      <c r="Y1391" s="75"/>
      <c r="Z1391" s="75"/>
      <c r="AA1391" s="54">
        <f>STOCK[[#This Row],[Costo total]]*STOCK[[#This Row],[Entradas]]</f>
        <v>33</v>
      </c>
      <c r="AB1391" s="54">
        <f>STOCK[[#This Row],[Stock Actual]]*STOCK[[#This Row],[Costo total]]</f>
        <v>-16.5</v>
      </c>
      <c r="AC1391" s="75"/>
    </row>
    <row r="1392" spans="1:29" s="53" customFormat="1" ht="50" customHeight="1">
      <c r="A1392" s="53" t="s">
        <v>2839</v>
      </c>
      <c r="B1392" s="76"/>
      <c r="C1392" s="75" t="s">
        <v>32</v>
      </c>
      <c r="D1392" s="75" t="s">
        <v>2835</v>
      </c>
      <c r="E1392" s="77" t="s">
        <v>2836</v>
      </c>
      <c r="F1392" s="75" t="s">
        <v>46</v>
      </c>
      <c r="G1392" s="75"/>
      <c r="H1392" s="75">
        <f>STOCK[[#This Row],[Precio Final]]</f>
        <v>30</v>
      </c>
      <c r="I1392" s="80">
        <f>STOCK[[#This Row],[Precio Venta Ideal (x1.5)]]</f>
        <v>24.75</v>
      </c>
      <c r="J1392" s="78">
        <v>2</v>
      </c>
      <c r="K1392" s="78">
        <f>SUMIFS(VENTAS[Cantidad],VENTAS[Código del producto Vendido],STOCK[[#This Row],[Code]])</f>
        <v>3</v>
      </c>
      <c r="L1392" s="78">
        <f>STOCK[[#This Row],[Entradas]]-STOCK[[#This Row],[Salidas]]</f>
        <v>-1</v>
      </c>
      <c r="M1392" s="75">
        <f>STOCK[[#This Row],[Precio Final]]*10%</f>
        <v>3</v>
      </c>
      <c r="N1392" s="75">
        <v>0</v>
      </c>
      <c r="O1392" s="75">
        <v>0</v>
      </c>
      <c r="P1392" s="75">
        <v>11.85</v>
      </c>
      <c r="Q1392" s="78">
        <v>0</v>
      </c>
      <c r="R1392" s="75">
        <v>0</v>
      </c>
      <c r="S1392" s="75">
        <v>1.65</v>
      </c>
      <c r="T1392" s="75">
        <f>STOCK[[#This Row],[Costo Unitario (USD)]]+STOCK[[#This Row],[Costo Envío (USD)]]+STOCK[[#This Row],[Comisión 10%]]</f>
        <v>16.5</v>
      </c>
      <c r="U1392" s="53">
        <f>STOCK[[#This Row],[Costo total]]*1.5</f>
        <v>24.75</v>
      </c>
      <c r="V1392" s="75">
        <v>30</v>
      </c>
      <c r="W1392" s="75">
        <f>STOCK[[#This Row],[Precio Final]]-STOCK[[#This Row],[Costo total]]</f>
        <v>13.5</v>
      </c>
      <c r="X1392" s="75">
        <f>STOCK[[#This Row],[Ganancia Unitaria]]*STOCK[[#This Row],[Salidas]]</f>
        <v>40.5</v>
      </c>
      <c r="Y1392" s="75"/>
      <c r="Z1392" s="75"/>
      <c r="AA1392" s="54">
        <f>STOCK[[#This Row],[Costo total]]*STOCK[[#This Row],[Entradas]]</f>
        <v>33</v>
      </c>
      <c r="AB1392" s="54">
        <f>STOCK[[#This Row],[Stock Actual]]*STOCK[[#This Row],[Costo total]]</f>
        <v>-16.5</v>
      </c>
      <c r="AC1392" s="75"/>
    </row>
    <row r="1393" spans="1:29" s="53" customFormat="1" ht="50" customHeight="1">
      <c r="A1393" s="53" t="s">
        <v>2840</v>
      </c>
      <c r="B1393" s="76"/>
      <c r="C1393" s="75" t="s">
        <v>32</v>
      </c>
      <c r="D1393" s="75" t="s">
        <v>1190</v>
      </c>
      <c r="E1393" s="77" t="s">
        <v>2841</v>
      </c>
      <c r="F1393" s="75" t="s">
        <v>40</v>
      </c>
      <c r="G1393" s="75"/>
      <c r="H1393" s="75">
        <f>STOCK[[#This Row],[Precio Final]]</f>
        <v>18</v>
      </c>
      <c r="I1393" s="80">
        <f>STOCK[[#This Row],[Precio Venta Ideal (x1.5)]]</f>
        <v>12.900000000000002</v>
      </c>
      <c r="J1393" s="78">
        <v>3</v>
      </c>
      <c r="K1393" s="78">
        <f>SUMIFS(VENTAS[Cantidad],VENTAS[Código del producto Vendido],STOCK[[#This Row],[Code]])</f>
        <v>1</v>
      </c>
      <c r="L1393" s="78">
        <f>STOCK[[#This Row],[Entradas]]-STOCK[[#This Row],[Salidas]]</f>
        <v>2</v>
      </c>
      <c r="M1393" s="75">
        <f>STOCK[[#This Row],[Precio Final]]*10%</f>
        <v>1.8</v>
      </c>
      <c r="N1393" s="75">
        <v>0</v>
      </c>
      <c r="O1393" s="75">
        <v>0</v>
      </c>
      <c r="P1393" s="75">
        <v>5.15</v>
      </c>
      <c r="Q1393" s="78">
        <v>0</v>
      </c>
      <c r="R1393" s="75">
        <v>0</v>
      </c>
      <c r="S1393" s="75">
        <v>1.65</v>
      </c>
      <c r="T1393" s="75">
        <f>STOCK[[#This Row],[Costo Unitario (USD)]]+STOCK[[#This Row],[Costo Envío (USD)]]+STOCK[[#This Row],[Comisión 10%]]</f>
        <v>8.6000000000000014</v>
      </c>
      <c r="U1393" s="53">
        <f>STOCK[[#This Row],[Costo total]]*1.5</f>
        <v>12.900000000000002</v>
      </c>
      <c r="V1393" s="75">
        <v>18</v>
      </c>
      <c r="W1393" s="75">
        <f>STOCK[[#This Row],[Precio Final]]-STOCK[[#This Row],[Costo total]]</f>
        <v>9.3999999999999986</v>
      </c>
      <c r="X1393" s="75">
        <f>STOCK[[#This Row],[Ganancia Unitaria]]*STOCK[[#This Row],[Salidas]]</f>
        <v>9.3999999999999986</v>
      </c>
      <c r="Y1393" s="75"/>
      <c r="Z1393" s="75"/>
      <c r="AA1393" s="54">
        <f>STOCK[[#This Row],[Costo total]]*STOCK[[#This Row],[Entradas]]</f>
        <v>25.800000000000004</v>
      </c>
      <c r="AB1393" s="54">
        <f>STOCK[[#This Row],[Stock Actual]]*STOCK[[#This Row],[Costo total]]</f>
        <v>17.200000000000003</v>
      </c>
      <c r="AC1393" s="75"/>
    </row>
    <row r="1394" spans="1:29" s="53" customFormat="1" ht="50" customHeight="1">
      <c r="A1394" s="53" t="s">
        <v>2842</v>
      </c>
      <c r="B1394" s="76"/>
      <c r="C1394" s="75" t="s">
        <v>32</v>
      </c>
      <c r="D1394" s="75" t="s">
        <v>1190</v>
      </c>
      <c r="E1394" s="77" t="s">
        <v>2841</v>
      </c>
      <c r="F1394" s="75" t="s">
        <v>46</v>
      </c>
      <c r="G1394" s="75"/>
      <c r="H1394" s="75">
        <f>STOCK[[#This Row],[Precio Final]]</f>
        <v>18</v>
      </c>
      <c r="I1394" s="80">
        <f>STOCK[[#This Row],[Precio Venta Ideal (x1.5)]]</f>
        <v>12.900000000000002</v>
      </c>
      <c r="J1394" s="78">
        <v>3</v>
      </c>
      <c r="K1394" s="78">
        <f>SUMIFS(VENTAS[Cantidad],VENTAS[Código del producto Vendido],STOCK[[#This Row],[Code]])</f>
        <v>0</v>
      </c>
      <c r="L1394" s="78">
        <f>STOCK[[#This Row],[Entradas]]-STOCK[[#This Row],[Salidas]]</f>
        <v>3</v>
      </c>
      <c r="M1394" s="75">
        <f>STOCK[[#This Row],[Precio Final]]*10%</f>
        <v>1.8</v>
      </c>
      <c r="N1394" s="75">
        <v>0</v>
      </c>
      <c r="O1394" s="75">
        <v>0</v>
      </c>
      <c r="P1394" s="75">
        <v>5.15</v>
      </c>
      <c r="Q1394" s="78">
        <v>0</v>
      </c>
      <c r="R1394" s="75">
        <v>0</v>
      </c>
      <c r="S1394" s="75">
        <v>1.65</v>
      </c>
      <c r="T1394" s="75">
        <f>STOCK[[#This Row],[Costo Unitario (USD)]]+STOCK[[#This Row],[Costo Envío (USD)]]+STOCK[[#This Row],[Comisión 10%]]</f>
        <v>8.6000000000000014</v>
      </c>
      <c r="U1394" s="53">
        <f>STOCK[[#This Row],[Costo total]]*1.5</f>
        <v>12.900000000000002</v>
      </c>
      <c r="V1394" s="75">
        <v>18</v>
      </c>
      <c r="W1394" s="75">
        <f>STOCK[[#This Row],[Precio Final]]-STOCK[[#This Row],[Costo total]]</f>
        <v>9.3999999999999986</v>
      </c>
      <c r="X1394" s="75">
        <f>STOCK[[#This Row],[Ganancia Unitaria]]*STOCK[[#This Row],[Salidas]]</f>
        <v>0</v>
      </c>
      <c r="Y1394" s="75"/>
      <c r="Z1394" s="75"/>
      <c r="AA1394" s="54">
        <f>STOCK[[#This Row],[Costo total]]*STOCK[[#This Row],[Entradas]]</f>
        <v>25.800000000000004</v>
      </c>
      <c r="AB1394" s="54">
        <f>STOCK[[#This Row],[Stock Actual]]*STOCK[[#This Row],[Costo total]]</f>
        <v>25.800000000000004</v>
      </c>
      <c r="AC1394" s="75"/>
    </row>
    <row r="1395" spans="1:29" s="53" customFormat="1" ht="50" customHeight="1">
      <c r="A1395" s="53" t="s">
        <v>2843</v>
      </c>
      <c r="B1395" s="76"/>
      <c r="C1395" s="75" t="s">
        <v>32</v>
      </c>
      <c r="D1395" s="75" t="s">
        <v>2112</v>
      </c>
      <c r="E1395" s="77" t="s">
        <v>2844</v>
      </c>
      <c r="F1395" s="75" t="s">
        <v>2818</v>
      </c>
      <c r="G1395" s="75"/>
      <c r="H1395" s="75">
        <f>STOCK[[#This Row],[Precio Final]]</f>
        <v>30</v>
      </c>
      <c r="I1395" s="80">
        <f>STOCK[[#This Row],[Precio Venta Ideal (x1.5)]]</f>
        <v>27.884999999999998</v>
      </c>
      <c r="J1395" s="78">
        <v>2</v>
      </c>
      <c r="K1395" s="78">
        <f>SUMIFS(VENTAS[Cantidad],VENTAS[Código del producto Vendido],STOCK[[#This Row],[Code]])</f>
        <v>3</v>
      </c>
      <c r="L1395" s="78">
        <f>STOCK[[#This Row],[Entradas]]-STOCK[[#This Row],[Salidas]]</f>
        <v>-1</v>
      </c>
      <c r="M1395" s="75">
        <f>STOCK[[#This Row],[Precio Final]]*10%</f>
        <v>3</v>
      </c>
      <c r="N1395" s="75">
        <v>0</v>
      </c>
      <c r="O1395" s="75">
        <v>0</v>
      </c>
      <c r="P1395" s="75">
        <v>13.94</v>
      </c>
      <c r="Q1395" s="78">
        <v>0</v>
      </c>
      <c r="R1395" s="75">
        <v>0</v>
      </c>
      <c r="S1395" s="75">
        <v>1.65</v>
      </c>
      <c r="T1395" s="75">
        <f>STOCK[[#This Row],[Costo Unitario (USD)]]+STOCK[[#This Row],[Costo Envío (USD)]]+STOCK[[#This Row],[Comisión 10%]]</f>
        <v>18.59</v>
      </c>
      <c r="U1395" s="53">
        <f>STOCK[[#This Row],[Costo total]]*1.5</f>
        <v>27.884999999999998</v>
      </c>
      <c r="V1395" s="75">
        <v>30</v>
      </c>
      <c r="W1395" s="75">
        <f>STOCK[[#This Row],[Precio Final]]-STOCK[[#This Row],[Costo total]]</f>
        <v>11.41</v>
      </c>
      <c r="X1395" s="75">
        <f>STOCK[[#This Row],[Ganancia Unitaria]]*STOCK[[#This Row],[Salidas]]</f>
        <v>34.230000000000004</v>
      </c>
      <c r="Y1395" s="75"/>
      <c r="Z1395" s="75"/>
      <c r="AA1395" s="54">
        <f>STOCK[[#This Row],[Costo total]]*STOCK[[#This Row],[Entradas]]</f>
        <v>37.18</v>
      </c>
      <c r="AB1395" s="54">
        <f>STOCK[[#This Row],[Stock Actual]]*STOCK[[#This Row],[Costo total]]</f>
        <v>-18.59</v>
      </c>
      <c r="AC1395" s="75"/>
    </row>
    <row r="1396" spans="1:29" s="53" customFormat="1" ht="50" customHeight="1">
      <c r="A1396" s="53" t="s">
        <v>2845</v>
      </c>
      <c r="B1396" s="76"/>
      <c r="C1396" s="75" t="s">
        <v>32</v>
      </c>
      <c r="D1396" s="75" t="s">
        <v>2846</v>
      </c>
      <c r="E1396" s="77" t="s">
        <v>2847</v>
      </c>
      <c r="F1396" s="75" t="s">
        <v>40</v>
      </c>
      <c r="G1396" s="75"/>
      <c r="H1396" s="75">
        <f>STOCK[[#This Row],[Precio Final]]</f>
        <v>22</v>
      </c>
      <c r="I1396" s="80">
        <f>STOCK[[#This Row],[Precio Venta Ideal (x1.5)]]</f>
        <v>19.079999999999998</v>
      </c>
      <c r="J1396" s="78">
        <v>2</v>
      </c>
      <c r="K1396" s="78">
        <f>SUMIFS(VENTAS[Cantidad],VENTAS[Código del producto Vendido],STOCK[[#This Row],[Code]])</f>
        <v>4</v>
      </c>
      <c r="L1396" s="78">
        <f>STOCK[[#This Row],[Entradas]]-STOCK[[#This Row],[Salidas]]</f>
        <v>-2</v>
      </c>
      <c r="M1396" s="75">
        <f>STOCK[[#This Row],[Precio Final]]*10%</f>
        <v>2.2000000000000002</v>
      </c>
      <c r="N1396" s="75">
        <v>0</v>
      </c>
      <c r="O1396" s="75">
        <v>0</v>
      </c>
      <c r="P1396" s="75">
        <v>8.8699999999999992</v>
      </c>
      <c r="Q1396" s="78">
        <v>0</v>
      </c>
      <c r="R1396" s="75">
        <v>0</v>
      </c>
      <c r="S1396" s="75">
        <v>1.65</v>
      </c>
      <c r="T1396" s="75">
        <f>STOCK[[#This Row],[Costo Unitario (USD)]]+STOCK[[#This Row],[Costo Envío (USD)]]+STOCK[[#This Row],[Comisión 10%]]</f>
        <v>12.719999999999999</v>
      </c>
      <c r="U1396" s="53">
        <f>STOCK[[#This Row],[Costo total]]*1.5</f>
        <v>19.079999999999998</v>
      </c>
      <c r="V1396" s="75">
        <v>22</v>
      </c>
      <c r="W1396" s="75">
        <f>STOCK[[#This Row],[Precio Final]]-STOCK[[#This Row],[Costo total]]</f>
        <v>9.2800000000000011</v>
      </c>
      <c r="X1396" s="75">
        <f>STOCK[[#This Row],[Ganancia Unitaria]]*STOCK[[#This Row],[Salidas]]</f>
        <v>37.120000000000005</v>
      </c>
      <c r="Y1396" s="75"/>
      <c r="Z1396" s="75"/>
      <c r="AA1396" s="54">
        <f>STOCK[[#This Row],[Costo total]]*STOCK[[#This Row],[Entradas]]</f>
        <v>25.439999999999998</v>
      </c>
      <c r="AB1396" s="54">
        <f>STOCK[[#This Row],[Stock Actual]]*STOCK[[#This Row],[Costo total]]</f>
        <v>-25.439999999999998</v>
      </c>
      <c r="AC1396" s="75"/>
    </row>
    <row r="1397" spans="1:29" s="53" customFormat="1" ht="50" customHeight="1">
      <c r="A1397" s="53" t="s">
        <v>2848</v>
      </c>
      <c r="B1397" s="76"/>
      <c r="C1397" s="75" t="s">
        <v>32</v>
      </c>
      <c r="D1397" s="75" t="s">
        <v>2846</v>
      </c>
      <c r="E1397" s="77" t="s">
        <v>2847</v>
      </c>
      <c r="F1397" s="75" t="s">
        <v>1046</v>
      </c>
      <c r="G1397" s="75"/>
      <c r="H1397" s="75">
        <f>STOCK[[#This Row],[Precio Final]]</f>
        <v>22</v>
      </c>
      <c r="I1397" s="80">
        <f>STOCK[[#This Row],[Precio Venta Ideal (x1.5)]]</f>
        <v>19.079999999999998</v>
      </c>
      <c r="J1397" s="78">
        <v>2</v>
      </c>
      <c r="K1397" s="78">
        <f>SUMIFS(VENTAS[Cantidad],VENTAS[Código del producto Vendido],STOCK[[#This Row],[Code]])</f>
        <v>1</v>
      </c>
      <c r="L1397" s="78">
        <f>STOCK[[#This Row],[Entradas]]-STOCK[[#This Row],[Salidas]]</f>
        <v>1</v>
      </c>
      <c r="M1397" s="75">
        <f>STOCK[[#This Row],[Precio Final]]*10%</f>
        <v>2.2000000000000002</v>
      </c>
      <c r="N1397" s="75">
        <v>0</v>
      </c>
      <c r="O1397" s="75">
        <v>0</v>
      </c>
      <c r="P1397" s="75">
        <v>8.8699999999999992</v>
      </c>
      <c r="Q1397" s="78">
        <v>0</v>
      </c>
      <c r="R1397" s="75">
        <v>0</v>
      </c>
      <c r="S1397" s="75">
        <v>1.65</v>
      </c>
      <c r="T1397" s="75">
        <f>STOCK[[#This Row],[Costo Unitario (USD)]]+STOCK[[#This Row],[Costo Envío (USD)]]+STOCK[[#This Row],[Comisión 10%]]</f>
        <v>12.719999999999999</v>
      </c>
      <c r="U1397" s="53">
        <f>STOCK[[#This Row],[Costo total]]*1.5</f>
        <v>19.079999999999998</v>
      </c>
      <c r="V1397" s="75">
        <v>22</v>
      </c>
      <c r="W1397" s="75">
        <f>STOCK[[#This Row],[Precio Final]]-STOCK[[#This Row],[Costo total]]</f>
        <v>9.2800000000000011</v>
      </c>
      <c r="X1397" s="75">
        <f>STOCK[[#This Row],[Ganancia Unitaria]]*STOCK[[#This Row],[Salidas]]</f>
        <v>9.2800000000000011</v>
      </c>
      <c r="Y1397" s="75"/>
      <c r="Z1397" s="75"/>
      <c r="AA1397" s="54">
        <f>STOCK[[#This Row],[Costo total]]*STOCK[[#This Row],[Entradas]]</f>
        <v>25.439999999999998</v>
      </c>
      <c r="AB1397" s="54">
        <f>STOCK[[#This Row],[Stock Actual]]*STOCK[[#This Row],[Costo total]]</f>
        <v>12.719999999999999</v>
      </c>
      <c r="AC1397" s="75"/>
    </row>
    <row r="1398" spans="1:29" s="53" customFormat="1" ht="50" customHeight="1">
      <c r="A1398" s="53" t="s">
        <v>2849</v>
      </c>
      <c r="B1398" s="76"/>
      <c r="C1398" s="75" t="s">
        <v>32</v>
      </c>
      <c r="D1398" s="75" t="s">
        <v>2846</v>
      </c>
      <c r="E1398" s="77" t="s">
        <v>2847</v>
      </c>
      <c r="F1398" s="75" t="s">
        <v>49</v>
      </c>
      <c r="G1398" s="75"/>
      <c r="H1398" s="75">
        <f>STOCK[[#This Row],[Precio Final]]</f>
        <v>22</v>
      </c>
      <c r="I1398" s="80">
        <f>STOCK[[#This Row],[Precio Venta Ideal (x1.5)]]</f>
        <v>19.079999999999998</v>
      </c>
      <c r="J1398" s="78">
        <v>3</v>
      </c>
      <c r="K1398" s="78">
        <f>SUMIFS(VENTAS[Cantidad],VENTAS[Código del producto Vendido],STOCK[[#This Row],[Code]])</f>
        <v>5</v>
      </c>
      <c r="L1398" s="78">
        <f>STOCK[[#This Row],[Entradas]]-STOCK[[#This Row],[Salidas]]</f>
        <v>-2</v>
      </c>
      <c r="M1398" s="75">
        <f>STOCK[[#This Row],[Precio Final]]*10%</f>
        <v>2.2000000000000002</v>
      </c>
      <c r="N1398" s="75">
        <v>0</v>
      </c>
      <c r="O1398" s="75">
        <v>0</v>
      </c>
      <c r="P1398" s="75">
        <v>8.8699999999999992</v>
      </c>
      <c r="Q1398" s="78">
        <v>0</v>
      </c>
      <c r="R1398" s="75">
        <v>0</v>
      </c>
      <c r="S1398" s="75">
        <v>1.65</v>
      </c>
      <c r="T1398" s="75">
        <f>STOCK[[#This Row],[Costo Unitario (USD)]]+STOCK[[#This Row],[Costo Envío (USD)]]+STOCK[[#This Row],[Comisión 10%]]</f>
        <v>12.719999999999999</v>
      </c>
      <c r="U1398" s="53">
        <f>STOCK[[#This Row],[Costo total]]*1.5</f>
        <v>19.079999999999998</v>
      </c>
      <c r="V1398" s="75">
        <v>22</v>
      </c>
      <c r="W1398" s="75">
        <f>STOCK[[#This Row],[Precio Final]]-STOCK[[#This Row],[Costo total]]</f>
        <v>9.2800000000000011</v>
      </c>
      <c r="X1398" s="75">
        <f>STOCK[[#This Row],[Ganancia Unitaria]]*STOCK[[#This Row],[Salidas]]</f>
        <v>46.400000000000006</v>
      </c>
      <c r="Y1398" s="75"/>
      <c r="Z1398" s="75"/>
      <c r="AA1398" s="54">
        <f>STOCK[[#This Row],[Costo total]]*STOCK[[#This Row],[Entradas]]</f>
        <v>38.159999999999997</v>
      </c>
      <c r="AB1398" s="54">
        <f>STOCK[[#This Row],[Stock Actual]]*STOCK[[#This Row],[Costo total]]</f>
        <v>-25.439999999999998</v>
      </c>
      <c r="AC1398" s="75"/>
    </row>
    <row r="1399" spans="1:29" s="53" customFormat="1" ht="50" customHeight="1">
      <c r="A1399" s="53" t="s">
        <v>2850</v>
      </c>
      <c r="B1399" s="76"/>
      <c r="C1399" s="75" t="s">
        <v>32</v>
      </c>
      <c r="D1399" s="75" t="s">
        <v>2846</v>
      </c>
      <c r="E1399" s="77" t="s">
        <v>2847</v>
      </c>
      <c r="F1399" s="75" t="s">
        <v>46</v>
      </c>
      <c r="G1399" s="75"/>
      <c r="H1399" s="75">
        <f>STOCK[[#This Row],[Precio Final]]</f>
        <v>22</v>
      </c>
      <c r="I1399" s="80">
        <f>STOCK[[#This Row],[Precio Venta Ideal (x1.5)]]</f>
        <v>19.079999999999998</v>
      </c>
      <c r="J1399" s="78">
        <v>3</v>
      </c>
      <c r="K1399" s="78">
        <f>SUMIFS(VENTAS[Cantidad],VENTAS[Código del producto Vendido],STOCK[[#This Row],[Code]])</f>
        <v>4</v>
      </c>
      <c r="L1399" s="78">
        <f>STOCK[[#This Row],[Entradas]]-STOCK[[#This Row],[Salidas]]</f>
        <v>-1</v>
      </c>
      <c r="M1399" s="75">
        <f>STOCK[[#This Row],[Precio Final]]*10%</f>
        <v>2.2000000000000002</v>
      </c>
      <c r="N1399" s="75">
        <v>0</v>
      </c>
      <c r="O1399" s="75">
        <v>0</v>
      </c>
      <c r="P1399" s="75">
        <v>8.8699999999999992</v>
      </c>
      <c r="Q1399" s="78">
        <v>0</v>
      </c>
      <c r="R1399" s="75">
        <v>0</v>
      </c>
      <c r="S1399" s="75">
        <v>1.65</v>
      </c>
      <c r="T1399" s="75">
        <f>STOCK[[#This Row],[Costo Unitario (USD)]]+STOCK[[#This Row],[Costo Envío (USD)]]+STOCK[[#This Row],[Comisión 10%]]</f>
        <v>12.719999999999999</v>
      </c>
      <c r="U1399" s="53">
        <f>STOCK[[#This Row],[Costo total]]*1.5</f>
        <v>19.079999999999998</v>
      </c>
      <c r="V1399" s="75">
        <v>22</v>
      </c>
      <c r="W1399" s="75">
        <f>STOCK[[#This Row],[Precio Final]]-STOCK[[#This Row],[Costo total]]</f>
        <v>9.2800000000000011</v>
      </c>
      <c r="X1399" s="75">
        <f>STOCK[[#This Row],[Ganancia Unitaria]]*STOCK[[#This Row],[Salidas]]</f>
        <v>37.120000000000005</v>
      </c>
      <c r="Y1399" s="75"/>
      <c r="Z1399" s="75"/>
      <c r="AA1399" s="54">
        <f>STOCK[[#This Row],[Costo total]]*STOCK[[#This Row],[Entradas]]</f>
        <v>38.159999999999997</v>
      </c>
      <c r="AB1399" s="54">
        <f>STOCK[[#This Row],[Stock Actual]]*STOCK[[#This Row],[Costo total]]</f>
        <v>-12.719999999999999</v>
      </c>
      <c r="AC1399" s="75"/>
    </row>
    <row r="1400" spans="1:29" s="53" customFormat="1" ht="50" customHeight="1">
      <c r="A1400" s="53" t="s">
        <v>2851</v>
      </c>
      <c r="B1400" s="76"/>
      <c r="C1400" s="75" t="s">
        <v>32</v>
      </c>
      <c r="D1400" s="75" t="s">
        <v>1190</v>
      </c>
      <c r="E1400" s="77" t="s">
        <v>2852</v>
      </c>
      <c r="F1400" s="75" t="s">
        <v>40</v>
      </c>
      <c r="G1400" s="75"/>
      <c r="H1400" s="75">
        <f>STOCK[[#This Row],[Precio Final]]</f>
        <v>18</v>
      </c>
      <c r="I1400" s="80">
        <f>STOCK[[#This Row],[Precio Venta Ideal (x1.5)]]</f>
        <v>15.780000000000001</v>
      </c>
      <c r="J1400" s="78">
        <v>2</v>
      </c>
      <c r="K1400" s="78">
        <f>SUMIFS(VENTAS[Cantidad],VENTAS[Código del producto Vendido],STOCK[[#This Row],[Code]])</f>
        <v>0</v>
      </c>
      <c r="L1400" s="78">
        <f>STOCK[[#This Row],[Entradas]]-STOCK[[#This Row],[Salidas]]</f>
        <v>2</v>
      </c>
      <c r="M1400" s="75">
        <f>STOCK[[#This Row],[Precio Final]]*10%</f>
        <v>1.8</v>
      </c>
      <c r="N1400" s="75">
        <v>0</v>
      </c>
      <c r="O1400" s="75">
        <v>0</v>
      </c>
      <c r="P1400" s="75">
        <v>7.07</v>
      </c>
      <c r="Q1400" s="78">
        <v>0</v>
      </c>
      <c r="R1400" s="75">
        <v>0</v>
      </c>
      <c r="S1400" s="75">
        <v>1.65</v>
      </c>
      <c r="T1400" s="75">
        <f>STOCK[[#This Row],[Costo Unitario (USD)]]+STOCK[[#This Row],[Costo Envío (USD)]]+STOCK[[#This Row],[Comisión 10%]]</f>
        <v>10.520000000000001</v>
      </c>
      <c r="U1400" s="53">
        <f>STOCK[[#This Row],[Costo total]]*1.5</f>
        <v>15.780000000000001</v>
      </c>
      <c r="V1400" s="75">
        <v>18</v>
      </c>
      <c r="W1400" s="75">
        <f>STOCK[[#This Row],[Precio Final]]-STOCK[[#This Row],[Costo total]]</f>
        <v>7.4799999999999986</v>
      </c>
      <c r="X1400" s="75">
        <f>STOCK[[#This Row],[Ganancia Unitaria]]*STOCK[[#This Row],[Salidas]]</f>
        <v>0</v>
      </c>
      <c r="Y1400" s="75"/>
      <c r="Z1400" s="75"/>
      <c r="AA1400" s="54">
        <f>STOCK[[#This Row],[Costo total]]*STOCK[[#This Row],[Entradas]]</f>
        <v>21.040000000000003</v>
      </c>
      <c r="AB1400" s="54">
        <f>STOCK[[#This Row],[Stock Actual]]*STOCK[[#This Row],[Costo total]]</f>
        <v>21.040000000000003</v>
      </c>
      <c r="AC1400" s="75"/>
    </row>
    <row r="1401" spans="1:29" s="53" customFormat="1" ht="50" customHeight="1">
      <c r="A1401" s="53" t="s">
        <v>2853</v>
      </c>
      <c r="B1401" s="76"/>
      <c r="C1401" s="75" t="s">
        <v>32</v>
      </c>
      <c r="D1401" s="75" t="s">
        <v>1190</v>
      </c>
      <c r="E1401" s="77" t="s">
        <v>2852</v>
      </c>
      <c r="F1401" s="75" t="s">
        <v>62</v>
      </c>
      <c r="G1401" s="75"/>
      <c r="H1401" s="75">
        <f>STOCK[[#This Row],[Precio Final]]</f>
        <v>18</v>
      </c>
      <c r="I1401" s="80">
        <f>STOCK[[#This Row],[Precio Venta Ideal (x1.5)]]</f>
        <v>15.780000000000001</v>
      </c>
      <c r="J1401" s="78">
        <v>2</v>
      </c>
      <c r="K1401" s="78">
        <f>SUMIFS(VENTAS[Cantidad],VENTAS[Código del producto Vendido],STOCK[[#This Row],[Code]])</f>
        <v>0</v>
      </c>
      <c r="L1401" s="78">
        <f>STOCK[[#This Row],[Entradas]]-STOCK[[#This Row],[Salidas]]</f>
        <v>2</v>
      </c>
      <c r="M1401" s="75">
        <f>STOCK[[#This Row],[Precio Final]]*10%</f>
        <v>1.8</v>
      </c>
      <c r="N1401" s="75">
        <v>0</v>
      </c>
      <c r="O1401" s="75">
        <v>0</v>
      </c>
      <c r="P1401" s="75">
        <v>7.07</v>
      </c>
      <c r="Q1401" s="78">
        <v>0</v>
      </c>
      <c r="R1401" s="75">
        <v>0</v>
      </c>
      <c r="S1401" s="75">
        <v>1.65</v>
      </c>
      <c r="T1401" s="75">
        <f>STOCK[[#This Row],[Costo Unitario (USD)]]+STOCK[[#This Row],[Costo Envío (USD)]]+STOCK[[#This Row],[Comisión 10%]]</f>
        <v>10.520000000000001</v>
      </c>
      <c r="U1401" s="53">
        <f>STOCK[[#This Row],[Costo total]]*1.5</f>
        <v>15.780000000000001</v>
      </c>
      <c r="V1401" s="75">
        <v>18</v>
      </c>
      <c r="W1401" s="75">
        <f>STOCK[[#This Row],[Precio Final]]-STOCK[[#This Row],[Costo total]]</f>
        <v>7.4799999999999986</v>
      </c>
      <c r="X1401" s="75">
        <f>STOCK[[#This Row],[Ganancia Unitaria]]*STOCK[[#This Row],[Salidas]]</f>
        <v>0</v>
      </c>
      <c r="Y1401" s="75"/>
      <c r="Z1401" s="75"/>
      <c r="AA1401" s="54">
        <f>STOCK[[#This Row],[Costo total]]*STOCK[[#This Row],[Entradas]]</f>
        <v>21.040000000000003</v>
      </c>
      <c r="AB1401" s="54">
        <f>STOCK[[#This Row],[Stock Actual]]*STOCK[[#This Row],[Costo total]]</f>
        <v>21.040000000000003</v>
      </c>
      <c r="AC1401" s="75"/>
    </row>
    <row r="1402" spans="1:29" s="53" customFormat="1" ht="50" customHeight="1">
      <c r="A1402" s="53" t="s">
        <v>2854</v>
      </c>
      <c r="B1402" s="76"/>
      <c r="C1402" s="75" t="s">
        <v>32</v>
      </c>
      <c r="D1402" s="75" t="s">
        <v>1190</v>
      </c>
      <c r="E1402" s="77" t="s">
        <v>2852</v>
      </c>
      <c r="F1402" s="75" t="s">
        <v>49</v>
      </c>
      <c r="G1402" s="75"/>
      <c r="H1402" s="75">
        <f>STOCK[[#This Row],[Precio Final]]</f>
        <v>18</v>
      </c>
      <c r="I1402" s="80">
        <f>STOCK[[#This Row],[Precio Venta Ideal (x1.5)]]</f>
        <v>15.780000000000001</v>
      </c>
      <c r="J1402" s="78">
        <v>2</v>
      </c>
      <c r="K1402" s="78">
        <f>SUMIFS(VENTAS[Cantidad],VENTAS[Código del producto Vendido],STOCK[[#This Row],[Code]])</f>
        <v>1</v>
      </c>
      <c r="L1402" s="78">
        <f>STOCK[[#This Row],[Entradas]]-STOCK[[#This Row],[Salidas]]</f>
        <v>1</v>
      </c>
      <c r="M1402" s="75">
        <f>STOCK[[#This Row],[Precio Final]]*10%</f>
        <v>1.8</v>
      </c>
      <c r="N1402" s="75">
        <v>0</v>
      </c>
      <c r="O1402" s="75">
        <v>0</v>
      </c>
      <c r="P1402" s="75">
        <v>7.07</v>
      </c>
      <c r="Q1402" s="78">
        <v>0</v>
      </c>
      <c r="R1402" s="75">
        <v>0</v>
      </c>
      <c r="S1402" s="75">
        <v>1.65</v>
      </c>
      <c r="T1402" s="75">
        <f>STOCK[[#This Row],[Costo Unitario (USD)]]+STOCK[[#This Row],[Costo Envío (USD)]]+STOCK[[#This Row],[Comisión 10%]]</f>
        <v>10.520000000000001</v>
      </c>
      <c r="U1402" s="53">
        <f>STOCK[[#This Row],[Costo total]]*1.5</f>
        <v>15.780000000000001</v>
      </c>
      <c r="V1402" s="75">
        <v>18</v>
      </c>
      <c r="W1402" s="75">
        <f>STOCK[[#This Row],[Precio Final]]-STOCK[[#This Row],[Costo total]]</f>
        <v>7.4799999999999986</v>
      </c>
      <c r="X1402" s="75">
        <f>STOCK[[#This Row],[Ganancia Unitaria]]*STOCK[[#This Row],[Salidas]]</f>
        <v>7.4799999999999986</v>
      </c>
      <c r="Y1402" s="75"/>
      <c r="Z1402" s="75"/>
      <c r="AA1402" s="54">
        <f>STOCK[[#This Row],[Costo total]]*STOCK[[#This Row],[Entradas]]</f>
        <v>21.040000000000003</v>
      </c>
      <c r="AB1402" s="54">
        <f>STOCK[[#This Row],[Stock Actual]]*STOCK[[#This Row],[Costo total]]</f>
        <v>10.520000000000001</v>
      </c>
      <c r="AC1402" s="75"/>
    </row>
    <row r="1403" spans="1:29" s="53" customFormat="1" ht="50" customHeight="1">
      <c r="A1403" s="53" t="s">
        <v>2855</v>
      </c>
      <c r="B1403" s="76"/>
      <c r="C1403" s="75" t="s">
        <v>32</v>
      </c>
      <c r="D1403" s="75" t="s">
        <v>1190</v>
      </c>
      <c r="E1403" s="77" t="s">
        <v>2856</v>
      </c>
      <c r="F1403" s="75" t="s">
        <v>40</v>
      </c>
      <c r="G1403" s="75"/>
      <c r="H1403" s="75">
        <f>STOCK[[#This Row],[Precio Final]]</f>
        <v>18</v>
      </c>
      <c r="I1403" s="80">
        <f>STOCK[[#This Row],[Precio Venta Ideal (x1.5)]]</f>
        <v>16.545000000000002</v>
      </c>
      <c r="J1403" s="78">
        <v>2</v>
      </c>
      <c r="K1403" s="78">
        <f>SUMIFS(VENTAS[Cantidad],VENTAS[Código del producto Vendido],STOCK[[#This Row],[Code]])</f>
        <v>0</v>
      </c>
      <c r="L1403" s="78">
        <f>STOCK[[#This Row],[Entradas]]-STOCK[[#This Row],[Salidas]]</f>
        <v>2</v>
      </c>
      <c r="M1403" s="75">
        <f>STOCK[[#This Row],[Precio Final]]*10%</f>
        <v>1.8</v>
      </c>
      <c r="N1403" s="75">
        <v>0</v>
      </c>
      <c r="O1403" s="75">
        <v>0</v>
      </c>
      <c r="P1403" s="75">
        <v>7.58</v>
      </c>
      <c r="Q1403" s="78">
        <v>0</v>
      </c>
      <c r="R1403" s="75">
        <v>0</v>
      </c>
      <c r="S1403" s="75">
        <v>1.65</v>
      </c>
      <c r="T1403" s="75">
        <f>STOCK[[#This Row],[Costo Unitario (USD)]]+STOCK[[#This Row],[Costo Envío (USD)]]+STOCK[[#This Row],[Comisión 10%]]</f>
        <v>11.030000000000001</v>
      </c>
      <c r="U1403" s="53">
        <f>STOCK[[#This Row],[Costo total]]*1.5</f>
        <v>16.545000000000002</v>
      </c>
      <c r="V1403" s="75">
        <v>18</v>
      </c>
      <c r="W1403" s="75">
        <f>STOCK[[#This Row],[Precio Final]]-STOCK[[#This Row],[Costo total]]</f>
        <v>6.9699999999999989</v>
      </c>
      <c r="X1403" s="75">
        <f>STOCK[[#This Row],[Ganancia Unitaria]]*STOCK[[#This Row],[Salidas]]</f>
        <v>0</v>
      </c>
      <c r="Y1403" s="75"/>
      <c r="Z1403" s="75"/>
      <c r="AA1403" s="54">
        <f>STOCK[[#This Row],[Costo total]]*STOCK[[#This Row],[Entradas]]</f>
        <v>22.060000000000002</v>
      </c>
      <c r="AB1403" s="54">
        <f>STOCK[[#This Row],[Stock Actual]]*STOCK[[#This Row],[Costo total]]</f>
        <v>22.060000000000002</v>
      </c>
      <c r="AC1403" s="75"/>
    </row>
    <row r="1404" spans="1:29" s="53" customFormat="1" ht="50" customHeight="1">
      <c r="A1404" s="53" t="s">
        <v>2857</v>
      </c>
      <c r="B1404" s="76"/>
      <c r="C1404" s="75" t="s">
        <v>32</v>
      </c>
      <c r="D1404" s="75" t="s">
        <v>1190</v>
      </c>
      <c r="E1404" s="77" t="s">
        <v>2856</v>
      </c>
      <c r="F1404" s="75" t="s">
        <v>46</v>
      </c>
      <c r="G1404" s="75"/>
      <c r="H1404" s="75">
        <f>STOCK[[#This Row],[Precio Final]]</f>
        <v>18</v>
      </c>
      <c r="I1404" s="80">
        <f>STOCK[[#This Row],[Precio Venta Ideal (x1.5)]]</f>
        <v>16.545000000000002</v>
      </c>
      <c r="J1404" s="78">
        <v>1</v>
      </c>
      <c r="K1404" s="78">
        <f>SUMIFS(VENTAS[Cantidad],VENTAS[Código del producto Vendido],STOCK[[#This Row],[Code]])</f>
        <v>1</v>
      </c>
      <c r="L1404" s="78">
        <f>STOCK[[#This Row],[Entradas]]-STOCK[[#This Row],[Salidas]]</f>
        <v>0</v>
      </c>
      <c r="M1404" s="75">
        <f>STOCK[[#This Row],[Precio Final]]*10%</f>
        <v>1.8</v>
      </c>
      <c r="N1404" s="75">
        <v>0</v>
      </c>
      <c r="O1404" s="75">
        <v>0</v>
      </c>
      <c r="P1404" s="75">
        <v>7.58</v>
      </c>
      <c r="Q1404" s="78">
        <v>0</v>
      </c>
      <c r="R1404" s="75">
        <v>0</v>
      </c>
      <c r="S1404" s="75">
        <v>1.65</v>
      </c>
      <c r="T1404" s="75">
        <f>STOCK[[#This Row],[Costo Unitario (USD)]]+STOCK[[#This Row],[Costo Envío (USD)]]+STOCK[[#This Row],[Comisión 10%]]</f>
        <v>11.030000000000001</v>
      </c>
      <c r="U1404" s="53">
        <f>STOCK[[#This Row],[Costo total]]*1.5</f>
        <v>16.545000000000002</v>
      </c>
      <c r="V1404" s="75">
        <v>18</v>
      </c>
      <c r="W1404" s="75">
        <f>STOCK[[#This Row],[Precio Final]]-STOCK[[#This Row],[Costo total]]</f>
        <v>6.9699999999999989</v>
      </c>
      <c r="X1404" s="75">
        <f>STOCK[[#This Row],[Ganancia Unitaria]]*STOCK[[#This Row],[Salidas]]</f>
        <v>6.9699999999999989</v>
      </c>
      <c r="Y1404" s="75"/>
      <c r="Z1404" s="75"/>
      <c r="AA1404" s="54">
        <f>STOCK[[#This Row],[Costo total]]*STOCK[[#This Row],[Entradas]]</f>
        <v>11.030000000000001</v>
      </c>
      <c r="AB1404" s="54">
        <f>STOCK[[#This Row],[Stock Actual]]*STOCK[[#This Row],[Costo total]]</f>
        <v>0</v>
      </c>
      <c r="AC1404" s="75"/>
    </row>
    <row r="1405" spans="1:29" s="53" customFormat="1" ht="50" customHeight="1">
      <c r="A1405" s="53" t="s">
        <v>2858</v>
      </c>
      <c r="B1405" s="76"/>
      <c r="C1405" s="75" t="s">
        <v>32</v>
      </c>
      <c r="D1405" s="75" t="s">
        <v>2112</v>
      </c>
      <c r="E1405" s="77" t="s">
        <v>2859</v>
      </c>
      <c r="F1405" s="75" t="s">
        <v>2823</v>
      </c>
      <c r="G1405" s="75"/>
      <c r="H1405" s="75">
        <f>STOCK[[#This Row],[Precio Final]]</f>
        <v>25</v>
      </c>
      <c r="I1405" s="80">
        <f>STOCK[[#This Row],[Precio Venta Ideal (x1.5)]]</f>
        <v>26.025000000000002</v>
      </c>
      <c r="J1405" s="78">
        <v>7</v>
      </c>
      <c r="K1405" s="78">
        <f>SUMIFS(VENTAS[Cantidad],VENTAS[Código del producto Vendido],STOCK[[#This Row],[Code]])</f>
        <v>9</v>
      </c>
      <c r="L1405" s="78">
        <f>STOCK[[#This Row],[Entradas]]-STOCK[[#This Row],[Salidas]]</f>
        <v>-2</v>
      </c>
      <c r="M1405" s="75">
        <f>STOCK[[#This Row],[Precio Final]]*10%</f>
        <v>2.5</v>
      </c>
      <c r="N1405" s="75">
        <v>0</v>
      </c>
      <c r="O1405" s="75">
        <v>0</v>
      </c>
      <c r="P1405" s="75">
        <v>13.2</v>
      </c>
      <c r="Q1405" s="78">
        <v>0</v>
      </c>
      <c r="R1405" s="75">
        <v>0</v>
      </c>
      <c r="S1405" s="75">
        <v>1.65</v>
      </c>
      <c r="T1405" s="75">
        <f>STOCK[[#This Row],[Costo Unitario (USD)]]+STOCK[[#This Row],[Costo Envío (USD)]]+STOCK[[#This Row],[Comisión 10%]]</f>
        <v>17.350000000000001</v>
      </c>
      <c r="U1405" s="53">
        <f>STOCK[[#This Row],[Costo total]]*1.5</f>
        <v>26.025000000000002</v>
      </c>
      <c r="V1405" s="75">
        <v>25</v>
      </c>
      <c r="W1405" s="75">
        <f>STOCK[[#This Row],[Precio Final]]-STOCK[[#This Row],[Costo total]]</f>
        <v>7.6499999999999986</v>
      </c>
      <c r="X1405" s="75">
        <f>STOCK[[#This Row],[Ganancia Unitaria]]*STOCK[[#This Row],[Salidas]]</f>
        <v>68.849999999999994</v>
      </c>
      <c r="Y1405" s="75"/>
      <c r="Z1405" s="75"/>
      <c r="AA1405" s="54">
        <f>STOCK[[#This Row],[Costo total]]*STOCK[[#This Row],[Entradas]]</f>
        <v>121.45000000000002</v>
      </c>
      <c r="AB1405" s="54">
        <f>STOCK[[#This Row],[Stock Actual]]*STOCK[[#This Row],[Costo total]]</f>
        <v>-34.700000000000003</v>
      </c>
      <c r="AC1405" s="75"/>
    </row>
    <row r="1406" spans="1:29" s="53" customFormat="1" ht="50" customHeight="1">
      <c r="A1406" s="53" t="s">
        <v>2860</v>
      </c>
      <c r="B1406" s="76"/>
      <c r="C1406" s="75" t="s">
        <v>32</v>
      </c>
      <c r="D1406" s="75" t="s">
        <v>2630</v>
      </c>
      <c r="E1406" s="77" t="s">
        <v>2861</v>
      </c>
      <c r="F1406" s="75" t="s">
        <v>62</v>
      </c>
      <c r="G1406" s="75"/>
      <c r="H1406" s="75">
        <f>STOCK[[#This Row],[Precio Final]]</f>
        <v>30</v>
      </c>
      <c r="I1406" s="80">
        <f>STOCK[[#This Row],[Precio Venta Ideal (x1.5)]]</f>
        <v>24.735000000000003</v>
      </c>
      <c r="J1406" s="78">
        <v>1</v>
      </c>
      <c r="K1406" s="78">
        <f>SUMIFS(VENTAS[Cantidad],VENTAS[Código del producto Vendido],STOCK[[#This Row],[Code]])</f>
        <v>1</v>
      </c>
      <c r="L1406" s="78">
        <f>STOCK[[#This Row],[Entradas]]-STOCK[[#This Row],[Salidas]]</f>
        <v>0</v>
      </c>
      <c r="M1406" s="75">
        <f>STOCK[[#This Row],[Precio Final]]*10%</f>
        <v>3</v>
      </c>
      <c r="N1406" s="75">
        <v>0</v>
      </c>
      <c r="O1406" s="75">
        <v>0</v>
      </c>
      <c r="P1406" s="75">
        <v>11.84</v>
      </c>
      <c r="Q1406" s="78">
        <v>0</v>
      </c>
      <c r="R1406" s="75">
        <v>0</v>
      </c>
      <c r="S1406" s="75">
        <v>1.65</v>
      </c>
      <c r="T1406" s="75">
        <f>STOCK[[#This Row],[Costo Unitario (USD)]]+STOCK[[#This Row],[Costo Envío (USD)]]+STOCK[[#This Row],[Comisión 10%]]</f>
        <v>16.490000000000002</v>
      </c>
      <c r="U1406" s="53">
        <f>STOCK[[#This Row],[Costo total]]*1.5</f>
        <v>24.735000000000003</v>
      </c>
      <c r="V1406" s="75">
        <v>30</v>
      </c>
      <c r="W1406" s="75">
        <f>STOCK[[#This Row],[Precio Final]]-STOCK[[#This Row],[Costo total]]</f>
        <v>13.509999999999998</v>
      </c>
      <c r="X1406" s="75">
        <f>STOCK[[#This Row],[Ganancia Unitaria]]*STOCK[[#This Row],[Salidas]]</f>
        <v>13.509999999999998</v>
      </c>
      <c r="Y1406" s="75"/>
      <c r="Z1406" s="75"/>
      <c r="AA1406" s="54">
        <f>STOCK[[#This Row],[Costo total]]*STOCK[[#This Row],[Entradas]]</f>
        <v>16.490000000000002</v>
      </c>
      <c r="AB1406" s="54">
        <f>STOCK[[#This Row],[Stock Actual]]*STOCK[[#This Row],[Costo total]]</f>
        <v>0</v>
      </c>
      <c r="AC1406" s="75"/>
    </row>
    <row r="1407" spans="1:29" s="53" customFormat="1" ht="50" customHeight="1">
      <c r="A1407" s="53" t="s">
        <v>2862</v>
      </c>
      <c r="B1407" s="76"/>
      <c r="C1407" s="75" t="s">
        <v>32</v>
      </c>
      <c r="D1407" s="75" t="s">
        <v>2630</v>
      </c>
      <c r="E1407" s="77" t="s">
        <v>2861</v>
      </c>
      <c r="F1407" s="75" t="s">
        <v>49</v>
      </c>
      <c r="G1407" s="75"/>
      <c r="H1407" s="75">
        <f>STOCK[[#This Row],[Precio Final]]</f>
        <v>30</v>
      </c>
      <c r="I1407" s="80">
        <f>STOCK[[#This Row],[Precio Venta Ideal (x1.5)]]</f>
        <v>24.735000000000003</v>
      </c>
      <c r="J1407" s="78">
        <v>1</v>
      </c>
      <c r="K1407" s="78">
        <f>SUMIFS(VENTAS[Cantidad],VENTAS[Código del producto Vendido],STOCK[[#This Row],[Code]])</f>
        <v>1</v>
      </c>
      <c r="L1407" s="78">
        <f>STOCK[[#This Row],[Entradas]]-STOCK[[#This Row],[Salidas]]</f>
        <v>0</v>
      </c>
      <c r="M1407" s="75">
        <f>STOCK[[#This Row],[Precio Final]]*10%</f>
        <v>3</v>
      </c>
      <c r="N1407" s="75">
        <v>0</v>
      </c>
      <c r="O1407" s="75">
        <v>0</v>
      </c>
      <c r="P1407" s="75">
        <v>11.84</v>
      </c>
      <c r="Q1407" s="78">
        <v>0</v>
      </c>
      <c r="R1407" s="75">
        <v>0</v>
      </c>
      <c r="S1407" s="75">
        <v>1.65</v>
      </c>
      <c r="T1407" s="75">
        <f>STOCK[[#This Row],[Costo Unitario (USD)]]+STOCK[[#This Row],[Costo Envío (USD)]]+STOCK[[#This Row],[Comisión 10%]]</f>
        <v>16.490000000000002</v>
      </c>
      <c r="U1407" s="53">
        <f>STOCK[[#This Row],[Costo total]]*1.5</f>
        <v>24.735000000000003</v>
      </c>
      <c r="V1407" s="75">
        <v>30</v>
      </c>
      <c r="W1407" s="75">
        <f>STOCK[[#This Row],[Precio Final]]-STOCK[[#This Row],[Costo total]]</f>
        <v>13.509999999999998</v>
      </c>
      <c r="X1407" s="75">
        <f>STOCK[[#This Row],[Ganancia Unitaria]]*STOCK[[#This Row],[Salidas]]</f>
        <v>13.509999999999998</v>
      </c>
      <c r="Y1407" s="75"/>
      <c r="Z1407" s="75"/>
      <c r="AA1407" s="54">
        <f>STOCK[[#This Row],[Costo total]]*STOCK[[#This Row],[Entradas]]</f>
        <v>16.490000000000002</v>
      </c>
      <c r="AB1407" s="54">
        <f>STOCK[[#This Row],[Stock Actual]]*STOCK[[#This Row],[Costo total]]</f>
        <v>0</v>
      </c>
      <c r="AC1407" s="75"/>
    </row>
    <row r="1408" spans="1:29" s="53" customFormat="1" ht="50" customHeight="1">
      <c r="A1408" s="53" t="s">
        <v>2863</v>
      </c>
      <c r="B1408" s="76"/>
      <c r="C1408" s="75" t="s">
        <v>32</v>
      </c>
      <c r="D1408" s="75" t="s">
        <v>2630</v>
      </c>
      <c r="E1408" s="77" t="s">
        <v>2861</v>
      </c>
      <c r="F1408" s="75" t="s">
        <v>46</v>
      </c>
      <c r="G1408" s="75"/>
      <c r="H1408" s="75">
        <f>STOCK[[#This Row],[Precio Final]]</f>
        <v>30</v>
      </c>
      <c r="I1408" s="80">
        <f>STOCK[[#This Row],[Precio Venta Ideal (x1.5)]]</f>
        <v>24.735000000000003</v>
      </c>
      <c r="J1408" s="78">
        <v>1</v>
      </c>
      <c r="K1408" s="78">
        <f>SUMIFS(VENTAS[Cantidad],VENTAS[Código del producto Vendido],STOCK[[#This Row],[Code]])</f>
        <v>1</v>
      </c>
      <c r="L1408" s="78">
        <f>STOCK[[#This Row],[Entradas]]-STOCK[[#This Row],[Salidas]]</f>
        <v>0</v>
      </c>
      <c r="M1408" s="75">
        <f>STOCK[[#This Row],[Precio Final]]*10%</f>
        <v>3</v>
      </c>
      <c r="N1408" s="75">
        <v>0</v>
      </c>
      <c r="O1408" s="75">
        <v>0</v>
      </c>
      <c r="P1408" s="75">
        <v>11.84</v>
      </c>
      <c r="Q1408" s="78">
        <v>0</v>
      </c>
      <c r="R1408" s="75">
        <v>0</v>
      </c>
      <c r="S1408" s="75">
        <v>1.65</v>
      </c>
      <c r="T1408" s="75">
        <f>STOCK[[#This Row],[Costo Unitario (USD)]]+STOCK[[#This Row],[Costo Envío (USD)]]+STOCK[[#This Row],[Comisión 10%]]</f>
        <v>16.490000000000002</v>
      </c>
      <c r="U1408" s="53">
        <f>STOCK[[#This Row],[Costo total]]*1.5</f>
        <v>24.735000000000003</v>
      </c>
      <c r="V1408" s="75">
        <v>30</v>
      </c>
      <c r="W1408" s="75">
        <f>STOCK[[#This Row],[Precio Final]]-STOCK[[#This Row],[Costo total]]</f>
        <v>13.509999999999998</v>
      </c>
      <c r="X1408" s="75">
        <f>STOCK[[#This Row],[Ganancia Unitaria]]*STOCK[[#This Row],[Salidas]]</f>
        <v>13.509999999999998</v>
      </c>
      <c r="Y1408" s="75"/>
      <c r="Z1408" s="75"/>
      <c r="AA1408" s="54">
        <f>STOCK[[#This Row],[Costo total]]*STOCK[[#This Row],[Entradas]]</f>
        <v>16.490000000000002</v>
      </c>
      <c r="AB1408" s="54">
        <f>STOCK[[#This Row],[Stock Actual]]*STOCK[[#This Row],[Costo total]]</f>
        <v>0</v>
      </c>
      <c r="AC1408" s="75"/>
    </row>
    <row r="1409" spans="1:29" s="53" customFormat="1" ht="50" customHeight="1">
      <c r="A1409" s="53" t="s">
        <v>2864</v>
      </c>
      <c r="B1409" s="76"/>
      <c r="C1409" s="75" t="s">
        <v>32</v>
      </c>
      <c r="D1409" s="75" t="s">
        <v>2630</v>
      </c>
      <c r="E1409" s="77" t="s">
        <v>2865</v>
      </c>
      <c r="F1409" s="75" t="s">
        <v>40</v>
      </c>
      <c r="G1409" s="75"/>
      <c r="H1409" s="75">
        <f>STOCK[[#This Row],[Precio Final]]</f>
        <v>25</v>
      </c>
      <c r="I1409" s="80">
        <f>STOCK[[#This Row],[Precio Venta Ideal (x1.5)]]</f>
        <v>21.72</v>
      </c>
      <c r="J1409" s="78">
        <v>2</v>
      </c>
      <c r="K1409" s="78">
        <f>SUMIFS(VENTAS[Cantidad],VENTAS[Código del producto Vendido],STOCK[[#This Row],[Code]])</f>
        <v>4</v>
      </c>
      <c r="L1409" s="78">
        <f>STOCK[[#This Row],[Entradas]]-STOCK[[#This Row],[Salidas]]</f>
        <v>-2</v>
      </c>
      <c r="M1409" s="75">
        <f>STOCK[[#This Row],[Precio Final]]*10%</f>
        <v>2.5</v>
      </c>
      <c r="N1409" s="75">
        <v>0</v>
      </c>
      <c r="O1409" s="75">
        <v>0</v>
      </c>
      <c r="P1409" s="75">
        <v>10.33</v>
      </c>
      <c r="Q1409" s="78">
        <v>0</v>
      </c>
      <c r="R1409" s="75">
        <v>0</v>
      </c>
      <c r="S1409" s="75">
        <v>1.65</v>
      </c>
      <c r="T1409" s="75">
        <f>STOCK[[#This Row],[Costo Unitario (USD)]]+STOCK[[#This Row],[Costo Envío (USD)]]+STOCK[[#This Row],[Comisión 10%]]</f>
        <v>14.48</v>
      </c>
      <c r="U1409" s="53">
        <f>STOCK[[#This Row],[Costo total]]*1.5</f>
        <v>21.72</v>
      </c>
      <c r="V1409" s="75">
        <v>25</v>
      </c>
      <c r="W1409" s="75">
        <f>STOCK[[#This Row],[Precio Final]]-STOCK[[#This Row],[Costo total]]</f>
        <v>10.52</v>
      </c>
      <c r="X1409" s="75">
        <f>STOCK[[#This Row],[Ganancia Unitaria]]*STOCK[[#This Row],[Salidas]]</f>
        <v>42.08</v>
      </c>
      <c r="Y1409" s="75"/>
      <c r="Z1409" s="75"/>
      <c r="AA1409" s="54">
        <f>STOCK[[#This Row],[Costo total]]*STOCK[[#This Row],[Entradas]]</f>
        <v>28.96</v>
      </c>
      <c r="AB1409" s="54">
        <f>STOCK[[#This Row],[Stock Actual]]*STOCK[[#This Row],[Costo total]]</f>
        <v>-28.96</v>
      </c>
      <c r="AC1409" s="75"/>
    </row>
    <row r="1410" spans="1:29" s="53" customFormat="1" ht="50" customHeight="1">
      <c r="A1410" s="53" t="s">
        <v>2866</v>
      </c>
      <c r="B1410" s="76"/>
      <c r="C1410" s="75" t="s">
        <v>32</v>
      </c>
      <c r="D1410" s="75" t="s">
        <v>2630</v>
      </c>
      <c r="E1410" s="77" t="s">
        <v>2865</v>
      </c>
      <c r="F1410" s="75" t="s">
        <v>62</v>
      </c>
      <c r="G1410" s="75"/>
      <c r="H1410" s="75">
        <f>STOCK[[#This Row],[Precio Final]]</f>
        <v>25</v>
      </c>
      <c r="I1410" s="80">
        <f>STOCK[[#This Row],[Precio Venta Ideal (x1.5)]]</f>
        <v>21.72</v>
      </c>
      <c r="J1410" s="78">
        <v>2</v>
      </c>
      <c r="K1410" s="78">
        <f>SUMIFS(VENTAS[Cantidad],VENTAS[Código del producto Vendido],STOCK[[#This Row],[Code]])</f>
        <v>3</v>
      </c>
      <c r="L1410" s="78">
        <f>STOCK[[#This Row],[Entradas]]-STOCK[[#This Row],[Salidas]]</f>
        <v>-1</v>
      </c>
      <c r="M1410" s="75">
        <f>STOCK[[#This Row],[Precio Final]]*10%</f>
        <v>2.5</v>
      </c>
      <c r="N1410" s="75">
        <v>0</v>
      </c>
      <c r="O1410" s="75">
        <v>0</v>
      </c>
      <c r="P1410" s="75">
        <v>10.33</v>
      </c>
      <c r="Q1410" s="78">
        <v>0</v>
      </c>
      <c r="R1410" s="75">
        <v>0</v>
      </c>
      <c r="S1410" s="75">
        <v>1.65</v>
      </c>
      <c r="T1410" s="75">
        <f>STOCK[[#This Row],[Costo Unitario (USD)]]+STOCK[[#This Row],[Costo Envío (USD)]]+STOCK[[#This Row],[Comisión 10%]]</f>
        <v>14.48</v>
      </c>
      <c r="U1410" s="53">
        <f>STOCK[[#This Row],[Costo total]]*1.5</f>
        <v>21.72</v>
      </c>
      <c r="V1410" s="75">
        <v>25</v>
      </c>
      <c r="W1410" s="75">
        <f>STOCK[[#This Row],[Precio Final]]-STOCK[[#This Row],[Costo total]]</f>
        <v>10.52</v>
      </c>
      <c r="X1410" s="75">
        <f>STOCK[[#This Row],[Ganancia Unitaria]]*STOCK[[#This Row],[Salidas]]</f>
        <v>31.56</v>
      </c>
      <c r="Y1410" s="75"/>
      <c r="Z1410" s="75"/>
      <c r="AA1410" s="54">
        <f>STOCK[[#This Row],[Costo total]]*STOCK[[#This Row],[Entradas]]</f>
        <v>28.96</v>
      </c>
      <c r="AB1410" s="54">
        <f>STOCK[[#This Row],[Stock Actual]]*STOCK[[#This Row],[Costo total]]</f>
        <v>-14.48</v>
      </c>
      <c r="AC1410" s="75"/>
    </row>
    <row r="1411" spans="1:29" s="53" customFormat="1" ht="50" customHeight="1">
      <c r="A1411" s="53" t="s">
        <v>2867</v>
      </c>
      <c r="B1411" s="76"/>
      <c r="C1411" s="75" t="s">
        <v>32</v>
      </c>
      <c r="D1411" s="75" t="s">
        <v>2630</v>
      </c>
      <c r="E1411" s="77" t="s">
        <v>2865</v>
      </c>
      <c r="F1411" s="75" t="s">
        <v>49</v>
      </c>
      <c r="G1411" s="75"/>
      <c r="H1411" s="75">
        <f>STOCK[[#This Row],[Precio Final]]</f>
        <v>25</v>
      </c>
      <c r="I1411" s="80">
        <f>STOCK[[#This Row],[Precio Venta Ideal (x1.5)]]</f>
        <v>21.72</v>
      </c>
      <c r="J1411" s="78">
        <v>2</v>
      </c>
      <c r="K1411" s="78">
        <f>SUMIFS(VENTAS[Cantidad],VENTAS[Código del producto Vendido],STOCK[[#This Row],[Code]])</f>
        <v>1</v>
      </c>
      <c r="L1411" s="78">
        <f>STOCK[[#This Row],[Entradas]]-STOCK[[#This Row],[Salidas]]</f>
        <v>1</v>
      </c>
      <c r="M1411" s="75">
        <f>STOCK[[#This Row],[Precio Final]]*10%</f>
        <v>2.5</v>
      </c>
      <c r="N1411" s="75">
        <v>0</v>
      </c>
      <c r="O1411" s="75">
        <v>0</v>
      </c>
      <c r="P1411" s="75">
        <v>10.33</v>
      </c>
      <c r="Q1411" s="78">
        <v>0</v>
      </c>
      <c r="R1411" s="75">
        <v>0</v>
      </c>
      <c r="S1411" s="75">
        <v>1.65</v>
      </c>
      <c r="T1411" s="75">
        <f>STOCK[[#This Row],[Costo Unitario (USD)]]+STOCK[[#This Row],[Costo Envío (USD)]]+STOCK[[#This Row],[Comisión 10%]]</f>
        <v>14.48</v>
      </c>
      <c r="U1411" s="53">
        <f>STOCK[[#This Row],[Costo total]]*1.5</f>
        <v>21.72</v>
      </c>
      <c r="V1411" s="75">
        <v>25</v>
      </c>
      <c r="W1411" s="75">
        <f>STOCK[[#This Row],[Precio Final]]-STOCK[[#This Row],[Costo total]]</f>
        <v>10.52</v>
      </c>
      <c r="X1411" s="75">
        <f>STOCK[[#This Row],[Ganancia Unitaria]]*STOCK[[#This Row],[Salidas]]</f>
        <v>10.52</v>
      </c>
      <c r="Y1411" s="75"/>
      <c r="Z1411" s="75"/>
      <c r="AA1411" s="54">
        <f>STOCK[[#This Row],[Costo total]]*STOCK[[#This Row],[Entradas]]</f>
        <v>28.96</v>
      </c>
      <c r="AB1411" s="54">
        <f>STOCK[[#This Row],[Stock Actual]]*STOCK[[#This Row],[Costo total]]</f>
        <v>14.48</v>
      </c>
      <c r="AC1411" s="75"/>
    </row>
    <row r="1412" spans="1:29" s="53" customFormat="1" ht="50" customHeight="1">
      <c r="A1412" s="53" t="s">
        <v>2868</v>
      </c>
      <c r="B1412" s="76"/>
      <c r="C1412" s="75" t="s">
        <v>32</v>
      </c>
      <c r="D1412" s="75" t="s">
        <v>1190</v>
      </c>
      <c r="E1412" s="77" t="s">
        <v>2869</v>
      </c>
      <c r="F1412" s="75" t="s">
        <v>40</v>
      </c>
      <c r="G1412" s="75"/>
      <c r="H1412" s="75">
        <f>STOCK[[#This Row],[Precio Final]]</f>
        <v>18</v>
      </c>
      <c r="I1412" s="80">
        <f>STOCK[[#This Row],[Precio Venta Ideal (x1.5)]]</f>
        <v>17.97</v>
      </c>
      <c r="J1412" s="78">
        <v>3</v>
      </c>
      <c r="K1412" s="78">
        <f>SUMIFS(VENTAS[Cantidad],VENTAS[Código del producto Vendido],STOCK[[#This Row],[Code]])</f>
        <v>2</v>
      </c>
      <c r="L1412" s="78">
        <f>STOCK[[#This Row],[Entradas]]-STOCK[[#This Row],[Salidas]]</f>
        <v>1</v>
      </c>
      <c r="M1412" s="75">
        <f>STOCK[[#This Row],[Precio Final]]*10%</f>
        <v>1.8</v>
      </c>
      <c r="N1412" s="75">
        <v>0</v>
      </c>
      <c r="O1412" s="75">
        <v>0</v>
      </c>
      <c r="P1412" s="75">
        <v>8.5299999999999994</v>
      </c>
      <c r="Q1412" s="78">
        <v>0</v>
      </c>
      <c r="R1412" s="75">
        <v>0</v>
      </c>
      <c r="S1412" s="75">
        <v>1.65</v>
      </c>
      <c r="T1412" s="75">
        <f>STOCK[[#This Row],[Costo Unitario (USD)]]+STOCK[[#This Row],[Costo Envío (USD)]]+STOCK[[#This Row],[Comisión 10%]]</f>
        <v>11.98</v>
      </c>
      <c r="U1412" s="53">
        <f>STOCK[[#This Row],[Costo total]]*1.5</f>
        <v>17.97</v>
      </c>
      <c r="V1412" s="75">
        <v>18</v>
      </c>
      <c r="W1412" s="75">
        <f>STOCK[[#This Row],[Precio Final]]-STOCK[[#This Row],[Costo total]]</f>
        <v>6.02</v>
      </c>
      <c r="X1412" s="75">
        <f>STOCK[[#This Row],[Ganancia Unitaria]]*STOCK[[#This Row],[Salidas]]</f>
        <v>12.04</v>
      </c>
      <c r="Y1412" s="75"/>
      <c r="Z1412" s="75"/>
      <c r="AA1412" s="54">
        <f>STOCK[[#This Row],[Costo total]]*STOCK[[#This Row],[Entradas]]</f>
        <v>35.94</v>
      </c>
      <c r="AB1412" s="54">
        <f>STOCK[[#This Row],[Stock Actual]]*STOCK[[#This Row],[Costo total]]</f>
        <v>11.98</v>
      </c>
      <c r="AC1412" s="75"/>
    </row>
    <row r="1413" spans="1:29" s="53" customFormat="1" ht="50" customHeight="1">
      <c r="A1413" s="53" t="s">
        <v>2870</v>
      </c>
      <c r="B1413" s="76"/>
      <c r="C1413" s="75" t="s">
        <v>32</v>
      </c>
      <c r="D1413" s="75" t="s">
        <v>1190</v>
      </c>
      <c r="E1413" s="77" t="s">
        <v>2869</v>
      </c>
      <c r="F1413" s="75" t="s">
        <v>46</v>
      </c>
      <c r="G1413" s="75"/>
      <c r="H1413" s="75">
        <f>STOCK[[#This Row],[Precio Final]]</f>
        <v>18</v>
      </c>
      <c r="I1413" s="80">
        <f>STOCK[[#This Row],[Precio Venta Ideal (x1.5)]]</f>
        <v>17.955000000000002</v>
      </c>
      <c r="J1413" s="78">
        <v>2</v>
      </c>
      <c r="K1413" s="78">
        <f>SUMIFS(VENTAS[Cantidad],VENTAS[Código del producto Vendido],STOCK[[#This Row],[Code]])</f>
        <v>1</v>
      </c>
      <c r="L1413" s="78">
        <f>STOCK[[#This Row],[Entradas]]-STOCK[[#This Row],[Salidas]]</f>
        <v>1</v>
      </c>
      <c r="M1413" s="75">
        <f>STOCK[[#This Row],[Precio Final]]*10%</f>
        <v>1.8</v>
      </c>
      <c r="N1413" s="75">
        <v>0</v>
      </c>
      <c r="O1413" s="75">
        <v>0</v>
      </c>
      <c r="P1413" s="75">
        <v>8.52</v>
      </c>
      <c r="Q1413" s="78">
        <v>0</v>
      </c>
      <c r="R1413" s="75">
        <v>0</v>
      </c>
      <c r="S1413" s="75">
        <v>1.65</v>
      </c>
      <c r="T1413" s="75">
        <f>STOCK[[#This Row],[Costo Unitario (USD)]]+STOCK[[#This Row],[Costo Envío (USD)]]+STOCK[[#This Row],[Comisión 10%]]</f>
        <v>11.97</v>
      </c>
      <c r="U1413" s="53">
        <f>STOCK[[#This Row],[Costo total]]*1.5</f>
        <v>17.955000000000002</v>
      </c>
      <c r="V1413" s="75">
        <v>18</v>
      </c>
      <c r="W1413" s="75">
        <f>STOCK[[#This Row],[Precio Final]]-STOCK[[#This Row],[Costo total]]</f>
        <v>6.0299999999999994</v>
      </c>
      <c r="X1413" s="75">
        <f>STOCK[[#This Row],[Ganancia Unitaria]]*STOCK[[#This Row],[Salidas]]</f>
        <v>6.0299999999999994</v>
      </c>
      <c r="Y1413" s="75"/>
      <c r="Z1413" s="75"/>
      <c r="AA1413" s="54">
        <f>STOCK[[#This Row],[Costo total]]*STOCK[[#This Row],[Entradas]]</f>
        <v>23.94</v>
      </c>
      <c r="AB1413" s="54">
        <f>STOCK[[#This Row],[Stock Actual]]*STOCK[[#This Row],[Costo total]]</f>
        <v>11.97</v>
      </c>
      <c r="AC1413" s="75"/>
    </row>
    <row r="1414" spans="1:29" s="53" customFormat="1" ht="50" customHeight="1">
      <c r="A1414" s="53" t="s">
        <v>2871</v>
      </c>
      <c r="B1414" s="76"/>
      <c r="C1414" s="75" t="s">
        <v>32</v>
      </c>
      <c r="D1414" s="75" t="s">
        <v>2630</v>
      </c>
      <c r="E1414" s="77" t="s">
        <v>2872</v>
      </c>
      <c r="F1414" s="75" t="s">
        <v>40</v>
      </c>
      <c r="G1414" s="75"/>
      <c r="H1414" s="75">
        <f>STOCK[[#This Row],[Precio Final]]</f>
        <v>30</v>
      </c>
      <c r="I1414" s="80">
        <f>STOCK[[#This Row],[Precio Venta Ideal (x1.5)]]</f>
        <v>28.005000000000003</v>
      </c>
      <c r="J1414" s="78">
        <v>2</v>
      </c>
      <c r="K1414" s="78">
        <f>SUMIFS(VENTAS[Cantidad],VENTAS[Código del producto Vendido],STOCK[[#This Row],[Code]])</f>
        <v>2</v>
      </c>
      <c r="L1414" s="78">
        <f>STOCK[[#This Row],[Entradas]]-STOCK[[#This Row],[Salidas]]</f>
        <v>0</v>
      </c>
      <c r="M1414" s="75">
        <f>STOCK[[#This Row],[Precio Final]]*10%</f>
        <v>3</v>
      </c>
      <c r="N1414" s="75">
        <v>0</v>
      </c>
      <c r="O1414" s="75">
        <v>0</v>
      </c>
      <c r="P1414" s="75">
        <v>14.02</v>
      </c>
      <c r="Q1414" s="78">
        <v>0</v>
      </c>
      <c r="R1414" s="75">
        <v>0</v>
      </c>
      <c r="S1414" s="75">
        <v>1.65</v>
      </c>
      <c r="T1414" s="75">
        <f>STOCK[[#This Row],[Costo Unitario (USD)]]+STOCK[[#This Row],[Costo Envío (USD)]]+STOCK[[#This Row],[Comisión 10%]]</f>
        <v>18.670000000000002</v>
      </c>
      <c r="U1414" s="53">
        <f>STOCK[[#This Row],[Costo total]]*1.5</f>
        <v>28.005000000000003</v>
      </c>
      <c r="V1414" s="75">
        <v>30</v>
      </c>
      <c r="W1414" s="75">
        <f>STOCK[[#This Row],[Precio Final]]-STOCK[[#This Row],[Costo total]]</f>
        <v>11.329999999999998</v>
      </c>
      <c r="X1414" s="75">
        <f>STOCK[[#This Row],[Ganancia Unitaria]]*STOCK[[#This Row],[Salidas]]</f>
        <v>22.659999999999997</v>
      </c>
      <c r="Y1414" s="75"/>
      <c r="Z1414" s="75"/>
      <c r="AA1414" s="54">
        <f>STOCK[[#This Row],[Costo total]]*STOCK[[#This Row],[Entradas]]</f>
        <v>37.340000000000003</v>
      </c>
      <c r="AB1414" s="54">
        <f>STOCK[[#This Row],[Stock Actual]]*STOCK[[#This Row],[Costo total]]</f>
        <v>0</v>
      </c>
      <c r="AC1414" s="75"/>
    </row>
    <row r="1415" spans="1:29" s="53" customFormat="1" ht="50" customHeight="1">
      <c r="A1415" s="53" t="s">
        <v>2873</v>
      </c>
      <c r="B1415" s="76"/>
      <c r="C1415" s="75" t="s">
        <v>32</v>
      </c>
      <c r="D1415" s="75" t="s">
        <v>2128</v>
      </c>
      <c r="E1415" s="77" t="s">
        <v>2874</v>
      </c>
      <c r="F1415" s="75" t="s">
        <v>62</v>
      </c>
      <c r="G1415" s="75"/>
      <c r="H1415" s="75">
        <f>STOCK[[#This Row],[Precio Final]]</f>
        <v>18</v>
      </c>
      <c r="I1415" s="80">
        <f>STOCK[[#This Row],[Precio Venta Ideal (x1.5)]]</f>
        <v>10.094999999999999</v>
      </c>
      <c r="J1415" s="78">
        <v>3</v>
      </c>
      <c r="K1415" s="78">
        <f>SUMIFS(VENTAS[Cantidad],VENTAS[Código del producto Vendido],STOCK[[#This Row],[Code]])</f>
        <v>1</v>
      </c>
      <c r="L1415" s="78">
        <f>STOCK[[#This Row],[Entradas]]-STOCK[[#This Row],[Salidas]]</f>
        <v>2</v>
      </c>
      <c r="M1415" s="75">
        <f>STOCK[[#This Row],[Precio Final]]*10%</f>
        <v>1.8</v>
      </c>
      <c r="N1415" s="75">
        <v>0</v>
      </c>
      <c r="O1415" s="75">
        <v>0</v>
      </c>
      <c r="P1415" s="75">
        <v>3.28</v>
      </c>
      <c r="Q1415" s="78">
        <v>0</v>
      </c>
      <c r="R1415" s="75">
        <v>0</v>
      </c>
      <c r="S1415" s="75">
        <v>1.65</v>
      </c>
      <c r="T1415" s="75">
        <f>STOCK[[#This Row],[Costo Unitario (USD)]]+STOCK[[#This Row],[Costo Envío (USD)]]+STOCK[[#This Row],[Comisión 10%]]</f>
        <v>6.7299999999999995</v>
      </c>
      <c r="U1415" s="53">
        <f>STOCK[[#This Row],[Costo total]]*1.5</f>
        <v>10.094999999999999</v>
      </c>
      <c r="V1415" s="75">
        <v>18</v>
      </c>
      <c r="W1415" s="75">
        <f>STOCK[[#This Row],[Precio Final]]-STOCK[[#This Row],[Costo total]]</f>
        <v>11.27</v>
      </c>
      <c r="X1415" s="75">
        <f>STOCK[[#This Row],[Ganancia Unitaria]]*STOCK[[#This Row],[Salidas]]</f>
        <v>11.27</v>
      </c>
      <c r="Y1415" s="75"/>
      <c r="Z1415" s="75"/>
      <c r="AA1415" s="54">
        <f>STOCK[[#This Row],[Costo total]]*STOCK[[#This Row],[Entradas]]</f>
        <v>20.189999999999998</v>
      </c>
      <c r="AB1415" s="54">
        <f>STOCK[[#This Row],[Stock Actual]]*STOCK[[#This Row],[Costo total]]</f>
        <v>13.459999999999999</v>
      </c>
      <c r="AC1415" s="75"/>
    </row>
    <row r="1416" spans="1:29" s="53" customFormat="1" ht="50" customHeight="1">
      <c r="A1416" s="53" t="s">
        <v>2875</v>
      </c>
      <c r="B1416" s="76"/>
      <c r="C1416" s="75" t="s">
        <v>32</v>
      </c>
      <c r="D1416" s="75" t="s">
        <v>2128</v>
      </c>
      <c r="E1416" s="77" t="s">
        <v>2876</v>
      </c>
      <c r="F1416" s="75" t="s">
        <v>62</v>
      </c>
      <c r="G1416" s="75"/>
      <c r="H1416" s="75">
        <f>STOCK[[#This Row],[Precio Final]]</f>
        <v>25</v>
      </c>
      <c r="I1416" s="80">
        <f>STOCK[[#This Row],[Precio Venta Ideal (x1.5)]]</f>
        <v>22.47</v>
      </c>
      <c r="J1416" s="78">
        <v>2</v>
      </c>
      <c r="K1416" s="78">
        <f>SUMIFS(VENTAS[Cantidad],VENTAS[Código del producto Vendido],STOCK[[#This Row],[Code]])</f>
        <v>0</v>
      </c>
      <c r="L1416" s="78">
        <f>STOCK[[#This Row],[Entradas]]-STOCK[[#This Row],[Salidas]]</f>
        <v>2</v>
      </c>
      <c r="M1416" s="75">
        <f>STOCK[[#This Row],[Precio Final]]*10%</f>
        <v>2.5</v>
      </c>
      <c r="N1416" s="75">
        <v>0</v>
      </c>
      <c r="O1416" s="75">
        <v>0</v>
      </c>
      <c r="P1416" s="75">
        <v>10.83</v>
      </c>
      <c r="Q1416" s="78">
        <v>0</v>
      </c>
      <c r="R1416" s="75">
        <v>0</v>
      </c>
      <c r="S1416" s="75">
        <v>1.65</v>
      </c>
      <c r="T1416" s="75">
        <f>STOCK[[#This Row],[Costo Unitario (USD)]]+STOCK[[#This Row],[Costo Envío (USD)]]+STOCK[[#This Row],[Comisión 10%]]</f>
        <v>14.98</v>
      </c>
      <c r="U1416" s="53">
        <f>STOCK[[#This Row],[Costo total]]*1.5</f>
        <v>22.47</v>
      </c>
      <c r="V1416" s="75">
        <v>25</v>
      </c>
      <c r="W1416" s="75">
        <f>STOCK[[#This Row],[Precio Final]]-STOCK[[#This Row],[Costo total]]</f>
        <v>10.02</v>
      </c>
      <c r="X1416" s="75">
        <f>STOCK[[#This Row],[Ganancia Unitaria]]*STOCK[[#This Row],[Salidas]]</f>
        <v>0</v>
      </c>
      <c r="Y1416" s="75"/>
      <c r="Z1416" s="75"/>
      <c r="AA1416" s="54">
        <f>STOCK[[#This Row],[Costo total]]*STOCK[[#This Row],[Entradas]]</f>
        <v>29.96</v>
      </c>
      <c r="AB1416" s="54">
        <f>STOCK[[#This Row],[Stock Actual]]*STOCK[[#This Row],[Costo total]]</f>
        <v>29.96</v>
      </c>
      <c r="AC1416" s="75"/>
    </row>
    <row r="1417" spans="1:29" s="53" customFormat="1" ht="50" customHeight="1">
      <c r="A1417" s="53" t="s">
        <v>2877</v>
      </c>
      <c r="B1417" s="76"/>
      <c r="C1417" s="75" t="s">
        <v>32</v>
      </c>
      <c r="D1417" s="75" t="s">
        <v>2128</v>
      </c>
      <c r="E1417" s="77" t="s">
        <v>2876</v>
      </c>
      <c r="F1417" s="75" t="s">
        <v>49</v>
      </c>
      <c r="G1417" s="75"/>
      <c r="H1417" s="75">
        <f>STOCK[[#This Row],[Precio Final]]</f>
        <v>25</v>
      </c>
      <c r="I1417" s="80">
        <f>STOCK[[#This Row],[Precio Venta Ideal (x1.5)]]</f>
        <v>22.47</v>
      </c>
      <c r="J1417" s="78">
        <v>2</v>
      </c>
      <c r="K1417" s="78">
        <f>SUMIFS(VENTAS[Cantidad],VENTAS[Código del producto Vendido],STOCK[[#This Row],[Code]])</f>
        <v>0</v>
      </c>
      <c r="L1417" s="78">
        <f>STOCK[[#This Row],[Entradas]]-STOCK[[#This Row],[Salidas]]</f>
        <v>2</v>
      </c>
      <c r="M1417" s="75">
        <f>STOCK[[#This Row],[Precio Final]]*10%</f>
        <v>2.5</v>
      </c>
      <c r="N1417" s="75">
        <v>0</v>
      </c>
      <c r="O1417" s="75">
        <v>0</v>
      </c>
      <c r="P1417" s="75">
        <v>10.83</v>
      </c>
      <c r="Q1417" s="78">
        <v>0</v>
      </c>
      <c r="R1417" s="75">
        <v>0</v>
      </c>
      <c r="S1417" s="75">
        <v>1.65</v>
      </c>
      <c r="T1417" s="75">
        <f>STOCK[[#This Row],[Costo Unitario (USD)]]+STOCK[[#This Row],[Costo Envío (USD)]]+STOCK[[#This Row],[Comisión 10%]]</f>
        <v>14.98</v>
      </c>
      <c r="U1417" s="53">
        <f>STOCK[[#This Row],[Costo total]]*1.5</f>
        <v>22.47</v>
      </c>
      <c r="V1417" s="75">
        <v>25</v>
      </c>
      <c r="W1417" s="75">
        <f>STOCK[[#This Row],[Precio Final]]-STOCK[[#This Row],[Costo total]]</f>
        <v>10.02</v>
      </c>
      <c r="X1417" s="75">
        <f>STOCK[[#This Row],[Ganancia Unitaria]]*STOCK[[#This Row],[Salidas]]</f>
        <v>0</v>
      </c>
      <c r="Y1417" s="75"/>
      <c r="Z1417" s="75"/>
      <c r="AA1417" s="54">
        <f>STOCK[[#This Row],[Costo total]]*STOCK[[#This Row],[Entradas]]</f>
        <v>29.96</v>
      </c>
      <c r="AB1417" s="54">
        <f>STOCK[[#This Row],[Stock Actual]]*STOCK[[#This Row],[Costo total]]</f>
        <v>29.96</v>
      </c>
      <c r="AC1417" s="75"/>
    </row>
    <row r="1418" spans="1:29" s="53" customFormat="1" ht="50" customHeight="1">
      <c r="A1418" s="53" t="s">
        <v>2878</v>
      </c>
      <c r="B1418" s="76"/>
      <c r="C1418" s="75" t="s">
        <v>32</v>
      </c>
      <c r="D1418" s="75" t="s">
        <v>2128</v>
      </c>
      <c r="E1418" s="77" t="s">
        <v>2876</v>
      </c>
      <c r="F1418" s="75" t="s">
        <v>46</v>
      </c>
      <c r="G1418" s="75"/>
      <c r="H1418" s="75">
        <f>STOCK[[#This Row],[Precio Final]]</f>
        <v>25</v>
      </c>
      <c r="I1418" s="80">
        <f>STOCK[[#This Row],[Precio Venta Ideal (x1.5)]]</f>
        <v>22.484999999999999</v>
      </c>
      <c r="J1418" s="78">
        <v>2</v>
      </c>
      <c r="K1418" s="78">
        <f>SUMIFS(VENTAS[Cantidad],VENTAS[Código del producto Vendido],STOCK[[#This Row],[Code]])</f>
        <v>0</v>
      </c>
      <c r="L1418" s="78">
        <f>STOCK[[#This Row],[Entradas]]-STOCK[[#This Row],[Salidas]]</f>
        <v>2</v>
      </c>
      <c r="M1418" s="75">
        <f>STOCK[[#This Row],[Precio Final]]*10%</f>
        <v>2.5</v>
      </c>
      <c r="N1418" s="75">
        <v>0</v>
      </c>
      <c r="O1418" s="75">
        <v>0</v>
      </c>
      <c r="P1418" s="75">
        <v>10.84</v>
      </c>
      <c r="Q1418" s="78">
        <v>0</v>
      </c>
      <c r="R1418" s="75">
        <v>0</v>
      </c>
      <c r="S1418" s="75">
        <v>1.65</v>
      </c>
      <c r="T1418" s="75">
        <f>STOCK[[#This Row],[Costo Unitario (USD)]]+STOCK[[#This Row],[Costo Envío (USD)]]+STOCK[[#This Row],[Comisión 10%]]</f>
        <v>14.99</v>
      </c>
      <c r="U1418" s="53">
        <f>STOCK[[#This Row],[Costo total]]*1.5</f>
        <v>22.484999999999999</v>
      </c>
      <c r="V1418" s="75">
        <v>25</v>
      </c>
      <c r="W1418" s="75">
        <f>STOCK[[#This Row],[Precio Final]]-STOCK[[#This Row],[Costo total]]</f>
        <v>10.01</v>
      </c>
      <c r="X1418" s="75">
        <f>STOCK[[#This Row],[Ganancia Unitaria]]*STOCK[[#This Row],[Salidas]]</f>
        <v>0</v>
      </c>
      <c r="Y1418" s="75"/>
      <c r="Z1418" s="75"/>
      <c r="AA1418" s="54">
        <f>STOCK[[#This Row],[Costo total]]*STOCK[[#This Row],[Entradas]]</f>
        <v>29.98</v>
      </c>
      <c r="AB1418" s="54">
        <f>STOCK[[#This Row],[Stock Actual]]*STOCK[[#This Row],[Costo total]]</f>
        <v>29.98</v>
      </c>
      <c r="AC1418" s="75"/>
    </row>
    <row r="1419" spans="1:29" s="53" customFormat="1" ht="50" customHeight="1">
      <c r="A1419" s="53" t="s">
        <v>2879</v>
      </c>
      <c r="B1419" s="76"/>
      <c r="C1419" s="75" t="s">
        <v>32</v>
      </c>
      <c r="D1419" s="75" t="s">
        <v>2880</v>
      </c>
      <c r="E1419" s="77" t="s">
        <v>2881</v>
      </c>
      <c r="F1419" s="75" t="s">
        <v>62</v>
      </c>
      <c r="G1419" s="75"/>
      <c r="H1419" s="75">
        <f>STOCK[[#This Row],[Precio Final]]</f>
        <v>35</v>
      </c>
      <c r="I1419" s="80">
        <f>STOCK[[#This Row],[Precio Venta Ideal (x1.5)]]</f>
        <v>22.605</v>
      </c>
      <c r="J1419" s="78">
        <v>2</v>
      </c>
      <c r="K1419" s="78">
        <f>SUMIFS(VENTAS[Cantidad],VENTAS[Código del producto Vendido],STOCK[[#This Row],[Code]])</f>
        <v>2</v>
      </c>
      <c r="L1419" s="78">
        <f>STOCK[[#This Row],[Entradas]]-STOCK[[#This Row],[Salidas]]</f>
        <v>0</v>
      </c>
      <c r="M1419" s="75">
        <f>STOCK[[#This Row],[Precio Final]]*10%</f>
        <v>3.5</v>
      </c>
      <c r="N1419" s="75">
        <v>0</v>
      </c>
      <c r="O1419" s="75">
        <v>0</v>
      </c>
      <c r="P1419" s="75">
        <v>9.92</v>
      </c>
      <c r="Q1419" s="78">
        <v>0</v>
      </c>
      <c r="R1419" s="75">
        <v>0</v>
      </c>
      <c r="S1419" s="75">
        <v>1.65</v>
      </c>
      <c r="T1419" s="75">
        <f>STOCK[[#This Row],[Costo Unitario (USD)]]+STOCK[[#This Row],[Costo Envío (USD)]]+STOCK[[#This Row],[Comisión 10%]]</f>
        <v>15.07</v>
      </c>
      <c r="U1419" s="53">
        <f>STOCK[[#This Row],[Costo total]]*1.5</f>
        <v>22.605</v>
      </c>
      <c r="V1419" s="75">
        <v>35</v>
      </c>
      <c r="W1419" s="75">
        <f>STOCK[[#This Row],[Precio Final]]-STOCK[[#This Row],[Costo total]]</f>
        <v>19.93</v>
      </c>
      <c r="X1419" s="75">
        <f>STOCK[[#This Row],[Ganancia Unitaria]]*STOCK[[#This Row],[Salidas]]</f>
        <v>39.86</v>
      </c>
      <c r="Y1419" s="75"/>
      <c r="Z1419" s="75"/>
      <c r="AA1419" s="54">
        <f>STOCK[[#This Row],[Costo total]]*STOCK[[#This Row],[Entradas]]</f>
        <v>30.14</v>
      </c>
      <c r="AB1419" s="54">
        <f>STOCK[[#This Row],[Stock Actual]]*STOCK[[#This Row],[Costo total]]</f>
        <v>0</v>
      </c>
      <c r="AC1419" s="75"/>
    </row>
    <row r="1420" spans="1:29" s="53" customFormat="1" ht="50" customHeight="1">
      <c r="A1420" s="53" t="s">
        <v>2882</v>
      </c>
      <c r="B1420" s="76"/>
      <c r="C1420" s="75" t="s">
        <v>32</v>
      </c>
      <c r="D1420" s="75" t="s">
        <v>2880</v>
      </c>
      <c r="E1420" s="77" t="s">
        <v>2881</v>
      </c>
      <c r="F1420" s="75" t="s">
        <v>49</v>
      </c>
      <c r="G1420" s="75"/>
      <c r="H1420" s="75">
        <f>STOCK[[#This Row],[Precio Final]]</f>
        <v>35</v>
      </c>
      <c r="I1420" s="80">
        <f>STOCK[[#This Row],[Precio Venta Ideal (x1.5)]]</f>
        <v>22.605</v>
      </c>
      <c r="J1420" s="78">
        <v>2</v>
      </c>
      <c r="K1420" s="78">
        <f>SUMIFS(VENTAS[Cantidad],VENTAS[Código del producto Vendido],STOCK[[#This Row],[Code]])</f>
        <v>0</v>
      </c>
      <c r="L1420" s="78">
        <f>STOCK[[#This Row],[Entradas]]-STOCK[[#This Row],[Salidas]]</f>
        <v>2</v>
      </c>
      <c r="M1420" s="75">
        <f>STOCK[[#This Row],[Precio Final]]*10%</f>
        <v>3.5</v>
      </c>
      <c r="N1420" s="75">
        <v>0</v>
      </c>
      <c r="O1420" s="75">
        <v>0</v>
      </c>
      <c r="P1420" s="75">
        <v>9.92</v>
      </c>
      <c r="Q1420" s="78">
        <v>0</v>
      </c>
      <c r="R1420" s="75">
        <v>0</v>
      </c>
      <c r="S1420" s="75">
        <v>1.65</v>
      </c>
      <c r="T1420" s="75">
        <f>STOCK[[#This Row],[Costo Unitario (USD)]]+STOCK[[#This Row],[Costo Envío (USD)]]+STOCK[[#This Row],[Comisión 10%]]</f>
        <v>15.07</v>
      </c>
      <c r="U1420" s="53">
        <f>STOCK[[#This Row],[Costo total]]*1.5</f>
        <v>22.605</v>
      </c>
      <c r="V1420" s="75">
        <v>35</v>
      </c>
      <c r="W1420" s="75">
        <f>STOCK[[#This Row],[Precio Final]]-STOCK[[#This Row],[Costo total]]</f>
        <v>19.93</v>
      </c>
      <c r="X1420" s="75">
        <f>STOCK[[#This Row],[Ganancia Unitaria]]*STOCK[[#This Row],[Salidas]]</f>
        <v>0</v>
      </c>
      <c r="Y1420" s="75"/>
      <c r="Z1420" s="75"/>
      <c r="AA1420" s="54">
        <f>STOCK[[#This Row],[Costo total]]*STOCK[[#This Row],[Entradas]]</f>
        <v>30.14</v>
      </c>
      <c r="AB1420" s="54">
        <f>STOCK[[#This Row],[Stock Actual]]*STOCK[[#This Row],[Costo total]]</f>
        <v>30.14</v>
      </c>
      <c r="AC1420" s="75"/>
    </row>
    <row r="1421" spans="1:29" s="53" customFormat="1" ht="50" customHeight="1">
      <c r="A1421" s="53" t="s">
        <v>2883</v>
      </c>
      <c r="B1421" s="76"/>
      <c r="C1421" s="75" t="s">
        <v>32</v>
      </c>
      <c r="D1421" s="75" t="s">
        <v>2880</v>
      </c>
      <c r="E1421" s="77" t="s">
        <v>2881</v>
      </c>
      <c r="F1421" s="75" t="s">
        <v>46</v>
      </c>
      <c r="G1421" s="75"/>
      <c r="H1421" s="75">
        <f>STOCK[[#This Row],[Precio Final]]</f>
        <v>35</v>
      </c>
      <c r="I1421" s="80">
        <f>STOCK[[#This Row],[Precio Venta Ideal (x1.5)]]</f>
        <v>22.605</v>
      </c>
      <c r="J1421" s="78">
        <v>2</v>
      </c>
      <c r="K1421" s="78">
        <f>SUMIFS(VENTAS[Cantidad],VENTAS[Código del producto Vendido],STOCK[[#This Row],[Code]])</f>
        <v>1</v>
      </c>
      <c r="L1421" s="78">
        <f>STOCK[[#This Row],[Entradas]]-STOCK[[#This Row],[Salidas]]</f>
        <v>1</v>
      </c>
      <c r="M1421" s="75">
        <f>STOCK[[#This Row],[Precio Final]]*10%</f>
        <v>3.5</v>
      </c>
      <c r="N1421" s="75">
        <v>0</v>
      </c>
      <c r="O1421" s="75">
        <v>0</v>
      </c>
      <c r="P1421" s="75">
        <v>9.92</v>
      </c>
      <c r="Q1421" s="78">
        <v>0</v>
      </c>
      <c r="R1421" s="75">
        <v>0</v>
      </c>
      <c r="S1421" s="75">
        <v>1.65</v>
      </c>
      <c r="T1421" s="75">
        <f>STOCK[[#This Row],[Costo Unitario (USD)]]+STOCK[[#This Row],[Costo Envío (USD)]]+STOCK[[#This Row],[Comisión 10%]]</f>
        <v>15.07</v>
      </c>
      <c r="U1421" s="53">
        <f>STOCK[[#This Row],[Costo total]]*1.5</f>
        <v>22.605</v>
      </c>
      <c r="V1421" s="75">
        <v>35</v>
      </c>
      <c r="W1421" s="75">
        <f>STOCK[[#This Row],[Precio Final]]-STOCK[[#This Row],[Costo total]]</f>
        <v>19.93</v>
      </c>
      <c r="X1421" s="75">
        <f>STOCK[[#This Row],[Ganancia Unitaria]]*STOCK[[#This Row],[Salidas]]</f>
        <v>19.93</v>
      </c>
      <c r="Y1421" s="75"/>
      <c r="Z1421" s="75"/>
      <c r="AA1421" s="54">
        <f>STOCK[[#This Row],[Costo total]]*STOCK[[#This Row],[Entradas]]</f>
        <v>30.14</v>
      </c>
      <c r="AB1421" s="54">
        <f>STOCK[[#This Row],[Stock Actual]]*STOCK[[#This Row],[Costo total]]</f>
        <v>15.07</v>
      </c>
      <c r="AC1421" s="75"/>
    </row>
    <row r="1422" spans="1:29" s="53" customFormat="1" ht="50" customHeight="1">
      <c r="A1422" s="53" t="s">
        <v>2884</v>
      </c>
      <c r="B1422" s="76"/>
      <c r="C1422" s="75" t="s">
        <v>32</v>
      </c>
      <c r="D1422" s="75" t="s">
        <v>2880</v>
      </c>
      <c r="E1422" s="77" t="s">
        <v>2881</v>
      </c>
      <c r="F1422" s="75" t="s">
        <v>42</v>
      </c>
      <c r="G1422" s="75"/>
      <c r="H1422" s="75">
        <f>STOCK[[#This Row],[Precio Final]]</f>
        <v>35</v>
      </c>
      <c r="I1422" s="80">
        <f>STOCK[[#This Row],[Precio Venta Ideal (x1.5)]]</f>
        <v>22.605</v>
      </c>
      <c r="J1422" s="78">
        <v>2</v>
      </c>
      <c r="K1422" s="78">
        <f>SUMIFS(VENTAS[Cantidad],VENTAS[Código del producto Vendido],STOCK[[#This Row],[Code]])</f>
        <v>0</v>
      </c>
      <c r="L1422" s="78">
        <f>STOCK[[#This Row],[Entradas]]-STOCK[[#This Row],[Salidas]]</f>
        <v>2</v>
      </c>
      <c r="M1422" s="75">
        <f>STOCK[[#This Row],[Precio Final]]*10%</f>
        <v>3.5</v>
      </c>
      <c r="N1422" s="75">
        <v>0</v>
      </c>
      <c r="O1422" s="75">
        <v>0</v>
      </c>
      <c r="P1422" s="75">
        <v>9.92</v>
      </c>
      <c r="Q1422" s="78">
        <v>0</v>
      </c>
      <c r="R1422" s="75">
        <v>0</v>
      </c>
      <c r="S1422" s="75">
        <v>1.65</v>
      </c>
      <c r="T1422" s="75">
        <f>STOCK[[#This Row],[Costo Unitario (USD)]]+STOCK[[#This Row],[Costo Envío (USD)]]+STOCK[[#This Row],[Comisión 10%]]</f>
        <v>15.07</v>
      </c>
      <c r="U1422" s="53">
        <f>STOCK[[#This Row],[Costo total]]*1.5</f>
        <v>22.605</v>
      </c>
      <c r="V1422" s="75">
        <v>35</v>
      </c>
      <c r="W1422" s="75">
        <f>STOCK[[#This Row],[Precio Final]]-STOCK[[#This Row],[Costo total]]</f>
        <v>19.93</v>
      </c>
      <c r="X1422" s="75">
        <f>STOCK[[#This Row],[Ganancia Unitaria]]*STOCK[[#This Row],[Salidas]]</f>
        <v>0</v>
      </c>
      <c r="Y1422" s="75"/>
      <c r="Z1422" s="75"/>
      <c r="AA1422" s="54">
        <f>STOCK[[#This Row],[Costo total]]*STOCK[[#This Row],[Entradas]]</f>
        <v>30.14</v>
      </c>
      <c r="AB1422" s="54">
        <f>STOCK[[#This Row],[Stock Actual]]*STOCK[[#This Row],[Costo total]]</f>
        <v>30.14</v>
      </c>
      <c r="AC1422" s="75"/>
    </row>
    <row r="1423" spans="1:29" s="53" customFormat="1" ht="50" customHeight="1">
      <c r="A1423" s="53" t="s">
        <v>2885</v>
      </c>
      <c r="B1423" s="76"/>
      <c r="C1423" s="75" t="s">
        <v>32</v>
      </c>
      <c r="D1423" s="75" t="s">
        <v>2630</v>
      </c>
      <c r="E1423" s="77" t="s">
        <v>2886</v>
      </c>
      <c r="F1423" s="75" t="s">
        <v>62</v>
      </c>
      <c r="G1423" s="75"/>
      <c r="H1423" s="75">
        <f>STOCK[[#This Row],[Precio Final]]</f>
        <v>35</v>
      </c>
      <c r="I1423" s="80">
        <f>STOCK[[#This Row],[Precio Venta Ideal (x1.5)]]</f>
        <v>25.695000000000004</v>
      </c>
      <c r="J1423" s="78">
        <v>1</v>
      </c>
      <c r="K1423" s="78">
        <f>SUMIFS(VENTAS[Cantidad],VENTAS[Código del producto Vendido],STOCK[[#This Row],[Code]])</f>
        <v>0</v>
      </c>
      <c r="L1423" s="78">
        <f>STOCK[[#This Row],[Entradas]]-STOCK[[#This Row],[Salidas]]</f>
        <v>1</v>
      </c>
      <c r="M1423" s="75">
        <f>STOCK[[#This Row],[Precio Final]]*10%</f>
        <v>3.5</v>
      </c>
      <c r="N1423" s="75">
        <v>0</v>
      </c>
      <c r="O1423" s="75">
        <v>0</v>
      </c>
      <c r="P1423" s="75">
        <v>11.98</v>
      </c>
      <c r="Q1423" s="78">
        <v>0</v>
      </c>
      <c r="R1423" s="75">
        <v>0</v>
      </c>
      <c r="S1423" s="75">
        <v>1.65</v>
      </c>
      <c r="T1423" s="75">
        <f>STOCK[[#This Row],[Costo Unitario (USD)]]+STOCK[[#This Row],[Costo Envío (USD)]]+STOCK[[#This Row],[Comisión 10%]]</f>
        <v>17.130000000000003</v>
      </c>
      <c r="U1423" s="53">
        <f>STOCK[[#This Row],[Costo total]]*1.5</f>
        <v>25.695000000000004</v>
      </c>
      <c r="V1423" s="75">
        <v>35</v>
      </c>
      <c r="W1423" s="75">
        <f>STOCK[[#This Row],[Precio Final]]-STOCK[[#This Row],[Costo total]]</f>
        <v>17.869999999999997</v>
      </c>
      <c r="X1423" s="75">
        <f>STOCK[[#This Row],[Ganancia Unitaria]]*STOCK[[#This Row],[Salidas]]</f>
        <v>0</v>
      </c>
      <c r="Y1423" s="75"/>
      <c r="Z1423" s="75"/>
      <c r="AA1423" s="54">
        <f>STOCK[[#This Row],[Costo total]]*STOCK[[#This Row],[Entradas]]</f>
        <v>17.130000000000003</v>
      </c>
      <c r="AB1423" s="54">
        <f>STOCK[[#This Row],[Stock Actual]]*STOCK[[#This Row],[Costo total]]</f>
        <v>17.130000000000003</v>
      </c>
      <c r="AC1423" s="75"/>
    </row>
    <row r="1424" spans="1:29" s="53" customFormat="1" ht="50" customHeight="1">
      <c r="A1424" s="53" t="s">
        <v>2887</v>
      </c>
      <c r="B1424" s="76"/>
      <c r="C1424" s="75" t="s">
        <v>32</v>
      </c>
      <c r="D1424" s="75" t="s">
        <v>2630</v>
      </c>
      <c r="E1424" s="77" t="s">
        <v>2886</v>
      </c>
      <c r="F1424" s="75" t="s">
        <v>49</v>
      </c>
      <c r="G1424" s="75"/>
      <c r="H1424" s="75">
        <f>STOCK[[#This Row],[Precio Final]]</f>
        <v>35</v>
      </c>
      <c r="I1424" s="80">
        <f>STOCK[[#This Row],[Precio Venta Ideal (x1.5)]]</f>
        <v>25.695000000000004</v>
      </c>
      <c r="J1424" s="78">
        <v>1</v>
      </c>
      <c r="K1424" s="78">
        <f>SUMIFS(VENTAS[Cantidad],VENTAS[Código del producto Vendido],STOCK[[#This Row],[Code]])</f>
        <v>0</v>
      </c>
      <c r="L1424" s="78">
        <f>STOCK[[#This Row],[Entradas]]-STOCK[[#This Row],[Salidas]]</f>
        <v>1</v>
      </c>
      <c r="M1424" s="75">
        <f>STOCK[[#This Row],[Precio Final]]*10%</f>
        <v>3.5</v>
      </c>
      <c r="N1424" s="75">
        <v>0</v>
      </c>
      <c r="O1424" s="75">
        <v>0</v>
      </c>
      <c r="P1424" s="75">
        <v>11.98</v>
      </c>
      <c r="Q1424" s="78">
        <v>0</v>
      </c>
      <c r="R1424" s="75">
        <v>0</v>
      </c>
      <c r="S1424" s="75">
        <v>1.65</v>
      </c>
      <c r="T1424" s="75">
        <f>STOCK[[#This Row],[Costo Unitario (USD)]]+STOCK[[#This Row],[Costo Envío (USD)]]+STOCK[[#This Row],[Comisión 10%]]</f>
        <v>17.130000000000003</v>
      </c>
      <c r="U1424" s="53">
        <f>STOCK[[#This Row],[Costo total]]*1.5</f>
        <v>25.695000000000004</v>
      </c>
      <c r="V1424" s="75">
        <v>35</v>
      </c>
      <c r="W1424" s="75">
        <f>STOCK[[#This Row],[Precio Final]]-STOCK[[#This Row],[Costo total]]</f>
        <v>17.869999999999997</v>
      </c>
      <c r="X1424" s="75">
        <f>STOCK[[#This Row],[Ganancia Unitaria]]*STOCK[[#This Row],[Salidas]]</f>
        <v>0</v>
      </c>
      <c r="Y1424" s="75"/>
      <c r="Z1424" s="75"/>
      <c r="AA1424" s="54">
        <f>STOCK[[#This Row],[Costo total]]*STOCK[[#This Row],[Entradas]]</f>
        <v>17.130000000000003</v>
      </c>
      <c r="AB1424" s="54">
        <f>STOCK[[#This Row],[Stock Actual]]*STOCK[[#This Row],[Costo total]]</f>
        <v>17.130000000000003</v>
      </c>
      <c r="AC1424" s="75"/>
    </row>
    <row r="1425" spans="1:29" s="53" customFormat="1" ht="50" customHeight="1">
      <c r="A1425" s="53" t="s">
        <v>2888</v>
      </c>
      <c r="B1425" s="76"/>
      <c r="C1425" s="75" t="s">
        <v>32</v>
      </c>
      <c r="D1425" s="75" t="s">
        <v>2630</v>
      </c>
      <c r="E1425" s="77" t="s">
        <v>2886</v>
      </c>
      <c r="F1425" s="75" t="s">
        <v>42</v>
      </c>
      <c r="G1425" s="75"/>
      <c r="H1425" s="75">
        <f>STOCK[[#This Row],[Precio Final]]</f>
        <v>35</v>
      </c>
      <c r="I1425" s="80">
        <f>STOCK[[#This Row],[Precio Venta Ideal (x1.5)]]</f>
        <v>25.695000000000004</v>
      </c>
      <c r="J1425" s="78">
        <v>1</v>
      </c>
      <c r="K1425" s="78">
        <f>SUMIFS(VENTAS[Cantidad],VENTAS[Código del producto Vendido],STOCK[[#This Row],[Code]])</f>
        <v>1</v>
      </c>
      <c r="L1425" s="78">
        <f>STOCK[[#This Row],[Entradas]]-STOCK[[#This Row],[Salidas]]</f>
        <v>0</v>
      </c>
      <c r="M1425" s="75">
        <f>STOCK[[#This Row],[Precio Final]]*10%</f>
        <v>3.5</v>
      </c>
      <c r="N1425" s="75">
        <v>0</v>
      </c>
      <c r="O1425" s="75">
        <v>0</v>
      </c>
      <c r="P1425" s="75">
        <v>11.98</v>
      </c>
      <c r="Q1425" s="78">
        <v>0</v>
      </c>
      <c r="R1425" s="75">
        <v>0</v>
      </c>
      <c r="S1425" s="75">
        <v>1.65</v>
      </c>
      <c r="T1425" s="75">
        <f>STOCK[[#This Row],[Costo Unitario (USD)]]+STOCK[[#This Row],[Costo Envío (USD)]]+STOCK[[#This Row],[Comisión 10%]]</f>
        <v>17.130000000000003</v>
      </c>
      <c r="U1425" s="53">
        <f>STOCK[[#This Row],[Costo total]]*1.5</f>
        <v>25.695000000000004</v>
      </c>
      <c r="V1425" s="75">
        <v>35</v>
      </c>
      <c r="W1425" s="75">
        <f>STOCK[[#This Row],[Precio Final]]-STOCK[[#This Row],[Costo total]]</f>
        <v>17.869999999999997</v>
      </c>
      <c r="X1425" s="75">
        <f>STOCK[[#This Row],[Ganancia Unitaria]]*STOCK[[#This Row],[Salidas]]</f>
        <v>17.869999999999997</v>
      </c>
      <c r="Y1425" s="75"/>
      <c r="Z1425" s="75"/>
      <c r="AA1425" s="54">
        <f>STOCK[[#This Row],[Costo total]]*STOCK[[#This Row],[Entradas]]</f>
        <v>17.130000000000003</v>
      </c>
      <c r="AB1425" s="54">
        <f>STOCK[[#This Row],[Stock Actual]]*STOCK[[#This Row],[Costo total]]</f>
        <v>0</v>
      </c>
      <c r="AC1425" s="75"/>
    </row>
    <row r="1426" spans="1:29" s="53" customFormat="1" ht="50" customHeight="1">
      <c r="A1426" s="53" t="s">
        <v>2889</v>
      </c>
      <c r="B1426" s="76"/>
      <c r="C1426" s="75" t="s">
        <v>32</v>
      </c>
      <c r="D1426" s="75" t="s">
        <v>2630</v>
      </c>
      <c r="E1426" s="77" t="s">
        <v>2890</v>
      </c>
      <c r="F1426" s="75" t="s">
        <v>62</v>
      </c>
      <c r="G1426" s="75"/>
      <c r="H1426" s="75">
        <f>STOCK[[#This Row],[Precio Final]]</f>
        <v>20</v>
      </c>
      <c r="I1426" s="80">
        <f>STOCK[[#This Row],[Precio Venta Ideal (x1.5)]]</f>
        <v>19.215</v>
      </c>
      <c r="J1426" s="78">
        <v>1</v>
      </c>
      <c r="K1426" s="78">
        <f>SUMIFS(VENTAS[Cantidad],VENTAS[Código del producto Vendido],STOCK[[#This Row],[Code]])</f>
        <v>0</v>
      </c>
      <c r="L1426" s="78">
        <f>STOCK[[#This Row],[Entradas]]-STOCK[[#This Row],[Salidas]]</f>
        <v>1</v>
      </c>
      <c r="M1426" s="75">
        <f>STOCK[[#This Row],[Precio Final]]*10%</f>
        <v>2</v>
      </c>
      <c r="N1426" s="75">
        <v>0</v>
      </c>
      <c r="O1426" s="75">
        <v>0</v>
      </c>
      <c r="P1426" s="75">
        <v>9.16</v>
      </c>
      <c r="Q1426" s="78">
        <v>0</v>
      </c>
      <c r="R1426" s="75">
        <v>0</v>
      </c>
      <c r="S1426" s="75">
        <v>1.65</v>
      </c>
      <c r="T1426" s="75">
        <f>STOCK[[#This Row],[Costo Unitario (USD)]]+STOCK[[#This Row],[Costo Envío (USD)]]+STOCK[[#This Row],[Comisión 10%]]</f>
        <v>12.81</v>
      </c>
      <c r="U1426" s="53">
        <f>STOCK[[#This Row],[Costo total]]*1.5</f>
        <v>19.215</v>
      </c>
      <c r="V1426" s="75">
        <v>20</v>
      </c>
      <c r="W1426" s="75">
        <f>STOCK[[#This Row],[Precio Final]]-STOCK[[#This Row],[Costo total]]</f>
        <v>7.1899999999999995</v>
      </c>
      <c r="X1426" s="75">
        <f>STOCK[[#This Row],[Ganancia Unitaria]]*STOCK[[#This Row],[Salidas]]</f>
        <v>0</v>
      </c>
      <c r="Y1426" s="75"/>
      <c r="Z1426" s="75"/>
      <c r="AA1426" s="54">
        <f>STOCK[[#This Row],[Costo total]]*STOCK[[#This Row],[Entradas]]</f>
        <v>12.81</v>
      </c>
      <c r="AB1426" s="54">
        <f>STOCK[[#This Row],[Stock Actual]]*STOCK[[#This Row],[Costo total]]</f>
        <v>12.81</v>
      </c>
      <c r="AC1426" s="75"/>
    </row>
    <row r="1427" spans="1:29" s="53" customFormat="1" ht="50" customHeight="1">
      <c r="A1427" s="53" t="s">
        <v>2891</v>
      </c>
      <c r="B1427" s="76"/>
      <c r="C1427" s="75" t="s">
        <v>32</v>
      </c>
      <c r="D1427" s="75" t="s">
        <v>2630</v>
      </c>
      <c r="E1427" s="77" t="s">
        <v>2890</v>
      </c>
      <c r="F1427" s="75" t="s">
        <v>49</v>
      </c>
      <c r="G1427" s="75"/>
      <c r="H1427" s="75">
        <f>STOCK[[#This Row],[Precio Final]]</f>
        <v>20</v>
      </c>
      <c r="I1427" s="80">
        <f>STOCK[[#This Row],[Precio Venta Ideal (x1.5)]]</f>
        <v>19.215</v>
      </c>
      <c r="J1427" s="78">
        <v>1</v>
      </c>
      <c r="K1427" s="78">
        <f>SUMIFS(VENTAS[Cantidad],VENTAS[Código del producto Vendido],STOCK[[#This Row],[Code]])</f>
        <v>0</v>
      </c>
      <c r="L1427" s="78">
        <f>STOCK[[#This Row],[Entradas]]-STOCK[[#This Row],[Salidas]]</f>
        <v>1</v>
      </c>
      <c r="M1427" s="75">
        <f>STOCK[[#This Row],[Precio Final]]*10%</f>
        <v>2</v>
      </c>
      <c r="N1427" s="75">
        <v>0</v>
      </c>
      <c r="O1427" s="75">
        <v>0</v>
      </c>
      <c r="P1427" s="75">
        <v>9.16</v>
      </c>
      <c r="Q1427" s="78">
        <v>0</v>
      </c>
      <c r="R1427" s="75">
        <v>0</v>
      </c>
      <c r="S1427" s="75">
        <v>1.65</v>
      </c>
      <c r="T1427" s="75">
        <f>STOCK[[#This Row],[Costo Unitario (USD)]]+STOCK[[#This Row],[Costo Envío (USD)]]+STOCK[[#This Row],[Comisión 10%]]</f>
        <v>12.81</v>
      </c>
      <c r="U1427" s="53">
        <f>STOCK[[#This Row],[Costo total]]*1.5</f>
        <v>19.215</v>
      </c>
      <c r="V1427" s="75">
        <v>20</v>
      </c>
      <c r="W1427" s="75">
        <f>STOCK[[#This Row],[Precio Final]]-STOCK[[#This Row],[Costo total]]</f>
        <v>7.1899999999999995</v>
      </c>
      <c r="X1427" s="75">
        <f>STOCK[[#This Row],[Ganancia Unitaria]]*STOCK[[#This Row],[Salidas]]</f>
        <v>0</v>
      </c>
      <c r="Y1427" s="75"/>
      <c r="Z1427" s="75"/>
      <c r="AA1427" s="54">
        <f>STOCK[[#This Row],[Costo total]]*STOCK[[#This Row],[Entradas]]</f>
        <v>12.81</v>
      </c>
      <c r="AB1427" s="54">
        <f>STOCK[[#This Row],[Stock Actual]]*STOCK[[#This Row],[Costo total]]</f>
        <v>12.81</v>
      </c>
      <c r="AC1427" s="75"/>
    </row>
    <row r="1428" spans="1:29" s="53" customFormat="1" ht="50" customHeight="1">
      <c r="A1428" s="53" t="s">
        <v>2892</v>
      </c>
      <c r="B1428" s="76"/>
      <c r="C1428" s="75" t="s">
        <v>32</v>
      </c>
      <c r="D1428" s="75" t="s">
        <v>2630</v>
      </c>
      <c r="E1428" s="77" t="s">
        <v>2893</v>
      </c>
      <c r="F1428" s="75" t="s">
        <v>40</v>
      </c>
      <c r="G1428" s="75"/>
      <c r="H1428" s="75">
        <f>STOCK[[#This Row],[Precio Final]]</f>
        <v>20</v>
      </c>
      <c r="I1428" s="80">
        <f>STOCK[[#This Row],[Precio Venta Ideal (x1.5)]]</f>
        <v>16.905000000000001</v>
      </c>
      <c r="J1428" s="78">
        <v>1</v>
      </c>
      <c r="K1428" s="78">
        <f>SUMIFS(VENTAS[Cantidad],VENTAS[Código del producto Vendido],STOCK[[#This Row],[Code]])</f>
        <v>0</v>
      </c>
      <c r="L1428" s="78">
        <f>STOCK[[#This Row],[Entradas]]-STOCK[[#This Row],[Salidas]]</f>
        <v>1</v>
      </c>
      <c r="M1428" s="75">
        <f>STOCK[[#This Row],[Precio Final]]*10%</f>
        <v>2</v>
      </c>
      <c r="N1428" s="75">
        <v>0</v>
      </c>
      <c r="O1428" s="75">
        <v>0</v>
      </c>
      <c r="P1428" s="75">
        <v>7.62</v>
      </c>
      <c r="Q1428" s="78">
        <v>0</v>
      </c>
      <c r="R1428" s="75">
        <v>0</v>
      </c>
      <c r="S1428" s="75">
        <v>1.65</v>
      </c>
      <c r="T1428" s="75">
        <f>STOCK[[#This Row],[Costo Unitario (USD)]]+STOCK[[#This Row],[Costo Envío (USD)]]+STOCK[[#This Row],[Comisión 10%]]</f>
        <v>11.27</v>
      </c>
      <c r="U1428" s="53">
        <f>STOCK[[#This Row],[Costo total]]*1.5</f>
        <v>16.905000000000001</v>
      </c>
      <c r="V1428" s="75">
        <v>20</v>
      </c>
      <c r="W1428" s="75">
        <f>STOCK[[#This Row],[Precio Final]]-STOCK[[#This Row],[Costo total]]</f>
        <v>8.73</v>
      </c>
      <c r="X1428" s="75">
        <f>STOCK[[#This Row],[Ganancia Unitaria]]*STOCK[[#This Row],[Salidas]]</f>
        <v>0</v>
      </c>
      <c r="Y1428" s="75"/>
      <c r="Z1428" s="75"/>
      <c r="AA1428" s="54">
        <f>STOCK[[#This Row],[Costo total]]*STOCK[[#This Row],[Entradas]]</f>
        <v>11.27</v>
      </c>
      <c r="AB1428" s="54">
        <f>STOCK[[#This Row],[Stock Actual]]*STOCK[[#This Row],[Costo total]]</f>
        <v>11.27</v>
      </c>
      <c r="AC1428" s="75"/>
    </row>
    <row r="1429" spans="1:29" s="53" customFormat="1" ht="50" customHeight="1">
      <c r="A1429" s="53" t="s">
        <v>2894</v>
      </c>
      <c r="B1429" s="76"/>
      <c r="C1429" s="75" t="s">
        <v>32</v>
      </c>
      <c r="D1429" s="75" t="s">
        <v>2630</v>
      </c>
      <c r="E1429" s="77" t="s">
        <v>2893</v>
      </c>
      <c r="F1429" s="75" t="s">
        <v>62</v>
      </c>
      <c r="G1429" s="75"/>
      <c r="H1429" s="75">
        <f>STOCK[[#This Row],[Precio Final]]</f>
        <v>20</v>
      </c>
      <c r="I1429" s="80">
        <f>STOCK[[#This Row],[Precio Venta Ideal (x1.5)]]</f>
        <v>16.905000000000001</v>
      </c>
      <c r="J1429" s="78">
        <v>1</v>
      </c>
      <c r="K1429" s="78">
        <f>SUMIFS(VENTAS[Cantidad],VENTAS[Código del producto Vendido],STOCK[[#This Row],[Code]])</f>
        <v>0</v>
      </c>
      <c r="L1429" s="78">
        <f>STOCK[[#This Row],[Entradas]]-STOCK[[#This Row],[Salidas]]</f>
        <v>1</v>
      </c>
      <c r="M1429" s="75">
        <f>STOCK[[#This Row],[Precio Final]]*10%</f>
        <v>2</v>
      </c>
      <c r="N1429" s="75">
        <v>0</v>
      </c>
      <c r="O1429" s="75">
        <v>0</v>
      </c>
      <c r="P1429" s="75">
        <v>7.62</v>
      </c>
      <c r="Q1429" s="78">
        <v>0</v>
      </c>
      <c r="R1429" s="75">
        <v>0</v>
      </c>
      <c r="S1429" s="75">
        <v>1.65</v>
      </c>
      <c r="T1429" s="75">
        <f>STOCK[[#This Row],[Costo Unitario (USD)]]+STOCK[[#This Row],[Costo Envío (USD)]]+STOCK[[#This Row],[Comisión 10%]]</f>
        <v>11.27</v>
      </c>
      <c r="U1429" s="53">
        <f>STOCK[[#This Row],[Costo total]]*1.5</f>
        <v>16.905000000000001</v>
      </c>
      <c r="V1429" s="75">
        <v>20</v>
      </c>
      <c r="W1429" s="75">
        <f>STOCK[[#This Row],[Precio Final]]-STOCK[[#This Row],[Costo total]]</f>
        <v>8.73</v>
      </c>
      <c r="X1429" s="75">
        <f>STOCK[[#This Row],[Ganancia Unitaria]]*STOCK[[#This Row],[Salidas]]</f>
        <v>0</v>
      </c>
      <c r="Y1429" s="75"/>
      <c r="Z1429" s="75"/>
      <c r="AA1429" s="54">
        <f>STOCK[[#This Row],[Costo total]]*STOCK[[#This Row],[Entradas]]</f>
        <v>11.27</v>
      </c>
      <c r="AB1429" s="54">
        <f>STOCK[[#This Row],[Stock Actual]]*STOCK[[#This Row],[Costo total]]</f>
        <v>11.27</v>
      </c>
      <c r="AC1429" s="75"/>
    </row>
    <row r="1430" spans="1:29" s="53" customFormat="1" ht="50" customHeight="1">
      <c r="A1430" s="53" t="s">
        <v>2895</v>
      </c>
      <c r="B1430" s="76"/>
      <c r="C1430" s="75" t="s">
        <v>32</v>
      </c>
      <c r="D1430" s="75" t="s">
        <v>2630</v>
      </c>
      <c r="E1430" s="77" t="s">
        <v>2893</v>
      </c>
      <c r="F1430" s="75" t="s">
        <v>49</v>
      </c>
      <c r="G1430" s="75"/>
      <c r="H1430" s="75">
        <f>STOCK[[#This Row],[Precio Final]]</f>
        <v>20</v>
      </c>
      <c r="I1430" s="80">
        <f>STOCK[[#This Row],[Precio Venta Ideal (x1.5)]]</f>
        <v>16.905000000000001</v>
      </c>
      <c r="J1430" s="78">
        <v>1</v>
      </c>
      <c r="K1430" s="78">
        <f>SUMIFS(VENTAS[Cantidad],VENTAS[Código del producto Vendido],STOCK[[#This Row],[Code]])</f>
        <v>0</v>
      </c>
      <c r="L1430" s="78">
        <f>STOCK[[#This Row],[Entradas]]-STOCK[[#This Row],[Salidas]]</f>
        <v>1</v>
      </c>
      <c r="M1430" s="75">
        <f>STOCK[[#This Row],[Precio Final]]*10%</f>
        <v>2</v>
      </c>
      <c r="N1430" s="75">
        <v>0</v>
      </c>
      <c r="O1430" s="75">
        <v>0</v>
      </c>
      <c r="P1430" s="75">
        <v>7.62</v>
      </c>
      <c r="Q1430" s="78">
        <v>0</v>
      </c>
      <c r="R1430" s="75">
        <v>0</v>
      </c>
      <c r="S1430" s="75">
        <v>1.65</v>
      </c>
      <c r="T1430" s="75">
        <f>STOCK[[#This Row],[Costo Unitario (USD)]]+STOCK[[#This Row],[Costo Envío (USD)]]+STOCK[[#This Row],[Comisión 10%]]</f>
        <v>11.27</v>
      </c>
      <c r="U1430" s="53">
        <f>STOCK[[#This Row],[Costo total]]*1.5</f>
        <v>16.905000000000001</v>
      </c>
      <c r="V1430" s="75">
        <v>20</v>
      </c>
      <c r="W1430" s="75">
        <f>STOCK[[#This Row],[Precio Final]]-STOCK[[#This Row],[Costo total]]</f>
        <v>8.73</v>
      </c>
      <c r="X1430" s="75">
        <f>STOCK[[#This Row],[Ganancia Unitaria]]*STOCK[[#This Row],[Salidas]]</f>
        <v>0</v>
      </c>
      <c r="Y1430" s="75"/>
      <c r="Z1430" s="75"/>
      <c r="AA1430" s="54">
        <f>STOCK[[#This Row],[Costo total]]*STOCK[[#This Row],[Entradas]]</f>
        <v>11.27</v>
      </c>
      <c r="AB1430" s="54">
        <f>STOCK[[#This Row],[Stock Actual]]*STOCK[[#This Row],[Costo total]]</f>
        <v>11.27</v>
      </c>
      <c r="AC1430" s="75"/>
    </row>
    <row r="1431" spans="1:29" s="53" customFormat="1" ht="50" customHeight="1">
      <c r="A1431" s="53" t="s">
        <v>2896</v>
      </c>
      <c r="B1431" s="76"/>
      <c r="C1431" s="75" t="s">
        <v>32</v>
      </c>
      <c r="D1431" s="75" t="s">
        <v>2630</v>
      </c>
      <c r="E1431" s="77" t="s">
        <v>2893</v>
      </c>
      <c r="F1431" s="75" t="s">
        <v>46</v>
      </c>
      <c r="G1431" s="75"/>
      <c r="H1431" s="75">
        <f>STOCK[[#This Row],[Precio Final]]</f>
        <v>20</v>
      </c>
      <c r="I1431" s="80">
        <f>STOCK[[#This Row],[Precio Venta Ideal (x1.5)]]</f>
        <v>16.905000000000001</v>
      </c>
      <c r="J1431" s="78">
        <v>1</v>
      </c>
      <c r="K1431" s="78">
        <f>SUMIFS(VENTAS[Cantidad],VENTAS[Código del producto Vendido],STOCK[[#This Row],[Code]])</f>
        <v>0</v>
      </c>
      <c r="L1431" s="78">
        <f>STOCK[[#This Row],[Entradas]]-STOCK[[#This Row],[Salidas]]</f>
        <v>1</v>
      </c>
      <c r="M1431" s="75">
        <f>STOCK[[#This Row],[Precio Final]]*10%</f>
        <v>2</v>
      </c>
      <c r="N1431" s="75">
        <v>0</v>
      </c>
      <c r="O1431" s="75">
        <v>0</v>
      </c>
      <c r="P1431" s="75">
        <v>7.62</v>
      </c>
      <c r="Q1431" s="78">
        <v>0</v>
      </c>
      <c r="R1431" s="75">
        <v>0</v>
      </c>
      <c r="S1431" s="75">
        <v>1.65</v>
      </c>
      <c r="T1431" s="75">
        <f>STOCK[[#This Row],[Costo Unitario (USD)]]+STOCK[[#This Row],[Costo Envío (USD)]]+STOCK[[#This Row],[Comisión 10%]]</f>
        <v>11.27</v>
      </c>
      <c r="U1431" s="53">
        <f>STOCK[[#This Row],[Costo total]]*1.5</f>
        <v>16.905000000000001</v>
      </c>
      <c r="V1431" s="75">
        <v>20</v>
      </c>
      <c r="W1431" s="75">
        <f>STOCK[[#This Row],[Precio Final]]-STOCK[[#This Row],[Costo total]]</f>
        <v>8.73</v>
      </c>
      <c r="X1431" s="75">
        <f>STOCK[[#This Row],[Ganancia Unitaria]]*STOCK[[#This Row],[Salidas]]</f>
        <v>0</v>
      </c>
      <c r="Y1431" s="75"/>
      <c r="Z1431" s="75"/>
      <c r="AA1431" s="54">
        <f>STOCK[[#This Row],[Costo total]]*STOCK[[#This Row],[Entradas]]</f>
        <v>11.27</v>
      </c>
      <c r="AB1431" s="54">
        <f>STOCK[[#This Row],[Stock Actual]]*STOCK[[#This Row],[Costo total]]</f>
        <v>11.27</v>
      </c>
      <c r="AC1431" s="75"/>
    </row>
    <row r="1432" spans="1:29" s="53" customFormat="1" ht="50" customHeight="1">
      <c r="A1432" s="53" t="s">
        <v>2897</v>
      </c>
      <c r="B1432" s="76"/>
      <c r="C1432" s="75" t="s">
        <v>32</v>
      </c>
      <c r="D1432" s="75" t="s">
        <v>2898</v>
      </c>
      <c r="E1432" s="77" t="s">
        <v>2899</v>
      </c>
      <c r="F1432" s="75" t="s">
        <v>40</v>
      </c>
      <c r="G1432" s="75"/>
      <c r="H1432" s="75">
        <f>STOCK[[#This Row],[Precio Final]]</f>
        <v>15</v>
      </c>
      <c r="I1432" s="80">
        <f>STOCK[[#This Row],[Precio Venta Ideal (x1.5)]]</f>
        <v>11.82</v>
      </c>
      <c r="J1432" s="78">
        <v>2</v>
      </c>
      <c r="K1432" s="78">
        <f>SUMIFS(VENTAS[Cantidad],VENTAS[Código del producto Vendido],STOCK[[#This Row],[Code]])</f>
        <v>2</v>
      </c>
      <c r="L1432" s="78">
        <f>STOCK[[#This Row],[Entradas]]-STOCK[[#This Row],[Salidas]]</f>
        <v>0</v>
      </c>
      <c r="M1432" s="75">
        <f>STOCK[[#This Row],[Precio Final]]*10%</f>
        <v>1.5</v>
      </c>
      <c r="N1432" s="75">
        <v>0</v>
      </c>
      <c r="O1432" s="75">
        <v>0</v>
      </c>
      <c r="P1432" s="75">
        <v>4.7300000000000004</v>
      </c>
      <c r="Q1432" s="78">
        <v>0</v>
      </c>
      <c r="R1432" s="75">
        <v>0</v>
      </c>
      <c r="S1432" s="75">
        <v>1.65</v>
      </c>
      <c r="T1432" s="75">
        <f>STOCK[[#This Row],[Costo Unitario (USD)]]+STOCK[[#This Row],[Costo Envío (USD)]]+STOCK[[#This Row],[Comisión 10%]]</f>
        <v>7.8800000000000008</v>
      </c>
      <c r="U1432" s="53">
        <f>STOCK[[#This Row],[Costo total]]*1.5</f>
        <v>11.82</v>
      </c>
      <c r="V1432" s="75">
        <v>15</v>
      </c>
      <c r="W1432" s="75">
        <f>STOCK[[#This Row],[Precio Final]]-STOCK[[#This Row],[Costo total]]</f>
        <v>7.1199999999999992</v>
      </c>
      <c r="X1432" s="75">
        <f>STOCK[[#This Row],[Ganancia Unitaria]]*STOCK[[#This Row],[Salidas]]</f>
        <v>14.239999999999998</v>
      </c>
      <c r="Y1432" s="75"/>
      <c r="Z1432" s="75"/>
      <c r="AA1432" s="54">
        <f>STOCK[[#This Row],[Costo total]]*STOCK[[#This Row],[Entradas]]</f>
        <v>15.760000000000002</v>
      </c>
      <c r="AB1432" s="54">
        <f>STOCK[[#This Row],[Stock Actual]]*STOCK[[#This Row],[Costo total]]</f>
        <v>0</v>
      </c>
      <c r="AC1432" s="75"/>
    </row>
    <row r="1433" spans="1:29" s="53" customFormat="1" ht="50" customHeight="1">
      <c r="A1433" s="53" t="s">
        <v>2900</v>
      </c>
      <c r="B1433" s="76"/>
      <c r="C1433" s="75" t="s">
        <v>32</v>
      </c>
      <c r="D1433" s="75" t="s">
        <v>2898</v>
      </c>
      <c r="E1433" s="77" t="s">
        <v>2899</v>
      </c>
      <c r="F1433" s="75" t="s">
        <v>62</v>
      </c>
      <c r="G1433" s="75"/>
      <c r="H1433" s="75">
        <f>STOCK[[#This Row],[Precio Final]]</f>
        <v>15</v>
      </c>
      <c r="I1433" s="80">
        <f>STOCK[[#This Row],[Precio Venta Ideal (x1.5)]]</f>
        <v>11.82</v>
      </c>
      <c r="J1433" s="78">
        <v>3</v>
      </c>
      <c r="K1433" s="78">
        <f>SUMIFS(VENTAS[Cantidad],VENTAS[Código del producto Vendido],STOCK[[#This Row],[Code]])</f>
        <v>1</v>
      </c>
      <c r="L1433" s="78">
        <f>STOCK[[#This Row],[Entradas]]-STOCK[[#This Row],[Salidas]]</f>
        <v>2</v>
      </c>
      <c r="M1433" s="75">
        <f>STOCK[[#This Row],[Precio Final]]*10%</f>
        <v>1.5</v>
      </c>
      <c r="N1433" s="75">
        <v>0</v>
      </c>
      <c r="O1433" s="75">
        <v>0</v>
      </c>
      <c r="P1433" s="75">
        <v>4.7300000000000004</v>
      </c>
      <c r="Q1433" s="78">
        <v>0</v>
      </c>
      <c r="R1433" s="75">
        <v>0</v>
      </c>
      <c r="S1433" s="75">
        <v>1.65</v>
      </c>
      <c r="T1433" s="75">
        <f>STOCK[[#This Row],[Costo Unitario (USD)]]+STOCK[[#This Row],[Costo Envío (USD)]]+STOCK[[#This Row],[Comisión 10%]]</f>
        <v>7.8800000000000008</v>
      </c>
      <c r="U1433" s="53">
        <f>STOCK[[#This Row],[Costo total]]*1.5</f>
        <v>11.82</v>
      </c>
      <c r="V1433" s="75">
        <v>15</v>
      </c>
      <c r="W1433" s="75">
        <f>STOCK[[#This Row],[Precio Final]]-STOCK[[#This Row],[Costo total]]</f>
        <v>7.1199999999999992</v>
      </c>
      <c r="X1433" s="75">
        <f>STOCK[[#This Row],[Ganancia Unitaria]]*STOCK[[#This Row],[Salidas]]</f>
        <v>7.1199999999999992</v>
      </c>
      <c r="Y1433" s="75"/>
      <c r="Z1433" s="75"/>
      <c r="AA1433" s="54">
        <f>STOCK[[#This Row],[Costo total]]*STOCK[[#This Row],[Entradas]]</f>
        <v>23.64</v>
      </c>
      <c r="AB1433" s="54">
        <f>STOCK[[#This Row],[Stock Actual]]*STOCK[[#This Row],[Costo total]]</f>
        <v>15.760000000000002</v>
      </c>
      <c r="AC1433" s="75"/>
    </row>
    <row r="1434" spans="1:29" s="53" customFormat="1" ht="50" customHeight="1">
      <c r="A1434" s="53" t="s">
        <v>2901</v>
      </c>
      <c r="B1434" s="76"/>
      <c r="C1434" s="75" t="s">
        <v>32</v>
      </c>
      <c r="D1434" s="75" t="s">
        <v>2898</v>
      </c>
      <c r="E1434" s="77" t="s">
        <v>2899</v>
      </c>
      <c r="F1434" s="75" t="s">
        <v>49</v>
      </c>
      <c r="G1434" s="75"/>
      <c r="H1434" s="75">
        <f>STOCK[[#This Row],[Precio Final]]</f>
        <v>15</v>
      </c>
      <c r="I1434" s="80">
        <f>STOCK[[#This Row],[Precio Venta Ideal (x1.5)]]</f>
        <v>11.82</v>
      </c>
      <c r="J1434" s="78">
        <v>2</v>
      </c>
      <c r="K1434" s="78">
        <f>SUMIFS(VENTAS[Cantidad],VENTAS[Código del producto Vendido],STOCK[[#This Row],[Code]])</f>
        <v>1</v>
      </c>
      <c r="L1434" s="78">
        <f>STOCK[[#This Row],[Entradas]]-STOCK[[#This Row],[Salidas]]</f>
        <v>1</v>
      </c>
      <c r="M1434" s="75">
        <f>STOCK[[#This Row],[Precio Final]]*10%</f>
        <v>1.5</v>
      </c>
      <c r="N1434" s="75">
        <v>0</v>
      </c>
      <c r="O1434" s="75">
        <v>0</v>
      </c>
      <c r="P1434" s="75">
        <v>4.7300000000000004</v>
      </c>
      <c r="Q1434" s="78">
        <v>0</v>
      </c>
      <c r="R1434" s="75">
        <v>0</v>
      </c>
      <c r="S1434" s="75">
        <v>1.65</v>
      </c>
      <c r="T1434" s="75">
        <f>STOCK[[#This Row],[Costo Unitario (USD)]]+STOCK[[#This Row],[Costo Envío (USD)]]+STOCK[[#This Row],[Comisión 10%]]</f>
        <v>7.8800000000000008</v>
      </c>
      <c r="U1434" s="53">
        <f>STOCK[[#This Row],[Costo total]]*1.5</f>
        <v>11.82</v>
      </c>
      <c r="V1434" s="75">
        <v>15</v>
      </c>
      <c r="W1434" s="75">
        <f>STOCK[[#This Row],[Precio Final]]-STOCK[[#This Row],[Costo total]]</f>
        <v>7.1199999999999992</v>
      </c>
      <c r="X1434" s="75">
        <f>STOCK[[#This Row],[Ganancia Unitaria]]*STOCK[[#This Row],[Salidas]]</f>
        <v>7.1199999999999992</v>
      </c>
      <c r="Y1434" s="75"/>
      <c r="Z1434" s="75"/>
      <c r="AA1434" s="54">
        <f>STOCK[[#This Row],[Costo total]]*STOCK[[#This Row],[Entradas]]</f>
        <v>15.760000000000002</v>
      </c>
      <c r="AB1434" s="54">
        <f>STOCK[[#This Row],[Stock Actual]]*STOCK[[#This Row],[Costo total]]</f>
        <v>7.8800000000000008</v>
      </c>
      <c r="AC1434" s="75"/>
    </row>
    <row r="1435" spans="1:29" s="53" customFormat="1" ht="50" customHeight="1">
      <c r="A1435" s="53" t="s">
        <v>2902</v>
      </c>
      <c r="B1435" s="76"/>
      <c r="C1435" s="75" t="s">
        <v>32</v>
      </c>
      <c r="D1435" s="75" t="s">
        <v>2898</v>
      </c>
      <c r="E1435" s="77" t="s">
        <v>2899</v>
      </c>
      <c r="F1435" s="75" t="s">
        <v>46</v>
      </c>
      <c r="G1435" s="75"/>
      <c r="H1435" s="75">
        <f>STOCK[[#This Row],[Precio Final]]</f>
        <v>15</v>
      </c>
      <c r="I1435" s="80">
        <f>STOCK[[#This Row],[Precio Venta Ideal (x1.5)]]</f>
        <v>11.82</v>
      </c>
      <c r="J1435" s="78">
        <v>2</v>
      </c>
      <c r="K1435" s="78">
        <f>SUMIFS(VENTAS[Cantidad],VENTAS[Código del producto Vendido],STOCK[[#This Row],[Code]])</f>
        <v>2</v>
      </c>
      <c r="L1435" s="78">
        <f>STOCK[[#This Row],[Entradas]]-STOCK[[#This Row],[Salidas]]</f>
        <v>0</v>
      </c>
      <c r="M1435" s="75">
        <f>STOCK[[#This Row],[Precio Final]]*10%</f>
        <v>1.5</v>
      </c>
      <c r="N1435" s="75">
        <v>0</v>
      </c>
      <c r="O1435" s="75">
        <v>0</v>
      </c>
      <c r="P1435" s="75">
        <v>4.7300000000000004</v>
      </c>
      <c r="Q1435" s="78">
        <v>0</v>
      </c>
      <c r="R1435" s="75">
        <v>0</v>
      </c>
      <c r="S1435" s="75">
        <v>1.65</v>
      </c>
      <c r="T1435" s="75">
        <f>STOCK[[#This Row],[Costo Unitario (USD)]]+STOCK[[#This Row],[Costo Envío (USD)]]+STOCK[[#This Row],[Comisión 10%]]</f>
        <v>7.8800000000000008</v>
      </c>
      <c r="U1435" s="53">
        <f>STOCK[[#This Row],[Costo total]]*1.5</f>
        <v>11.82</v>
      </c>
      <c r="V1435" s="75">
        <v>15</v>
      </c>
      <c r="W1435" s="75">
        <f>STOCK[[#This Row],[Precio Final]]-STOCK[[#This Row],[Costo total]]</f>
        <v>7.1199999999999992</v>
      </c>
      <c r="X1435" s="75">
        <f>STOCK[[#This Row],[Ganancia Unitaria]]*STOCK[[#This Row],[Salidas]]</f>
        <v>14.239999999999998</v>
      </c>
      <c r="Y1435" s="75"/>
      <c r="Z1435" s="75"/>
      <c r="AA1435" s="54">
        <f>STOCK[[#This Row],[Costo total]]*STOCK[[#This Row],[Entradas]]</f>
        <v>15.760000000000002</v>
      </c>
      <c r="AB1435" s="54">
        <f>STOCK[[#This Row],[Stock Actual]]*STOCK[[#This Row],[Costo total]]</f>
        <v>0</v>
      </c>
      <c r="AC1435" s="75"/>
    </row>
    <row r="1436" spans="1:29" s="53" customFormat="1" ht="50" customHeight="1">
      <c r="A1436" s="53" t="s">
        <v>2903</v>
      </c>
      <c r="B1436" s="76"/>
      <c r="C1436" s="75" t="s">
        <v>32</v>
      </c>
      <c r="D1436" s="75" t="s">
        <v>2898</v>
      </c>
      <c r="E1436" s="77" t="s">
        <v>2904</v>
      </c>
      <c r="F1436" s="75" t="s">
        <v>40</v>
      </c>
      <c r="G1436" s="75"/>
      <c r="H1436" s="75">
        <f>STOCK[[#This Row],[Precio Final]]</f>
        <v>15</v>
      </c>
      <c r="I1436" s="80">
        <f>STOCK[[#This Row],[Precio Venta Ideal (x1.5)]]</f>
        <v>14.46</v>
      </c>
      <c r="J1436" s="78">
        <v>2</v>
      </c>
      <c r="K1436" s="78">
        <f>SUMIFS(VENTAS[Cantidad],VENTAS[Código del producto Vendido],STOCK[[#This Row],[Code]])</f>
        <v>1</v>
      </c>
      <c r="L1436" s="78">
        <f>STOCK[[#This Row],[Entradas]]-STOCK[[#This Row],[Salidas]]</f>
        <v>1</v>
      </c>
      <c r="M1436" s="75">
        <f>STOCK[[#This Row],[Precio Final]]*10%</f>
        <v>1.5</v>
      </c>
      <c r="N1436" s="75">
        <v>0</v>
      </c>
      <c r="O1436" s="75">
        <v>0</v>
      </c>
      <c r="P1436" s="75">
        <v>6.49</v>
      </c>
      <c r="Q1436" s="78">
        <v>0</v>
      </c>
      <c r="R1436" s="75">
        <v>0</v>
      </c>
      <c r="S1436" s="75">
        <v>1.65</v>
      </c>
      <c r="T1436" s="75">
        <f>STOCK[[#This Row],[Costo Unitario (USD)]]+STOCK[[#This Row],[Costo Envío (USD)]]+STOCK[[#This Row],[Comisión 10%]]</f>
        <v>9.64</v>
      </c>
      <c r="U1436" s="53">
        <f>STOCK[[#This Row],[Costo total]]*1.5</f>
        <v>14.46</v>
      </c>
      <c r="V1436" s="81">
        <v>15</v>
      </c>
      <c r="W1436" s="75">
        <f>STOCK[[#This Row],[Precio Final]]-STOCK[[#This Row],[Costo total]]</f>
        <v>5.3599999999999994</v>
      </c>
      <c r="X1436" s="75">
        <f>STOCK[[#This Row],[Ganancia Unitaria]]*STOCK[[#This Row],[Salidas]]</f>
        <v>5.3599999999999994</v>
      </c>
      <c r="Y1436" s="75"/>
      <c r="Z1436" s="75"/>
      <c r="AA1436" s="54">
        <f>STOCK[[#This Row],[Costo total]]*STOCK[[#This Row],[Entradas]]</f>
        <v>19.28</v>
      </c>
      <c r="AB1436" s="54">
        <f>STOCK[[#This Row],[Stock Actual]]*STOCK[[#This Row],[Costo total]]</f>
        <v>9.64</v>
      </c>
      <c r="AC1436" s="75"/>
    </row>
    <row r="1437" spans="1:29" s="53" customFormat="1" ht="50" customHeight="1">
      <c r="A1437" s="53" t="s">
        <v>2905</v>
      </c>
      <c r="B1437" s="76"/>
      <c r="C1437" s="75" t="s">
        <v>32</v>
      </c>
      <c r="D1437" s="75" t="s">
        <v>2898</v>
      </c>
      <c r="E1437" s="77" t="s">
        <v>2904</v>
      </c>
      <c r="F1437" s="75" t="s">
        <v>62</v>
      </c>
      <c r="G1437" s="75"/>
      <c r="H1437" s="75">
        <f>STOCK[[#This Row],[Precio Final]]</f>
        <v>15</v>
      </c>
      <c r="I1437" s="80">
        <f>STOCK[[#This Row],[Precio Venta Ideal (x1.5)]]</f>
        <v>14.475000000000001</v>
      </c>
      <c r="J1437" s="78">
        <v>2</v>
      </c>
      <c r="K1437" s="78">
        <f>SUMIFS(VENTAS[Cantidad],VENTAS[Código del producto Vendido],STOCK[[#This Row],[Code]])</f>
        <v>1</v>
      </c>
      <c r="L1437" s="78">
        <f>STOCK[[#This Row],[Entradas]]-STOCK[[#This Row],[Salidas]]</f>
        <v>1</v>
      </c>
      <c r="M1437" s="75">
        <f>STOCK[[#This Row],[Precio Final]]*10%</f>
        <v>1.5</v>
      </c>
      <c r="N1437" s="75">
        <v>0</v>
      </c>
      <c r="O1437" s="75">
        <v>0</v>
      </c>
      <c r="P1437" s="75">
        <v>6.5</v>
      </c>
      <c r="Q1437" s="78">
        <v>0</v>
      </c>
      <c r="R1437" s="75">
        <v>0</v>
      </c>
      <c r="S1437" s="75">
        <v>1.65</v>
      </c>
      <c r="T1437" s="75">
        <f>STOCK[[#This Row],[Costo Unitario (USD)]]+STOCK[[#This Row],[Costo Envío (USD)]]+STOCK[[#This Row],[Comisión 10%]]</f>
        <v>9.65</v>
      </c>
      <c r="U1437" s="53">
        <f>STOCK[[#This Row],[Costo total]]*1.5</f>
        <v>14.475000000000001</v>
      </c>
      <c r="V1437" s="75">
        <v>15</v>
      </c>
      <c r="W1437" s="75">
        <f>STOCK[[#This Row],[Precio Final]]-STOCK[[#This Row],[Costo total]]</f>
        <v>5.35</v>
      </c>
      <c r="X1437" s="75">
        <f>STOCK[[#This Row],[Ganancia Unitaria]]*STOCK[[#This Row],[Salidas]]</f>
        <v>5.35</v>
      </c>
      <c r="Y1437" s="75"/>
      <c r="Z1437" s="75"/>
      <c r="AA1437" s="54">
        <f>STOCK[[#This Row],[Costo total]]*STOCK[[#This Row],[Entradas]]</f>
        <v>19.3</v>
      </c>
      <c r="AB1437" s="54">
        <f>STOCK[[#This Row],[Stock Actual]]*STOCK[[#This Row],[Costo total]]</f>
        <v>9.65</v>
      </c>
      <c r="AC1437" s="75"/>
    </row>
    <row r="1438" spans="1:29" s="53" customFormat="1" ht="50" customHeight="1">
      <c r="A1438" s="53" t="s">
        <v>2906</v>
      </c>
      <c r="B1438" s="76"/>
      <c r="C1438" s="75" t="s">
        <v>32</v>
      </c>
      <c r="D1438" s="75" t="s">
        <v>2898</v>
      </c>
      <c r="E1438" s="77" t="s">
        <v>2904</v>
      </c>
      <c r="F1438" s="75" t="s">
        <v>49</v>
      </c>
      <c r="G1438" s="75"/>
      <c r="H1438" s="75">
        <f>STOCK[[#This Row],[Precio Final]]</f>
        <v>15</v>
      </c>
      <c r="I1438" s="80">
        <f>STOCK[[#This Row],[Precio Venta Ideal (x1.5)]]</f>
        <v>14.46</v>
      </c>
      <c r="J1438" s="78">
        <v>2</v>
      </c>
      <c r="K1438" s="78">
        <f>SUMIFS(VENTAS[Cantidad],VENTAS[Código del producto Vendido],STOCK[[#This Row],[Code]])</f>
        <v>2</v>
      </c>
      <c r="L1438" s="78">
        <f>STOCK[[#This Row],[Entradas]]-STOCK[[#This Row],[Salidas]]</f>
        <v>0</v>
      </c>
      <c r="M1438" s="75">
        <f>STOCK[[#This Row],[Precio Final]]*10%</f>
        <v>1.5</v>
      </c>
      <c r="N1438" s="75">
        <v>0</v>
      </c>
      <c r="O1438" s="75">
        <v>0</v>
      </c>
      <c r="P1438" s="75">
        <v>6.49</v>
      </c>
      <c r="Q1438" s="78">
        <v>0</v>
      </c>
      <c r="R1438" s="75">
        <v>0</v>
      </c>
      <c r="S1438" s="75">
        <v>1.65</v>
      </c>
      <c r="T1438" s="75">
        <f>STOCK[[#This Row],[Costo Unitario (USD)]]+STOCK[[#This Row],[Costo Envío (USD)]]+STOCK[[#This Row],[Comisión 10%]]</f>
        <v>9.64</v>
      </c>
      <c r="U1438" s="53">
        <f>STOCK[[#This Row],[Costo total]]*1.5</f>
        <v>14.46</v>
      </c>
      <c r="V1438" s="75">
        <v>15</v>
      </c>
      <c r="W1438" s="75">
        <f>STOCK[[#This Row],[Precio Final]]-STOCK[[#This Row],[Costo total]]</f>
        <v>5.3599999999999994</v>
      </c>
      <c r="X1438" s="75">
        <f>STOCK[[#This Row],[Ganancia Unitaria]]*STOCK[[#This Row],[Salidas]]</f>
        <v>10.719999999999999</v>
      </c>
      <c r="Y1438" s="75"/>
      <c r="Z1438" s="75"/>
      <c r="AA1438" s="54">
        <f>STOCK[[#This Row],[Costo total]]*STOCK[[#This Row],[Entradas]]</f>
        <v>19.28</v>
      </c>
      <c r="AB1438" s="54">
        <f>STOCK[[#This Row],[Stock Actual]]*STOCK[[#This Row],[Costo total]]</f>
        <v>0</v>
      </c>
      <c r="AC1438" s="75"/>
    </row>
    <row r="1439" spans="1:29" s="53" customFormat="1" ht="50" customHeight="1">
      <c r="A1439" s="53" t="s">
        <v>2907</v>
      </c>
      <c r="B1439" s="76"/>
      <c r="C1439" s="75" t="s">
        <v>32</v>
      </c>
      <c r="D1439" s="75" t="s">
        <v>2898</v>
      </c>
      <c r="E1439" s="77" t="s">
        <v>2904</v>
      </c>
      <c r="F1439" s="75" t="s">
        <v>46</v>
      </c>
      <c r="G1439" s="75"/>
      <c r="H1439" s="75">
        <f>STOCK[[#This Row],[Precio Final]]</f>
        <v>15</v>
      </c>
      <c r="I1439" s="80">
        <f>STOCK[[#This Row],[Precio Venta Ideal (x1.5)]]</f>
        <v>14.475000000000001</v>
      </c>
      <c r="J1439" s="78">
        <v>2</v>
      </c>
      <c r="K1439" s="78">
        <f>SUMIFS(VENTAS[Cantidad],VENTAS[Código del producto Vendido],STOCK[[#This Row],[Code]])</f>
        <v>2</v>
      </c>
      <c r="L1439" s="78">
        <f>STOCK[[#This Row],[Entradas]]-STOCK[[#This Row],[Salidas]]</f>
        <v>0</v>
      </c>
      <c r="M1439" s="75">
        <f>STOCK[[#This Row],[Precio Final]]*10%</f>
        <v>1.5</v>
      </c>
      <c r="N1439" s="75">
        <v>0</v>
      </c>
      <c r="O1439" s="75">
        <v>0</v>
      </c>
      <c r="P1439" s="75">
        <v>6.5</v>
      </c>
      <c r="Q1439" s="78">
        <v>0</v>
      </c>
      <c r="R1439" s="75">
        <v>0</v>
      </c>
      <c r="S1439" s="75">
        <v>1.65</v>
      </c>
      <c r="T1439" s="75">
        <f>STOCK[[#This Row],[Costo Unitario (USD)]]+STOCK[[#This Row],[Costo Envío (USD)]]+STOCK[[#This Row],[Comisión 10%]]</f>
        <v>9.65</v>
      </c>
      <c r="U1439" s="53">
        <f>STOCK[[#This Row],[Costo total]]*1.5</f>
        <v>14.475000000000001</v>
      </c>
      <c r="V1439" s="75">
        <v>15</v>
      </c>
      <c r="W1439" s="75">
        <f>STOCK[[#This Row],[Precio Final]]-STOCK[[#This Row],[Costo total]]</f>
        <v>5.35</v>
      </c>
      <c r="X1439" s="75">
        <f>STOCK[[#This Row],[Ganancia Unitaria]]*STOCK[[#This Row],[Salidas]]</f>
        <v>10.7</v>
      </c>
      <c r="Y1439" s="75"/>
      <c r="Z1439" s="75"/>
      <c r="AA1439" s="54">
        <f>STOCK[[#This Row],[Costo total]]*STOCK[[#This Row],[Entradas]]</f>
        <v>19.3</v>
      </c>
      <c r="AB1439" s="54">
        <f>STOCK[[#This Row],[Stock Actual]]*STOCK[[#This Row],[Costo total]]</f>
        <v>0</v>
      </c>
      <c r="AC1439" s="75"/>
    </row>
    <row r="1440" spans="1:29" s="53" customFormat="1" ht="50" customHeight="1">
      <c r="A1440" s="53" t="s">
        <v>2908</v>
      </c>
      <c r="B1440" s="76"/>
      <c r="C1440" s="75" t="s">
        <v>32</v>
      </c>
      <c r="D1440" s="75" t="s">
        <v>2898</v>
      </c>
      <c r="E1440" s="77" t="s">
        <v>2909</v>
      </c>
      <c r="F1440" s="75" t="s">
        <v>42</v>
      </c>
      <c r="G1440" s="75"/>
      <c r="H1440" s="75">
        <f>STOCK[[#This Row],[Precio Final]]</f>
        <v>15</v>
      </c>
      <c r="I1440" s="80">
        <f>STOCK[[#This Row],[Precio Venta Ideal (x1.5)]]</f>
        <v>11.309999999999999</v>
      </c>
      <c r="J1440" s="78">
        <v>2</v>
      </c>
      <c r="K1440" s="78">
        <f>SUMIFS(VENTAS[Cantidad],VENTAS[Código del producto Vendido],STOCK[[#This Row],[Code]])</f>
        <v>1</v>
      </c>
      <c r="L1440" s="78">
        <f>STOCK[[#This Row],[Entradas]]-STOCK[[#This Row],[Salidas]]</f>
        <v>1</v>
      </c>
      <c r="M1440" s="75">
        <f>STOCK[[#This Row],[Precio Final]]*10%</f>
        <v>1.5</v>
      </c>
      <c r="N1440" s="75">
        <v>0</v>
      </c>
      <c r="O1440" s="75">
        <v>0</v>
      </c>
      <c r="P1440" s="75">
        <v>4.3899999999999997</v>
      </c>
      <c r="Q1440" s="78">
        <v>0</v>
      </c>
      <c r="R1440" s="75">
        <v>0</v>
      </c>
      <c r="S1440" s="75">
        <v>1.65</v>
      </c>
      <c r="T1440" s="75">
        <f>STOCK[[#This Row],[Costo Unitario (USD)]]+STOCK[[#This Row],[Costo Envío (USD)]]+STOCK[[#This Row],[Comisión 10%]]</f>
        <v>7.5399999999999991</v>
      </c>
      <c r="U1440" s="53">
        <f>STOCK[[#This Row],[Costo total]]*1.5</f>
        <v>11.309999999999999</v>
      </c>
      <c r="V1440" s="75">
        <v>15</v>
      </c>
      <c r="W1440" s="75">
        <f>STOCK[[#This Row],[Precio Final]]-STOCK[[#This Row],[Costo total]]</f>
        <v>7.4600000000000009</v>
      </c>
      <c r="X1440" s="75">
        <f>STOCK[[#This Row],[Ganancia Unitaria]]*STOCK[[#This Row],[Salidas]]</f>
        <v>7.4600000000000009</v>
      </c>
      <c r="Y1440" s="75"/>
      <c r="Z1440" s="75"/>
      <c r="AA1440" s="54">
        <f>STOCK[[#This Row],[Costo total]]*STOCK[[#This Row],[Entradas]]</f>
        <v>15.079999999999998</v>
      </c>
      <c r="AB1440" s="54">
        <f>STOCK[[#This Row],[Stock Actual]]*STOCK[[#This Row],[Costo total]]</f>
        <v>7.5399999999999991</v>
      </c>
      <c r="AC1440" s="75"/>
    </row>
    <row r="1441" spans="1:29" s="53" customFormat="1" ht="50" customHeight="1">
      <c r="A1441" s="53" t="s">
        <v>2910</v>
      </c>
      <c r="B1441" s="76"/>
      <c r="C1441" s="75" t="s">
        <v>32</v>
      </c>
      <c r="D1441" s="75" t="s">
        <v>2898</v>
      </c>
      <c r="E1441" s="77" t="s">
        <v>2911</v>
      </c>
      <c r="F1441" s="75" t="s">
        <v>42</v>
      </c>
      <c r="G1441" s="75"/>
      <c r="H1441" s="75">
        <f>STOCK[[#This Row],[Precio Final]]</f>
        <v>15</v>
      </c>
      <c r="I1441" s="80">
        <f>STOCK[[#This Row],[Precio Venta Ideal (x1.5)]]</f>
        <v>12.135</v>
      </c>
      <c r="J1441" s="78">
        <v>2</v>
      </c>
      <c r="K1441" s="78">
        <f>SUMIFS(VENTAS[Cantidad],VENTAS[Código del producto Vendido],STOCK[[#This Row],[Code]])</f>
        <v>0</v>
      </c>
      <c r="L1441" s="78">
        <f>STOCK[[#This Row],[Entradas]]-STOCK[[#This Row],[Salidas]]</f>
        <v>2</v>
      </c>
      <c r="M1441" s="75">
        <f>STOCK[[#This Row],[Precio Final]]*10%</f>
        <v>1.5</v>
      </c>
      <c r="N1441" s="75">
        <v>0</v>
      </c>
      <c r="O1441" s="75">
        <v>0</v>
      </c>
      <c r="P1441" s="75">
        <v>4.9400000000000004</v>
      </c>
      <c r="Q1441" s="78">
        <v>0</v>
      </c>
      <c r="R1441" s="75">
        <v>0</v>
      </c>
      <c r="S1441" s="75">
        <v>1.65</v>
      </c>
      <c r="T1441" s="75">
        <f>STOCK[[#This Row],[Costo Unitario (USD)]]+STOCK[[#This Row],[Costo Envío (USD)]]+STOCK[[#This Row],[Comisión 10%]]</f>
        <v>8.09</v>
      </c>
      <c r="U1441" s="53">
        <f>STOCK[[#This Row],[Costo total]]*1.5</f>
        <v>12.135</v>
      </c>
      <c r="V1441" s="75">
        <v>15</v>
      </c>
      <c r="W1441" s="75">
        <f>STOCK[[#This Row],[Precio Final]]-STOCK[[#This Row],[Costo total]]</f>
        <v>6.91</v>
      </c>
      <c r="X1441" s="75">
        <f>STOCK[[#This Row],[Ganancia Unitaria]]*STOCK[[#This Row],[Salidas]]</f>
        <v>0</v>
      </c>
      <c r="Y1441" s="75"/>
      <c r="Z1441" s="75"/>
      <c r="AA1441" s="54">
        <f>STOCK[[#This Row],[Costo total]]*STOCK[[#This Row],[Entradas]]</f>
        <v>16.18</v>
      </c>
      <c r="AB1441" s="54">
        <f>STOCK[[#This Row],[Stock Actual]]*STOCK[[#This Row],[Costo total]]</f>
        <v>16.18</v>
      </c>
      <c r="AC1441" s="75"/>
    </row>
    <row r="1442" spans="1:29" s="53" customFormat="1" ht="50" customHeight="1">
      <c r="A1442" s="53" t="s">
        <v>2912</v>
      </c>
      <c r="B1442" s="76"/>
      <c r="C1442" s="75" t="s">
        <v>32</v>
      </c>
      <c r="D1442" s="75" t="s">
        <v>2898</v>
      </c>
      <c r="E1442" s="77" t="s">
        <v>2913</v>
      </c>
      <c r="F1442" s="75" t="s">
        <v>42</v>
      </c>
      <c r="G1442" s="75"/>
      <c r="H1442" s="75">
        <f>STOCK[[#This Row],[Precio Final]]</f>
        <v>15</v>
      </c>
      <c r="I1442" s="80">
        <f>STOCK[[#This Row],[Precio Venta Ideal (x1.5)]]</f>
        <v>11.16</v>
      </c>
      <c r="J1442" s="78">
        <v>2</v>
      </c>
      <c r="K1442" s="78">
        <f>SUMIFS(VENTAS[Cantidad],VENTAS[Código del producto Vendido],STOCK[[#This Row],[Code]])</f>
        <v>1</v>
      </c>
      <c r="L1442" s="78">
        <f>STOCK[[#This Row],[Entradas]]-STOCK[[#This Row],[Salidas]]</f>
        <v>1</v>
      </c>
      <c r="M1442" s="75">
        <f>STOCK[[#This Row],[Precio Final]]*10%</f>
        <v>1.5</v>
      </c>
      <c r="N1442" s="75">
        <v>0</v>
      </c>
      <c r="O1442" s="75">
        <v>0</v>
      </c>
      <c r="P1442" s="75">
        <v>4.29</v>
      </c>
      <c r="Q1442" s="78">
        <v>0</v>
      </c>
      <c r="R1442" s="75">
        <v>0</v>
      </c>
      <c r="S1442" s="75">
        <v>1.65</v>
      </c>
      <c r="T1442" s="75">
        <f>STOCK[[#This Row],[Costo Unitario (USD)]]+STOCK[[#This Row],[Costo Envío (USD)]]+STOCK[[#This Row],[Comisión 10%]]</f>
        <v>7.4399999999999995</v>
      </c>
      <c r="U1442" s="53">
        <f>STOCK[[#This Row],[Costo total]]*1.5</f>
        <v>11.16</v>
      </c>
      <c r="V1442" s="75">
        <v>15</v>
      </c>
      <c r="W1442" s="75">
        <f>STOCK[[#This Row],[Precio Final]]-STOCK[[#This Row],[Costo total]]</f>
        <v>7.5600000000000005</v>
      </c>
      <c r="X1442" s="75">
        <f>STOCK[[#This Row],[Ganancia Unitaria]]*STOCK[[#This Row],[Salidas]]</f>
        <v>7.5600000000000005</v>
      </c>
      <c r="Y1442" s="75"/>
      <c r="Z1442" s="75"/>
      <c r="AA1442" s="54">
        <f>STOCK[[#This Row],[Costo total]]*STOCK[[#This Row],[Entradas]]</f>
        <v>14.879999999999999</v>
      </c>
      <c r="AB1442" s="54">
        <f>STOCK[[#This Row],[Stock Actual]]*STOCK[[#This Row],[Costo total]]</f>
        <v>7.4399999999999995</v>
      </c>
      <c r="AC1442" s="75"/>
    </row>
    <row r="1443" spans="1:29" s="53" customFormat="1" ht="50" customHeight="1">
      <c r="A1443" s="53" t="s">
        <v>2914</v>
      </c>
      <c r="B1443" s="76"/>
      <c r="C1443" s="75" t="s">
        <v>32</v>
      </c>
      <c r="D1443" s="75" t="s">
        <v>1190</v>
      </c>
      <c r="E1443" s="77" t="s">
        <v>2915</v>
      </c>
      <c r="F1443" s="75" t="s">
        <v>40</v>
      </c>
      <c r="G1443" s="75"/>
      <c r="H1443" s="75">
        <f>STOCK[[#This Row],[Precio Final]]</f>
        <v>25</v>
      </c>
      <c r="I1443" s="80">
        <f>STOCK[[#This Row],[Precio Venta Ideal (x1.5)]]</f>
        <v>21.675000000000001</v>
      </c>
      <c r="J1443" s="78">
        <v>2</v>
      </c>
      <c r="K1443" s="78">
        <f>SUMIFS(VENTAS[Cantidad],VENTAS[Código del producto Vendido],STOCK[[#This Row],[Code]])</f>
        <v>0</v>
      </c>
      <c r="L1443" s="78">
        <f>STOCK[[#This Row],[Entradas]]-STOCK[[#This Row],[Salidas]]</f>
        <v>2</v>
      </c>
      <c r="M1443" s="75">
        <f>STOCK[[#This Row],[Precio Final]]*10%</f>
        <v>2.5</v>
      </c>
      <c r="N1443" s="75">
        <v>0</v>
      </c>
      <c r="O1443" s="75">
        <v>0</v>
      </c>
      <c r="P1443" s="75">
        <v>10.3</v>
      </c>
      <c r="Q1443" s="78">
        <v>0</v>
      </c>
      <c r="R1443" s="75">
        <v>0</v>
      </c>
      <c r="S1443" s="75">
        <v>1.65</v>
      </c>
      <c r="T1443" s="75">
        <f>STOCK[[#This Row],[Costo Unitario (USD)]]+STOCK[[#This Row],[Costo Envío (USD)]]+STOCK[[#This Row],[Comisión 10%]]</f>
        <v>14.450000000000001</v>
      </c>
      <c r="U1443" s="53">
        <f>STOCK[[#This Row],[Costo total]]*1.5</f>
        <v>21.675000000000001</v>
      </c>
      <c r="V1443" s="75">
        <v>25</v>
      </c>
      <c r="W1443" s="75">
        <f>STOCK[[#This Row],[Precio Final]]-STOCK[[#This Row],[Costo total]]</f>
        <v>10.549999999999999</v>
      </c>
      <c r="X1443" s="75">
        <f>STOCK[[#This Row],[Ganancia Unitaria]]*STOCK[[#This Row],[Salidas]]</f>
        <v>0</v>
      </c>
      <c r="Y1443" s="75"/>
      <c r="Z1443" s="75"/>
      <c r="AA1443" s="54">
        <f>STOCK[[#This Row],[Costo total]]*STOCK[[#This Row],[Entradas]]</f>
        <v>28.900000000000002</v>
      </c>
      <c r="AB1443" s="54">
        <f>STOCK[[#This Row],[Stock Actual]]*STOCK[[#This Row],[Costo total]]</f>
        <v>28.900000000000002</v>
      </c>
      <c r="AC1443" s="75"/>
    </row>
    <row r="1444" spans="1:29" s="53" customFormat="1" ht="50" customHeight="1">
      <c r="A1444" s="53" t="s">
        <v>2916</v>
      </c>
      <c r="B1444" s="76"/>
      <c r="C1444" s="75" t="s">
        <v>32</v>
      </c>
      <c r="D1444" s="75" t="s">
        <v>1190</v>
      </c>
      <c r="E1444" s="77" t="s">
        <v>2915</v>
      </c>
      <c r="F1444" s="75" t="s">
        <v>62</v>
      </c>
      <c r="G1444" s="75"/>
      <c r="H1444" s="75">
        <f>STOCK[[#This Row],[Precio Final]]</f>
        <v>25</v>
      </c>
      <c r="I1444" s="80">
        <f>STOCK[[#This Row],[Precio Venta Ideal (x1.5)]]</f>
        <v>21.675000000000001</v>
      </c>
      <c r="J1444" s="78">
        <v>2</v>
      </c>
      <c r="K1444" s="78">
        <f>SUMIFS(VENTAS[Cantidad],VENTAS[Código del producto Vendido],STOCK[[#This Row],[Code]])</f>
        <v>2</v>
      </c>
      <c r="L1444" s="78">
        <f>STOCK[[#This Row],[Entradas]]-STOCK[[#This Row],[Salidas]]</f>
        <v>0</v>
      </c>
      <c r="M1444" s="75">
        <f>STOCK[[#This Row],[Precio Final]]*10%</f>
        <v>2.5</v>
      </c>
      <c r="N1444" s="75">
        <v>0</v>
      </c>
      <c r="O1444" s="75">
        <v>0</v>
      </c>
      <c r="P1444" s="75">
        <v>10.3</v>
      </c>
      <c r="Q1444" s="78">
        <v>0</v>
      </c>
      <c r="R1444" s="75">
        <v>0</v>
      </c>
      <c r="S1444" s="75">
        <v>1.65</v>
      </c>
      <c r="T1444" s="75">
        <f>STOCK[[#This Row],[Costo Unitario (USD)]]+STOCK[[#This Row],[Costo Envío (USD)]]+STOCK[[#This Row],[Comisión 10%]]</f>
        <v>14.450000000000001</v>
      </c>
      <c r="U1444" s="53">
        <f>STOCK[[#This Row],[Costo total]]*1.5</f>
        <v>21.675000000000001</v>
      </c>
      <c r="V1444" s="75">
        <v>25</v>
      </c>
      <c r="W1444" s="75">
        <f>STOCK[[#This Row],[Precio Final]]-STOCK[[#This Row],[Costo total]]</f>
        <v>10.549999999999999</v>
      </c>
      <c r="X1444" s="75">
        <f>STOCK[[#This Row],[Ganancia Unitaria]]*STOCK[[#This Row],[Salidas]]</f>
        <v>21.099999999999998</v>
      </c>
      <c r="Y1444" s="75"/>
      <c r="Z1444" s="75"/>
      <c r="AA1444" s="54">
        <f>STOCK[[#This Row],[Costo total]]*STOCK[[#This Row],[Entradas]]</f>
        <v>28.900000000000002</v>
      </c>
      <c r="AB1444" s="54">
        <f>STOCK[[#This Row],[Stock Actual]]*STOCK[[#This Row],[Costo total]]</f>
        <v>0</v>
      </c>
      <c r="AC1444" s="75"/>
    </row>
    <row r="1445" spans="1:29" s="53" customFormat="1" ht="50" customHeight="1">
      <c r="A1445" s="53" t="s">
        <v>2917</v>
      </c>
      <c r="B1445" s="76"/>
      <c r="C1445" s="75" t="s">
        <v>32</v>
      </c>
      <c r="D1445" s="75" t="s">
        <v>1190</v>
      </c>
      <c r="E1445" s="77" t="s">
        <v>2915</v>
      </c>
      <c r="F1445" s="75" t="s">
        <v>49</v>
      </c>
      <c r="G1445" s="75"/>
      <c r="H1445" s="75">
        <f>STOCK[[#This Row],[Precio Final]]</f>
        <v>25</v>
      </c>
      <c r="I1445" s="80">
        <f>STOCK[[#This Row],[Precio Venta Ideal (x1.5)]]</f>
        <v>21.69</v>
      </c>
      <c r="J1445" s="78">
        <v>2</v>
      </c>
      <c r="K1445" s="78">
        <f>SUMIFS(VENTAS[Cantidad],VENTAS[Código del producto Vendido],STOCK[[#This Row],[Code]])</f>
        <v>2</v>
      </c>
      <c r="L1445" s="78">
        <f>STOCK[[#This Row],[Entradas]]-STOCK[[#This Row],[Salidas]]</f>
        <v>0</v>
      </c>
      <c r="M1445" s="75">
        <f>STOCK[[#This Row],[Precio Final]]*10%</f>
        <v>2.5</v>
      </c>
      <c r="N1445" s="75">
        <v>0</v>
      </c>
      <c r="O1445" s="75">
        <v>0</v>
      </c>
      <c r="P1445" s="75">
        <v>10.31</v>
      </c>
      <c r="Q1445" s="78">
        <v>0</v>
      </c>
      <c r="R1445" s="75">
        <v>0</v>
      </c>
      <c r="S1445" s="75">
        <v>1.65</v>
      </c>
      <c r="T1445" s="75">
        <f>STOCK[[#This Row],[Costo Unitario (USD)]]+STOCK[[#This Row],[Costo Envío (USD)]]+STOCK[[#This Row],[Comisión 10%]]</f>
        <v>14.46</v>
      </c>
      <c r="U1445" s="53">
        <f>STOCK[[#This Row],[Costo total]]*1.5</f>
        <v>21.69</v>
      </c>
      <c r="V1445" s="75">
        <v>25</v>
      </c>
      <c r="W1445" s="75">
        <f>STOCK[[#This Row],[Precio Final]]-STOCK[[#This Row],[Costo total]]</f>
        <v>10.54</v>
      </c>
      <c r="X1445" s="75">
        <f>STOCK[[#This Row],[Ganancia Unitaria]]*STOCK[[#This Row],[Salidas]]</f>
        <v>21.08</v>
      </c>
      <c r="Y1445" s="75"/>
      <c r="Z1445" s="75"/>
      <c r="AA1445" s="54">
        <f>STOCK[[#This Row],[Costo total]]*STOCK[[#This Row],[Entradas]]</f>
        <v>28.92</v>
      </c>
      <c r="AB1445" s="54">
        <f>STOCK[[#This Row],[Stock Actual]]*STOCK[[#This Row],[Costo total]]</f>
        <v>0</v>
      </c>
      <c r="AC1445" s="75"/>
    </row>
    <row r="1446" spans="1:29" s="53" customFormat="1" ht="50" customHeight="1">
      <c r="A1446" s="53" t="s">
        <v>2918</v>
      </c>
      <c r="B1446" s="76"/>
      <c r="C1446" s="75" t="s">
        <v>32</v>
      </c>
      <c r="D1446" s="75" t="s">
        <v>1190</v>
      </c>
      <c r="E1446" s="77" t="s">
        <v>2915</v>
      </c>
      <c r="F1446" s="75" t="s">
        <v>46</v>
      </c>
      <c r="G1446" s="75"/>
      <c r="H1446" s="75">
        <f>STOCK[[#This Row],[Precio Final]]</f>
        <v>25</v>
      </c>
      <c r="I1446" s="80">
        <f>STOCK[[#This Row],[Precio Venta Ideal (x1.5)]]</f>
        <v>21.69</v>
      </c>
      <c r="J1446" s="78">
        <v>2</v>
      </c>
      <c r="K1446" s="78">
        <f>SUMIFS(VENTAS[Cantidad],VENTAS[Código del producto Vendido],STOCK[[#This Row],[Code]])</f>
        <v>0</v>
      </c>
      <c r="L1446" s="78">
        <f>STOCK[[#This Row],[Entradas]]-STOCK[[#This Row],[Salidas]]</f>
        <v>2</v>
      </c>
      <c r="M1446" s="75">
        <f>STOCK[[#This Row],[Precio Final]]*10%</f>
        <v>2.5</v>
      </c>
      <c r="N1446" s="75">
        <v>0</v>
      </c>
      <c r="O1446" s="75">
        <v>0</v>
      </c>
      <c r="P1446" s="75">
        <v>10.31</v>
      </c>
      <c r="Q1446" s="78">
        <v>0</v>
      </c>
      <c r="R1446" s="75">
        <v>0</v>
      </c>
      <c r="S1446" s="75">
        <v>1.65</v>
      </c>
      <c r="T1446" s="75">
        <f>STOCK[[#This Row],[Costo Unitario (USD)]]+STOCK[[#This Row],[Costo Envío (USD)]]+STOCK[[#This Row],[Comisión 10%]]</f>
        <v>14.46</v>
      </c>
      <c r="U1446" s="53">
        <f>STOCK[[#This Row],[Costo total]]*1.5</f>
        <v>21.69</v>
      </c>
      <c r="V1446" s="75">
        <v>25</v>
      </c>
      <c r="W1446" s="75">
        <f>STOCK[[#This Row],[Precio Final]]-STOCK[[#This Row],[Costo total]]</f>
        <v>10.54</v>
      </c>
      <c r="X1446" s="75">
        <f>STOCK[[#This Row],[Ganancia Unitaria]]*STOCK[[#This Row],[Salidas]]</f>
        <v>0</v>
      </c>
      <c r="Y1446" s="75"/>
      <c r="Z1446" s="75"/>
      <c r="AA1446" s="54">
        <f>STOCK[[#This Row],[Costo total]]*STOCK[[#This Row],[Entradas]]</f>
        <v>28.92</v>
      </c>
      <c r="AB1446" s="54">
        <f>STOCK[[#This Row],[Stock Actual]]*STOCK[[#This Row],[Costo total]]</f>
        <v>28.92</v>
      </c>
      <c r="AC1446" s="75"/>
    </row>
    <row r="1447" spans="1:29" s="53" customFormat="1" ht="50" customHeight="1">
      <c r="A1447" s="53" t="s">
        <v>2919</v>
      </c>
      <c r="B1447" s="76"/>
      <c r="C1447" s="75" t="s">
        <v>32</v>
      </c>
      <c r="D1447" s="75" t="s">
        <v>1190</v>
      </c>
      <c r="E1447" s="77" t="s">
        <v>2920</v>
      </c>
      <c r="F1447" s="75" t="s">
        <v>40</v>
      </c>
      <c r="G1447" s="75"/>
      <c r="H1447" s="75">
        <f>STOCK[[#This Row],[Precio Final]]</f>
        <v>25</v>
      </c>
      <c r="I1447" s="80">
        <f>STOCK[[#This Row],[Precio Venta Ideal (x1.5)]]</f>
        <v>21.810000000000002</v>
      </c>
      <c r="J1447" s="78">
        <v>1</v>
      </c>
      <c r="K1447" s="78">
        <f>SUMIFS(VENTAS[Cantidad],VENTAS[Código del producto Vendido],STOCK[[#This Row],[Code]])</f>
        <v>1</v>
      </c>
      <c r="L1447" s="78">
        <f>STOCK[[#This Row],[Entradas]]-STOCK[[#This Row],[Salidas]]</f>
        <v>0</v>
      </c>
      <c r="M1447" s="75">
        <f>STOCK[[#This Row],[Precio Final]]*10%</f>
        <v>2.5</v>
      </c>
      <c r="N1447" s="75">
        <v>0</v>
      </c>
      <c r="O1447" s="75">
        <v>0</v>
      </c>
      <c r="P1447" s="75">
        <v>10.39</v>
      </c>
      <c r="Q1447" s="78">
        <v>0</v>
      </c>
      <c r="R1447" s="75">
        <v>0</v>
      </c>
      <c r="S1447" s="75">
        <v>1.65</v>
      </c>
      <c r="T1447" s="75">
        <f>STOCK[[#This Row],[Costo Unitario (USD)]]+STOCK[[#This Row],[Costo Envío (USD)]]+STOCK[[#This Row],[Comisión 10%]]</f>
        <v>14.540000000000001</v>
      </c>
      <c r="U1447" s="53">
        <f>STOCK[[#This Row],[Costo total]]*1.5</f>
        <v>21.810000000000002</v>
      </c>
      <c r="V1447" s="75">
        <v>25</v>
      </c>
      <c r="W1447" s="75">
        <f>STOCK[[#This Row],[Precio Final]]-STOCK[[#This Row],[Costo total]]</f>
        <v>10.459999999999999</v>
      </c>
      <c r="X1447" s="75">
        <f>STOCK[[#This Row],[Ganancia Unitaria]]*STOCK[[#This Row],[Salidas]]</f>
        <v>10.459999999999999</v>
      </c>
      <c r="Y1447" s="75"/>
      <c r="Z1447" s="75"/>
      <c r="AA1447" s="54">
        <f>STOCK[[#This Row],[Costo total]]*STOCK[[#This Row],[Entradas]]</f>
        <v>14.540000000000001</v>
      </c>
      <c r="AB1447" s="54">
        <f>STOCK[[#This Row],[Stock Actual]]*STOCK[[#This Row],[Costo total]]</f>
        <v>0</v>
      </c>
      <c r="AC1447" s="75"/>
    </row>
    <row r="1448" spans="1:29" s="53" customFormat="1" ht="50" customHeight="1">
      <c r="A1448" s="53" t="s">
        <v>2921</v>
      </c>
      <c r="B1448" s="76"/>
      <c r="C1448" s="75" t="s">
        <v>32</v>
      </c>
      <c r="D1448" s="75" t="s">
        <v>1190</v>
      </c>
      <c r="E1448" s="77" t="s">
        <v>2920</v>
      </c>
      <c r="F1448" s="75" t="s">
        <v>62</v>
      </c>
      <c r="G1448" s="75"/>
      <c r="H1448" s="75">
        <f>STOCK[[#This Row],[Precio Final]]</f>
        <v>25</v>
      </c>
      <c r="I1448" s="80">
        <f>STOCK[[#This Row],[Precio Venta Ideal (x1.5)]]</f>
        <v>21.810000000000002</v>
      </c>
      <c r="J1448" s="78">
        <v>2</v>
      </c>
      <c r="K1448" s="78">
        <f>SUMIFS(VENTAS[Cantidad],VENTAS[Código del producto Vendido],STOCK[[#This Row],[Code]])</f>
        <v>2</v>
      </c>
      <c r="L1448" s="78">
        <f>STOCK[[#This Row],[Entradas]]-STOCK[[#This Row],[Salidas]]</f>
        <v>0</v>
      </c>
      <c r="M1448" s="75">
        <f>STOCK[[#This Row],[Precio Final]]*10%</f>
        <v>2.5</v>
      </c>
      <c r="N1448" s="75">
        <v>0</v>
      </c>
      <c r="O1448" s="75">
        <v>0</v>
      </c>
      <c r="P1448" s="75">
        <v>10.39</v>
      </c>
      <c r="Q1448" s="78">
        <v>0</v>
      </c>
      <c r="R1448" s="75">
        <v>0</v>
      </c>
      <c r="S1448" s="75">
        <v>1.65</v>
      </c>
      <c r="T1448" s="75">
        <f>STOCK[[#This Row],[Costo Unitario (USD)]]+STOCK[[#This Row],[Costo Envío (USD)]]+STOCK[[#This Row],[Comisión 10%]]</f>
        <v>14.540000000000001</v>
      </c>
      <c r="U1448" s="53">
        <f>STOCK[[#This Row],[Costo total]]*1.5</f>
        <v>21.810000000000002</v>
      </c>
      <c r="V1448" s="75">
        <v>25</v>
      </c>
      <c r="W1448" s="75">
        <f>STOCK[[#This Row],[Precio Final]]-STOCK[[#This Row],[Costo total]]</f>
        <v>10.459999999999999</v>
      </c>
      <c r="X1448" s="75">
        <f>STOCK[[#This Row],[Ganancia Unitaria]]*STOCK[[#This Row],[Salidas]]</f>
        <v>20.919999999999998</v>
      </c>
      <c r="Y1448" s="75"/>
      <c r="Z1448" s="75"/>
      <c r="AA1448" s="54">
        <f>STOCK[[#This Row],[Costo total]]*STOCK[[#This Row],[Entradas]]</f>
        <v>29.080000000000002</v>
      </c>
      <c r="AB1448" s="54">
        <f>STOCK[[#This Row],[Stock Actual]]*STOCK[[#This Row],[Costo total]]</f>
        <v>0</v>
      </c>
      <c r="AC1448" s="75"/>
    </row>
    <row r="1449" spans="1:29" s="53" customFormat="1" ht="50" customHeight="1">
      <c r="A1449" s="53" t="s">
        <v>2922</v>
      </c>
      <c r="B1449" s="76"/>
      <c r="C1449" s="75" t="s">
        <v>32</v>
      </c>
      <c r="D1449" s="75" t="s">
        <v>1190</v>
      </c>
      <c r="E1449" s="77" t="s">
        <v>2920</v>
      </c>
      <c r="F1449" s="75" t="s">
        <v>49</v>
      </c>
      <c r="G1449" s="75"/>
      <c r="H1449" s="75">
        <f>STOCK[[#This Row],[Precio Final]]</f>
        <v>25</v>
      </c>
      <c r="I1449" s="80">
        <f>STOCK[[#This Row],[Precio Venta Ideal (x1.5)]]</f>
        <v>21.810000000000002</v>
      </c>
      <c r="J1449" s="78">
        <v>1</v>
      </c>
      <c r="K1449" s="78">
        <f>SUMIFS(VENTAS[Cantidad],VENTAS[Código del producto Vendido],STOCK[[#This Row],[Code]])</f>
        <v>1</v>
      </c>
      <c r="L1449" s="78">
        <f>STOCK[[#This Row],[Entradas]]-STOCK[[#This Row],[Salidas]]</f>
        <v>0</v>
      </c>
      <c r="M1449" s="75">
        <f>STOCK[[#This Row],[Precio Final]]*10%</f>
        <v>2.5</v>
      </c>
      <c r="N1449" s="75">
        <v>0</v>
      </c>
      <c r="O1449" s="75">
        <v>0</v>
      </c>
      <c r="P1449" s="75">
        <v>10.39</v>
      </c>
      <c r="Q1449" s="78">
        <v>0</v>
      </c>
      <c r="R1449" s="75">
        <v>0</v>
      </c>
      <c r="S1449" s="75">
        <v>1.65</v>
      </c>
      <c r="T1449" s="75">
        <f>STOCK[[#This Row],[Costo Unitario (USD)]]+STOCK[[#This Row],[Costo Envío (USD)]]+STOCK[[#This Row],[Comisión 10%]]</f>
        <v>14.540000000000001</v>
      </c>
      <c r="U1449" s="53">
        <f>STOCK[[#This Row],[Costo total]]*1.5</f>
        <v>21.810000000000002</v>
      </c>
      <c r="V1449" s="75">
        <v>25</v>
      </c>
      <c r="W1449" s="75">
        <f>STOCK[[#This Row],[Precio Final]]-STOCK[[#This Row],[Costo total]]</f>
        <v>10.459999999999999</v>
      </c>
      <c r="X1449" s="75">
        <f>STOCK[[#This Row],[Ganancia Unitaria]]*STOCK[[#This Row],[Salidas]]</f>
        <v>10.459999999999999</v>
      </c>
      <c r="Y1449" s="75"/>
      <c r="Z1449" s="75"/>
      <c r="AA1449" s="54">
        <f>STOCK[[#This Row],[Costo total]]*STOCK[[#This Row],[Entradas]]</f>
        <v>14.540000000000001</v>
      </c>
      <c r="AB1449" s="54">
        <f>STOCK[[#This Row],[Stock Actual]]*STOCK[[#This Row],[Costo total]]</f>
        <v>0</v>
      </c>
      <c r="AC1449" s="75"/>
    </row>
    <row r="1450" spans="1:29" s="53" customFormat="1" ht="50" customHeight="1">
      <c r="A1450" s="53" t="s">
        <v>2923</v>
      </c>
      <c r="B1450" s="76"/>
      <c r="C1450" s="75" t="s">
        <v>32</v>
      </c>
      <c r="D1450" s="75" t="s">
        <v>1190</v>
      </c>
      <c r="E1450" s="77" t="s">
        <v>2920</v>
      </c>
      <c r="F1450" s="75" t="s">
        <v>46</v>
      </c>
      <c r="G1450" s="75"/>
      <c r="H1450" s="75">
        <f>STOCK[[#This Row],[Precio Final]]</f>
        <v>25</v>
      </c>
      <c r="I1450" s="80">
        <f>STOCK[[#This Row],[Precio Venta Ideal (x1.5)]]</f>
        <v>21.810000000000002</v>
      </c>
      <c r="J1450" s="78">
        <v>1</v>
      </c>
      <c r="K1450" s="78">
        <f>SUMIFS(VENTAS[Cantidad],VENTAS[Código del producto Vendido],STOCK[[#This Row],[Code]])</f>
        <v>0</v>
      </c>
      <c r="L1450" s="78">
        <f>STOCK[[#This Row],[Entradas]]-STOCK[[#This Row],[Salidas]]</f>
        <v>1</v>
      </c>
      <c r="M1450" s="75">
        <f>STOCK[[#This Row],[Precio Final]]*10%</f>
        <v>2.5</v>
      </c>
      <c r="N1450" s="75">
        <v>0</v>
      </c>
      <c r="O1450" s="75">
        <v>0</v>
      </c>
      <c r="P1450" s="75">
        <v>10.39</v>
      </c>
      <c r="Q1450" s="78">
        <v>0</v>
      </c>
      <c r="R1450" s="75">
        <v>0</v>
      </c>
      <c r="S1450" s="75">
        <v>1.65</v>
      </c>
      <c r="T1450" s="75">
        <f>STOCK[[#This Row],[Costo Unitario (USD)]]+STOCK[[#This Row],[Costo Envío (USD)]]+STOCK[[#This Row],[Comisión 10%]]</f>
        <v>14.540000000000001</v>
      </c>
      <c r="U1450" s="53">
        <f>STOCK[[#This Row],[Costo total]]*1.5</f>
        <v>21.810000000000002</v>
      </c>
      <c r="V1450" s="75">
        <v>25</v>
      </c>
      <c r="W1450" s="75">
        <f>STOCK[[#This Row],[Precio Final]]-STOCK[[#This Row],[Costo total]]</f>
        <v>10.459999999999999</v>
      </c>
      <c r="X1450" s="75">
        <f>STOCK[[#This Row],[Ganancia Unitaria]]*STOCK[[#This Row],[Salidas]]</f>
        <v>0</v>
      </c>
      <c r="Y1450" s="75"/>
      <c r="Z1450" s="75"/>
      <c r="AA1450" s="54">
        <f>STOCK[[#This Row],[Costo total]]*STOCK[[#This Row],[Entradas]]</f>
        <v>14.540000000000001</v>
      </c>
      <c r="AB1450" s="54">
        <f>STOCK[[#This Row],[Stock Actual]]*STOCK[[#This Row],[Costo total]]</f>
        <v>14.540000000000001</v>
      </c>
      <c r="AC1450" s="75"/>
    </row>
    <row r="1451" spans="1:29" s="53" customFormat="1" ht="50" customHeight="1">
      <c r="A1451" s="53" t="s">
        <v>2924</v>
      </c>
      <c r="B1451" s="76"/>
      <c r="C1451" s="75" t="s">
        <v>32</v>
      </c>
      <c r="D1451" s="75" t="s">
        <v>174</v>
      </c>
      <c r="E1451" s="77" t="s">
        <v>2925</v>
      </c>
      <c r="F1451" s="75" t="s">
        <v>40</v>
      </c>
      <c r="G1451" s="75"/>
      <c r="H1451" s="75">
        <f>STOCK[[#This Row],[Precio Final]]</f>
        <v>0</v>
      </c>
      <c r="I1451" s="80" t="e">
        <f>STOCK[[#This Row],[Precio Venta Ideal (x1.5)]]</f>
        <v>#DIV/0!</v>
      </c>
      <c r="J1451" s="78">
        <v>0</v>
      </c>
      <c r="K1451" s="78">
        <f>SUMIFS(VENTAS[Cantidad],VENTAS[Código del producto Vendido],STOCK[[#This Row],[Code]])</f>
        <v>0</v>
      </c>
      <c r="L1451" s="78">
        <f>STOCK[[#This Row],[Entradas]]-STOCK[[#This Row],[Salidas]]</f>
        <v>0</v>
      </c>
      <c r="M1451" s="75">
        <f>STOCK[[#This Row],[Precio Final]]*10%</f>
        <v>0</v>
      </c>
      <c r="N1451" s="75">
        <v>0</v>
      </c>
      <c r="O1451" s="75">
        <v>0</v>
      </c>
      <c r="P1451" s="75" t="e">
        <f>N1451/O1451</f>
        <v>#DIV/0!</v>
      </c>
      <c r="Q1451" s="78">
        <v>0</v>
      </c>
      <c r="R1451" s="75">
        <v>0</v>
      </c>
      <c r="S1451" s="75">
        <v>1.65</v>
      </c>
      <c r="T1451" s="75" t="e">
        <f>STOCK[[#This Row],[Costo Unitario (USD)]]+STOCK[[#This Row],[Costo Envío (USD)]]+STOCK[[#This Row],[Comisión 10%]]</f>
        <v>#DIV/0!</v>
      </c>
      <c r="U1451" s="53" t="e">
        <f>STOCK[[#This Row],[Costo total]]*1.5</f>
        <v>#DIV/0!</v>
      </c>
      <c r="V1451" s="75"/>
      <c r="W1451" s="75" t="e">
        <f>STOCK[[#This Row],[Precio Final]]-STOCK[[#This Row],[Costo total]]</f>
        <v>#DIV/0!</v>
      </c>
      <c r="X1451" s="75" t="e">
        <f>STOCK[[#This Row],[Ganancia Unitaria]]*STOCK[[#This Row],[Salidas]]</f>
        <v>#DIV/0!</v>
      </c>
      <c r="Y1451" s="75"/>
      <c r="Z1451" s="75"/>
      <c r="AA1451" s="54" t="e">
        <f>STOCK[[#This Row],[Costo total]]*STOCK[[#This Row],[Entradas]]</f>
        <v>#DIV/0!</v>
      </c>
      <c r="AB1451" s="54" t="e">
        <f>STOCK[[#This Row],[Stock Actual]]*STOCK[[#This Row],[Costo total]]</f>
        <v>#DIV/0!</v>
      </c>
      <c r="AC1451" s="75"/>
    </row>
    <row r="1452" spans="1:29" s="53" customFormat="1" ht="50" customHeight="1">
      <c r="A1452" s="53" t="s">
        <v>2926</v>
      </c>
      <c r="B1452" s="76"/>
      <c r="C1452" s="75" t="s">
        <v>32</v>
      </c>
      <c r="D1452" s="75" t="s">
        <v>1190</v>
      </c>
      <c r="E1452" s="77" t="s">
        <v>2925</v>
      </c>
      <c r="F1452" s="75" t="s">
        <v>46</v>
      </c>
      <c r="G1452" s="75"/>
      <c r="H1452" s="75">
        <f>STOCK[[#This Row],[Precio Final]]</f>
        <v>0</v>
      </c>
      <c r="I1452" s="80" t="e">
        <f>STOCK[[#This Row],[Precio Venta Ideal (x1.5)]]</f>
        <v>#DIV/0!</v>
      </c>
      <c r="J1452" s="78">
        <v>0</v>
      </c>
      <c r="K1452" s="78">
        <f>SUMIFS(VENTAS[Cantidad],VENTAS[Código del producto Vendido],STOCK[[#This Row],[Code]])</f>
        <v>0</v>
      </c>
      <c r="L1452" s="78">
        <f>STOCK[[#This Row],[Entradas]]-STOCK[[#This Row],[Salidas]]</f>
        <v>0</v>
      </c>
      <c r="M1452" s="75">
        <f>STOCK[[#This Row],[Precio Final]]*10%</f>
        <v>0</v>
      </c>
      <c r="N1452" s="75">
        <v>0</v>
      </c>
      <c r="O1452" s="75">
        <v>0</v>
      </c>
      <c r="P1452" s="75" t="e">
        <f>N1452/O1452</f>
        <v>#DIV/0!</v>
      </c>
      <c r="Q1452" s="78">
        <v>0</v>
      </c>
      <c r="R1452" s="75">
        <v>0</v>
      </c>
      <c r="S1452" s="75">
        <v>1.65</v>
      </c>
      <c r="T1452" s="75" t="e">
        <f>STOCK[[#This Row],[Costo Unitario (USD)]]+STOCK[[#This Row],[Costo Envío (USD)]]+STOCK[[#This Row],[Comisión 10%]]</f>
        <v>#DIV/0!</v>
      </c>
      <c r="U1452" s="53" t="e">
        <f>STOCK[[#This Row],[Costo total]]*1.5</f>
        <v>#DIV/0!</v>
      </c>
      <c r="V1452" s="75"/>
      <c r="W1452" s="75" t="e">
        <f>STOCK[[#This Row],[Precio Final]]-STOCK[[#This Row],[Costo total]]</f>
        <v>#DIV/0!</v>
      </c>
      <c r="X1452" s="75" t="e">
        <f>STOCK[[#This Row],[Ganancia Unitaria]]*STOCK[[#This Row],[Salidas]]</f>
        <v>#DIV/0!</v>
      </c>
      <c r="Y1452" s="75"/>
      <c r="Z1452" s="75"/>
      <c r="AA1452" s="54" t="e">
        <f>STOCK[[#This Row],[Costo total]]*STOCK[[#This Row],[Entradas]]</f>
        <v>#DIV/0!</v>
      </c>
      <c r="AB1452" s="54" t="e">
        <f>STOCK[[#This Row],[Stock Actual]]*STOCK[[#This Row],[Costo total]]</f>
        <v>#DIV/0!</v>
      </c>
      <c r="AC1452" s="75"/>
    </row>
    <row r="1453" spans="1:29" s="53" customFormat="1" ht="50" customHeight="1">
      <c r="A1453" s="53" t="s">
        <v>2927</v>
      </c>
      <c r="B1453" s="76"/>
      <c r="C1453" s="75" t="s">
        <v>32</v>
      </c>
      <c r="D1453" s="75" t="s">
        <v>1190</v>
      </c>
      <c r="E1453" s="77" t="s">
        <v>2928</v>
      </c>
      <c r="F1453" s="75" t="s">
        <v>40</v>
      </c>
      <c r="G1453" s="75"/>
      <c r="H1453" s="75">
        <f>STOCK[[#This Row],[Precio Final]]</f>
        <v>8</v>
      </c>
      <c r="I1453" s="80">
        <f>STOCK[[#This Row],[Precio Venta Ideal (x1.5)]]</f>
        <v>7.11</v>
      </c>
      <c r="J1453" s="78">
        <v>2</v>
      </c>
      <c r="K1453" s="78">
        <f>SUMIFS(VENTAS[Cantidad],VENTAS[Código del producto Vendido],STOCK[[#This Row],[Code]])</f>
        <v>1</v>
      </c>
      <c r="L1453" s="78">
        <f>STOCK[[#This Row],[Entradas]]-STOCK[[#This Row],[Salidas]]</f>
        <v>1</v>
      </c>
      <c r="M1453" s="75">
        <f>STOCK[[#This Row],[Precio Final]]*10%</f>
        <v>0.8</v>
      </c>
      <c r="N1453" s="75">
        <v>0</v>
      </c>
      <c r="O1453" s="75">
        <v>0</v>
      </c>
      <c r="P1453" s="75">
        <v>2.29</v>
      </c>
      <c r="Q1453" s="78">
        <v>0</v>
      </c>
      <c r="R1453" s="75">
        <v>0</v>
      </c>
      <c r="S1453" s="75">
        <v>1.65</v>
      </c>
      <c r="T1453" s="75">
        <f>STOCK[[#This Row],[Costo Unitario (USD)]]+STOCK[[#This Row],[Costo Envío (USD)]]+STOCK[[#This Row],[Comisión 10%]]</f>
        <v>4.74</v>
      </c>
      <c r="U1453" s="53">
        <f>STOCK[[#This Row],[Costo total]]*1.5</f>
        <v>7.11</v>
      </c>
      <c r="V1453" s="75">
        <v>8</v>
      </c>
      <c r="W1453" s="75">
        <f>STOCK[[#This Row],[Precio Final]]-STOCK[[#This Row],[Costo total]]</f>
        <v>3.26</v>
      </c>
      <c r="X1453" s="75">
        <f>STOCK[[#This Row],[Ganancia Unitaria]]*STOCK[[#This Row],[Salidas]]</f>
        <v>3.26</v>
      </c>
      <c r="Y1453" s="75"/>
      <c r="Z1453" s="75"/>
      <c r="AA1453" s="54">
        <f>STOCK[[#This Row],[Costo total]]*STOCK[[#This Row],[Entradas]]</f>
        <v>9.48</v>
      </c>
      <c r="AB1453" s="54">
        <f>STOCK[[#This Row],[Stock Actual]]*STOCK[[#This Row],[Costo total]]</f>
        <v>4.74</v>
      </c>
      <c r="AC1453" s="75"/>
    </row>
    <row r="1454" spans="1:29" s="53" customFormat="1" ht="50" customHeight="1">
      <c r="A1454" s="53" t="s">
        <v>2929</v>
      </c>
      <c r="B1454" s="76"/>
      <c r="C1454" s="75" t="s">
        <v>32</v>
      </c>
      <c r="D1454" s="75" t="s">
        <v>1190</v>
      </c>
      <c r="E1454" s="77" t="s">
        <v>2928</v>
      </c>
      <c r="F1454" s="75" t="s">
        <v>46</v>
      </c>
      <c r="G1454" s="75"/>
      <c r="H1454" s="75">
        <f>STOCK[[#This Row],[Precio Final]]</f>
        <v>8</v>
      </c>
      <c r="I1454" s="80">
        <f>STOCK[[#This Row],[Precio Venta Ideal (x1.5)]]</f>
        <v>7.11</v>
      </c>
      <c r="J1454" s="78">
        <v>2</v>
      </c>
      <c r="K1454" s="78">
        <f>SUMIFS(VENTAS[Cantidad],VENTAS[Código del producto Vendido],STOCK[[#This Row],[Code]])</f>
        <v>1</v>
      </c>
      <c r="L1454" s="78">
        <f>STOCK[[#This Row],[Entradas]]-STOCK[[#This Row],[Salidas]]</f>
        <v>1</v>
      </c>
      <c r="M1454" s="75">
        <f>STOCK[[#This Row],[Precio Final]]*10%</f>
        <v>0.8</v>
      </c>
      <c r="N1454" s="75">
        <v>0</v>
      </c>
      <c r="O1454" s="75">
        <v>0</v>
      </c>
      <c r="P1454" s="75">
        <v>2.29</v>
      </c>
      <c r="Q1454" s="78">
        <v>0</v>
      </c>
      <c r="R1454" s="75">
        <v>0</v>
      </c>
      <c r="S1454" s="75">
        <v>1.65</v>
      </c>
      <c r="T1454" s="75">
        <f>STOCK[[#This Row],[Costo Unitario (USD)]]+STOCK[[#This Row],[Costo Envío (USD)]]+STOCK[[#This Row],[Comisión 10%]]</f>
        <v>4.74</v>
      </c>
      <c r="U1454" s="53">
        <f>STOCK[[#This Row],[Costo total]]*1.5</f>
        <v>7.11</v>
      </c>
      <c r="V1454" s="75">
        <v>8</v>
      </c>
      <c r="W1454" s="75">
        <f>STOCK[[#This Row],[Precio Final]]-STOCK[[#This Row],[Costo total]]</f>
        <v>3.26</v>
      </c>
      <c r="X1454" s="75">
        <f>STOCK[[#This Row],[Ganancia Unitaria]]*STOCK[[#This Row],[Salidas]]</f>
        <v>3.26</v>
      </c>
      <c r="Y1454" s="75"/>
      <c r="Z1454" s="75"/>
      <c r="AA1454" s="54">
        <f>STOCK[[#This Row],[Costo total]]*STOCK[[#This Row],[Entradas]]</f>
        <v>9.48</v>
      </c>
      <c r="AB1454" s="54">
        <f>STOCK[[#This Row],[Stock Actual]]*STOCK[[#This Row],[Costo total]]</f>
        <v>4.74</v>
      </c>
      <c r="AC1454" s="75"/>
    </row>
    <row r="1455" spans="1:29" s="53" customFormat="1" ht="50" customHeight="1">
      <c r="A1455" s="53" t="s">
        <v>2930</v>
      </c>
      <c r="B1455" s="76"/>
      <c r="C1455" s="75" t="s">
        <v>32</v>
      </c>
      <c r="D1455" s="75" t="s">
        <v>2846</v>
      </c>
      <c r="E1455" s="77" t="s">
        <v>2931</v>
      </c>
      <c r="F1455" s="75" t="s">
        <v>40</v>
      </c>
      <c r="G1455" s="75"/>
      <c r="H1455" s="75">
        <f>STOCK[[#This Row],[Precio Final]]</f>
        <v>30</v>
      </c>
      <c r="I1455" s="80">
        <f>STOCK[[#This Row],[Precio Venta Ideal (x1.5)]]</f>
        <v>23.19</v>
      </c>
      <c r="J1455" s="78">
        <v>2</v>
      </c>
      <c r="K1455" s="78">
        <f>SUMIFS(VENTAS[Cantidad],VENTAS[Código del producto Vendido],STOCK[[#This Row],[Code]])</f>
        <v>2</v>
      </c>
      <c r="L1455" s="78">
        <f>STOCK[[#This Row],[Entradas]]-STOCK[[#This Row],[Salidas]]</f>
        <v>0</v>
      </c>
      <c r="M1455" s="75">
        <f>STOCK[[#This Row],[Precio Final]]*10%</f>
        <v>3</v>
      </c>
      <c r="N1455" s="75">
        <v>0</v>
      </c>
      <c r="O1455" s="75">
        <v>0</v>
      </c>
      <c r="P1455" s="75">
        <v>10.81</v>
      </c>
      <c r="Q1455" s="78">
        <v>0</v>
      </c>
      <c r="R1455" s="75">
        <v>0</v>
      </c>
      <c r="S1455" s="75">
        <v>1.65</v>
      </c>
      <c r="T1455" s="75">
        <f>STOCK[[#This Row],[Costo Unitario (USD)]]+STOCK[[#This Row],[Costo Envío (USD)]]+STOCK[[#This Row],[Comisión 10%]]</f>
        <v>15.46</v>
      </c>
      <c r="U1455" s="53">
        <f>STOCK[[#This Row],[Costo total]]*1.5</f>
        <v>23.19</v>
      </c>
      <c r="V1455" s="75">
        <v>30</v>
      </c>
      <c r="W1455" s="75">
        <f>STOCK[[#This Row],[Precio Final]]-STOCK[[#This Row],[Costo total]]</f>
        <v>14.54</v>
      </c>
      <c r="X1455" s="75">
        <f>STOCK[[#This Row],[Ganancia Unitaria]]*STOCK[[#This Row],[Salidas]]</f>
        <v>29.08</v>
      </c>
      <c r="Y1455" s="75"/>
      <c r="Z1455" s="75"/>
      <c r="AA1455" s="54">
        <f>STOCK[[#This Row],[Costo total]]*STOCK[[#This Row],[Entradas]]</f>
        <v>30.92</v>
      </c>
      <c r="AB1455" s="54">
        <f>STOCK[[#This Row],[Stock Actual]]*STOCK[[#This Row],[Costo total]]</f>
        <v>0</v>
      </c>
      <c r="AC1455" s="75"/>
    </row>
    <row r="1456" spans="1:29" s="53" customFormat="1" ht="50" customHeight="1">
      <c r="A1456" s="53" t="s">
        <v>2932</v>
      </c>
      <c r="B1456" s="76"/>
      <c r="C1456" s="75" t="s">
        <v>32</v>
      </c>
      <c r="D1456" s="75" t="s">
        <v>2846</v>
      </c>
      <c r="E1456" s="77" t="s">
        <v>2931</v>
      </c>
      <c r="F1456" s="75" t="s">
        <v>62</v>
      </c>
      <c r="G1456" s="75"/>
      <c r="H1456" s="75">
        <f>STOCK[[#This Row],[Precio Final]]</f>
        <v>30</v>
      </c>
      <c r="I1456" s="80">
        <f>STOCK[[#This Row],[Precio Venta Ideal (x1.5)]]</f>
        <v>23.205000000000002</v>
      </c>
      <c r="J1456" s="78">
        <v>2</v>
      </c>
      <c r="K1456" s="78">
        <f>SUMIFS(VENTAS[Cantidad],VENTAS[Código del producto Vendido],STOCK[[#This Row],[Code]])</f>
        <v>2</v>
      </c>
      <c r="L1456" s="78">
        <f>STOCK[[#This Row],[Entradas]]-STOCK[[#This Row],[Salidas]]</f>
        <v>0</v>
      </c>
      <c r="M1456" s="75">
        <f>STOCK[[#This Row],[Precio Final]]*10%</f>
        <v>3</v>
      </c>
      <c r="N1456" s="75">
        <v>0</v>
      </c>
      <c r="O1456" s="75">
        <v>0</v>
      </c>
      <c r="P1456" s="75">
        <v>10.82</v>
      </c>
      <c r="Q1456" s="78">
        <v>0</v>
      </c>
      <c r="R1456" s="75">
        <v>0</v>
      </c>
      <c r="S1456" s="75">
        <v>1.65</v>
      </c>
      <c r="T1456" s="75">
        <f>STOCK[[#This Row],[Costo Unitario (USD)]]+STOCK[[#This Row],[Costo Envío (USD)]]+STOCK[[#This Row],[Comisión 10%]]</f>
        <v>15.47</v>
      </c>
      <c r="U1456" s="53">
        <f>STOCK[[#This Row],[Costo total]]*1.5</f>
        <v>23.205000000000002</v>
      </c>
      <c r="V1456" s="75">
        <v>30</v>
      </c>
      <c r="W1456" s="75">
        <f>STOCK[[#This Row],[Precio Final]]-STOCK[[#This Row],[Costo total]]</f>
        <v>14.53</v>
      </c>
      <c r="X1456" s="75">
        <f>STOCK[[#This Row],[Ganancia Unitaria]]*STOCK[[#This Row],[Salidas]]</f>
        <v>29.06</v>
      </c>
      <c r="Y1456" s="75"/>
      <c r="Z1456" s="75"/>
      <c r="AA1456" s="54">
        <f>STOCK[[#This Row],[Costo total]]*STOCK[[#This Row],[Entradas]]</f>
        <v>30.94</v>
      </c>
      <c r="AB1456" s="54">
        <f>STOCK[[#This Row],[Stock Actual]]*STOCK[[#This Row],[Costo total]]</f>
        <v>0</v>
      </c>
      <c r="AC1456" s="75"/>
    </row>
    <row r="1457" spans="1:29" s="53" customFormat="1" ht="50" customHeight="1">
      <c r="A1457" s="53" t="s">
        <v>2933</v>
      </c>
      <c r="B1457" s="76"/>
      <c r="C1457" s="75" t="s">
        <v>32</v>
      </c>
      <c r="D1457" s="75" t="s">
        <v>2846</v>
      </c>
      <c r="E1457" s="77" t="s">
        <v>2931</v>
      </c>
      <c r="F1457" s="75" t="s">
        <v>49</v>
      </c>
      <c r="G1457" s="75"/>
      <c r="H1457" s="75">
        <f>STOCK[[#This Row],[Precio Final]]</f>
        <v>30</v>
      </c>
      <c r="I1457" s="80">
        <f>STOCK[[#This Row],[Precio Venta Ideal (x1.5)]]</f>
        <v>23.205000000000002</v>
      </c>
      <c r="J1457" s="78">
        <v>3</v>
      </c>
      <c r="K1457" s="78">
        <f>SUMIFS(VENTAS[Cantidad],VENTAS[Código del producto Vendido],STOCK[[#This Row],[Code]])</f>
        <v>3</v>
      </c>
      <c r="L1457" s="78">
        <f>STOCK[[#This Row],[Entradas]]-STOCK[[#This Row],[Salidas]]</f>
        <v>0</v>
      </c>
      <c r="M1457" s="75">
        <f>STOCK[[#This Row],[Precio Final]]*10%</f>
        <v>3</v>
      </c>
      <c r="N1457" s="75">
        <v>0</v>
      </c>
      <c r="O1457" s="75">
        <v>0</v>
      </c>
      <c r="P1457" s="75">
        <v>10.82</v>
      </c>
      <c r="Q1457" s="78">
        <v>0</v>
      </c>
      <c r="R1457" s="75">
        <v>0</v>
      </c>
      <c r="S1457" s="75">
        <v>1.65</v>
      </c>
      <c r="T1457" s="75">
        <f>STOCK[[#This Row],[Costo Unitario (USD)]]+STOCK[[#This Row],[Costo Envío (USD)]]+STOCK[[#This Row],[Comisión 10%]]</f>
        <v>15.47</v>
      </c>
      <c r="U1457" s="53">
        <f>STOCK[[#This Row],[Costo total]]*1.5</f>
        <v>23.205000000000002</v>
      </c>
      <c r="V1457" s="75">
        <v>30</v>
      </c>
      <c r="W1457" s="75">
        <f>STOCK[[#This Row],[Precio Final]]-STOCK[[#This Row],[Costo total]]</f>
        <v>14.53</v>
      </c>
      <c r="X1457" s="75">
        <f>STOCK[[#This Row],[Ganancia Unitaria]]*STOCK[[#This Row],[Salidas]]</f>
        <v>43.589999999999996</v>
      </c>
      <c r="Y1457" s="75"/>
      <c r="Z1457" s="75"/>
      <c r="AA1457" s="54">
        <f>STOCK[[#This Row],[Costo total]]*STOCK[[#This Row],[Entradas]]</f>
        <v>46.410000000000004</v>
      </c>
      <c r="AB1457" s="54">
        <f>STOCK[[#This Row],[Stock Actual]]*STOCK[[#This Row],[Costo total]]</f>
        <v>0</v>
      </c>
      <c r="AC1457" s="75"/>
    </row>
    <row r="1458" spans="1:29" s="53" customFormat="1" ht="50" customHeight="1">
      <c r="A1458" s="53" t="s">
        <v>2934</v>
      </c>
      <c r="B1458" s="76"/>
      <c r="C1458" s="75" t="s">
        <v>32</v>
      </c>
      <c r="D1458" s="75" t="s">
        <v>2846</v>
      </c>
      <c r="E1458" s="77" t="s">
        <v>2931</v>
      </c>
      <c r="F1458" s="75" t="s">
        <v>46</v>
      </c>
      <c r="G1458" s="75"/>
      <c r="H1458" s="75">
        <f>STOCK[[#This Row],[Precio Final]]</f>
        <v>30</v>
      </c>
      <c r="I1458" s="80">
        <f>STOCK[[#This Row],[Precio Venta Ideal (x1.5)]]</f>
        <v>23.19</v>
      </c>
      <c r="J1458" s="78">
        <v>2</v>
      </c>
      <c r="K1458" s="78">
        <f>SUMIFS(VENTAS[Cantidad],VENTAS[Código del producto Vendido],STOCK[[#This Row],[Code]])</f>
        <v>2</v>
      </c>
      <c r="L1458" s="78">
        <f>STOCK[[#This Row],[Entradas]]-STOCK[[#This Row],[Salidas]]</f>
        <v>0</v>
      </c>
      <c r="M1458" s="75">
        <f>STOCK[[#This Row],[Precio Final]]*10%</f>
        <v>3</v>
      </c>
      <c r="N1458" s="75">
        <v>0</v>
      </c>
      <c r="O1458" s="75">
        <v>0</v>
      </c>
      <c r="P1458" s="75">
        <v>10.81</v>
      </c>
      <c r="Q1458" s="78">
        <v>0</v>
      </c>
      <c r="R1458" s="75">
        <v>0</v>
      </c>
      <c r="S1458" s="75">
        <v>1.65</v>
      </c>
      <c r="T1458" s="75">
        <f>STOCK[[#This Row],[Costo Unitario (USD)]]+STOCK[[#This Row],[Costo Envío (USD)]]+STOCK[[#This Row],[Comisión 10%]]</f>
        <v>15.46</v>
      </c>
      <c r="U1458" s="53">
        <f>STOCK[[#This Row],[Costo total]]*1.5</f>
        <v>23.19</v>
      </c>
      <c r="V1458" s="75">
        <v>30</v>
      </c>
      <c r="W1458" s="75">
        <f>STOCK[[#This Row],[Precio Final]]-STOCK[[#This Row],[Costo total]]</f>
        <v>14.54</v>
      </c>
      <c r="X1458" s="75">
        <f>STOCK[[#This Row],[Ganancia Unitaria]]*STOCK[[#This Row],[Salidas]]</f>
        <v>29.08</v>
      </c>
      <c r="Y1458" s="75"/>
      <c r="Z1458" s="75"/>
      <c r="AA1458" s="54">
        <f>STOCK[[#This Row],[Costo total]]*STOCK[[#This Row],[Entradas]]</f>
        <v>30.92</v>
      </c>
      <c r="AB1458" s="54">
        <f>STOCK[[#This Row],[Stock Actual]]*STOCK[[#This Row],[Costo total]]</f>
        <v>0</v>
      </c>
      <c r="AC1458" s="75"/>
    </row>
    <row r="1459" spans="1:29" s="53" customFormat="1" ht="50" customHeight="1">
      <c r="A1459" s="53" t="s">
        <v>2935</v>
      </c>
      <c r="B1459" s="76"/>
      <c r="C1459" s="75" t="s">
        <v>32</v>
      </c>
      <c r="D1459" s="75" t="s">
        <v>2846</v>
      </c>
      <c r="E1459" s="77" t="s">
        <v>2931</v>
      </c>
      <c r="F1459" s="75" t="s">
        <v>42</v>
      </c>
      <c r="G1459" s="75"/>
      <c r="H1459" s="75">
        <f>STOCK[[#This Row],[Precio Final]]</f>
        <v>30</v>
      </c>
      <c r="I1459" s="80">
        <f>STOCK[[#This Row],[Precio Venta Ideal (x1.5)]]</f>
        <v>23.19</v>
      </c>
      <c r="J1459" s="78">
        <v>2</v>
      </c>
      <c r="K1459" s="78">
        <f>SUMIFS(VENTAS[Cantidad],VENTAS[Código del producto Vendido],STOCK[[#This Row],[Code]])</f>
        <v>3</v>
      </c>
      <c r="L1459" s="78">
        <f>STOCK[[#This Row],[Entradas]]-STOCK[[#This Row],[Salidas]]</f>
        <v>-1</v>
      </c>
      <c r="M1459" s="75">
        <f>STOCK[[#This Row],[Precio Final]]*10%</f>
        <v>3</v>
      </c>
      <c r="N1459" s="75">
        <v>0</v>
      </c>
      <c r="O1459" s="75">
        <v>0</v>
      </c>
      <c r="P1459" s="75">
        <v>10.81</v>
      </c>
      <c r="Q1459" s="78">
        <v>0</v>
      </c>
      <c r="R1459" s="75">
        <v>0</v>
      </c>
      <c r="S1459" s="75">
        <v>1.65</v>
      </c>
      <c r="T1459" s="75">
        <f>STOCK[[#This Row],[Costo Unitario (USD)]]+STOCK[[#This Row],[Costo Envío (USD)]]+STOCK[[#This Row],[Comisión 10%]]</f>
        <v>15.46</v>
      </c>
      <c r="U1459" s="53">
        <f>STOCK[[#This Row],[Costo total]]*1.5</f>
        <v>23.19</v>
      </c>
      <c r="V1459" s="75">
        <v>30</v>
      </c>
      <c r="W1459" s="75">
        <f>STOCK[[#This Row],[Precio Final]]-STOCK[[#This Row],[Costo total]]</f>
        <v>14.54</v>
      </c>
      <c r="X1459" s="75">
        <f>STOCK[[#This Row],[Ganancia Unitaria]]*STOCK[[#This Row],[Salidas]]</f>
        <v>43.62</v>
      </c>
      <c r="Y1459" s="75"/>
      <c r="Z1459" s="75"/>
      <c r="AA1459" s="54">
        <f>STOCK[[#This Row],[Costo total]]*STOCK[[#This Row],[Entradas]]</f>
        <v>30.92</v>
      </c>
      <c r="AB1459" s="54">
        <f>STOCK[[#This Row],[Stock Actual]]*STOCK[[#This Row],[Costo total]]</f>
        <v>-15.46</v>
      </c>
      <c r="AC1459" s="75"/>
    </row>
    <row r="1460" spans="1:29" s="53" customFormat="1" ht="50" customHeight="1">
      <c r="A1460" s="53" t="s">
        <v>2936</v>
      </c>
      <c r="B1460" s="76"/>
      <c r="C1460" s="75" t="s">
        <v>32</v>
      </c>
      <c r="D1460" s="75" t="s">
        <v>1226</v>
      </c>
      <c r="E1460" s="77" t="s">
        <v>2937</v>
      </c>
      <c r="F1460" s="75" t="s">
        <v>540</v>
      </c>
      <c r="G1460" s="75"/>
      <c r="H1460" s="75">
        <f>STOCK[[#This Row],[Precio Final]]</f>
        <v>18</v>
      </c>
      <c r="I1460" s="80">
        <f>STOCK[[#This Row],[Precio Venta Ideal (x1.5)]]</f>
        <v>16.89</v>
      </c>
      <c r="J1460" s="78">
        <v>1</v>
      </c>
      <c r="K1460" s="78">
        <f>SUMIFS(VENTAS[Cantidad],VENTAS[Código del producto Vendido],STOCK[[#This Row],[Code]])</f>
        <v>2</v>
      </c>
      <c r="L1460" s="78">
        <f>STOCK[[#This Row],[Entradas]]-STOCK[[#This Row],[Salidas]]</f>
        <v>-1</v>
      </c>
      <c r="M1460" s="75">
        <f>STOCK[[#This Row],[Precio Final]]*10%</f>
        <v>1.8</v>
      </c>
      <c r="N1460" s="75">
        <v>0</v>
      </c>
      <c r="O1460" s="75">
        <v>0</v>
      </c>
      <c r="P1460" s="75">
        <v>7.81</v>
      </c>
      <c r="Q1460" s="78">
        <v>0</v>
      </c>
      <c r="R1460" s="75">
        <v>0</v>
      </c>
      <c r="S1460" s="75">
        <v>1.65</v>
      </c>
      <c r="T1460" s="75">
        <f>STOCK[[#This Row],[Costo Unitario (USD)]]+STOCK[[#This Row],[Costo Envío (USD)]]+STOCK[[#This Row],[Comisión 10%]]</f>
        <v>11.26</v>
      </c>
      <c r="U1460" s="53">
        <f>STOCK[[#This Row],[Costo total]]*1.5</f>
        <v>16.89</v>
      </c>
      <c r="V1460" s="75">
        <v>18</v>
      </c>
      <c r="W1460" s="75">
        <f>STOCK[[#This Row],[Precio Final]]-STOCK[[#This Row],[Costo total]]</f>
        <v>6.74</v>
      </c>
      <c r="X1460" s="75">
        <f>STOCK[[#This Row],[Ganancia Unitaria]]*STOCK[[#This Row],[Salidas]]</f>
        <v>13.48</v>
      </c>
      <c r="Y1460" s="75"/>
      <c r="Z1460" s="75"/>
      <c r="AA1460" s="54">
        <f>STOCK[[#This Row],[Costo total]]*STOCK[[#This Row],[Entradas]]</f>
        <v>11.26</v>
      </c>
      <c r="AB1460" s="54">
        <f>STOCK[[#This Row],[Stock Actual]]*STOCK[[#This Row],[Costo total]]</f>
        <v>-11.26</v>
      </c>
      <c r="AC1460" s="75"/>
    </row>
    <row r="1461" spans="1:29" s="53" customFormat="1" ht="50" customHeight="1">
      <c r="A1461" s="53" t="s">
        <v>2938</v>
      </c>
      <c r="B1461" s="76"/>
      <c r="C1461" s="75" t="s">
        <v>32</v>
      </c>
      <c r="D1461" s="75" t="s">
        <v>1226</v>
      </c>
      <c r="E1461" s="77" t="s">
        <v>2937</v>
      </c>
      <c r="F1461" s="75" t="s">
        <v>759</v>
      </c>
      <c r="G1461" s="75"/>
      <c r="H1461" s="75">
        <f>STOCK[[#This Row],[Precio Final]]</f>
        <v>18</v>
      </c>
      <c r="I1461" s="80">
        <f>STOCK[[#This Row],[Precio Venta Ideal (x1.5)]]</f>
        <v>16.89</v>
      </c>
      <c r="J1461" s="78">
        <v>1</v>
      </c>
      <c r="K1461" s="78">
        <f>SUMIFS(VENTAS[Cantidad],VENTAS[Código del producto Vendido],STOCK[[#This Row],[Code]])</f>
        <v>2</v>
      </c>
      <c r="L1461" s="78">
        <f>STOCK[[#This Row],[Entradas]]-STOCK[[#This Row],[Salidas]]</f>
        <v>-1</v>
      </c>
      <c r="M1461" s="75">
        <f>STOCK[[#This Row],[Precio Final]]*10%</f>
        <v>1.8</v>
      </c>
      <c r="N1461" s="75">
        <v>0</v>
      </c>
      <c r="O1461" s="75">
        <v>0</v>
      </c>
      <c r="P1461" s="75">
        <v>7.81</v>
      </c>
      <c r="Q1461" s="78">
        <v>0</v>
      </c>
      <c r="R1461" s="75">
        <v>0</v>
      </c>
      <c r="S1461" s="75">
        <v>1.65</v>
      </c>
      <c r="T1461" s="75">
        <f>STOCK[[#This Row],[Costo Unitario (USD)]]+STOCK[[#This Row],[Costo Envío (USD)]]+STOCK[[#This Row],[Comisión 10%]]</f>
        <v>11.26</v>
      </c>
      <c r="U1461" s="53">
        <f>STOCK[[#This Row],[Costo total]]*1.5</f>
        <v>16.89</v>
      </c>
      <c r="V1461" s="75">
        <v>18</v>
      </c>
      <c r="W1461" s="75">
        <f>STOCK[[#This Row],[Precio Final]]-STOCK[[#This Row],[Costo total]]</f>
        <v>6.74</v>
      </c>
      <c r="X1461" s="75">
        <f>STOCK[[#This Row],[Ganancia Unitaria]]*STOCK[[#This Row],[Salidas]]</f>
        <v>13.48</v>
      </c>
      <c r="Y1461" s="75"/>
      <c r="Z1461" s="75"/>
      <c r="AA1461" s="54">
        <f>STOCK[[#This Row],[Costo total]]*STOCK[[#This Row],[Entradas]]</f>
        <v>11.26</v>
      </c>
      <c r="AB1461" s="54">
        <f>STOCK[[#This Row],[Stock Actual]]*STOCK[[#This Row],[Costo total]]</f>
        <v>-11.26</v>
      </c>
      <c r="AC1461" s="75"/>
    </row>
    <row r="1462" spans="1:29" s="53" customFormat="1" ht="50" customHeight="1">
      <c r="A1462" s="53" t="s">
        <v>2939</v>
      </c>
      <c r="B1462" s="76"/>
      <c r="C1462" s="75" t="s">
        <v>32</v>
      </c>
      <c r="D1462" s="75" t="s">
        <v>2630</v>
      </c>
      <c r="E1462" s="77" t="s">
        <v>2940</v>
      </c>
      <c r="F1462" s="75" t="s">
        <v>62</v>
      </c>
      <c r="G1462" s="75"/>
      <c r="H1462" s="75">
        <f>STOCK[[#This Row],[Precio Final]]</f>
        <v>25</v>
      </c>
      <c r="I1462" s="80">
        <f>STOCK[[#This Row],[Precio Venta Ideal (x1.5)]]</f>
        <v>19.935000000000002</v>
      </c>
      <c r="J1462" s="78">
        <v>1</v>
      </c>
      <c r="K1462" s="78">
        <f>SUMIFS(VENTAS[Cantidad],VENTAS[Código del producto Vendido],STOCK[[#This Row],[Code]])</f>
        <v>2</v>
      </c>
      <c r="L1462" s="78">
        <f>STOCK[[#This Row],[Entradas]]-STOCK[[#This Row],[Salidas]]</f>
        <v>-1</v>
      </c>
      <c r="M1462" s="75">
        <f>STOCK[[#This Row],[Precio Final]]*10%</f>
        <v>2.5</v>
      </c>
      <c r="N1462" s="75">
        <v>0</v>
      </c>
      <c r="O1462" s="75">
        <v>0</v>
      </c>
      <c r="P1462" s="75">
        <v>9.14</v>
      </c>
      <c r="Q1462" s="78">
        <v>0</v>
      </c>
      <c r="R1462" s="75">
        <v>0</v>
      </c>
      <c r="S1462" s="75">
        <v>1.65</v>
      </c>
      <c r="T1462" s="75">
        <f>STOCK[[#This Row],[Costo Unitario (USD)]]+STOCK[[#This Row],[Costo Envío (USD)]]+STOCK[[#This Row],[Comisión 10%]]</f>
        <v>13.290000000000001</v>
      </c>
      <c r="U1462" s="53">
        <f>STOCK[[#This Row],[Costo total]]*1.5</f>
        <v>19.935000000000002</v>
      </c>
      <c r="V1462" s="75">
        <v>25</v>
      </c>
      <c r="W1462" s="75">
        <f>STOCK[[#This Row],[Precio Final]]-STOCK[[#This Row],[Costo total]]</f>
        <v>11.709999999999999</v>
      </c>
      <c r="X1462" s="75">
        <f>STOCK[[#This Row],[Ganancia Unitaria]]*STOCK[[#This Row],[Salidas]]</f>
        <v>23.419999999999998</v>
      </c>
      <c r="Y1462" s="75"/>
      <c r="Z1462" s="75"/>
      <c r="AA1462" s="54">
        <f>STOCK[[#This Row],[Costo total]]*STOCK[[#This Row],[Entradas]]</f>
        <v>13.290000000000001</v>
      </c>
      <c r="AB1462" s="54">
        <f>STOCK[[#This Row],[Stock Actual]]*STOCK[[#This Row],[Costo total]]</f>
        <v>-13.290000000000001</v>
      </c>
      <c r="AC1462" s="75"/>
    </row>
    <row r="1463" spans="1:29" s="53" customFormat="1" ht="50" customHeight="1">
      <c r="A1463" s="53" t="s">
        <v>2941</v>
      </c>
      <c r="B1463" s="76"/>
      <c r="C1463" s="75" t="s">
        <v>32</v>
      </c>
      <c r="D1463" s="75" t="s">
        <v>2630</v>
      </c>
      <c r="E1463" s="77" t="s">
        <v>2940</v>
      </c>
      <c r="F1463" s="75" t="s">
        <v>49</v>
      </c>
      <c r="G1463" s="75"/>
      <c r="H1463" s="75">
        <f>STOCK[[#This Row],[Precio Final]]</f>
        <v>25</v>
      </c>
      <c r="I1463" s="80">
        <f>STOCK[[#This Row],[Precio Venta Ideal (x1.5)]]</f>
        <v>19.935000000000002</v>
      </c>
      <c r="J1463" s="78">
        <v>1</v>
      </c>
      <c r="K1463" s="78">
        <f>SUMIFS(VENTAS[Cantidad],VENTAS[Código del producto Vendido],STOCK[[#This Row],[Code]])</f>
        <v>1</v>
      </c>
      <c r="L1463" s="78">
        <f>STOCK[[#This Row],[Entradas]]-STOCK[[#This Row],[Salidas]]</f>
        <v>0</v>
      </c>
      <c r="M1463" s="75">
        <f>STOCK[[#This Row],[Precio Final]]*10%</f>
        <v>2.5</v>
      </c>
      <c r="N1463" s="75">
        <v>0</v>
      </c>
      <c r="O1463" s="75">
        <v>0</v>
      </c>
      <c r="P1463" s="75">
        <v>9.14</v>
      </c>
      <c r="Q1463" s="78">
        <v>0</v>
      </c>
      <c r="R1463" s="75">
        <v>0</v>
      </c>
      <c r="S1463" s="75">
        <v>1.65</v>
      </c>
      <c r="T1463" s="75">
        <f>STOCK[[#This Row],[Costo Unitario (USD)]]+STOCK[[#This Row],[Costo Envío (USD)]]+STOCK[[#This Row],[Comisión 10%]]</f>
        <v>13.290000000000001</v>
      </c>
      <c r="U1463" s="53">
        <f>STOCK[[#This Row],[Costo total]]*1.5</f>
        <v>19.935000000000002</v>
      </c>
      <c r="V1463" s="75">
        <v>25</v>
      </c>
      <c r="W1463" s="75">
        <f>STOCK[[#This Row],[Precio Final]]-STOCK[[#This Row],[Costo total]]</f>
        <v>11.709999999999999</v>
      </c>
      <c r="X1463" s="75">
        <f>STOCK[[#This Row],[Ganancia Unitaria]]*STOCK[[#This Row],[Salidas]]</f>
        <v>11.709999999999999</v>
      </c>
      <c r="Y1463" s="75"/>
      <c r="Z1463" s="75"/>
      <c r="AA1463" s="54">
        <f>STOCK[[#This Row],[Costo total]]*STOCK[[#This Row],[Entradas]]</f>
        <v>13.290000000000001</v>
      </c>
      <c r="AB1463" s="54">
        <f>STOCK[[#This Row],[Stock Actual]]*STOCK[[#This Row],[Costo total]]</f>
        <v>0</v>
      </c>
      <c r="AC1463" s="75"/>
    </row>
    <row r="1464" spans="1:29" s="53" customFormat="1" ht="50" customHeight="1">
      <c r="A1464" s="53" t="s">
        <v>2942</v>
      </c>
      <c r="B1464" s="76"/>
      <c r="C1464" s="75" t="s">
        <v>32</v>
      </c>
      <c r="D1464" s="75" t="s">
        <v>2630</v>
      </c>
      <c r="E1464" s="77" t="s">
        <v>2940</v>
      </c>
      <c r="F1464" s="75" t="s">
        <v>46</v>
      </c>
      <c r="G1464" s="75"/>
      <c r="H1464" s="75">
        <f>STOCK[[#This Row],[Precio Final]]</f>
        <v>25</v>
      </c>
      <c r="I1464" s="80">
        <f>STOCK[[#This Row],[Precio Venta Ideal (x1.5)]]</f>
        <v>19.935000000000002</v>
      </c>
      <c r="J1464" s="78">
        <v>1</v>
      </c>
      <c r="K1464" s="78">
        <f>SUMIFS(VENTAS[Cantidad],VENTAS[Código del producto Vendido],STOCK[[#This Row],[Code]])</f>
        <v>1</v>
      </c>
      <c r="L1464" s="78">
        <f>STOCK[[#This Row],[Entradas]]-STOCK[[#This Row],[Salidas]]</f>
        <v>0</v>
      </c>
      <c r="M1464" s="75">
        <f>STOCK[[#This Row],[Precio Final]]*10%</f>
        <v>2.5</v>
      </c>
      <c r="N1464" s="75">
        <v>0</v>
      </c>
      <c r="O1464" s="75">
        <v>0</v>
      </c>
      <c r="P1464" s="75">
        <v>9.14</v>
      </c>
      <c r="Q1464" s="78">
        <v>0</v>
      </c>
      <c r="R1464" s="75">
        <v>0</v>
      </c>
      <c r="S1464" s="75">
        <v>1.65</v>
      </c>
      <c r="T1464" s="75">
        <f>STOCK[[#This Row],[Costo Unitario (USD)]]+STOCK[[#This Row],[Costo Envío (USD)]]+STOCK[[#This Row],[Comisión 10%]]</f>
        <v>13.290000000000001</v>
      </c>
      <c r="U1464" s="53">
        <f>STOCK[[#This Row],[Costo total]]*1.5</f>
        <v>19.935000000000002</v>
      </c>
      <c r="V1464" s="75">
        <v>25</v>
      </c>
      <c r="W1464" s="75">
        <f>STOCK[[#This Row],[Precio Final]]-STOCK[[#This Row],[Costo total]]</f>
        <v>11.709999999999999</v>
      </c>
      <c r="X1464" s="75">
        <f>STOCK[[#This Row],[Ganancia Unitaria]]*STOCK[[#This Row],[Salidas]]</f>
        <v>11.709999999999999</v>
      </c>
      <c r="Y1464" s="75"/>
      <c r="Z1464" s="75"/>
      <c r="AA1464" s="54">
        <f>STOCK[[#This Row],[Costo total]]*STOCK[[#This Row],[Entradas]]</f>
        <v>13.290000000000001</v>
      </c>
      <c r="AB1464" s="54">
        <f>STOCK[[#This Row],[Stock Actual]]*STOCK[[#This Row],[Costo total]]</f>
        <v>0</v>
      </c>
      <c r="AC1464" s="75"/>
    </row>
    <row r="1465" spans="1:29" s="53" customFormat="1" ht="50" customHeight="1">
      <c r="A1465" s="53" t="s">
        <v>2943</v>
      </c>
      <c r="B1465" s="76"/>
      <c r="C1465" s="75" t="s">
        <v>32</v>
      </c>
      <c r="D1465" s="75" t="s">
        <v>2630</v>
      </c>
      <c r="E1465" s="77" t="s">
        <v>2944</v>
      </c>
      <c r="F1465" s="75" t="s">
        <v>2823</v>
      </c>
      <c r="G1465" s="75"/>
      <c r="H1465" s="75">
        <f>STOCK[[#This Row],[Precio Final]]</f>
        <v>25</v>
      </c>
      <c r="I1465" s="80">
        <f>STOCK[[#This Row],[Precio Venta Ideal (x1.5)]]</f>
        <v>16.559999999999999</v>
      </c>
      <c r="J1465" s="78">
        <v>5</v>
      </c>
      <c r="K1465" s="78">
        <f>SUMIFS(VENTAS[Cantidad],VENTAS[Código del producto Vendido],STOCK[[#This Row],[Code]])</f>
        <v>0</v>
      </c>
      <c r="L1465" s="78">
        <f>STOCK[[#This Row],[Entradas]]-STOCK[[#This Row],[Salidas]]</f>
        <v>5</v>
      </c>
      <c r="M1465" s="75">
        <f>STOCK[[#This Row],[Precio Final]]*10%</f>
        <v>2.5</v>
      </c>
      <c r="N1465" s="75">
        <v>0</v>
      </c>
      <c r="O1465" s="75">
        <v>0</v>
      </c>
      <c r="P1465" s="75">
        <v>6.89</v>
      </c>
      <c r="Q1465" s="78">
        <v>0</v>
      </c>
      <c r="R1465" s="75">
        <v>0</v>
      </c>
      <c r="S1465" s="75">
        <v>1.65</v>
      </c>
      <c r="T1465" s="75">
        <f>STOCK[[#This Row],[Costo Unitario (USD)]]+STOCK[[#This Row],[Costo Envío (USD)]]+STOCK[[#This Row],[Comisión 10%]]</f>
        <v>11.04</v>
      </c>
      <c r="U1465" s="53">
        <f>STOCK[[#This Row],[Costo total]]*1.5</f>
        <v>16.559999999999999</v>
      </c>
      <c r="V1465" s="75">
        <v>25</v>
      </c>
      <c r="W1465" s="75">
        <f>STOCK[[#This Row],[Precio Final]]-STOCK[[#This Row],[Costo total]]</f>
        <v>13.96</v>
      </c>
      <c r="X1465" s="75">
        <f>STOCK[[#This Row],[Ganancia Unitaria]]*STOCK[[#This Row],[Salidas]]</f>
        <v>0</v>
      </c>
      <c r="Y1465" s="75"/>
      <c r="Z1465" s="75"/>
      <c r="AA1465" s="54">
        <f>STOCK[[#This Row],[Costo total]]*STOCK[[#This Row],[Entradas]]</f>
        <v>55.199999999999996</v>
      </c>
      <c r="AB1465" s="54">
        <f>STOCK[[#This Row],[Stock Actual]]*STOCK[[#This Row],[Costo total]]</f>
        <v>55.199999999999996</v>
      </c>
      <c r="AC1465" s="75"/>
    </row>
    <row r="1466" spans="1:29" s="53" customFormat="1" ht="50" customHeight="1">
      <c r="A1466" s="53" t="s">
        <v>2945</v>
      </c>
      <c r="B1466" s="76"/>
      <c r="C1466" s="75" t="s">
        <v>32</v>
      </c>
      <c r="D1466" s="75" t="s">
        <v>2630</v>
      </c>
      <c r="E1466" s="77" t="s">
        <v>2946</v>
      </c>
      <c r="F1466" s="75" t="s">
        <v>62</v>
      </c>
      <c r="G1466" s="75"/>
      <c r="H1466" s="75">
        <f>STOCK[[#This Row],[Precio Final]]</f>
        <v>30</v>
      </c>
      <c r="I1466" s="80">
        <f>STOCK[[#This Row],[Precio Venta Ideal (x1.5)]]</f>
        <v>19.8</v>
      </c>
      <c r="J1466" s="78">
        <v>1</v>
      </c>
      <c r="K1466" s="78">
        <f>SUMIFS(VENTAS[Cantidad],VENTAS[Código del producto Vendido],STOCK[[#This Row],[Code]])</f>
        <v>0</v>
      </c>
      <c r="L1466" s="78">
        <f>STOCK[[#This Row],[Entradas]]-STOCK[[#This Row],[Salidas]]</f>
        <v>1</v>
      </c>
      <c r="M1466" s="75">
        <f>STOCK[[#This Row],[Precio Final]]*10%</f>
        <v>3</v>
      </c>
      <c r="N1466" s="75">
        <v>0</v>
      </c>
      <c r="O1466" s="75">
        <v>0</v>
      </c>
      <c r="P1466" s="75">
        <v>8.5500000000000007</v>
      </c>
      <c r="Q1466" s="78">
        <v>0</v>
      </c>
      <c r="R1466" s="75">
        <v>0</v>
      </c>
      <c r="S1466" s="75">
        <v>1.65</v>
      </c>
      <c r="T1466" s="75">
        <f>STOCK[[#This Row],[Costo Unitario (USD)]]+STOCK[[#This Row],[Costo Envío (USD)]]+STOCK[[#This Row],[Comisión 10%]]</f>
        <v>13.200000000000001</v>
      </c>
      <c r="U1466" s="53">
        <f>STOCK[[#This Row],[Costo total]]*1.5</f>
        <v>19.8</v>
      </c>
      <c r="V1466" s="75">
        <v>30</v>
      </c>
      <c r="W1466" s="75">
        <f>STOCK[[#This Row],[Precio Final]]-STOCK[[#This Row],[Costo total]]</f>
        <v>16.799999999999997</v>
      </c>
      <c r="X1466" s="75">
        <f>STOCK[[#This Row],[Ganancia Unitaria]]*STOCK[[#This Row],[Salidas]]</f>
        <v>0</v>
      </c>
      <c r="Y1466" s="75"/>
      <c r="Z1466" s="75"/>
      <c r="AA1466" s="54">
        <f>STOCK[[#This Row],[Costo total]]*STOCK[[#This Row],[Entradas]]</f>
        <v>13.200000000000001</v>
      </c>
      <c r="AB1466" s="54">
        <f>STOCK[[#This Row],[Stock Actual]]*STOCK[[#This Row],[Costo total]]</f>
        <v>13.200000000000001</v>
      </c>
      <c r="AC1466" s="75"/>
    </row>
    <row r="1467" spans="1:29" s="53" customFormat="1" ht="50" customHeight="1">
      <c r="A1467" s="53" t="s">
        <v>2947</v>
      </c>
      <c r="B1467" s="76"/>
      <c r="C1467" s="75" t="s">
        <v>32</v>
      </c>
      <c r="D1467" s="75" t="s">
        <v>2630</v>
      </c>
      <c r="E1467" s="77" t="s">
        <v>2948</v>
      </c>
      <c r="F1467" s="75" t="s">
        <v>62</v>
      </c>
      <c r="G1467" s="75"/>
      <c r="H1467" s="75">
        <f>STOCK[[#This Row],[Precio Final]]</f>
        <v>35</v>
      </c>
      <c r="I1467" s="80">
        <f>STOCK[[#This Row],[Precio Venta Ideal (x1.5)]]</f>
        <v>21.165000000000003</v>
      </c>
      <c r="J1467" s="78">
        <v>1</v>
      </c>
      <c r="K1467" s="78">
        <f>SUMIFS(VENTAS[Cantidad],VENTAS[Código del producto Vendido],STOCK[[#This Row],[Code]])</f>
        <v>0</v>
      </c>
      <c r="L1467" s="78">
        <f>STOCK[[#This Row],[Entradas]]-STOCK[[#This Row],[Salidas]]</f>
        <v>1</v>
      </c>
      <c r="M1467" s="75">
        <f>STOCK[[#This Row],[Precio Final]]*10%</f>
        <v>3.5</v>
      </c>
      <c r="N1467" s="75">
        <v>0</v>
      </c>
      <c r="O1467" s="75">
        <v>0</v>
      </c>
      <c r="P1467" s="75">
        <v>8.9600000000000009</v>
      </c>
      <c r="Q1467" s="78">
        <v>0</v>
      </c>
      <c r="R1467" s="75">
        <v>0</v>
      </c>
      <c r="S1467" s="75">
        <v>1.65</v>
      </c>
      <c r="T1467" s="75">
        <f>STOCK[[#This Row],[Costo Unitario (USD)]]+STOCK[[#This Row],[Costo Envío (USD)]]+STOCK[[#This Row],[Comisión 10%]]</f>
        <v>14.110000000000001</v>
      </c>
      <c r="U1467" s="53">
        <f>STOCK[[#This Row],[Costo total]]*1.5</f>
        <v>21.165000000000003</v>
      </c>
      <c r="V1467" s="75">
        <v>35</v>
      </c>
      <c r="W1467" s="75">
        <f>STOCK[[#This Row],[Precio Final]]-STOCK[[#This Row],[Costo total]]</f>
        <v>20.89</v>
      </c>
      <c r="X1467" s="75">
        <f>STOCK[[#This Row],[Ganancia Unitaria]]*STOCK[[#This Row],[Salidas]]</f>
        <v>0</v>
      </c>
      <c r="Y1467" s="75"/>
      <c r="Z1467" s="75"/>
      <c r="AA1467" s="54">
        <f>STOCK[[#This Row],[Costo total]]*STOCK[[#This Row],[Entradas]]</f>
        <v>14.110000000000001</v>
      </c>
      <c r="AB1467" s="54">
        <f>STOCK[[#This Row],[Stock Actual]]*STOCK[[#This Row],[Costo total]]</f>
        <v>14.110000000000001</v>
      </c>
      <c r="AC1467" s="75"/>
    </row>
    <row r="1468" spans="1:29" s="53" customFormat="1" ht="50" customHeight="1">
      <c r="A1468" s="53" t="s">
        <v>2949</v>
      </c>
      <c r="B1468" s="76"/>
      <c r="C1468" s="75" t="s">
        <v>32</v>
      </c>
      <c r="D1468" s="75" t="s">
        <v>1212</v>
      </c>
      <c r="E1468" s="77" t="s">
        <v>2950</v>
      </c>
      <c r="F1468" s="75" t="s">
        <v>62</v>
      </c>
      <c r="G1468" s="75"/>
      <c r="H1468" s="75">
        <f>STOCK[[#This Row],[Precio Final]]</f>
        <v>30</v>
      </c>
      <c r="I1468" s="80">
        <f>STOCK[[#This Row],[Precio Venta Ideal (x1.5)]]</f>
        <v>17.399999999999999</v>
      </c>
      <c r="J1468" s="78">
        <v>3</v>
      </c>
      <c r="K1468" s="78">
        <f>SUMIFS(VENTAS[Cantidad],VENTAS[Código del producto Vendido],STOCK[[#This Row],[Code]])</f>
        <v>2</v>
      </c>
      <c r="L1468" s="78">
        <f>STOCK[[#This Row],[Entradas]]-STOCK[[#This Row],[Salidas]]</f>
        <v>1</v>
      </c>
      <c r="M1468" s="75">
        <f>STOCK[[#This Row],[Precio Final]]*10%</f>
        <v>3</v>
      </c>
      <c r="N1468" s="75">
        <v>0</v>
      </c>
      <c r="O1468" s="75">
        <v>0</v>
      </c>
      <c r="P1468" s="75">
        <v>6.95</v>
      </c>
      <c r="Q1468" s="78">
        <v>0</v>
      </c>
      <c r="R1468" s="75">
        <v>0</v>
      </c>
      <c r="S1468" s="75">
        <v>1.65</v>
      </c>
      <c r="T1468" s="75">
        <f>STOCK[[#This Row],[Costo Unitario (USD)]]+STOCK[[#This Row],[Costo Envío (USD)]]+STOCK[[#This Row],[Comisión 10%]]</f>
        <v>11.6</v>
      </c>
      <c r="U1468" s="53">
        <f>STOCK[[#This Row],[Costo total]]*1.5</f>
        <v>17.399999999999999</v>
      </c>
      <c r="V1468" s="75">
        <v>30</v>
      </c>
      <c r="W1468" s="75">
        <f>STOCK[[#This Row],[Precio Final]]-STOCK[[#This Row],[Costo total]]</f>
        <v>18.399999999999999</v>
      </c>
      <c r="X1468" s="75">
        <f>STOCK[[#This Row],[Ganancia Unitaria]]*STOCK[[#This Row],[Salidas]]</f>
        <v>36.799999999999997</v>
      </c>
      <c r="Y1468" s="75"/>
      <c r="Z1468" s="75"/>
      <c r="AA1468" s="54">
        <f>STOCK[[#This Row],[Costo total]]*STOCK[[#This Row],[Entradas]]</f>
        <v>34.799999999999997</v>
      </c>
      <c r="AB1468" s="54">
        <f>STOCK[[#This Row],[Stock Actual]]*STOCK[[#This Row],[Costo total]]</f>
        <v>11.6</v>
      </c>
      <c r="AC1468" s="75"/>
    </row>
    <row r="1469" spans="1:29" s="53" customFormat="1" ht="50" customHeight="1">
      <c r="A1469" s="53" t="s">
        <v>2951</v>
      </c>
      <c r="B1469" s="76"/>
      <c r="C1469" s="75" t="s">
        <v>32</v>
      </c>
      <c r="D1469" s="75" t="s">
        <v>1212</v>
      </c>
      <c r="E1469" s="77" t="s">
        <v>2950</v>
      </c>
      <c r="F1469" s="75" t="s">
        <v>49</v>
      </c>
      <c r="G1469" s="75"/>
      <c r="H1469" s="75">
        <f>STOCK[[#This Row],[Precio Final]]</f>
        <v>30</v>
      </c>
      <c r="I1469" s="80">
        <f>STOCK[[#This Row],[Precio Venta Ideal (x1.5)]]</f>
        <v>17.399999999999999</v>
      </c>
      <c r="J1469" s="78">
        <v>3</v>
      </c>
      <c r="K1469" s="78">
        <f>SUMIFS(VENTAS[Cantidad],VENTAS[Código del producto Vendido],STOCK[[#This Row],[Code]])</f>
        <v>0</v>
      </c>
      <c r="L1469" s="78">
        <f>STOCK[[#This Row],[Entradas]]-STOCK[[#This Row],[Salidas]]</f>
        <v>3</v>
      </c>
      <c r="M1469" s="75">
        <f>STOCK[[#This Row],[Precio Final]]*10%</f>
        <v>3</v>
      </c>
      <c r="N1469" s="75">
        <v>0</v>
      </c>
      <c r="O1469" s="75">
        <v>0</v>
      </c>
      <c r="P1469" s="75">
        <v>6.95</v>
      </c>
      <c r="Q1469" s="78">
        <v>0</v>
      </c>
      <c r="R1469" s="75">
        <v>0</v>
      </c>
      <c r="S1469" s="75">
        <v>1.65</v>
      </c>
      <c r="T1469" s="75">
        <f>STOCK[[#This Row],[Costo Unitario (USD)]]+STOCK[[#This Row],[Costo Envío (USD)]]+STOCK[[#This Row],[Comisión 10%]]</f>
        <v>11.6</v>
      </c>
      <c r="U1469" s="53">
        <f>STOCK[[#This Row],[Costo total]]*1.5</f>
        <v>17.399999999999999</v>
      </c>
      <c r="V1469" s="75">
        <v>30</v>
      </c>
      <c r="W1469" s="75">
        <f>STOCK[[#This Row],[Precio Final]]-STOCK[[#This Row],[Costo total]]</f>
        <v>18.399999999999999</v>
      </c>
      <c r="X1469" s="75">
        <f>STOCK[[#This Row],[Ganancia Unitaria]]*STOCK[[#This Row],[Salidas]]</f>
        <v>0</v>
      </c>
      <c r="Y1469" s="75"/>
      <c r="Z1469" s="75"/>
      <c r="AA1469" s="54">
        <f>STOCK[[#This Row],[Costo total]]*STOCK[[#This Row],[Entradas]]</f>
        <v>34.799999999999997</v>
      </c>
      <c r="AB1469" s="54">
        <f>STOCK[[#This Row],[Stock Actual]]*STOCK[[#This Row],[Costo total]]</f>
        <v>34.799999999999997</v>
      </c>
      <c r="AC1469" s="75"/>
    </row>
    <row r="1470" spans="1:29" s="53" customFormat="1" ht="50" customHeight="1">
      <c r="A1470" s="53" t="s">
        <v>2952</v>
      </c>
      <c r="B1470" s="76"/>
      <c r="C1470" s="75" t="s">
        <v>32</v>
      </c>
      <c r="D1470" s="75" t="s">
        <v>1212</v>
      </c>
      <c r="E1470" s="77" t="s">
        <v>2950</v>
      </c>
      <c r="F1470" s="75" t="s">
        <v>46</v>
      </c>
      <c r="G1470" s="75"/>
      <c r="H1470" s="75">
        <f>STOCK[[#This Row],[Precio Final]]</f>
        <v>30</v>
      </c>
      <c r="I1470" s="80">
        <f>STOCK[[#This Row],[Precio Venta Ideal (x1.5)]]</f>
        <v>17.399999999999999</v>
      </c>
      <c r="J1470" s="78">
        <v>3</v>
      </c>
      <c r="K1470" s="78">
        <f>SUMIFS(VENTAS[Cantidad],VENTAS[Código del producto Vendido],STOCK[[#This Row],[Code]])</f>
        <v>2</v>
      </c>
      <c r="L1470" s="78">
        <f>STOCK[[#This Row],[Entradas]]-STOCK[[#This Row],[Salidas]]</f>
        <v>1</v>
      </c>
      <c r="M1470" s="75">
        <f>STOCK[[#This Row],[Precio Final]]*10%</f>
        <v>3</v>
      </c>
      <c r="N1470" s="75">
        <v>0</v>
      </c>
      <c r="O1470" s="75">
        <v>0</v>
      </c>
      <c r="P1470" s="75">
        <v>6.95</v>
      </c>
      <c r="Q1470" s="78">
        <v>0</v>
      </c>
      <c r="R1470" s="75">
        <v>0</v>
      </c>
      <c r="S1470" s="75">
        <v>1.65</v>
      </c>
      <c r="T1470" s="75">
        <f>STOCK[[#This Row],[Costo Unitario (USD)]]+STOCK[[#This Row],[Costo Envío (USD)]]+STOCK[[#This Row],[Comisión 10%]]</f>
        <v>11.6</v>
      </c>
      <c r="U1470" s="53">
        <f>STOCK[[#This Row],[Costo total]]*1.5</f>
        <v>17.399999999999999</v>
      </c>
      <c r="V1470" s="75">
        <v>30</v>
      </c>
      <c r="W1470" s="75">
        <f>STOCK[[#This Row],[Precio Final]]-STOCK[[#This Row],[Costo total]]</f>
        <v>18.399999999999999</v>
      </c>
      <c r="X1470" s="75">
        <f>STOCK[[#This Row],[Ganancia Unitaria]]*STOCK[[#This Row],[Salidas]]</f>
        <v>36.799999999999997</v>
      </c>
      <c r="Y1470" s="75"/>
      <c r="Z1470" s="75"/>
      <c r="AA1470" s="54">
        <f>STOCK[[#This Row],[Costo total]]*STOCK[[#This Row],[Entradas]]</f>
        <v>34.799999999999997</v>
      </c>
      <c r="AB1470" s="54">
        <f>STOCK[[#This Row],[Stock Actual]]*STOCK[[#This Row],[Costo total]]</f>
        <v>11.6</v>
      </c>
      <c r="AC1470" s="75"/>
    </row>
    <row r="1471" spans="1:29" s="53" customFormat="1" ht="50" customHeight="1">
      <c r="A1471" s="53" t="s">
        <v>2953</v>
      </c>
      <c r="B1471" s="76"/>
      <c r="C1471" s="75" t="s">
        <v>32</v>
      </c>
      <c r="D1471" s="75" t="s">
        <v>1212</v>
      </c>
      <c r="E1471" s="77" t="s">
        <v>2950</v>
      </c>
      <c r="F1471" s="75" t="s">
        <v>42</v>
      </c>
      <c r="G1471" s="75"/>
      <c r="H1471" s="75">
        <f>STOCK[[#This Row],[Precio Final]]</f>
        <v>30</v>
      </c>
      <c r="I1471" s="80">
        <f>STOCK[[#This Row],[Precio Venta Ideal (x1.5)]]</f>
        <v>17.399999999999999</v>
      </c>
      <c r="J1471" s="78">
        <v>3</v>
      </c>
      <c r="K1471" s="78">
        <f>SUMIFS(VENTAS[Cantidad],VENTAS[Código del producto Vendido],STOCK[[#This Row],[Code]])</f>
        <v>1</v>
      </c>
      <c r="L1471" s="78">
        <f>STOCK[[#This Row],[Entradas]]-STOCK[[#This Row],[Salidas]]</f>
        <v>2</v>
      </c>
      <c r="M1471" s="75">
        <f>STOCK[[#This Row],[Precio Final]]*10%</f>
        <v>3</v>
      </c>
      <c r="N1471" s="75">
        <v>0</v>
      </c>
      <c r="O1471" s="75">
        <v>0</v>
      </c>
      <c r="P1471" s="75">
        <v>6.95</v>
      </c>
      <c r="Q1471" s="78">
        <v>0</v>
      </c>
      <c r="R1471" s="75">
        <v>0</v>
      </c>
      <c r="S1471" s="75">
        <v>1.65</v>
      </c>
      <c r="T1471" s="75">
        <f>STOCK[[#This Row],[Costo Unitario (USD)]]+STOCK[[#This Row],[Costo Envío (USD)]]+STOCK[[#This Row],[Comisión 10%]]</f>
        <v>11.6</v>
      </c>
      <c r="U1471" s="53">
        <f>STOCK[[#This Row],[Costo total]]*1.5</f>
        <v>17.399999999999999</v>
      </c>
      <c r="V1471" s="75">
        <v>30</v>
      </c>
      <c r="W1471" s="75">
        <f>STOCK[[#This Row],[Precio Final]]-STOCK[[#This Row],[Costo total]]</f>
        <v>18.399999999999999</v>
      </c>
      <c r="X1471" s="75">
        <f>STOCK[[#This Row],[Ganancia Unitaria]]*STOCK[[#This Row],[Salidas]]</f>
        <v>18.399999999999999</v>
      </c>
      <c r="Y1471" s="75"/>
      <c r="Z1471" s="75"/>
      <c r="AA1471" s="54">
        <f>STOCK[[#This Row],[Costo total]]*STOCK[[#This Row],[Entradas]]</f>
        <v>34.799999999999997</v>
      </c>
      <c r="AB1471" s="54">
        <f>STOCK[[#This Row],[Stock Actual]]*STOCK[[#This Row],[Costo total]]</f>
        <v>23.2</v>
      </c>
      <c r="AC1471" s="75"/>
    </row>
    <row r="1472" spans="1:29" s="53" customFormat="1" ht="50" customHeight="1">
      <c r="A1472" s="53" t="s">
        <v>2954</v>
      </c>
      <c r="B1472" s="76"/>
      <c r="C1472" s="75" t="s">
        <v>32</v>
      </c>
      <c r="D1472" s="75" t="s">
        <v>2630</v>
      </c>
      <c r="E1472" s="77" t="s">
        <v>2955</v>
      </c>
      <c r="F1472" s="75" t="s">
        <v>62</v>
      </c>
      <c r="G1472" s="75"/>
      <c r="H1472" s="75">
        <f>STOCK[[#This Row],[Precio Final]]</f>
        <v>30</v>
      </c>
      <c r="I1472" s="80">
        <f>STOCK[[#This Row],[Precio Venta Ideal (x1.5)]]</f>
        <v>24.450000000000003</v>
      </c>
      <c r="J1472" s="78">
        <v>1</v>
      </c>
      <c r="K1472" s="78">
        <f>SUMIFS(VENTAS[Cantidad],VENTAS[Código del producto Vendido],STOCK[[#This Row],[Code]])</f>
        <v>1</v>
      </c>
      <c r="L1472" s="78">
        <f>STOCK[[#This Row],[Entradas]]-STOCK[[#This Row],[Salidas]]</f>
        <v>0</v>
      </c>
      <c r="M1472" s="75">
        <f>STOCK[[#This Row],[Precio Final]]*10%</f>
        <v>3</v>
      </c>
      <c r="N1472" s="75">
        <v>0</v>
      </c>
      <c r="O1472" s="75">
        <v>0</v>
      </c>
      <c r="P1472" s="75">
        <v>11.65</v>
      </c>
      <c r="Q1472" s="78">
        <v>0</v>
      </c>
      <c r="R1472" s="75">
        <v>0</v>
      </c>
      <c r="S1472" s="75">
        <v>1.65</v>
      </c>
      <c r="T1472" s="75">
        <f>STOCK[[#This Row],[Costo Unitario (USD)]]+STOCK[[#This Row],[Costo Envío (USD)]]+STOCK[[#This Row],[Comisión 10%]]</f>
        <v>16.3</v>
      </c>
      <c r="U1472" s="53">
        <f>STOCK[[#This Row],[Costo total]]*1.5</f>
        <v>24.450000000000003</v>
      </c>
      <c r="V1472" s="75">
        <v>30</v>
      </c>
      <c r="W1472" s="75">
        <f>STOCK[[#This Row],[Precio Final]]-STOCK[[#This Row],[Costo total]]</f>
        <v>13.7</v>
      </c>
      <c r="X1472" s="75">
        <f>STOCK[[#This Row],[Ganancia Unitaria]]*STOCK[[#This Row],[Salidas]]</f>
        <v>13.7</v>
      </c>
      <c r="Y1472" s="75"/>
      <c r="Z1472" s="75"/>
      <c r="AA1472" s="54">
        <f>STOCK[[#This Row],[Costo total]]*STOCK[[#This Row],[Entradas]]</f>
        <v>16.3</v>
      </c>
      <c r="AB1472" s="54">
        <f>STOCK[[#This Row],[Stock Actual]]*STOCK[[#This Row],[Costo total]]</f>
        <v>0</v>
      </c>
      <c r="AC1472" s="75"/>
    </row>
    <row r="1473" spans="1:29" s="53" customFormat="1" ht="50" customHeight="1">
      <c r="A1473" s="53" t="s">
        <v>2956</v>
      </c>
      <c r="B1473" s="76"/>
      <c r="C1473" s="75" t="s">
        <v>32</v>
      </c>
      <c r="D1473" s="75" t="s">
        <v>2630</v>
      </c>
      <c r="E1473" s="77" t="s">
        <v>2957</v>
      </c>
      <c r="F1473" s="75" t="s">
        <v>46</v>
      </c>
      <c r="G1473" s="75"/>
      <c r="H1473" s="75">
        <f>STOCK[[#This Row],[Precio Final]]</f>
        <v>30</v>
      </c>
      <c r="I1473" s="80">
        <f>STOCK[[#This Row],[Precio Venta Ideal (x1.5)]]</f>
        <v>21.945</v>
      </c>
      <c r="J1473" s="78">
        <v>4</v>
      </c>
      <c r="K1473" s="78">
        <f>SUMIFS(VENTAS[Cantidad],VENTAS[Código del producto Vendido],STOCK[[#This Row],[Code]])</f>
        <v>0</v>
      </c>
      <c r="L1473" s="78">
        <f>STOCK[[#This Row],[Entradas]]-STOCK[[#This Row],[Salidas]]</f>
        <v>4</v>
      </c>
      <c r="M1473" s="75">
        <f>STOCK[[#This Row],[Precio Final]]*10%</f>
        <v>3</v>
      </c>
      <c r="N1473" s="75">
        <v>0</v>
      </c>
      <c r="O1473" s="75">
        <v>0</v>
      </c>
      <c r="P1473" s="75">
        <v>9.98</v>
      </c>
      <c r="Q1473" s="78">
        <v>0</v>
      </c>
      <c r="R1473" s="75">
        <v>0</v>
      </c>
      <c r="S1473" s="75">
        <v>1.65</v>
      </c>
      <c r="T1473" s="75">
        <f>STOCK[[#This Row],[Costo Unitario (USD)]]+STOCK[[#This Row],[Costo Envío (USD)]]+STOCK[[#This Row],[Comisión 10%]]</f>
        <v>14.63</v>
      </c>
      <c r="U1473" s="53">
        <f>STOCK[[#This Row],[Costo total]]*1.5</f>
        <v>21.945</v>
      </c>
      <c r="V1473" s="75">
        <v>30</v>
      </c>
      <c r="W1473" s="75">
        <f>STOCK[[#This Row],[Precio Final]]-STOCK[[#This Row],[Costo total]]</f>
        <v>15.37</v>
      </c>
      <c r="X1473" s="75">
        <f>STOCK[[#This Row],[Ganancia Unitaria]]*STOCK[[#This Row],[Salidas]]</f>
        <v>0</v>
      </c>
      <c r="Y1473" s="75"/>
      <c r="Z1473" s="75"/>
      <c r="AA1473" s="54">
        <f>STOCK[[#This Row],[Costo total]]*STOCK[[#This Row],[Entradas]]</f>
        <v>58.52</v>
      </c>
      <c r="AB1473" s="54">
        <f>STOCK[[#This Row],[Stock Actual]]*STOCK[[#This Row],[Costo total]]</f>
        <v>58.52</v>
      </c>
      <c r="AC1473" s="75"/>
    </row>
    <row r="1474" spans="1:29" s="53" customFormat="1" ht="50" customHeight="1">
      <c r="A1474" s="53" t="s">
        <v>2958</v>
      </c>
      <c r="B1474" s="76"/>
      <c r="C1474" s="75" t="s">
        <v>32</v>
      </c>
      <c r="D1474" s="75" t="s">
        <v>2630</v>
      </c>
      <c r="E1474" s="77" t="s">
        <v>2959</v>
      </c>
      <c r="F1474" s="75" t="s">
        <v>62</v>
      </c>
      <c r="G1474" s="75"/>
      <c r="H1474" s="75">
        <f>STOCK[[#This Row],[Precio Final]]</f>
        <v>30</v>
      </c>
      <c r="I1474" s="80">
        <f>STOCK[[#This Row],[Precio Venta Ideal (x1.5)]]</f>
        <v>27.195000000000004</v>
      </c>
      <c r="J1474" s="78">
        <v>2</v>
      </c>
      <c r="K1474" s="78">
        <f>SUMIFS(VENTAS[Cantidad],VENTAS[Código del producto Vendido],STOCK[[#This Row],[Code]])</f>
        <v>2</v>
      </c>
      <c r="L1474" s="78">
        <f>STOCK[[#This Row],[Entradas]]-STOCK[[#This Row],[Salidas]]</f>
        <v>0</v>
      </c>
      <c r="M1474" s="75">
        <f>STOCK[[#This Row],[Precio Final]]*10%</f>
        <v>3</v>
      </c>
      <c r="N1474" s="75">
        <v>0</v>
      </c>
      <c r="O1474" s="75">
        <v>0</v>
      </c>
      <c r="P1474" s="75">
        <v>13.48</v>
      </c>
      <c r="Q1474" s="78">
        <v>0</v>
      </c>
      <c r="R1474" s="75">
        <v>0</v>
      </c>
      <c r="S1474" s="75">
        <v>1.65</v>
      </c>
      <c r="T1474" s="75">
        <f>STOCK[[#This Row],[Costo Unitario (USD)]]+STOCK[[#This Row],[Costo Envío (USD)]]+STOCK[[#This Row],[Comisión 10%]]</f>
        <v>18.130000000000003</v>
      </c>
      <c r="U1474" s="53">
        <f>STOCK[[#This Row],[Costo total]]*1.5</f>
        <v>27.195000000000004</v>
      </c>
      <c r="V1474" s="75">
        <v>30</v>
      </c>
      <c r="W1474" s="75">
        <f>STOCK[[#This Row],[Precio Final]]-STOCK[[#This Row],[Costo total]]</f>
        <v>11.869999999999997</v>
      </c>
      <c r="X1474" s="75">
        <f>STOCK[[#This Row],[Ganancia Unitaria]]*STOCK[[#This Row],[Salidas]]</f>
        <v>23.739999999999995</v>
      </c>
      <c r="Y1474" s="75"/>
      <c r="Z1474" s="75"/>
      <c r="AA1474" s="54">
        <f>STOCK[[#This Row],[Costo total]]*STOCK[[#This Row],[Entradas]]</f>
        <v>36.260000000000005</v>
      </c>
      <c r="AB1474" s="54">
        <f>STOCK[[#This Row],[Stock Actual]]*STOCK[[#This Row],[Costo total]]</f>
        <v>0</v>
      </c>
      <c r="AC1474" s="75"/>
    </row>
    <row r="1475" spans="1:29" s="53" customFormat="1" ht="50" customHeight="1">
      <c r="A1475" s="53" t="s">
        <v>2960</v>
      </c>
      <c r="B1475" s="76"/>
      <c r="C1475" s="75" t="s">
        <v>32</v>
      </c>
      <c r="D1475" s="75" t="s">
        <v>2630</v>
      </c>
      <c r="E1475" s="77" t="s">
        <v>2959</v>
      </c>
      <c r="F1475" s="75" t="s">
        <v>49</v>
      </c>
      <c r="G1475" s="75"/>
      <c r="H1475" s="75">
        <f>STOCK[[#This Row],[Precio Final]]</f>
        <v>30</v>
      </c>
      <c r="I1475" s="80">
        <f>STOCK[[#This Row],[Precio Venta Ideal (x1.5)]]</f>
        <v>27.195000000000004</v>
      </c>
      <c r="J1475" s="78">
        <v>2</v>
      </c>
      <c r="K1475" s="78">
        <f>SUMIFS(VENTAS[Cantidad],VENTAS[Código del producto Vendido],STOCK[[#This Row],[Code]])</f>
        <v>3</v>
      </c>
      <c r="L1475" s="78">
        <f>STOCK[[#This Row],[Entradas]]-STOCK[[#This Row],[Salidas]]</f>
        <v>-1</v>
      </c>
      <c r="M1475" s="75">
        <f>STOCK[[#This Row],[Precio Final]]*10%</f>
        <v>3</v>
      </c>
      <c r="N1475" s="75">
        <v>0</v>
      </c>
      <c r="O1475" s="75">
        <v>0</v>
      </c>
      <c r="P1475" s="75">
        <v>13.48</v>
      </c>
      <c r="Q1475" s="78">
        <v>0</v>
      </c>
      <c r="R1475" s="75">
        <v>0</v>
      </c>
      <c r="S1475" s="75">
        <v>1.65</v>
      </c>
      <c r="T1475" s="75">
        <f>STOCK[[#This Row],[Costo Unitario (USD)]]+STOCK[[#This Row],[Costo Envío (USD)]]+STOCK[[#This Row],[Comisión 10%]]</f>
        <v>18.130000000000003</v>
      </c>
      <c r="U1475" s="53">
        <f>STOCK[[#This Row],[Costo total]]*1.5</f>
        <v>27.195000000000004</v>
      </c>
      <c r="V1475" s="75">
        <v>30</v>
      </c>
      <c r="W1475" s="75">
        <f>STOCK[[#This Row],[Precio Final]]-STOCK[[#This Row],[Costo total]]</f>
        <v>11.869999999999997</v>
      </c>
      <c r="X1475" s="75">
        <f>STOCK[[#This Row],[Ganancia Unitaria]]*STOCK[[#This Row],[Salidas]]</f>
        <v>35.609999999999992</v>
      </c>
      <c r="Y1475" s="75"/>
      <c r="Z1475" s="75"/>
      <c r="AA1475" s="54">
        <f>STOCK[[#This Row],[Costo total]]*STOCK[[#This Row],[Entradas]]</f>
        <v>36.260000000000005</v>
      </c>
      <c r="AB1475" s="54">
        <f>STOCK[[#This Row],[Stock Actual]]*STOCK[[#This Row],[Costo total]]</f>
        <v>-18.130000000000003</v>
      </c>
      <c r="AC1475" s="75"/>
    </row>
    <row r="1476" spans="1:29" s="53" customFormat="1" ht="50" customHeight="1">
      <c r="A1476" s="53" t="s">
        <v>2961</v>
      </c>
      <c r="B1476" s="76"/>
      <c r="C1476" s="75" t="s">
        <v>32</v>
      </c>
      <c r="D1476" s="75" t="s">
        <v>2630</v>
      </c>
      <c r="E1476" s="77" t="s">
        <v>2959</v>
      </c>
      <c r="F1476" s="75" t="s">
        <v>46</v>
      </c>
      <c r="G1476" s="75"/>
      <c r="H1476" s="75">
        <f>STOCK[[#This Row],[Precio Final]]</f>
        <v>30</v>
      </c>
      <c r="I1476" s="80">
        <f>STOCK[[#This Row],[Precio Venta Ideal (x1.5)]]</f>
        <v>27.195000000000004</v>
      </c>
      <c r="J1476" s="78">
        <v>2</v>
      </c>
      <c r="K1476" s="78">
        <f>SUMIFS(VENTAS[Cantidad],VENTAS[Código del producto Vendido],STOCK[[#This Row],[Code]])</f>
        <v>3</v>
      </c>
      <c r="L1476" s="78">
        <f>STOCK[[#This Row],[Entradas]]-STOCK[[#This Row],[Salidas]]</f>
        <v>-1</v>
      </c>
      <c r="M1476" s="75">
        <f>STOCK[[#This Row],[Precio Final]]*10%</f>
        <v>3</v>
      </c>
      <c r="N1476" s="75">
        <v>0</v>
      </c>
      <c r="O1476" s="75">
        <v>0</v>
      </c>
      <c r="P1476" s="75">
        <v>13.48</v>
      </c>
      <c r="Q1476" s="78">
        <v>0</v>
      </c>
      <c r="R1476" s="75">
        <v>0</v>
      </c>
      <c r="S1476" s="75">
        <v>1.65</v>
      </c>
      <c r="T1476" s="75">
        <f>STOCK[[#This Row],[Costo Unitario (USD)]]+STOCK[[#This Row],[Costo Envío (USD)]]+STOCK[[#This Row],[Comisión 10%]]</f>
        <v>18.130000000000003</v>
      </c>
      <c r="U1476" s="53">
        <f>STOCK[[#This Row],[Costo total]]*1.5</f>
        <v>27.195000000000004</v>
      </c>
      <c r="V1476" s="75">
        <v>30</v>
      </c>
      <c r="W1476" s="75">
        <f>STOCK[[#This Row],[Precio Final]]-STOCK[[#This Row],[Costo total]]</f>
        <v>11.869999999999997</v>
      </c>
      <c r="X1476" s="75">
        <f>STOCK[[#This Row],[Ganancia Unitaria]]*STOCK[[#This Row],[Salidas]]</f>
        <v>35.609999999999992</v>
      </c>
      <c r="Y1476" s="75"/>
      <c r="Z1476" s="75"/>
      <c r="AA1476" s="54">
        <f>STOCK[[#This Row],[Costo total]]*STOCK[[#This Row],[Entradas]]</f>
        <v>36.260000000000005</v>
      </c>
      <c r="AB1476" s="54">
        <f>STOCK[[#This Row],[Stock Actual]]*STOCK[[#This Row],[Costo total]]</f>
        <v>-18.130000000000003</v>
      </c>
      <c r="AC1476" s="75"/>
    </row>
    <row r="1477" spans="1:29" s="53" customFormat="1" ht="50" customHeight="1">
      <c r="A1477" s="53" t="s">
        <v>2962</v>
      </c>
      <c r="B1477" s="76"/>
      <c r="C1477" s="75" t="s">
        <v>32</v>
      </c>
      <c r="D1477" s="75" t="s">
        <v>2630</v>
      </c>
      <c r="E1477" s="77" t="s">
        <v>2963</v>
      </c>
      <c r="F1477" s="75" t="s">
        <v>62</v>
      </c>
      <c r="G1477" s="75"/>
      <c r="H1477" s="75">
        <f>STOCK[[#This Row],[Precio Final]]</f>
        <v>25</v>
      </c>
      <c r="I1477" s="80">
        <f>STOCK[[#This Row],[Precio Venta Ideal (x1.5)]]</f>
        <v>24.195000000000004</v>
      </c>
      <c r="J1477" s="78">
        <v>1</v>
      </c>
      <c r="K1477" s="78">
        <f>SUMIFS(VENTAS[Cantidad],VENTAS[Código del producto Vendido],STOCK[[#This Row],[Code]])</f>
        <v>2</v>
      </c>
      <c r="L1477" s="78">
        <f>STOCK[[#This Row],[Entradas]]-STOCK[[#This Row],[Salidas]]</f>
        <v>-1</v>
      </c>
      <c r="M1477" s="75">
        <f>STOCK[[#This Row],[Precio Final]]*10%</f>
        <v>2.5</v>
      </c>
      <c r="N1477" s="75">
        <v>0</v>
      </c>
      <c r="O1477" s="75">
        <v>0</v>
      </c>
      <c r="P1477" s="75">
        <v>11.98</v>
      </c>
      <c r="Q1477" s="78">
        <v>0</v>
      </c>
      <c r="R1477" s="75">
        <v>0</v>
      </c>
      <c r="S1477" s="75">
        <v>1.65</v>
      </c>
      <c r="T1477" s="75">
        <f>STOCK[[#This Row],[Costo Unitario (USD)]]+STOCK[[#This Row],[Costo Envío (USD)]]+STOCK[[#This Row],[Comisión 10%]]</f>
        <v>16.130000000000003</v>
      </c>
      <c r="U1477" s="53">
        <f>STOCK[[#This Row],[Costo total]]*1.5</f>
        <v>24.195000000000004</v>
      </c>
      <c r="V1477" s="75">
        <v>25</v>
      </c>
      <c r="W1477" s="75">
        <f>STOCK[[#This Row],[Precio Final]]-STOCK[[#This Row],[Costo total]]</f>
        <v>8.8699999999999974</v>
      </c>
      <c r="X1477" s="75">
        <f>STOCK[[#This Row],[Ganancia Unitaria]]*STOCK[[#This Row],[Salidas]]</f>
        <v>17.739999999999995</v>
      </c>
      <c r="Y1477" s="75"/>
      <c r="Z1477" s="75"/>
      <c r="AA1477" s="54">
        <f>STOCK[[#This Row],[Costo total]]*STOCK[[#This Row],[Entradas]]</f>
        <v>16.130000000000003</v>
      </c>
      <c r="AB1477" s="54">
        <f>STOCK[[#This Row],[Stock Actual]]*STOCK[[#This Row],[Costo total]]</f>
        <v>-16.130000000000003</v>
      </c>
      <c r="AC1477" s="75"/>
    </row>
    <row r="1478" spans="1:29" s="53" customFormat="1" ht="50" customHeight="1">
      <c r="A1478" s="53" t="s">
        <v>2964</v>
      </c>
      <c r="B1478" s="76"/>
      <c r="C1478" s="75" t="s">
        <v>32</v>
      </c>
      <c r="D1478" s="75" t="s">
        <v>2630</v>
      </c>
      <c r="E1478" s="77" t="s">
        <v>2963</v>
      </c>
      <c r="F1478" s="75" t="s">
        <v>49</v>
      </c>
      <c r="G1478" s="75"/>
      <c r="H1478" s="75">
        <f>STOCK[[#This Row],[Precio Final]]</f>
        <v>25</v>
      </c>
      <c r="I1478" s="80">
        <f>STOCK[[#This Row],[Precio Venta Ideal (x1.5)]]</f>
        <v>24.195000000000004</v>
      </c>
      <c r="J1478" s="78">
        <v>1</v>
      </c>
      <c r="K1478" s="78">
        <f>SUMIFS(VENTAS[Cantidad],VENTAS[Código del producto Vendido],STOCK[[#This Row],[Code]])</f>
        <v>1</v>
      </c>
      <c r="L1478" s="78">
        <f>STOCK[[#This Row],[Entradas]]-STOCK[[#This Row],[Salidas]]</f>
        <v>0</v>
      </c>
      <c r="M1478" s="75">
        <f>STOCK[[#This Row],[Precio Final]]*10%</f>
        <v>2.5</v>
      </c>
      <c r="N1478" s="75">
        <v>0</v>
      </c>
      <c r="O1478" s="75">
        <v>0</v>
      </c>
      <c r="P1478" s="75">
        <v>11.98</v>
      </c>
      <c r="Q1478" s="78">
        <v>0</v>
      </c>
      <c r="R1478" s="75">
        <v>0</v>
      </c>
      <c r="S1478" s="75">
        <v>1.65</v>
      </c>
      <c r="T1478" s="75">
        <f>STOCK[[#This Row],[Costo Unitario (USD)]]+STOCK[[#This Row],[Costo Envío (USD)]]+STOCK[[#This Row],[Comisión 10%]]</f>
        <v>16.130000000000003</v>
      </c>
      <c r="U1478" s="53">
        <f>STOCK[[#This Row],[Costo total]]*1.5</f>
        <v>24.195000000000004</v>
      </c>
      <c r="V1478" s="75">
        <v>25</v>
      </c>
      <c r="W1478" s="75">
        <f>STOCK[[#This Row],[Precio Final]]-STOCK[[#This Row],[Costo total]]</f>
        <v>8.8699999999999974</v>
      </c>
      <c r="X1478" s="75">
        <f>STOCK[[#This Row],[Ganancia Unitaria]]*STOCK[[#This Row],[Salidas]]</f>
        <v>8.8699999999999974</v>
      </c>
      <c r="Y1478" s="75"/>
      <c r="Z1478" s="75"/>
      <c r="AA1478" s="54">
        <f>STOCK[[#This Row],[Costo total]]*STOCK[[#This Row],[Entradas]]</f>
        <v>16.130000000000003</v>
      </c>
      <c r="AB1478" s="54">
        <f>STOCK[[#This Row],[Stock Actual]]*STOCK[[#This Row],[Costo total]]</f>
        <v>0</v>
      </c>
      <c r="AC1478" s="75"/>
    </row>
    <row r="1479" spans="1:29" s="53" customFormat="1" ht="50" customHeight="1">
      <c r="A1479" s="53" t="s">
        <v>2965</v>
      </c>
      <c r="B1479" s="76"/>
      <c r="C1479" s="75" t="s">
        <v>32</v>
      </c>
      <c r="D1479" s="75" t="s">
        <v>2630</v>
      </c>
      <c r="E1479" s="77" t="s">
        <v>2946</v>
      </c>
      <c r="F1479" s="75" t="s">
        <v>49</v>
      </c>
      <c r="G1479" s="75"/>
      <c r="H1479" s="75">
        <f>STOCK[[#This Row],[Precio Final]]</f>
        <v>30</v>
      </c>
      <c r="I1479" s="80">
        <f>STOCK[[#This Row],[Precio Venta Ideal (x1.5)]]</f>
        <v>19.8</v>
      </c>
      <c r="J1479" s="78">
        <v>1</v>
      </c>
      <c r="K1479" s="78">
        <f>SUMIFS(VENTAS[Cantidad],VENTAS[Código del producto Vendido],STOCK[[#This Row],[Code]])</f>
        <v>0</v>
      </c>
      <c r="L1479" s="78">
        <f>STOCK[[#This Row],[Entradas]]-STOCK[[#This Row],[Salidas]]</f>
        <v>1</v>
      </c>
      <c r="M1479" s="75">
        <f>STOCK[[#This Row],[Precio Final]]*10%</f>
        <v>3</v>
      </c>
      <c r="N1479" s="75">
        <v>0</v>
      </c>
      <c r="O1479" s="75">
        <v>0</v>
      </c>
      <c r="P1479" s="75">
        <v>8.5500000000000007</v>
      </c>
      <c r="Q1479" s="78">
        <v>0</v>
      </c>
      <c r="R1479" s="75">
        <v>0</v>
      </c>
      <c r="S1479" s="75">
        <v>1.65</v>
      </c>
      <c r="T1479" s="75">
        <f>STOCK[[#This Row],[Costo Unitario (USD)]]+STOCK[[#This Row],[Costo Envío (USD)]]+STOCK[[#This Row],[Comisión 10%]]</f>
        <v>13.200000000000001</v>
      </c>
      <c r="U1479" s="53">
        <f>STOCK[[#This Row],[Costo total]]*1.5</f>
        <v>19.8</v>
      </c>
      <c r="V1479" s="75">
        <v>30</v>
      </c>
      <c r="W1479" s="75">
        <f>STOCK[[#This Row],[Precio Final]]-STOCK[[#This Row],[Costo total]]</f>
        <v>16.799999999999997</v>
      </c>
      <c r="X1479" s="75">
        <f>STOCK[[#This Row],[Ganancia Unitaria]]*STOCK[[#This Row],[Salidas]]</f>
        <v>0</v>
      </c>
      <c r="Y1479" s="75"/>
      <c r="Z1479" s="75"/>
      <c r="AA1479" s="54">
        <f>STOCK[[#This Row],[Costo total]]*STOCK[[#This Row],[Entradas]]</f>
        <v>13.200000000000001</v>
      </c>
      <c r="AB1479" s="54">
        <f>STOCK[[#This Row],[Stock Actual]]*STOCK[[#This Row],[Costo total]]</f>
        <v>13.200000000000001</v>
      </c>
      <c r="AC1479" s="75"/>
    </row>
    <row r="1480" spans="1:29" s="53" customFormat="1" ht="50" customHeight="1">
      <c r="A1480" s="53" t="s">
        <v>2966</v>
      </c>
      <c r="B1480" s="76"/>
      <c r="C1480" s="75" t="s">
        <v>32</v>
      </c>
      <c r="D1480" s="75" t="s">
        <v>2630</v>
      </c>
      <c r="E1480" s="77" t="s">
        <v>2967</v>
      </c>
      <c r="F1480" s="75" t="s">
        <v>1046</v>
      </c>
      <c r="G1480" s="75"/>
      <c r="H1480" s="75">
        <f>STOCK[[#This Row],[Precio Final]]</f>
        <v>20</v>
      </c>
      <c r="I1480" s="80">
        <f>STOCK[[#This Row],[Precio Venta Ideal (x1.5)]]</f>
        <v>14.445</v>
      </c>
      <c r="J1480" s="78">
        <v>2</v>
      </c>
      <c r="K1480" s="78">
        <f>SUMIFS(VENTAS[Cantidad],VENTAS[Código del producto Vendido],STOCK[[#This Row],[Code]])</f>
        <v>3</v>
      </c>
      <c r="L1480" s="78">
        <f>STOCK[[#This Row],[Entradas]]-STOCK[[#This Row],[Salidas]]</f>
        <v>-1</v>
      </c>
      <c r="M1480" s="75">
        <f>STOCK[[#This Row],[Precio Final]]*10%</f>
        <v>2</v>
      </c>
      <c r="N1480" s="75">
        <v>0</v>
      </c>
      <c r="O1480" s="75">
        <v>0</v>
      </c>
      <c r="P1480" s="75">
        <v>5.98</v>
      </c>
      <c r="Q1480" s="78">
        <v>0</v>
      </c>
      <c r="R1480" s="75">
        <v>0</v>
      </c>
      <c r="S1480" s="75">
        <v>1.65</v>
      </c>
      <c r="T1480" s="75">
        <f>STOCK[[#This Row],[Costo Unitario (USD)]]+STOCK[[#This Row],[Costo Envío (USD)]]+STOCK[[#This Row],[Comisión 10%]]</f>
        <v>9.6300000000000008</v>
      </c>
      <c r="U1480" s="53">
        <f>STOCK[[#This Row],[Costo total]]*1.5</f>
        <v>14.445</v>
      </c>
      <c r="V1480" s="75">
        <v>20</v>
      </c>
      <c r="W1480" s="75">
        <f>STOCK[[#This Row],[Precio Final]]-STOCK[[#This Row],[Costo total]]</f>
        <v>10.37</v>
      </c>
      <c r="X1480" s="75">
        <f>STOCK[[#This Row],[Ganancia Unitaria]]*STOCK[[#This Row],[Salidas]]</f>
        <v>31.11</v>
      </c>
      <c r="Y1480" s="75"/>
      <c r="Z1480" s="75"/>
      <c r="AA1480" s="54">
        <f>STOCK[[#This Row],[Costo total]]*STOCK[[#This Row],[Entradas]]</f>
        <v>19.260000000000002</v>
      </c>
      <c r="AB1480" s="54">
        <f>STOCK[[#This Row],[Stock Actual]]*STOCK[[#This Row],[Costo total]]</f>
        <v>-9.6300000000000008</v>
      </c>
      <c r="AC1480" s="75"/>
    </row>
    <row r="1481" spans="1:29" s="53" customFormat="1" ht="50" customHeight="1">
      <c r="A1481" s="53" t="s">
        <v>2968</v>
      </c>
      <c r="B1481" s="76"/>
      <c r="C1481" s="75" t="s">
        <v>32</v>
      </c>
      <c r="D1481" s="75" t="s">
        <v>2630</v>
      </c>
      <c r="E1481" s="77" t="s">
        <v>2967</v>
      </c>
      <c r="F1481" s="75" t="s">
        <v>49</v>
      </c>
      <c r="G1481" s="75"/>
      <c r="H1481" s="75">
        <f>STOCK[[#This Row],[Precio Final]]</f>
        <v>20</v>
      </c>
      <c r="I1481" s="80">
        <f>STOCK[[#This Row],[Precio Venta Ideal (x1.5)]]</f>
        <v>14.445</v>
      </c>
      <c r="J1481" s="78">
        <v>1</v>
      </c>
      <c r="K1481" s="78">
        <f>SUMIFS(VENTAS[Cantidad],VENTAS[Código del producto Vendido],STOCK[[#This Row],[Code]])</f>
        <v>1</v>
      </c>
      <c r="L1481" s="78">
        <f>STOCK[[#This Row],[Entradas]]-STOCK[[#This Row],[Salidas]]</f>
        <v>0</v>
      </c>
      <c r="M1481" s="75">
        <f>STOCK[[#This Row],[Precio Final]]*10%</f>
        <v>2</v>
      </c>
      <c r="N1481" s="75">
        <v>0</v>
      </c>
      <c r="O1481" s="75">
        <v>0</v>
      </c>
      <c r="P1481" s="75">
        <v>5.98</v>
      </c>
      <c r="Q1481" s="78">
        <v>0</v>
      </c>
      <c r="R1481" s="75">
        <v>0</v>
      </c>
      <c r="S1481" s="75">
        <v>1.65</v>
      </c>
      <c r="T1481" s="75">
        <f>STOCK[[#This Row],[Costo Unitario (USD)]]+STOCK[[#This Row],[Costo Envío (USD)]]+STOCK[[#This Row],[Comisión 10%]]</f>
        <v>9.6300000000000008</v>
      </c>
      <c r="U1481" s="53">
        <f>STOCK[[#This Row],[Costo total]]*1.5</f>
        <v>14.445</v>
      </c>
      <c r="V1481" s="75">
        <v>20</v>
      </c>
      <c r="W1481" s="75">
        <f>STOCK[[#This Row],[Precio Final]]-STOCK[[#This Row],[Costo total]]</f>
        <v>10.37</v>
      </c>
      <c r="X1481" s="75">
        <f>STOCK[[#This Row],[Ganancia Unitaria]]*STOCK[[#This Row],[Salidas]]</f>
        <v>10.37</v>
      </c>
      <c r="Y1481" s="75"/>
      <c r="Z1481" s="75"/>
      <c r="AA1481" s="54">
        <f>STOCK[[#This Row],[Costo total]]*STOCK[[#This Row],[Entradas]]</f>
        <v>9.6300000000000008</v>
      </c>
      <c r="AB1481" s="54">
        <f>STOCK[[#This Row],[Stock Actual]]*STOCK[[#This Row],[Costo total]]</f>
        <v>0</v>
      </c>
      <c r="AC1481" s="75"/>
    </row>
    <row r="1482" spans="1:29" s="53" customFormat="1" ht="50" customHeight="1">
      <c r="A1482" s="53" t="s">
        <v>2969</v>
      </c>
      <c r="B1482" s="76"/>
      <c r="C1482" s="75" t="s">
        <v>32</v>
      </c>
      <c r="D1482" s="75" t="s">
        <v>2630</v>
      </c>
      <c r="E1482" s="77" t="s">
        <v>2967</v>
      </c>
      <c r="F1482" s="75" t="s">
        <v>46</v>
      </c>
      <c r="G1482" s="75"/>
      <c r="H1482" s="75">
        <f>STOCK[[#This Row],[Precio Final]]</f>
        <v>20</v>
      </c>
      <c r="I1482" s="80">
        <f>STOCK[[#This Row],[Precio Venta Ideal (x1.5)]]</f>
        <v>14.445</v>
      </c>
      <c r="J1482" s="78">
        <v>1</v>
      </c>
      <c r="K1482" s="78">
        <f>SUMIFS(VENTAS[Cantidad],VENTAS[Código del producto Vendido],STOCK[[#This Row],[Code]])</f>
        <v>2</v>
      </c>
      <c r="L1482" s="78">
        <f>STOCK[[#This Row],[Entradas]]-STOCK[[#This Row],[Salidas]]</f>
        <v>-1</v>
      </c>
      <c r="M1482" s="75">
        <f>STOCK[[#This Row],[Precio Final]]*10%</f>
        <v>2</v>
      </c>
      <c r="N1482" s="75">
        <v>0</v>
      </c>
      <c r="O1482" s="75">
        <v>0</v>
      </c>
      <c r="P1482" s="75">
        <v>5.98</v>
      </c>
      <c r="Q1482" s="78">
        <v>0</v>
      </c>
      <c r="R1482" s="75">
        <v>0</v>
      </c>
      <c r="S1482" s="75">
        <v>1.65</v>
      </c>
      <c r="T1482" s="75">
        <f>STOCK[[#This Row],[Costo Unitario (USD)]]+STOCK[[#This Row],[Costo Envío (USD)]]+STOCK[[#This Row],[Comisión 10%]]</f>
        <v>9.6300000000000008</v>
      </c>
      <c r="U1482" s="53">
        <f>STOCK[[#This Row],[Costo total]]*1.5</f>
        <v>14.445</v>
      </c>
      <c r="V1482" s="75">
        <v>20</v>
      </c>
      <c r="W1482" s="75">
        <f>STOCK[[#This Row],[Precio Final]]-STOCK[[#This Row],[Costo total]]</f>
        <v>10.37</v>
      </c>
      <c r="X1482" s="75">
        <f>STOCK[[#This Row],[Ganancia Unitaria]]*STOCK[[#This Row],[Salidas]]</f>
        <v>20.74</v>
      </c>
      <c r="Y1482" s="75"/>
      <c r="Z1482" s="75"/>
      <c r="AA1482" s="54">
        <f>STOCK[[#This Row],[Costo total]]*STOCK[[#This Row],[Entradas]]</f>
        <v>9.6300000000000008</v>
      </c>
      <c r="AB1482" s="54">
        <f>STOCK[[#This Row],[Stock Actual]]*STOCK[[#This Row],[Costo total]]</f>
        <v>-9.6300000000000008</v>
      </c>
      <c r="AC1482" s="75"/>
    </row>
    <row r="1483" spans="1:29" s="53" customFormat="1" ht="50" customHeight="1">
      <c r="A1483" s="53" t="s">
        <v>2970</v>
      </c>
      <c r="B1483" s="76"/>
      <c r="C1483" s="75" t="s">
        <v>32</v>
      </c>
      <c r="D1483" s="75" t="s">
        <v>2134</v>
      </c>
      <c r="E1483" s="77" t="s">
        <v>2971</v>
      </c>
      <c r="F1483" s="75" t="s">
        <v>49</v>
      </c>
      <c r="G1483" s="75"/>
      <c r="H1483" s="75">
        <f>STOCK[[#This Row],[Precio Final]]</f>
        <v>40</v>
      </c>
      <c r="I1483" s="80">
        <f>STOCK[[#This Row],[Precio Venta Ideal (x1.5)]]</f>
        <v>27.855</v>
      </c>
      <c r="J1483" s="78">
        <v>1</v>
      </c>
      <c r="K1483" s="78">
        <f>SUMIFS(VENTAS[Cantidad],VENTAS[Código del producto Vendido],STOCK[[#This Row],[Code]])</f>
        <v>2</v>
      </c>
      <c r="L1483" s="78">
        <f>STOCK[[#This Row],[Entradas]]-STOCK[[#This Row],[Salidas]]</f>
        <v>-1</v>
      </c>
      <c r="M1483" s="75">
        <f>STOCK[[#This Row],[Precio Final]]*10%</f>
        <v>4</v>
      </c>
      <c r="N1483" s="75">
        <v>0</v>
      </c>
      <c r="O1483" s="75">
        <v>0</v>
      </c>
      <c r="P1483" s="75">
        <v>12.92</v>
      </c>
      <c r="Q1483" s="78">
        <v>0</v>
      </c>
      <c r="R1483" s="75">
        <v>0</v>
      </c>
      <c r="S1483" s="75">
        <v>1.65</v>
      </c>
      <c r="T1483" s="75">
        <f>STOCK[[#This Row],[Costo Unitario (USD)]]+STOCK[[#This Row],[Costo Envío (USD)]]+STOCK[[#This Row],[Comisión 10%]]</f>
        <v>18.57</v>
      </c>
      <c r="U1483" s="53">
        <f>STOCK[[#This Row],[Costo total]]*1.5</f>
        <v>27.855</v>
      </c>
      <c r="V1483" s="75">
        <v>40</v>
      </c>
      <c r="W1483" s="75">
        <f>STOCK[[#This Row],[Precio Final]]-STOCK[[#This Row],[Costo total]]</f>
        <v>21.43</v>
      </c>
      <c r="X1483" s="75">
        <f>STOCK[[#This Row],[Ganancia Unitaria]]*STOCK[[#This Row],[Salidas]]</f>
        <v>42.86</v>
      </c>
      <c r="Y1483" s="75"/>
      <c r="Z1483" s="75"/>
      <c r="AA1483" s="54">
        <f>STOCK[[#This Row],[Costo total]]*STOCK[[#This Row],[Entradas]]</f>
        <v>18.57</v>
      </c>
      <c r="AB1483" s="54">
        <f>STOCK[[#This Row],[Stock Actual]]*STOCK[[#This Row],[Costo total]]</f>
        <v>-18.57</v>
      </c>
      <c r="AC1483" s="75"/>
    </row>
    <row r="1484" spans="1:29" s="53" customFormat="1" ht="50" customHeight="1">
      <c r="A1484" s="53" t="s">
        <v>2972</v>
      </c>
      <c r="B1484" s="76"/>
      <c r="C1484" s="75" t="s">
        <v>32</v>
      </c>
      <c r="D1484" s="75" t="s">
        <v>2630</v>
      </c>
      <c r="E1484" s="77" t="s">
        <v>2967</v>
      </c>
      <c r="F1484" s="75" t="s">
        <v>62</v>
      </c>
      <c r="G1484" s="75"/>
      <c r="H1484" s="75">
        <f>STOCK[[#This Row],[Precio Final]]</f>
        <v>20</v>
      </c>
      <c r="I1484" s="80">
        <f>STOCK[[#This Row],[Precio Venta Ideal (x1.5)]]</f>
        <v>14.445</v>
      </c>
      <c r="J1484" s="78">
        <v>2</v>
      </c>
      <c r="K1484" s="78">
        <f>SUMIFS(VENTAS[Cantidad],VENTAS[Código del producto Vendido],STOCK[[#This Row],[Code]])</f>
        <v>2</v>
      </c>
      <c r="L1484" s="78">
        <f>STOCK[[#This Row],[Entradas]]-STOCK[[#This Row],[Salidas]]</f>
        <v>0</v>
      </c>
      <c r="M1484" s="75">
        <f>STOCK[[#This Row],[Precio Final]]*10%</f>
        <v>2</v>
      </c>
      <c r="N1484" s="75">
        <v>0</v>
      </c>
      <c r="O1484" s="75">
        <v>0</v>
      </c>
      <c r="P1484" s="75">
        <v>5.98</v>
      </c>
      <c r="Q1484" s="78">
        <v>0</v>
      </c>
      <c r="R1484" s="75">
        <v>0</v>
      </c>
      <c r="S1484" s="75">
        <v>1.65</v>
      </c>
      <c r="T1484" s="75">
        <f>STOCK[[#This Row],[Costo Unitario (USD)]]+STOCK[[#This Row],[Costo Envío (USD)]]+STOCK[[#This Row],[Comisión 10%]]</f>
        <v>9.6300000000000008</v>
      </c>
      <c r="U1484" s="53">
        <f>STOCK[[#This Row],[Costo total]]*1.5</f>
        <v>14.445</v>
      </c>
      <c r="V1484" s="75">
        <v>20</v>
      </c>
      <c r="W1484" s="75">
        <f>STOCK[[#This Row],[Precio Final]]-STOCK[[#This Row],[Costo total]]</f>
        <v>10.37</v>
      </c>
      <c r="X1484" s="75">
        <f>STOCK[[#This Row],[Ganancia Unitaria]]*STOCK[[#This Row],[Salidas]]</f>
        <v>20.74</v>
      </c>
      <c r="Y1484" s="75"/>
      <c r="Z1484" s="75"/>
      <c r="AA1484" s="54">
        <f>STOCK[[#This Row],[Costo total]]*STOCK[[#This Row],[Entradas]]</f>
        <v>19.260000000000002</v>
      </c>
      <c r="AB1484" s="54">
        <f>STOCK[[#This Row],[Stock Actual]]*STOCK[[#This Row],[Costo total]]</f>
        <v>0</v>
      </c>
      <c r="AC1484" s="75"/>
    </row>
    <row r="1485" spans="1:29" s="53" customFormat="1" ht="50" customHeight="1">
      <c r="A1485" s="53" t="s">
        <v>2973</v>
      </c>
      <c r="B1485" s="76"/>
      <c r="C1485" s="75" t="s">
        <v>32</v>
      </c>
      <c r="D1485" s="75" t="s">
        <v>2630</v>
      </c>
      <c r="E1485" s="77" t="s">
        <v>2974</v>
      </c>
      <c r="F1485" s="75" t="s">
        <v>62</v>
      </c>
      <c r="G1485" s="75"/>
      <c r="H1485" s="75">
        <f>STOCK[[#This Row],[Precio Final]]</f>
        <v>25</v>
      </c>
      <c r="I1485" s="80">
        <f>STOCK[[#This Row],[Precio Venta Ideal (x1.5)]]</f>
        <v>22.23</v>
      </c>
      <c r="J1485" s="78">
        <v>2</v>
      </c>
      <c r="K1485" s="78">
        <f>SUMIFS(VENTAS[Cantidad],VENTAS[Código del producto Vendido],STOCK[[#This Row],[Code]])</f>
        <v>4</v>
      </c>
      <c r="L1485" s="78">
        <f>STOCK[[#This Row],[Entradas]]-STOCK[[#This Row],[Salidas]]</f>
        <v>-2</v>
      </c>
      <c r="M1485" s="75">
        <f>STOCK[[#This Row],[Precio Final]]*10%</f>
        <v>2.5</v>
      </c>
      <c r="N1485" s="75">
        <v>0</v>
      </c>
      <c r="O1485" s="75">
        <v>0</v>
      </c>
      <c r="P1485" s="75">
        <v>10.67</v>
      </c>
      <c r="Q1485" s="78">
        <v>0</v>
      </c>
      <c r="R1485" s="75">
        <v>0</v>
      </c>
      <c r="S1485" s="75">
        <v>1.65</v>
      </c>
      <c r="T1485" s="75">
        <f>STOCK[[#This Row],[Costo Unitario (USD)]]+STOCK[[#This Row],[Costo Envío (USD)]]+STOCK[[#This Row],[Comisión 10%]]</f>
        <v>14.82</v>
      </c>
      <c r="U1485" s="53">
        <f>STOCK[[#This Row],[Costo total]]*1.5</f>
        <v>22.23</v>
      </c>
      <c r="V1485" s="75">
        <v>25</v>
      </c>
      <c r="W1485" s="75">
        <f>STOCK[[#This Row],[Precio Final]]-STOCK[[#This Row],[Costo total]]</f>
        <v>10.18</v>
      </c>
      <c r="X1485" s="75">
        <f>STOCK[[#This Row],[Ganancia Unitaria]]*STOCK[[#This Row],[Salidas]]</f>
        <v>40.72</v>
      </c>
      <c r="Y1485" s="75"/>
      <c r="Z1485" s="75"/>
      <c r="AA1485" s="54">
        <f>STOCK[[#This Row],[Costo total]]*STOCK[[#This Row],[Entradas]]</f>
        <v>29.64</v>
      </c>
      <c r="AB1485" s="54">
        <f>STOCK[[#This Row],[Stock Actual]]*STOCK[[#This Row],[Costo total]]</f>
        <v>-29.64</v>
      </c>
      <c r="AC1485" s="75"/>
    </row>
    <row r="1486" spans="1:29" s="53" customFormat="1" ht="50" customHeight="1">
      <c r="A1486" s="53" t="s">
        <v>2975</v>
      </c>
      <c r="B1486" s="76"/>
      <c r="C1486" s="75" t="s">
        <v>32</v>
      </c>
      <c r="D1486" s="75" t="s">
        <v>2630</v>
      </c>
      <c r="E1486" s="77" t="s">
        <v>2974</v>
      </c>
      <c r="F1486" s="75" t="s">
        <v>49</v>
      </c>
      <c r="G1486" s="75"/>
      <c r="H1486" s="75">
        <f>STOCK[[#This Row],[Precio Final]]</f>
        <v>25</v>
      </c>
      <c r="I1486" s="80">
        <f>STOCK[[#This Row],[Precio Venta Ideal (x1.5)]]</f>
        <v>22.23</v>
      </c>
      <c r="J1486" s="78">
        <v>2</v>
      </c>
      <c r="K1486" s="78">
        <f>SUMIFS(VENTAS[Cantidad],VENTAS[Código del producto Vendido],STOCK[[#This Row],[Code]])</f>
        <v>4</v>
      </c>
      <c r="L1486" s="78">
        <f>STOCK[[#This Row],[Entradas]]-STOCK[[#This Row],[Salidas]]</f>
        <v>-2</v>
      </c>
      <c r="M1486" s="75">
        <f>STOCK[[#This Row],[Precio Final]]*10%</f>
        <v>2.5</v>
      </c>
      <c r="N1486" s="75">
        <v>0</v>
      </c>
      <c r="O1486" s="75">
        <v>0</v>
      </c>
      <c r="P1486" s="75">
        <v>10.67</v>
      </c>
      <c r="Q1486" s="78">
        <v>0</v>
      </c>
      <c r="R1486" s="75">
        <v>0</v>
      </c>
      <c r="S1486" s="75">
        <v>1.65</v>
      </c>
      <c r="T1486" s="75">
        <f>STOCK[[#This Row],[Costo Unitario (USD)]]+STOCK[[#This Row],[Costo Envío (USD)]]+STOCK[[#This Row],[Comisión 10%]]</f>
        <v>14.82</v>
      </c>
      <c r="U1486" s="53">
        <f>STOCK[[#This Row],[Costo total]]*1.5</f>
        <v>22.23</v>
      </c>
      <c r="V1486" s="75">
        <v>25</v>
      </c>
      <c r="W1486" s="75">
        <f>STOCK[[#This Row],[Precio Final]]-STOCK[[#This Row],[Costo total]]</f>
        <v>10.18</v>
      </c>
      <c r="X1486" s="75">
        <f>STOCK[[#This Row],[Ganancia Unitaria]]*STOCK[[#This Row],[Salidas]]</f>
        <v>40.72</v>
      </c>
      <c r="Y1486" s="75"/>
      <c r="Z1486" s="75"/>
      <c r="AA1486" s="54">
        <f>STOCK[[#This Row],[Costo total]]*STOCK[[#This Row],[Entradas]]</f>
        <v>29.64</v>
      </c>
      <c r="AB1486" s="54">
        <f>STOCK[[#This Row],[Stock Actual]]*STOCK[[#This Row],[Costo total]]</f>
        <v>-29.64</v>
      </c>
      <c r="AC1486" s="75"/>
    </row>
    <row r="1487" spans="1:29" s="53" customFormat="1" ht="50" customHeight="1">
      <c r="A1487" s="53" t="s">
        <v>2976</v>
      </c>
      <c r="B1487" s="76"/>
      <c r="C1487" s="75" t="s">
        <v>32</v>
      </c>
      <c r="D1487" s="75" t="s">
        <v>2630</v>
      </c>
      <c r="E1487" s="77" t="s">
        <v>2974</v>
      </c>
      <c r="F1487" s="75" t="s">
        <v>46</v>
      </c>
      <c r="G1487" s="75"/>
      <c r="H1487" s="75">
        <f>STOCK[[#This Row],[Precio Final]]</f>
        <v>25</v>
      </c>
      <c r="I1487" s="80">
        <f>STOCK[[#This Row],[Precio Venta Ideal (x1.5)]]</f>
        <v>22.23</v>
      </c>
      <c r="J1487" s="78">
        <v>2</v>
      </c>
      <c r="K1487" s="78">
        <f>SUMIFS(VENTAS[Cantidad],VENTAS[Código del producto Vendido],STOCK[[#This Row],[Code]])</f>
        <v>2</v>
      </c>
      <c r="L1487" s="78">
        <f>STOCK[[#This Row],[Entradas]]-STOCK[[#This Row],[Salidas]]</f>
        <v>0</v>
      </c>
      <c r="M1487" s="75">
        <f>STOCK[[#This Row],[Precio Final]]*10%</f>
        <v>2.5</v>
      </c>
      <c r="N1487" s="75">
        <v>0</v>
      </c>
      <c r="O1487" s="75">
        <v>0</v>
      </c>
      <c r="P1487" s="75">
        <v>10.67</v>
      </c>
      <c r="Q1487" s="78">
        <v>0</v>
      </c>
      <c r="R1487" s="75">
        <v>0</v>
      </c>
      <c r="S1487" s="75">
        <v>1.65</v>
      </c>
      <c r="T1487" s="75">
        <f>STOCK[[#This Row],[Costo Unitario (USD)]]+STOCK[[#This Row],[Costo Envío (USD)]]+STOCK[[#This Row],[Comisión 10%]]</f>
        <v>14.82</v>
      </c>
      <c r="U1487" s="53">
        <f>STOCK[[#This Row],[Costo total]]*1.5</f>
        <v>22.23</v>
      </c>
      <c r="V1487" s="75">
        <v>25</v>
      </c>
      <c r="W1487" s="75">
        <f>STOCK[[#This Row],[Precio Final]]-STOCK[[#This Row],[Costo total]]</f>
        <v>10.18</v>
      </c>
      <c r="X1487" s="75">
        <f>STOCK[[#This Row],[Ganancia Unitaria]]*STOCK[[#This Row],[Salidas]]</f>
        <v>20.36</v>
      </c>
      <c r="Y1487" s="75"/>
      <c r="Z1487" s="75"/>
      <c r="AA1487" s="54">
        <f>STOCK[[#This Row],[Costo total]]*STOCK[[#This Row],[Entradas]]</f>
        <v>29.64</v>
      </c>
      <c r="AB1487" s="54">
        <f>STOCK[[#This Row],[Stock Actual]]*STOCK[[#This Row],[Costo total]]</f>
        <v>0</v>
      </c>
      <c r="AC1487" s="75"/>
    </row>
    <row r="1488" spans="1:29" s="53" customFormat="1" ht="50" customHeight="1">
      <c r="A1488" s="53" t="s">
        <v>2977</v>
      </c>
      <c r="B1488" s="76"/>
      <c r="C1488" s="75" t="s">
        <v>32</v>
      </c>
      <c r="D1488" s="75" t="s">
        <v>2112</v>
      </c>
      <c r="E1488" s="77" t="s">
        <v>2978</v>
      </c>
      <c r="F1488" s="75" t="s">
        <v>2818</v>
      </c>
      <c r="G1488" s="75"/>
      <c r="H1488" s="75">
        <f>STOCK[[#This Row],[Precio Final]]</f>
        <v>12</v>
      </c>
      <c r="I1488" s="80">
        <f>STOCK[[#This Row],[Precio Venta Ideal (x1.5)]]</f>
        <v>8.7600000000000016</v>
      </c>
      <c r="J1488" s="78">
        <v>6</v>
      </c>
      <c r="K1488" s="78">
        <f>SUMIFS(VENTAS[Cantidad],VENTAS[Código del producto Vendido],STOCK[[#This Row],[Code]])</f>
        <v>1</v>
      </c>
      <c r="L1488" s="78">
        <f>STOCK[[#This Row],[Entradas]]-STOCK[[#This Row],[Salidas]]</f>
        <v>5</v>
      </c>
      <c r="M1488" s="75">
        <f>STOCK[[#This Row],[Precio Final]]*10%</f>
        <v>1.2000000000000002</v>
      </c>
      <c r="N1488" s="75">
        <v>0</v>
      </c>
      <c r="O1488" s="75">
        <v>0</v>
      </c>
      <c r="P1488" s="75">
        <v>2.99</v>
      </c>
      <c r="Q1488" s="78">
        <v>0</v>
      </c>
      <c r="R1488" s="75">
        <v>0</v>
      </c>
      <c r="S1488" s="75">
        <v>1.65</v>
      </c>
      <c r="T1488" s="75">
        <f>STOCK[[#This Row],[Costo Unitario (USD)]]+STOCK[[#This Row],[Costo Envío (USD)]]+STOCK[[#This Row],[Comisión 10%]]</f>
        <v>5.8400000000000007</v>
      </c>
      <c r="U1488" s="53">
        <f>STOCK[[#This Row],[Costo total]]*1.5</f>
        <v>8.7600000000000016</v>
      </c>
      <c r="V1488" s="75">
        <v>12</v>
      </c>
      <c r="W1488" s="75">
        <f>STOCK[[#This Row],[Precio Final]]-STOCK[[#This Row],[Costo total]]</f>
        <v>6.1599999999999993</v>
      </c>
      <c r="X1488" s="75">
        <f>STOCK[[#This Row],[Ganancia Unitaria]]*STOCK[[#This Row],[Salidas]]</f>
        <v>6.1599999999999993</v>
      </c>
      <c r="Y1488" s="75"/>
      <c r="Z1488" s="75"/>
      <c r="AA1488" s="54">
        <f>STOCK[[#This Row],[Costo total]]*STOCK[[#This Row],[Entradas]]</f>
        <v>35.040000000000006</v>
      </c>
      <c r="AB1488" s="54">
        <f>STOCK[[#This Row],[Stock Actual]]*STOCK[[#This Row],[Costo total]]</f>
        <v>29.200000000000003</v>
      </c>
      <c r="AC1488" s="75"/>
    </row>
    <row r="1489" spans="1:29" s="53" customFormat="1" ht="50" customHeight="1">
      <c r="A1489" s="53" t="s">
        <v>2979</v>
      </c>
      <c r="B1489" s="76"/>
      <c r="C1489" s="75" t="s">
        <v>32</v>
      </c>
      <c r="D1489" s="75" t="s">
        <v>2112</v>
      </c>
      <c r="E1489" s="77" t="s">
        <v>2980</v>
      </c>
      <c r="F1489" s="75" t="s">
        <v>2818</v>
      </c>
      <c r="G1489" s="75"/>
      <c r="H1489" s="75">
        <f>STOCK[[#This Row],[Precio Final]]</f>
        <v>12</v>
      </c>
      <c r="I1489" s="80">
        <f>STOCK[[#This Row],[Precio Venta Ideal (x1.5)]]</f>
        <v>9.0449999999999999</v>
      </c>
      <c r="J1489" s="78">
        <v>4</v>
      </c>
      <c r="K1489" s="78">
        <f>SUMIFS(VENTAS[Cantidad],VENTAS[Código del producto Vendido],STOCK[[#This Row],[Code]])</f>
        <v>0</v>
      </c>
      <c r="L1489" s="78">
        <f>STOCK[[#This Row],[Entradas]]-STOCK[[#This Row],[Salidas]]</f>
        <v>4</v>
      </c>
      <c r="M1489" s="75">
        <f>STOCK[[#This Row],[Precio Final]]*10%</f>
        <v>1.2000000000000002</v>
      </c>
      <c r="N1489" s="75">
        <v>0</v>
      </c>
      <c r="O1489" s="75">
        <v>0</v>
      </c>
      <c r="P1489" s="75">
        <v>3.18</v>
      </c>
      <c r="Q1489" s="78">
        <v>0</v>
      </c>
      <c r="R1489" s="75">
        <v>0</v>
      </c>
      <c r="S1489" s="75">
        <v>1.65</v>
      </c>
      <c r="T1489" s="75">
        <f>STOCK[[#This Row],[Costo Unitario (USD)]]+STOCK[[#This Row],[Costo Envío (USD)]]+STOCK[[#This Row],[Comisión 10%]]</f>
        <v>6.03</v>
      </c>
      <c r="U1489" s="53">
        <f>STOCK[[#This Row],[Costo total]]*1.5</f>
        <v>9.0449999999999999</v>
      </c>
      <c r="V1489" s="75">
        <v>12</v>
      </c>
      <c r="W1489" s="75">
        <f>STOCK[[#This Row],[Precio Final]]-STOCK[[#This Row],[Costo total]]</f>
        <v>5.97</v>
      </c>
      <c r="X1489" s="75">
        <f>STOCK[[#This Row],[Ganancia Unitaria]]*STOCK[[#This Row],[Salidas]]</f>
        <v>0</v>
      </c>
      <c r="Y1489" s="75"/>
      <c r="Z1489" s="75"/>
      <c r="AA1489" s="54">
        <f>STOCK[[#This Row],[Costo total]]*STOCK[[#This Row],[Entradas]]</f>
        <v>24.12</v>
      </c>
      <c r="AB1489" s="54">
        <f>STOCK[[#This Row],[Stock Actual]]*STOCK[[#This Row],[Costo total]]</f>
        <v>24.12</v>
      </c>
      <c r="AC1489" s="75"/>
    </row>
    <row r="1490" spans="1:29" s="53" customFormat="1" ht="50" customHeight="1">
      <c r="A1490" s="53" t="s">
        <v>2981</v>
      </c>
      <c r="B1490" s="76"/>
      <c r="C1490" s="75" t="s">
        <v>32</v>
      </c>
      <c r="D1490" s="75" t="s">
        <v>1809</v>
      </c>
      <c r="E1490" s="77" t="s">
        <v>2982</v>
      </c>
      <c r="F1490" s="75" t="s">
        <v>525</v>
      </c>
      <c r="G1490" s="75"/>
      <c r="H1490" s="75">
        <f>STOCK[[#This Row],[Precio Final]]</f>
        <v>35</v>
      </c>
      <c r="I1490" s="80">
        <f>STOCK[[#This Row],[Precio Venta Ideal (x1.5)]]</f>
        <v>14.25</v>
      </c>
      <c r="J1490" s="78">
        <v>2</v>
      </c>
      <c r="K1490" s="78">
        <f>SUMIFS(VENTAS[Cantidad],VENTAS[Código del producto Vendido],STOCK[[#This Row],[Code]])</f>
        <v>0</v>
      </c>
      <c r="L1490" s="78">
        <f>STOCK[[#This Row],[Entradas]]-STOCK[[#This Row],[Salidas]]</f>
        <v>2</v>
      </c>
      <c r="M1490" s="75">
        <f>STOCK[[#This Row],[Precio Final]]*10%</f>
        <v>3.5</v>
      </c>
      <c r="N1490" s="75">
        <v>0</v>
      </c>
      <c r="O1490" s="75">
        <v>0</v>
      </c>
      <c r="P1490" s="75">
        <v>4.3499999999999996</v>
      </c>
      <c r="Q1490" s="78">
        <v>0</v>
      </c>
      <c r="R1490" s="75">
        <v>0</v>
      </c>
      <c r="S1490" s="75">
        <v>1.65</v>
      </c>
      <c r="T1490" s="75">
        <f>STOCK[[#This Row],[Costo Unitario (USD)]]+STOCK[[#This Row],[Costo Envío (USD)]]+STOCK[[#This Row],[Comisión 10%]]</f>
        <v>9.5</v>
      </c>
      <c r="U1490" s="53">
        <f>STOCK[[#This Row],[Costo total]]*1.5</f>
        <v>14.25</v>
      </c>
      <c r="V1490" s="75">
        <v>35</v>
      </c>
      <c r="W1490" s="75">
        <f>STOCK[[#This Row],[Precio Final]]-STOCK[[#This Row],[Costo total]]</f>
        <v>25.5</v>
      </c>
      <c r="X1490" s="75">
        <f>STOCK[[#This Row],[Ganancia Unitaria]]*STOCK[[#This Row],[Salidas]]</f>
        <v>0</v>
      </c>
      <c r="Y1490" s="75"/>
      <c r="Z1490" s="75"/>
      <c r="AA1490" s="54">
        <f>STOCK[[#This Row],[Costo total]]*STOCK[[#This Row],[Entradas]]</f>
        <v>19</v>
      </c>
      <c r="AB1490" s="54">
        <f>STOCK[[#This Row],[Stock Actual]]*STOCK[[#This Row],[Costo total]]</f>
        <v>19</v>
      </c>
      <c r="AC1490" s="75"/>
    </row>
    <row r="1491" spans="1:29" s="53" customFormat="1" ht="50" customHeight="1">
      <c r="A1491" s="53" t="s">
        <v>2983</v>
      </c>
      <c r="B1491" s="76"/>
      <c r="C1491" s="75" t="s">
        <v>32</v>
      </c>
      <c r="D1491" s="75" t="s">
        <v>2630</v>
      </c>
      <c r="E1491" s="77" t="s">
        <v>2984</v>
      </c>
      <c r="F1491" s="75" t="s">
        <v>46</v>
      </c>
      <c r="G1491" s="75"/>
      <c r="H1491" s="75">
        <f>STOCK[[#This Row],[Precio Final]]</f>
        <v>35</v>
      </c>
      <c r="I1491" s="80">
        <f>STOCK[[#This Row],[Precio Venta Ideal (x1.5)]]</f>
        <v>23.774999999999999</v>
      </c>
      <c r="J1491" s="78">
        <v>2</v>
      </c>
      <c r="K1491" s="78">
        <f>SUMIFS(VENTAS[Cantidad],VENTAS[Código del producto Vendido],STOCK[[#This Row],[Code]])</f>
        <v>1</v>
      </c>
      <c r="L1491" s="78">
        <f>STOCK[[#This Row],[Entradas]]-STOCK[[#This Row],[Salidas]]</f>
        <v>1</v>
      </c>
      <c r="M1491" s="75">
        <f>STOCK[[#This Row],[Precio Final]]*10%</f>
        <v>3.5</v>
      </c>
      <c r="N1491" s="75">
        <v>0</v>
      </c>
      <c r="O1491" s="75">
        <v>0</v>
      </c>
      <c r="P1491" s="75">
        <v>10.7</v>
      </c>
      <c r="Q1491" s="78">
        <v>0</v>
      </c>
      <c r="R1491" s="75">
        <v>0</v>
      </c>
      <c r="S1491" s="75">
        <v>1.65</v>
      </c>
      <c r="T1491" s="75">
        <f>STOCK[[#This Row],[Costo Unitario (USD)]]+STOCK[[#This Row],[Costo Envío (USD)]]+STOCK[[#This Row],[Comisión 10%]]</f>
        <v>15.85</v>
      </c>
      <c r="U1491" s="53">
        <f>STOCK[[#This Row],[Costo total]]*1.5</f>
        <v>23.774999999999999</v>
      </c>
      <c r="V1491" s="75">
        <v>35</v>
      </c>
      <c r="W1491" s="75">
        <f>STOCK[[#This Row],[Precio Final]]-STOCK[[#This Row],[Costo total]]</f>
        <v>19.149999999999999</v>
      </c>
      <c r="X1491" s="75">
        <f>STOCK[[#This Row],[Ganancia Unitaria]]*STOCK[[#This Row],[Salidas]]</f>
        <v>19.149999999999999</v>
      </c>
      <c r="Y1491" s="75"/>
      <c r="Z1491" s="75"/>
      <c r="AA1491" s="54">
        <f>STOCK[[#This Row],[Costo total]]*STOCK[[#This Row],[Entradas]]</f>
        <v>31.7</v>
      </c>
      <c r="AB1491" s="54">
        <f>STOCK[[#This Row],[Stock Actual]]*STOCK[[#This Row],[Costo total]]</f>
        <v>15.85</v>
      </c>
      <c r="AC1491" s="75"/>
    </row>
    <row r="1492" spans="1:29" s="53" customFormat="1" ht="50" customHeight="1">
      <c r="A1492" s="53" t="s">
        <v>2985</v>
      </c>
      <c r="B1492" s="76"/>
      <c r="C1492" s="75" t="s">
        <v>32</v>
      </c>
      <c r="D1492" s="75" t="s">
        <v>2630</v>
      </c>
      <c r="E1492" s="77" t="s">
        <v>2986</v>
      </c>
      <c r="F1492" s="75" t="s">
        <v>62</v>
      </c>
      <c r="G1492" s="75"/>
      <c r="H1492" s="75">
        <f>STOCK[[#This Row],[Precio Final]]</f>
        <v>30</v>
      </c>
      <c r="I1492" s="80">
        <f>STOCK[[#This Row],[Precio Venta Ideal (x1.5)]]</f>
        <v>21.03</v>
      </c>
      <c r="J1492" s="78">
        <v>1</v>
      </c>
      <c r="K1492" s="78">
        <f>SUMIFS(VENTAS[Cantidad],VENTAS[Código del producto Vendido],STOCK[[#This Row],[Code]])</f>
        <v>2</v>
      </c>
      <c r="L1492" s="78">
        <f>STOCK[[#This Row],[Entradas]]-STOCK[[#This Row],[Salidas]]</f>
        <v>-1</v>
      </c>
      <c r="M1492" s="75">
        <f>STOCK[[#This Row],[Precio Final]]*10%</f>
        <v>3</v>
      </c>
      <c r="N1492" s="75">
        <v>0</v>
      </c>
      <c r="O1492" s="75">
        <v>0</v>
      </c>
      <c r="P1492" s="75">
        <v>9.3699999999999992</v>
      </c>
      <c r="Q1492" s="78">
        <v>0</v>
      </c>
      <c r="R1492" s="75">
        <v>0</v>
      </c>
      <c r="S1492" s="75">
        <v>1.65</v>
      </c>
      <c r="T1492" s="75">
        <f>STOCK[[#This Row],[Costo Unitario (USD)]]+STOCK[[#This Row],[Costo Envío (USD)]]+STOCK[[#This Row],[Comisión 10%]]</f>
        <v>14.02</v>
      </c>
      <c r="U1492" s="53">
        <f>STOCK[[#This Row],[Costo total]]*1.5</f>
        <v>21.03</v>
      </c>
      <c r="V1492" s="75">
        <v>30</v>
      </c>
      <c r="W1492" s="75">
        <f>STOCK[[#This Row],[Precio Final]]-STOCK[[#This Row],[Costo total]]</f>
        <v>15.98</v>
      </c>
      <c r="X1492" s="75">
        <f>STOCK[[#This Row],[Ganancia Unitaria]]*STOCK[[#This Row],[Salidas]]</f>
        <v>31.96</v>
      </c>
      <c r="Y1492" s="75"/>
      <c r="Z1492" s="75"/>
      <c r="AA1492" s="54">
        <f>STOCK[[#This Row],[Costo total]]*STOCK[[#This Row],[Entradas]]</f>
        <v>14.02</v>
      </c>
      <c r="AB1492" s="54">
        <f>STOCK[[#This Row],[Stock Actual]]*STOCK[[#This Row],[Costo total]]</f>
        <v>-14.02</v>
      </c>
      <c r="AC1492" s="75"/>
    </row>
    <row r="1493" spans="1:29" s="53" customFormat="1" ht="50" customHeight="1">
      <c r="A1493" s="53" t="s">
        <v>2987</v>
      </c>
      <c r="B1493" s="76"/>
      <c r="C1493" s="75" t="s">
        <v>32</v>
      </c>
      <c r="D1493" s="75" t="s">
        <v>2630</v>
      </c>
      <c r="E1493" s="77" t="s">
        <v>2986</v>
      </c>
      <c r="F1493" s="75" t="s">
        <v>46</v>
      </c>
      <c r="G1493" s="75"/>
      <c r="H1493" s="75">
        <f>STOCK[[#This Row],[Precio Final]]</f>
        <v>30</v>
      </c>
      <c r="I1493" s="80">
        <f>STOCK[[#This Row],[Precio Venta Ideal (x1.5)]]</f>
        <v>21.03</v>
      </c>
      <c r="J1493" s="78">
        <v>1</v>
      </c>
      <c r="K1493" s="78">
        <f>SUMIFS(VENTAS[Cantidad],VENTAS[Código del producto Vendido],STOCK[[#This Row],[Code]])</f>
        <v>1</v>
      </c>
      <c r="L1493" s="78">
        <f>STOCK[[#This Row],[Entradas]]-STOCK[[#This Row],[Salidas]]</f>
        <v>0</v>
      </c>
      <c r="M1493" s="75">
        <f>STOCK[[#This Row],[Precio Final]]*10%</f>
        <v>3</v>
      </c>
      <c r="N1493" s="75">
        <v>0</v>
      </c>
      <c r="O1493" s="75">
        <v>0</v>
      </c>
      <c r="P1493" s="75">
        <v>9.3699999999999992</v>
      </c>
      <c r="Q1493" s="78">
        <v>0</v>
      </c>
      <c r="R1493" s="75">
        <v>0</v>
      </c>
      <c r="S1493" s="75">
        <v>1.65</v>
      </c>
      <c r="T1493" s="75">
        <f>STOCK[[#This Row],[Costo Unitario (USD)]]+STOCK[[#This Row],[Costo Envío (USD)]]+STOCK[[#This Row],[Comisión 10%]]</f>
        <v>14.02</v>
      </c>
      <c r="U1493" s="53">
        <f>STOCK[[#This Row],[Costo total]]*1.5</f>
        <v>21.03</v>
      </c>
      <c r="V1493" s="75">
        <v>30</v>
      </c>
      <c r="W1493" s="75">
        <f>STOCK[[#This Row],[Precio Final]]-STOCK[[#This Row],[Costo total]]</f>
        <v>15.98</v>
      </c>
      <c r="X1493" s="75">
        <f>STOCK[[#This Row],[Ganancia Unitaria]]*STOCK[[#This Row],[Salidas]]</f>
        <v>15.98</v>
      </c>
      <c r="Y1493" s="75"/>
      <c r="Z1493" s="75"/>
      <c r="AA1493" s="54">
        <f>STOCK[[#This Row],[Costo total]]*STOCK[[#This Row],[Entradas]]</f>
        <v>14.02</v>
      </c>
      <c r="AB1493" s="54">
        <f>STOCK[[#This Row],[Stock Actual]]*STOCK[[#This Row],[Costo total]]</f>
        <v>0</v>
      </c>
      <c r="AC1493" s="75"/>
    </row>
    <row r="1494" spans="1:29" s="53" customFormat="1" ht="50" customHeight="1">
      <c r="A1494" s="53" t="s">
        <v>2988</v>
      </c>
      <c r="B1494" s="76"/>
      <c r="C1494" s="75" t="s">
        <v>32</v>
      </c>
      <c r="D1494" s="75" t="s">
        <v>1809</v>
      </c>
      <c r="E1494" s="77" t="s">
        <v>2989</v>
      </c>
      <c r="F1494" s="75" t="s">
        <v>525</v>
      </c>
      <c r="G1494" s="75"/>
      <c r="H1494" s="75">
        <f>STOCK[[#This Row],[Precio Final]]</f>
        <v>10</v>
      </c>
      <c r="I1494" s="80">
        <f>STOCK[[#This Row],[Precio Venta Ideal (x1.5)]]</f>
        <v>6.9149999999999991</v>
      </c>
      <c r="J1494" s="78">
        <v>5</v>
      </c>
      <c r="K1494" s="78">
        <f>SUMIFS(VENTAS[Cantidad],VENTAS[Código del producto Vendido],STOCK[[#This Row],[Code]])</f>
        <v>0</v>
      </c>
      <c r="L1494" s="78">
        <f>STOCK[[#This Row],[Entradas]]-STOCK[[#This Row],[Salidas]]</f>
        <v>5</v>
      </c>
      <c r="M1494" s="75">
        <f>STOCK[[#This Row],[Precio Final]]*10%</f>
        <v>1</v>
      </c>
      <c r="N1494" s="75">
        <v>0</v>
      </c>
      <c r="O1494" s="75">
        <v>0</v>
      </c>
      <c r="P1494" s="75">
        <v>1.96</v>
      </c>
      <c r="Q1494" s="78">
        <v>0</v>
      </c>
      <c r="R1494" s="75">
        <v>0</v>
      </c>
      <c r="S1494" s="75">
        <v>1.65</v>
      </c>
      <c r="T1494" s="75">
        <f>STOCK[[#This Row],[Costo Unitario (USD)]]+STOCK[[#This Row],[Costo Envío (USD)]]+STOCK[[#This Row],[Comisión 10%]]</f>
        <v>4.6099999999999994</v>
      </c>
      <c r="U1494" s="53">
        <f>STOCK[[#This Row],[Costo total]]*1.5</f>
        <v>6.9149999999999991</v>
      </c>
      <c r="V1494" s="75">
        <v>10</v>
      </c>
      <c r="W1494" s="75">
        <f>STOCK[[#This Row],[Precio Final]]-STOCK[[#This Row],[Costo total]]</f>
        <v>5.3900000000000006</v>
      </c>
      <c r="X1494" s="75">
        <f>STOCK[[#This Row],[Ganancia Unitaria]]*STOCK[[#This Row],[Salidas]]</f>
        <v>0</v>
      </c>
      <c r="Y1494" s="75"/>
      <c r="Z1494" s="75"/>
      <c r="AA1494" s="54">
        <f>STOCK[[#This Row],[Costo total]]*STOCK[[#This Row],[Entradas]]</f>
        <v>23.049999999999997</v>
      </c>
      <c r="AB1494" s="54">
        <f>STOCK[[#This Row],[Stock Actual]]*STOCK[[#This Row],[Costo total]]</f>
        <v>23.049999999999997</v>
      </c>
      <c r="AC1494" s="75"/>
    </row>
    <row r="1495" spans="1:29" s="53" customFormat="1" ht="50" customHeight="1">
      <c r="A1495" s="53" t="s">
        <v>2990</v>
      </c>
      <c r="B1495" s="76"/>
      <c r="C1495" s="75" t="s">
        <v>32</v>
      </c>
      <c r="D1495" s="75" t="s">
        <v>2128</v>
      </c>
      <c r="E1495" s="77" t="s">
        <v>2991</v>
      </c>
      <c r="F1495" s="75" t="s">
        <v>62</v>
      </c>
      <c r="G1495" s="75"/>
      <c r="H1495" s="75">
        <f>STOCK[[#This Row],[Precio Final]]</f>
        <v>20</v>
      </c>
      <c r="I1495" s="80">
        <f>STOCK[[#This Row],[Precio Venta Ideal (x1.5)]]</f>
        <v>18.93</v>
      </c>
      <c r="J1495" s="78">
        <v>2</v>
      </c>
      <c r="K1495" s="78">
        <f>SUMIFS(VENTAS[Cantidad],VENTAS[Código del producto Vendido],STOCK[[#This Row],[Code]])</f>
        <v>2</v>
      </c>
      <c r="L1495" s="78">
        <f>STOCK[[#This Row],[Entradas]]-STOCK[[#This Row],[Salidas]]</f>
        <v>0</v>
      </c>
      <c r="M1495" s="75">
        <f>STOCK[[#This Row],[Precio Final]]*10%</f>
        <v>2</v>
      </c>
      <c r="N1495" s="75">
        <v>0</v>
      </c>
      <c r="O1495" s="75">
        <v>0</v>
      </c>
      <c r="P1495" s="75">
        <v>8.9700000000000006</v>
      </c>
      <c r="Q1495" s="78">
        <v>0</v>
      </c>
      <c r="R1495" s="75">
        <v>0</v>
      </c>
      <c r="S1495" s="75">
        <v>1.65</v>
      </c>
      <c r="T1495" s="75">
        <f>STOCK[[#This Row],[Costo Unitario (USD)]]+STOCK[[#This Row],[Costo Envío (USD)]]+STOCK[[#This Row],[Comisión 10%]]</f>
        <v>12.620000000000001</v>
      </c>
      <c r="U1495" s="53">
        <f>STOCK[[#This Row],[Costo total]]*1.5</f>
        <v>18.93</v>
      </c>
      <c r="V1495" s="75">
        <v>20</v>
      </c>
      <c r="W1495" s="75">
        <f>STOCK[[#This Row],[Precio Final]]-STOCK[[#This Row],[Costo total]]</f>
        <v>7.379999999999999</v>
      </c>
      <c r="X1495" s="75">
        <f>STOCK[[#This Row],[Ganancia Unitaria]]*STOCK[[#This Row],[Salidas]]</f>
        <v>14.759999999999998</v>
      </c>
      <c r="Y1495" s="75"/>
      <c r="Z1495" s="75"/>
      <c r="AA1495" s="54">
        <f>STOCK[[#This Row],[Costo total]]*STOCK[[#This Row],[Entradas]]</f>
        <v>25.240000000000002</v>
      </c>
      <c r="AB1495" s="54">
        <f>STOCK[[#This Row],[Stock Actual]]*STOCK[[#This Row],[Costo total]]</f>
        <v>0</v>
      </c>
      <c r="AC1495" s="75"/>
    </row>
    <row r="1496" spans="1:29" s="53" customFormat="1" ht="50" customHeight="1">
      <c r="A1496" s="53" t="s">
        <v>2992</v>
      </c>
      <c r="B1496" s="76"/>
      <c r="C1496" s="75" t="s">
        <v>32</v>
      </c>
      <c r="D1496" s="75" t="s">
        <v>2128</v>
      </c>
      <c r="E1496" s="77" t="s">
        <v>2991</v>
      </c>
      <c r="F1496" s="75" t="s">
        <v>49</v>
      </c>
      <c r="G1496" s="75"/>
      <c r="H1496" s="75">
        <f>STOCK[[#This Row],[Precio Final]]</f>
        <v>20</v>
      </c>
      <c r="I1496" s="80">
        <f>STOCK[[#This Row],[Precio Venta Ideal (x1.5)]]</f>
        <v>18.93</v>
      </c>
      <c r="J1496" s="78">
        <v>1</v>
      </c>
      <c r="K1496" s="78">
        <f>SUMIFS(VENTAS[Cantidad],VENTAS[Código del producto Vendido],STOCK[[#This Row],[Code]])</f>
        <v>1</v>
      </c>
      <c r="L1496" s="78">
        <f>STOCK[[#This Row],[Entradas]]-STOCK[[#This Row],[Salidas]]</f>
        <v>0</v>
      </c>
      <c r="M1496" s="75">
        <f>STOCK[[#This Row],[Precio Final]]*10%</f>
        <v>2</v>
      </c>
      <c r="N1496" s="75">
        <v>0</v>
      </c>
      <c r="O1496" s="75">
        <v>0</v>
      </c>
      <c r="P1496" s="75">
        <v>8.9700000000000006</v>
      </c>
      <c r="Q1496" s="78">
        <v>0</v>
      </c>
      <c r="R1496" s="75">
        <v>0</v>
      </c>
      <c r="S1496" s="75">
        <v>1.65</v>
      </c>
      <c r="T1496" s="75">
        <f>STOCK[[#This Row],[Costo Unitario (USD)]]+STOCK[[#This Row],[Costo Envío (USD)]]+STOCK[[#This Row],[Comisión 10%]]</f>
        <v>12.620000000000001</v>
      </c>
      <c r="U1496" s="53">
        <f>STOCK[[#This Row],[Costo total]]*1.5</f>
        <v>18.93</v>
      </c>
      <c r="V1496" s="75">
        <v>20</v>
      </c>
      <c r="W1496" s="75">
        <f>STOCK[[#This Row],[Precio Final]]-STOCK[[#This Row],[Costo total]]</f>
        <v>7.379999999999999</v>
      </c>
      <c r="X1496" s="75">
        <f>STOCK[[#This Row],[Ganancia Unitaria]]*STOCK[[#This Row],[Salidas]]</f>
        <v>7.379999999999999</v>
      </c>
      <c r="Y1496" s="75"/>
      <c r="Z1496" s="75"/>
      <c r="AA1496" s="54">
        <f>STOCK[[#This Row],[Costo total]]*STOCK[[#This Row],[Entradas]]</f>
        <v>12.620000000000001</v>
      </c>
      <c r="AB1496" s="54">
        <f>STOCK[[#This Row],[Stock Actual]]*STOCK[[#This Row],[Costo total]]</f>
        <v>0</v>
      </c>
      <c r="AC1496" s="75"/>
    </row>
    <row r="1497" spans="1:29" s="53" customFormat="1" ht="50" customHeight="1">
      <c r="A1497" s="53" t="s">
        <v>2993</v>
      </c>
      <c r="B1497" s="76"/>
      <c r="C1497" s="75" t="s">
        <v>32</v>
      </c>
      <c r="D1497" s="75" t="s">
        <v>2128</v>
      </c>
      <c r="E1497" s="77" t="s">
        <v>2991</v>
      </c>
      <c r="F1497" s="75" t="s">
        <v>46</v>
      </c>
      <c r="G1497" s="75"/>
      <c r="H1497" s="75">
        <f>STOCK[[#This Row],[Precio Final]]</f>
        <v>20</v>
      </c>
      <c r="I1497" s="80">
        <f>STOCK[[#This Row],[Precio Venta Ideal (x1.5)]]</f>
        <v>18.93</v>
      </c>
      <c r="J1497" s="78">
        <v>2</v>
      </c>
      <c r="K1497" s="78">
        <f>SUMIFS(VENTAS[Cantidad],VENTAS[Código del producto Vendido],STOCK[[#This Row],[Code]])</f>
        <v>0</v>
      </c>
      <c r="L1497" s="78">
        <f>STOCK[[#This Row],[Entradas]]-STOCK[[#This Row],[Salidas]]</f>
        <v>2</v>
      </c>
      <c r="M1497" s="75">
        <f>STOCK[[#This Row],[Precio Final]]*10%</f>
        <v>2</v>
      </c>
      <c r="N1497" s="75">
        <v>0</v>
      </c>
      <c r="O1497" s="75">
        <v>0</v>
      </c>
      <c r="P1497" s="75">
        <v>8.9700000000000006</v>
      </c>
      <c r="Q1497" s="78">
        <v>0</v>
      </c>
      <c r="R1497" s="75">
        <v>0</v>
      </c>
      <c r="S1497" s="75">
        <v>1.65</v>
      </c>
      <c r="T1497" s="75">
        <f>STOCK[[#This Row],[Costo Unitario (USD)]]+STOCK[[#This Row],[Costo Envío (USD)]]+STOCK[[#This Row],[Comisión 10%]]</f>
        <v>12.620000000000001</v>
      </c>
      <c r="U1497" s="53">
        <f>STOCK[[#This Row],[Costo total]]*1.5</f>
        <v>18.93</v>
      </c>
      <c r="V1497" s="75">
        <v>20</v>
      </c>
      <c r="W1497" s="75">
        <f>STOCK[[#This Row],[Precio Final]]-STOCK[[#This Row],[Costo total]]</f>
        <v>7.379999999999999</v>
      </c>
      <c r="X1497" s="75">
        <f>STOCK[[#This Row],[Ganancia Unitaria]]*STOCK[[#This Row],[Salidas]]</f>
        <v>0</v>
      </c>
      <c r="Y1497" s="75"/>
      <c r="Z1497" s="75"/>
      <c r="AA1497" s="54">
        <f>STOCK[[#This Row],[Costo total]]*STOCK[[#This Row],[Entradas]]</f>
        <v>25.240000000000002</v>
      </c>
      <c r="AB1497" s="54">
        <f>STOCK[[#This Row],[Stock Actual]]*STOCK[[#This Row],[Costo total]]</f>
        <v>25.240000000000002</v>
      </c>
      <c r="AC1497" s="75"/>
    </row>
    <row r="1498" spans="1:29" s="53" customFormat="1" ht="50" customHeight="1">
      <c r="A1498" s="53" t="s">
        <v>2994</v>
      </c>
      <c r="B1498" s="76"/>
      <c r="C1498" s="75" t="s">
        <v>32</v>
      </c>
      <c r="D1498" s="75" t="s">
        <v>1190</v>
      </c>
      <c r="E1498" s="77" t="s">
        <v>2995</v>
      </c>
      <c r="F1498" s="75" t="s">
        <v>62</v>
      </c>
      <c r="G1498" s="75"/>
      <c r="H1498" s="75">
        <f>STOCK[[#This Row],[Precio Final]]</f>
        <v>15</v>
      </c>
      <c r="I1498" s="80">
        <f>STOCK[[#This Row],[Precio Venta Ideal (x1.5)]]</f>
        <v>11.129999999999999</v>
      </c>
      <c r="J1498" s="78">
        <v>2</v>
      </c>
      <c r="K1498" s="78">
        <f>SUMIFS(VENTAS[Cantidad],VENTAS[Código del producto Vendido],STOCK[[#This Row],[Code]])</f>
        <v>2</v>
      </c>
      <c r="L1498" s="78">
        <f>STOCK[[#This Row],[Entradas]]-STOCK[[#This Row],[Salidas]]</f>
        <v>0</v>
      </c>
      <c r="M1498" s="75">
        <f>STOCK[[#This Row],[Precio Final]]*10%</f>
        <v>1.5</v>
      </c>
      <c r="N1498" s="75">
        <v>0</v>
      </c>
      <c r="O1498" s="75">
        <v>0</v>
      </c>
      <c r="P1498" s="75">
        <v>4.2699999999999996</v>
      </c>
      <c r="Q1498" s="78">
        <v>0</v>
      </c>
      <c r="R1498" s="75">
        <v>0</v>
      </c>
      <c r="S1498" s="75">
        <v>1.65</v>
      </c>
      <c r="T1498" s="75">
        <f>STOCK[[#This Row],[Costo Unitario (USD)]]+STOCK[[#This Row],[Costo Envío (USD)]]+STOCK[[#This Row],[Comisión 10%]]</f>
        <v>7.42</v>
      </c>
      <c r="U1498" s="53">
        <f>STOCK[[#This Row],[Costo total]]*1.5</f>
        <v>11.129999999999999</v>
      </c>
      <c r="V1498" s="75">
        <v>15</v>
      </c>
      <c r="W1498" s="75">
        <f>STOCK[[#This Row],[Precio Final]]-STOCK[[#This Row],[Costo total]]</f>
        <v>7.58</v>
      </c>
      <c r="X1498" s="75">
        <f>STOCK[[#This Row],[Ganancia Unitaria]]*STOCK[[#This Row],[Salidas]]</f>
        <v>15.16</v>
      </c>
      <c r="Y1498" s="75"/>
      <c r="Z1498" s="75"/>
      <c r="AA1498" s="54">
        <f>STOCK[[#This Row],[Costo total]]*STOCK[[#This Row],[Entradas]]</f>
        <v>14.84</v>
      </c>
      <c r="AB1498" s="54">
        <f>STOCK[[#This Row],[Stock Actual]]*STOCK[[#This Row],[Costo total]]</f>
        <v>0</v>
      </c>
      <c r="AC1498" s="75"/>
    </row>
    <row r="1499" spans="1:29" s="53" customFormat="1" ht="50" customHeight="1">
      <c r="A1499" s="53" t="s">
        <v>2996</v>
      </c>
      <c r="B1499" s="76"/>
      <c r="C1499" s="75" t="s">
        <v>32</v>
      </c>
      <c r="D1499" s="75" t="s">
        <v>1190</v>
      </c>
      <c r="E1499" s="77" t="s">
        <v>2995</v>
      </c>
      <c r="F1499" s="75" t="s">
        <v>49</v>
      </c>
      <c r="G1499" s="75"/>
      <c r="H1499" s="75">
        <f>STOCK[[#This Row],[Precio Final]]</f>
        <v>15</v>
      </c>
      <c r="I1499" s="80">
        <f>STOCK[[#This Row],[Precio Venta Ideal (x1.5)]]</f>
        <v>11.129999999999999</v>
      </c>
      <c r="J1499" s="78">
        <v>2</v>
      </c>
      <c r="K1499" s="78">
        <f>SUMIFS(VENTAS[Cantidad],VENTAS[Código del producto Vendido],STOCK[[#This Row],[Code]])</f>
        <v>2</v>
      </c>
      <c r="L1499" s="78">
        <f>STOCK[[#This Row],[Entradas]]-STOCK[[#This Row],[Salidas]]</f>
        <v>0</v>
      </c>
      <c r="M1499" s="75">
        <f>STOCK[[#This Row],[Precio Final]]*10%</f>
        <v>1.5</v>
      </c>
      <c r="N1499" s="75">
        <v>0</v>
      </c>
      <c r="O1499" s="75">
        <v>0</v>
      </c>
      <c r="P1499" s="75">
        <v>4.2699999999999996</v>
      </c>
      <c r="Q1499" s="78">
        <v>0</v>
      </c>
      <c r="R1499" s="75">
        <v>0</v>
      </c>
      <c r="S1499" s="75">
        <v>1.65</v>
      </c>
      <c r="T1499" s="75">
        <f>STOCK[[#This Row],[Costo Unitario (USD)]]+STOCK[[#This Row],[Costo Envío (USD)]]+STOCK[[#This Row],[Comisión 10%]]</f>
        <v>7.42</v>
      </c>
      <c r="U1499" s="53">
        <f>STOCK[[#This Row],[Costo total]]*1.5</f>
        <v>11.129999999999999</v>
      </c>
      <c r="V1499" s="75">
        <v>15</v>
      </c>
      <c r="W1499" s="75">
        <f>STOCK[[#This Row],[Precio Final]]-STOCK[[#This Row],[Costo total]]</f>
        <v>7.58</v>
      </c>
      <c r="X1499" s="75">
        <f>STOCK[[#This Row],[Ganancia Unitaria]]*STOCK[[#This Row],[Salidas]]</f>
        <v>15.16</v>
      </c>
      <c r="Y1499" s="75"/>
      <c r="Z1499" s="75"/>
      <c r="AA1499" s="54">
        <f>STOCK[[#This Row],[Costo total]]*STOCK[[#This Row],[Entradas]]</f>
        <v>14.84</v>
      </c>
      <c r="AB1499" s="54">
        <f>STOCK[[#This Row],[Stock Actual]]*STOCK[[#This Row],[Costo total]]</f>
        <v>0</v>
      </c>
      <c r="AC1499" s="75"/>
    </row>
    <row r="1500" spans="1:29" s="53" customFormat="1" ht="50" customHeight="1">
      <c r="A1500" s="53" t="s">
        <v>2997</v>
      </c>
      <c r="B1500" s="76"/>
      <c r="C1500" s="75" t="s">
        <v>32</v>
      </c>
      <c r="D1500" s="75" t="s">
        <v>1190</v>
      </c>
      <c r="E1500" s="77" t="s">
        <v>2995</v>
      </c>
      <c r="F1500" s="75" t="s">
        <v>46</v>
      </c>
      <c r="G1500" s="75"/>
      <c r="H1500" s="75">
        <f>STOCK[[#This Row],[Precio Final]]</f>
        <v>15</v>
      </c>
      <c r="I1500" s="80">
        <f>STOCK[[#This Row],[Precio Venta Ideal (x1.5)]]</f>
        <v>11.129999999999999</v>
      </c>
      <c r="J1500" s="78">
        <v>2</v>
      </c>
      <c r="K1500" s="78">
        <f>SUMIFS(VENTAS[Cantidad],VENTAS[Código del producto Vendido],STOCK[[#This Row],[Code]])</f>
        <v>3</v>
      </c>
      <c r="L1500" s="78">
        <f>STOCK[[#This Row],[Entradas]]-STOCK[[#This Row],[Salidas]]</f>
        <v>-1</v>
      </c>
      <c r="M1500" s="75">
        <f>STOCK[[#This Row],[Precio Final]]*10%</f>
        <v>1.5</v>
      </c>
      <c r="N1500" s="75">
        <v>0</v>
      </c>
      <c r="O1500" s="75">
        <v>0</v>
      </c>
      <c r="P1500" s="75">
        <v>4.2699999999999996</v>
      </c>
      <c r="Q1500" s="78">
        <v>0</v>
      </c>
      <c r="R1500" s="75">
        <v>0</v>
      </c>
      <c r="S1500" s="75">
        <v>1.65</v>
      </c>
      <c r="T1500" s="75">
        <f>STOCK[[#This Row],[Costo Unitario (USD)]]+STOCK[[#This Row],[Costo Envío (USD)]]+STOCK[[#This Row],[Comisión 10%]]</f>
        <v>7.42</v>
      </c>
      <c r="U1500" s="53">
        <f>STOCK[[#This Row],[Costo total]]*1.5</f>
        <v>11.129999999999999</v>
      </c>
      <c r="V1500" s="75">
        <v>15</v>
      </c>
      <c r="W1500" s="75">
        <f>STOCK[[#This Row],[Precio Final]]-STOCK[[#This Row],[Costo total]]</f>
        <v>7.58</v>
      </c>
      <c r="X1500" s="75">
        <f>STOCK[[#This Row],[Ganancia Unitaria]]*STOCK[[#This Row],[Salidas]]</f>
        <v>22.740000000000002</v>
      </c>
      <c r="Y1500" s="75"/>
      <c r="Z1500" s="75"/>
      <c r="AA1500" s="54">
        <f>STOCK[[#This Row],[Costo total]]*STOCK[[#This Row],[Entradas]]</f>
        <v>14.84</v>
      </c>
      <c r="AB1500" s="54">
        <f>STOCK[[#This Row],[Stock Actual]]*STOCK[[#This Row],[Costo total]]</f>
        <v>-7.42</v>
      </c>
      <c r="AC1500" s="75"/>
    </row>
    <row r="1501" spans="1:29" s="53" customFormat="1" ht="50" customHeight="1">
      <c r="A1501" s="53" t="s">
        <v>2998</v>
      </c>
      <c r="B1501" s="76"/>
      <c r="C1501" s="75" t="s">
        <v>32</v>
      </c>
      <c r="D1501" s="75" t="s">
        <v>1190</v>
      </c>
      <c r="E1501" s="77" t="s">
        <v>2995</v>
      </c>
      <c r="F1501" s="75" t="s">
        <v>42</v>
      </c>
      <c r="G1501" s="75"/>
      <c r="H1501" s="75">
        <f>STOCK[[#This Row],[Precio Final]]</f>
        <v>15</v>
      </c>
      <c r="I1501" s="80">
        <f>STOCK[[#This Row],[Precio Venta Ideal (x1.5)]]</f>
        <v>11.129999999999999</v>
      </c>
      <c r="J1501" s="78">
        <v>2</v>
      </c>
      <c r="K1501" s="78">
        <f>SUMIFS(VENTAS[Cantidad],VENTAS[Código del producto Vendido],STOCK[[#This Row],[Code]])</f>
        <v>1</v>
      </c>
      <c r="L1501" s="78">
        <f>STOCK[[#This Row],[Entradas]]-STOCK[[#This Row],[Salidas]]</f>
        <v>1</v>
      </c>
      <c r="M1501" s="75">
        <f>STOCK[[#This Row],[Precio Final]]*10%</f>
        <v>1.5</v>
      </c>
      <c r="N1501" s="75">
        <v>0</v>
      </c>
      <c r="O1501" s="75">
        <v>0</v>
      </c>
      <c r="P1501" s="75">
        <v>4.2699999999999996</v>
      </c>
      <c r="Q1501" s="78">
        <v>0</v>
      </c>
      <c r="R1501" s="75">
        <v>0</v>
      </c>
      <c r="S1501" s="75">
        <v>1.65</v>
      </c>
      <c r="T1501" s="75">
        <f>STOCK[[#This Row],[Costo Unitario (USD)]]+STOCK[[#This Row],[Costo Envío (USD)]]+STOCK[[#This Row],[Comisión 10%]]</f>
        <v>7.42</v>
      </c>
      <c r="U1501" s="53">
        <f>STOCK[[#This Row],[Costo total]]*1.5</f>
        <v>11.129999999999999</v>
      </c>
      <c r="V1501" s="75">
        <v>15</v>
      </c>
      <c r="W1501" s="75">
        <f>STOCK[[#This Row],[Precio Final]]-STOCK[[#This Row],[Costo total]]</f>
        <v>7.58</v>
      </c>
      <c r="X1501" s="75">
        <f>STOCK[[#This Row],[Ganancia Unitaria]]*STOCK[[#This Row],[Salidas]]</f>
        <v>7.58</v>
      </c>
      <c r="Y1501" s="75"/>
      <c r="Z1501" s="75"/>
      <c r="AA1501" s="54">
        <f>STOCK[[#This Row],[Costo total]]*STOCK[[#This Row],[Entradas]]</f>
        <v>14.84</v>
      </c>
      <c r="AB1501" s="54">
        <f>STOCK[[#This Row],[Stock Actual]]*STOCK[[#This Row],[Costo total]]</f>
        <v>7.42</v>
      </c>
      <c r="AC1501" s="75"/>
    </row>
    <row r="1502" spans="1:29" s="53" customFormat="1" ht="50" customHeight="1">
      <c r="A1502" s="53" t="s">
        <v>2999</v>
      </c>
      <c r="B1502" s="76"/>
      <c r="C1502" s="75" t="s">
        <v>32</v>
      </c>
      <c r="D1502" s="75" t="s">
        <v>2128</v>
      </c>
      <c r="E1502" s="77" t="s">
        <v>3000</v>
      </c>
      <c r="F1502" s="75" t="s">
        <v>49</v>
      </c>
      <c r="G1502" s="75"/>
      <c r="H1502" s="75">
        <f>STOCK[[#This Row],[Precio Final]]</f>
        <v>18</v>
      </c>
      <c r="I1502" s="80">
        <f>STOCK[[#This Row],[Precio Venta Ideal (x1.5)]]</f>
        <v>15.795000000000002</v>
      </c>
      <c r="J1502" s="78">
        <v>3</v>
      </c>
      <c r="K1502" s="78">
        <f>SUMIFS(VENTAS[Cantidad],VENTAS[Código del producto Vendido],STOCK[[#This Row],[Code]])</f>
        <v>0</v>
      </c>
      <c r="L1502" s="78">
        <f>STOCK[[#This Row],[Entradas]]-STOCK[[#This Row],[Salidas]]</f>
        <v>3</v>
      </c>
      <c r="M1502" s="75">
        <f>STOCK[[#This Row],[Precio Final]]*10%</f>
        <v>1.8</v>
      </c>
      <c r="N1502" s="75">
        <v>0</v>
      </c>
      <c r="O1502" s="75">
        <v>0</v>
      </c>
      <c r="P1502" s="75">
        <v>7.08</v>
      </c>
      <c r="Q1502" s="78">
        <v>0</v>
      </c>
      <c r="R1502" s="75">
        <v>0</v>
      </c>
      <c r="S1502" s="75">
        <v>1.65</v>
      </c>
      <c r="T1502" s="75">
        <f>STOCK[[#This Row],[Costo Unitario (USD)]]+STOCK[[#This Row],[Costo Envío (USD)]]+STOCK[[#This Row],[Comisión 10%]]</f>
        <v>10.530000000000001</v>
      </c>
      <c r="U1502" s="53">
        <f>STOCK[[#This Row],[Costo total]]*1.5</f>
        <v>15.795000000000002</v>
      </c>
      <c r="V1502" s="75">
        <v>18</v>
      </c>
      <c r="W1502" s="75">
        <f>STOCK[[#This Row],[Precio Final]]-STOCK[[#This Row],[Costo total]]</f>
        <v>7.4699999999999989</v>
      </c>
      <c r="X1502" s="75">
        <f>STOCK[[#This Row],[Ganancia Unitaria]]*STOCK[[#This Row],[Salidas]]</f>
        <v>0</v>
      </c>
      <c r="Y1502" s="75"/>
      <c r="Z1502" s="75"/>
      <c r="AA1502" s="54">
        <f>STOCK[[#This Row],[Costo total]]*STOCK[[#This Row],[Entradas]]</f>
        <v>31.590000000000003</v>
      </c>
      <c r="AB1502" s="54">
        <f>STOCK[[#This Row],[Stock Actual]]*STOCK[[#This Row],[Costo total]]</f>
        <v>31.590000000000003</v>
      </c>
      <c r="AC1502" s="75"/>
    </row>
    <row r="1503" spans="1:29" s="53" customFormat="1" ht="50" customHeight="1">
      <c r="A1503" s="53" t="s">
        <v>3001</v>
      </c>
      <c r="B1503" s="76"/>
      <c r="C1503" s="75" t="s">
        <v>32</v>
      </c>
      <c r="D1503" s="75" t="s">
        <v>2128</v>
      </c>
      <c r="E1503" s="77" t="s">
        <v>3000</v>
      </c>
      <c r="F1503" s="75" t="s">
        <v>46</v>
      </c>
      <c r="G1503" s="75"/>
      <c r="H1503" s="75">
        <f>STOCK[[#This Row],[Precio Final]]</f>
        <v>18</v>
      </c>
      <c r="I1503" s="80">
        <f>STOCK[[#This Row],[Precio Venta Ideal (x1.5)]]</f>
        <v>15.795000000000002</v>
      </c>
      <c r="J1503" s="78">
        <v>3</v>
      </c>
      <c r="K1503" s="78">
        <f>SUMIFS(VENTAS[Cantidad],VENTAS[Código del producto Vendido],STOCK[[#This Row],[Code]])</f>
        <v>0</v>
      </c>
      <c r="L1503" s="78">
        <f>STOCK[[#This Row],[Entradas]]-STOCK[[#This Row],[Salidas]]</f>
        <v>3</v>
      </c>
      <c r="M1503" s="75">
        <f>STOCK[[#This Row],[Precio Final]]*10%</f>
        <v>1.8</v>
      </c>
      <c r="N1503" s="75">
        <v>0</v>
      </c>
      <c r="O1503" s="75">
        <v>0</v>
      </c>
      <c r="P1503" s="75">
        <v>7.08</v>
      </c>
      <c r="Q1503" s="78">
        <v>0</v>
      </c>
      <c r="R1503" s="75">
        <v>0</v>
      </c>
      <c r="S1503" s="75">
        <v>1.65</v>
      </c>
      <c r="T1503" s="75">
        <f>STOCK[[#This Row],[Costo Unitario (USD)]]+STOCK[[#This Row],[Costo Envío (USD)]]+STOCK[[#This Row],[Comisión 10%]]</f>
        <v>10.530000000000001</v>
      </c>
      <c r="U1503" s="53">
        <f>STOCK[[#This Row],[Costo total]]*1.5</f>
        <v>15.795000000000002</v>
      </c>
      <c r="V1503" s="75">
        <v>18</v>
      </c>
      <c r="W1503" s="75">
        <f>STOCK[[#This Row],[Precio Final]]-STOCK[[#This Row],[Costo total]]</f>
        <v>7.4699999999999989</v>
      </c>
      <c r="X1503" s="75">
        <f>STOCK[[#This Row],[Ganancia Unitaria]]*STOCK[[#This Row],[Salidas]]</f>
        <v>0</v>
      </c>
      <c r="Y1503" s="75"/>
      <c r="Z1503" s="75"/>
      <c r="AA1503" s="54">
        <f>STOCK[[#This Row],[Costo total]]*STOCK[[#This Row],[Entradas]]</f>
        <v>31.590000000000003</v>
      </c>
      <c r="AB1503" s="54">
        <f>STOCK[[#This Row],[Stock Actual]]*STOCK[[#This Row],[Costo total]]</f>
        <v>31.590000000000003</v>
      </c>
      <c r="AC1503" s="75"/>
    </row>
    <row r="1504" spans="1:29" s="53" customFormat="1" ht="50" customHeight="1">
      <c r="A1504" s="53" t="s">
        <v>3002</v>
      </c>
      <c r="B1504" s="76"/>
      <c r="C1504" s="75" t="s">
        <v>32</v>
      </c>
      <c r="D1504" s="75" t="s">
        <v>2128</v>
      </c>
      <c r="E1504" s="77" t="s">
        <v>3003</v>
      </c>
      <c r="F1504" s="75" t="s">
        <v>42</v>
      </c>
      <c r="G1504" s="75"/>
      <c r="H1504" s="75">
        <f>STOCK[[#This Row],[Precio Final]]</f>
        <v>28</v>
      </c>
      <c r="I1504" s="80">
        <f>STOCK[[#This Row],[Precio Venta Ideal (x1.5)]]</f>
        <v>24.195</v>
      </c>
      <c r="J1504" s="78">
        <v>2</v>
      </c>
      <c r="K1504" s="78">
        <f>SUMIFS(VENTAS[Cantidad],VENTAS[Código del producto Vendido],STOCK[[#This Row],[Code]])</f>
        <v>4</v>
      </c>
      <c r="L1504" s="78">
        <f>STOCK[[#This Row],[Entradas]]-STOCK[[#This Row],[Salidas]]</f>
        <v>-2</v>
      </c>
      <c r="M1504" s="75">
        <f>STOCK[[#This Row],[Precio Final]]*10%</f>
        <v>2.8000000000000003</v>
      </c>
      <c r="N1504" s="75">
        <v>0</v>
      </c>
      <c r="O1504" s="75">
        <v>0</v>
      </c>
      <c r="P1504" s="75">
        <v>11.68</v>
      </c>
      <c r="Q1504" s="78">
        <v>0</v>
      </c>
      <c r="R1504" s="75">
        <v>0</v>
      </c>
      <c r="S1504" s="75">
        <v>1.65</v>
      </c>
      <c r="T1504" s="75">
        <f>STOCK[[#This Row],[Costo Unitario (USD)]]+STOCK[[#This Row],[Costo Envío (USD)]]+STOCK[[#This Row],[Comisión 10%]]</f>
        <v>16.13</v>
      </c>
      <c r="U1504" s="53">
        <f>STOCK[[#This Row],[Costo total]]*1.5</f>
        <v>24.195</v>
      </c>
      <c r="V1504" s="75">
        <v>28</v>
      </c>
      <c r="W1504" s="75">
        <f>STOCK[[#This Row],[Precio Final]]-STOCK[[#This Row],[Costo total]]</f>
        <v>11.870000000000001</v>
      </c>
      <c r="X1504" s="75">
        <f>STOCK[[#This Row],[Ganancia Unitaria]]*STOCK[[#This Row],[Salidas]]</f>
        <v>47.480000000000004</v>
      </c>
      <c r="Y1504" s="75"/>
      <c r="Z1504" s="75"/>
      <c r="AA1504" s="54">
        <f>STOCK[[#This Row],[Costo total]]*STOCK[[#This Row],[Entradas]]</f>
        <v>32.26</v>
      </c>
      <c r="AB1504" s="54">
        <f>STOCK[[#This Row],[Stock Actual]]*STOCK[[#This Row],[Costo total]]</f>
        <v>-32.26</v>
      </c>
      <c r="AC1504" s="75"/>
    </row>
    <row r="1505" spans="1:29" s="53" customFormat="1" ht="50" customHeight="1">
      <c r="A1505" s="53" t="s">
        <v>3004</v>
      </c>
      <c r="B1505" s="76"/>
      <c r="C1505" s="75" t="s">
        <v>32</v>
      </c>
      <c r="D1505" s="75" t="s">
        <v>2630</v>
      </c>
      <c r="E1505" s="77" t="s">
        <v>3005</v>
      </c>
      <c r="F1505" s="75" t="s">
        <v>62</v>
      </c>
      <c r="G1505" s="75"/>
      <c r="H1505" s="75">
        <f>STOCK[[#This Row],[Precio Final]]</f>
        <v>25</v>
      </c>
      <c r="I1505" s="80">
        <f>STOCK[[#This Row],[Precio Venta Ideal (x1.5)]]</f>
        <v>23.445</v>
      </c>
      <c r="J1505" s="78">
        <v>1</v>
      </c>
      <c r="K1505" s="78">
        <f>SUMIFS(VENTAS[Cantidad],VENTAS[Código del producto Vendido],STOCK[[#This Row],[Code]])</f>
        <v>1</v>
      </c>
      <c r="L1505" s="78">
        <f>STOCK[[#This Row],[Entradas]]-STOCK[[#This Row],[Salidas]]</f>
        <v>0</v>
      </c>
      <c r="M1505" s="75">
        <f>STOCK[[#This Row],[Precio Final]]*10%</f>
        <v>2.5</v>
      </c>
      <c r="N1505" s="75">
        <v>0</v>
      </c>
      <c r="O1505" s="75">
        <v>0</v>
      </c>
      <c r="P1505" s="75">
        <v>11.48</v>
      </c>
      <c r="Q1505" s="78">
        <v>0</v>
      </c>
      <c r="R1505" s="75">
        <v>0</v>
      </c>
      <c r="S1505" s="75">
        <v>1.65</v>
      </c>
      <c r="T1505" s="75">
        <f>STOCK[[#This Row],[Costo Unitario (USD)]]+STOCK[[#This Row],[Costo Envío (USD)]]+STOCK[[#This Row],[Comisión 10%]]</f>
        <v>15.63</v>
      </c>
      <c r="U1505" s="53">
        <f>STOCK[[#This Row],[Costo total]]*1.5</f>
        <v>23.445</v>
      </c>
      <c r="V1505" s="75">
        <v>25</v>
      </c>
      <c r="W1505" s="75">
        <f>STOCK[[#This Row],[Precio Final]]-STOCK[[#This Row],[Costo total]]</f>
        <v>9.3699999999999992</v>
      </c>
      <c r="X1505" s="75">
        <f>STOCK[[#This Row],[Ganancia Unitaria]]*STOCK[[#This Row],[Salidas]]</f>
        <v>9.3699999999999992</v>
      </c>
      <c r="Y1505" s="75"/>
      <c r="Z1505" s="75"/>
      <c r="AA1505" s="54">
        <f>STOCK[[#This Row],[Costo total]]*STOCK[[#This Row],[Entradas]]</f>
        <v>15.63</v>
      </c>
      <c r="AB1505" s="54">
        <f>STOCK[[#This Row],[Stock Actual]]*STOCK[[#This Row],[Costo total]]</f>
        <v>0</v>
      </c>
      <c r="AC1505" s="75"/>
    </row>
    <row r="1506" spans="1:29" s="53" customFormat="1" ht="40" customHeight="1">
      <c r="A1506" s="53" t="s">
        <v>3006</v>
      </c>
      <c r="B1506" s="76"/>
      <c r="C1506" s="75" t="s">
        <v>32</v>
      </c>
      <c r="D1506" s="75" t="s">
        <v>2630</v>
      </c>
      <c r="E1506" s="77" t="s">
        <v>3005</v>
      </c>
      <c r="F1506" s="75" t="s">
        <v>42</v>
      </c>
      <c r="G1506" s="75"/>
      <c r="H1506" s="75">
        <f>STOCK[[#This Row],[Precio Final]]</f>
        <v>25</v>
      </c>
      <c r="I1506" s="80">
        <f>STOCK[[#This Row],[Precio Venta Ideal (x1.5)]]</f>
        <v>23.445</v>
      </c>
      <c r="J1506" s="78">
        <v>1</v>
      </c>
      <c r="K1506" s="78">
        <f>SUMIFS(VENTAS[Cantidad],VENTAS[Código del producto Vendido],STOCK[[#This Row],[Code]])</f>
        <v>1</v>
      </c>
      <c r="L1506" s="78">
        <f>STOCK[[#This Row],[Entradas]]-STOCK[[#This Row],[Salidas]]</f>
        <v>0</v>
      </c>
      <c r="M1506" s="75">
        <f>STOCK[[#This Row],[Precio Final]]*10%</f>
        <v>2.5</v>
      </c>
      <c r="N1506" s="75">
        <v>0</v>
      </c>
      <c r="O1506" s="75">
        <v>0</v>
      </c>
      <c r="P1506" s="75">
        <v>11.48</v>
      </c>
      <c r="Q1506" s="78">
        <v>0</v>
      </c>
      <c r="R1506" s="75">
        <v>0</v>
      </c>
      <c r="S1506" s="75">
        <v>1.65</v>
      </c>
      <c r="T1506" s="75">
        <f>STOCK[[#This Row],[Costo Unitario (USD)]]+STOCK[[#This Row],[Costo Envío (USD)]]+STOCK[[#This Row],[Comisión 10%]]</f>
        <v>15.63</v>
      </c>
      <c r="U1506" s="53">
        <f>STOCK[[#This Row],[Costo total]]*1.5</f>
        <v>23.445</v>
      </c>
      <c r="V1506" s="75">
        <v>25</v>
      </c>
      <c r="W1506" s="75">
        <f>STOCK[[#This Row],[Precio Final]]-STOCK[[#This Row],[Costo total]]</f>
        <v>9.3699999999999992</v>
      </c>
      <c r="X1506" s="75">
        <f>STOCK[[#This Row],[Ganancia Unitaria]]*STOCK[[#This Row],[Salidas]]</f>
        <v>9.3699999999999992</v>
      </c>
      <c r="Y1506" s="75"/>
      <c r="Z1506" s="75"/>
      <c r="AA1506" s="54">
        <f>STOCK[[#This Row],[Costo total]]*STOCK[[#This Row],[Entradas]]</f>
        <v>15.63</v>
      </c>
      <c r="AB1506" s="54">
        <f>STOCK[[#This Row],[Stock Actual]]*STOCK[[#This Row],[Costo total]]</f>
        <v>0</v>
      </c>
      <c r="AC1506" s="75"/>
    </row>
    <row r="1507" spans="1:29" s="53" customFormat="1" ht="50" customHeight="1">
      <c r="A1507" s="53" t="s">
        <v>3007</v>
      </c>
      <c r="B1507" s="76"/>
      <c r="C1507" s="75" t="s">
        <v>32</v>
      </c>
      <c r="D1507" s="75" t="s">
        <v>2630</v>
      </c>
      <c r="E1507" s="77" t="s">
        <v>3008</v>
      </c>
      <c r="F1507" s="75" t="s">
        <v>42</v>
      </c>
      <c r="G1507" s="75"/>
      <c r="H1507" s="75">
        <f>STOCK[[#This Row],[Precio Final]]</f>
        <v>25</v>
      </c>
      <c r="I1507" s="80">
        <f>STOCK[[#This Row],[Precio Venta Ideal (x1.5)]]</f>
        <v>15.66</v>
      </c>
      <c r="J1507" s="78">
        <v>1</v>
      </c>
      <c r="K1507" s="78">
        <f>SUMIFS(VENTAS[Cantidad],VENTAS[Código del producto Vendido],STOCK[[#This Row],[Code]])</f>
        <v>0</v>
      </c>
      <c r="L1507" s="78">
        <f>STOCK[[#This Row],[Entradas]]-STOCK[[#This Row],[Salidas]]</f>
        <v>1</v>
      </c>
      <c r="M1507" s="75">
        <f>STOCK[[#This Row],[Precio Final]]*10%</f>
        <v>2.5</v>
      </c>
      <c r="N1507" s="75">
        <v>0</v>
      </c>
      <c r="O1507" s="75">
        <v>0</v>
      </c>
      <c r="P1507" s="75">
        <v>6.29</v>
      </c>
      <c r="Q1507" s="78">
        <v>0</v>
      </c>
      <c r="R1507" s="75">
        <v>0</v>
      </c>
      <c r="S1507" s="75">
        <v>1.65</v>
      </c>
      <c r="T1507" s="75">
        <f>STOCK[[#This Row],[Costo Unitario (USD)]]+STOCK[[#This Row],[Costo Envío (USD)]]+STOCK[[#This Row],[Comisión 10%]]</f>
        <v>10.44</v>
      </c>
      <c r="U1507" s="53">
        <f>STOCK[[#This Row],[Costo total]]*1.5</f>
        <v>15.66</v>
      </c>
      <c r="V1507" s="75">
        <v>25</v>
      </c>
      <c r="W1507" s="75">
        <f>STOCK[[#This Row],[Precio Final]]-STOCK[[#This Row],[Costo total]]</f>
        <v>14.56</v>
      </c>
      <c r="X1507" s="75">
        <f>STOCK[[#This Row],[Ganancia Unitaria]]*STOCK[[#This Row],[Salidas]]</f>
        <v>0</v>
      </c>
      <c r="Y1507" s="75"/>
      <c r="Z1507" s="75"/>
      <c r="AA1507" s="54">
        <f>STOCK[[#This Row],[Costo total]]*STOCK[[#This Row],[Entradas]]</f>
        <v>10.44</v>
      </c>
      <c r="AB1507" s="54">
        <f>STOCK[[#This Row],[Stock Actual]]*STOCK[[#This Row],[Costo total]]</f>
        <v>10.44</v>
      </c>
      <c r="AC1507" s="75"/>
    </row>
    <row r="1508" spans="1:29" s="53" customFormat="1" ht="50" customHeight="1">
      <c r="A1508" s="53" t="s">
        <v>3009</v>
      </c>
      <c r="B1508" s="76"/>
      <c r="C1508" s="75" t="s">
        <v>32</v>
      </c>
      <c r="D1508" s="75" t="s">
        <v>2134</v>
      </c>
      <c r="E1508" s="77" t="s">
        <v>3010</v>
      </c>
      <c r="F1508" s="75" t="s">
        <v>62</v>
      </c>
      <c r="G1508" s="75"/>
      <c r="H1508" s="75">
        <f>STOCK[[#This Row],[Precio Final]]</f>
        <v>40</v>
      </c>
      <c r="I1508" s="80">
        <f>STOCK[[#This Row],[Precio Venta Ideal (x1.5)]]</f>
        <v>26.204999999999998</v>
      </c>
      <c r="J1508" s="78">
        <v>2</v>
      </c>
      <c r="K1508" s="78">
        <f>SUMIFS(VENTAS[Cantidad],VENTAS[Código del producto Vendido],STOCK[[#This Row],[Code]])</f>
        <v>3</v>
      </c>
      <c r="L1508" s="78">
        <f>STOCK[[#This Row],[Entradas]]-STOCK[[#This Row],[Salidas]]</f>
        <v>-1</v>
      </c>
      <c r="M1508" s="75">
        <f>STOCK[[#This Row],[Precio Final]]*10%</f>
        <v>4</v>
      </c>
      <c r="N1508" s="75">
        <v>0</v>
      </c>
      <c r="O1508" s="75">
        <v>0</v>
      </c>
      <c r="P1508" s="75">
        <v>11.82</v>
      </c>
      <c r="Q1508" s="78">
        <v>0</v>
      </c>
      <c r="R1508" s="75">
        <v>0</v>
      </c>
      <c r="S1508" s="75">
        <v>1.65</v>
      </c>
      <c r="T1508" s="75">
        <f>STOCK[[#This Row],[Costo Unitario (USD)]]+STOCK[[#This Row],[Costo Envío (USD)]]+STOCK[[#This Row],[Comisión 10%]]</f>
        <v>17.47</v>
      </c>
      <c r="U1508" s="53">
        <f>STOCK[[#This Row],[Costo total]]*1.5</f>
        <v>26.204999999999998</v>
      </c>
      <c r="V1508" s="75">
        <v>40</v>
      </c>
      <c r="W1508" s="75">
        <f>STOCK[[#This Row],[Precio Final]]-STOCK[[#This Row],[Costo total]]</f>
        <v>22.53</v>
      </c>
      <c r="X1508" s="75">
        <f>STOCK[[#This Row],[Ganancia Unitaria]]*STOCK[[#This Row],[Salidas]]</f>
        <v>67.59</v>
      </c>
      <c r="Y1508" s="75"/>
      <c r="Z1508" s="75"/>
      <c r="AA1508" s="54">
        <f>STOCK[[#This Row],[Costo total]]*STOCK[[#This Row],[Entradas]]</f>
        <v>34.94</v>
      </c>
      <c r="AB1508" s="54">
        <f>STOCK[[#This Row],[Stock Actual]]*STOCK[[#This Row],[Costo total]]</f>
        <v>-17.47</v>
      </c>
      <c r="AC1508" s="75"/>
    </row>
    <row r="1509" spans="1:29" s="53" customFormat="1" ht="50" customHeight="1">
      <c r="A1509" s="53" t="s">
        <v>3011</v>
      </c>
      <c r="B1509" s="76"/>
      <c r="C1509" s="75" t="s">
        <v>32</v>
      </c>
      <c r="D1509" s="75" t="s">
        <v>2846</v>
      </c>
      <c r="E1509" s="77" t="s">
        <v>3012</v>
      </c>
      <c r="F1509" s="75" t="s">
        <v>62</v>
      </c>
      <c r="G1509" s="75"/>
      <c r="H1509" s="75">
        <f>STOCK[[#This Row],[Precio Final]]</f>
        <v>30</v>
      </c>
      <c r="I1509" s="80">
        <f>STOCK[[#This Row],[Precio Venta Ideal (x1.5)]]</f>
        <v>23.445</v>
      </c>
      <c r="J1509" s="78">
        <v>2</v>
      </c>
      <c r="K1509" s="78">
        <f>SUMIFS(VENTAS[Cantidad],VENTAS[Código del producto Vendido],STOCK[[#This Row],[Code]])</f>
        <v>3</v>
      </c>
      <c r="L1509" s="78">
        <f>STOCK[[#This Row],[Entradas]]-STOCK[[#This Row],[Salidas]]</f>
        <v>-1</v>
      </c>
      <c r="M1509" s="75">
        <f>STOCK[[#This Row],[Precio Final]]*10%</f>
        <v>3</v>
      </c>
      <c r="N1509" s="75">
        <v>0</v>
      </c>
      <c r="O1509" s="75">
        <v>0</v>
      </c>
      <c r="P1509" s="75">
        <v>10.98</v>
      </c>
      <c r="Q1509" s="78">
        <v>0</v>
      </c>
      <c r="R1509" s="75">
        <v>0</v>
      </c>
      <c r="S1509" s="75">
        <v>1.65</v>
      </c>
      <c r="T1509" s="75">
        <f>STOCK[[#This Row],[Costo Unitario (USD)]]+STOCK[[#This Row],[Costo Envío (USD)]]+STOCK[[#This Row],[Comisión 10%]]</f>
        <v>15.63</v>
      </c>
      <c r="U1509" s="53">
        <f>STOCK[[#This Row],[Costo total]]*1.5</f>
        <v>23.445</v>
      </c>
      <c r="V1509" s="75">
        <v>30</v>
      </c>
      <c r="W1509" s="75">
        <f>STOCK[[#This Row],[Precio Final]]-STOCK[[#This Row],[Costo total]]</f>
        <v>14.37</v>
      </c>
      <c r="X1509" s="75">
        <f>STOCK[[#This Row],[Ganancia Unitaria]]*STOCK[[#This Row],[Salidas]]</f>
        <v>43.11</v>
      </c>
      <c r="Y1509" s="75"/>
      <c r="Z1509" s="75"/>
      <c r="AA1509" s="54">
        <f>STOCK[[#This Row],[Costo total]]*STOCK[[#This Row],[Entradas]]</f>
        <v>31.26</v>
      </c>
      <c r="AB1509" s="54">
        <f>STOCK[[#This Row],[Stock Actual]]*STOCK[[#This Row],[Costo total]]</f>
        <v>-15.63</v>
      </c>
      <c r="AC1509" s="75"/>
    </row>
    <row r="1510" spans="1:29" s="53" customFormat="1" ht="50" customHeight="1">
      <c r="A1510" s="53" t="s">
        <v>3013</v>
      </c>
      <c r="B1510" s="76"/>
      <c r="C1510" s="75" t="s">
        <v>32</v>
      </c>
      <c r="D1510" s="75" t="s">
        <v>2846</v>
      </c>
      <c r="E1510" s="77" t="s">
        <v>3012</v>
      </c>
      <c r="F1510" s="75" t="s">
        <v>49</v>
      </c>
      <c r="G1510" s="75"/>
      <c r="H1510" s="75">
        <f>STOCK[[#This Row],[Precio Final]]</f>
        <v>30</v>
      </c>
      <c r="I1510" s="80">
        <f>STOCK[[#This Row],[Precio Venta Ideal (x1.5)]]</f>
        <v>23.445</v>
      </c>
      <c r="J1510" s="78">
        <v>2</v>
      </c>
      <c r="K1510" s="78">
        <f>SUMIFS(VENTAS[Cantidad],VENTAS[Código del producto Vendido],STOCK[[#This Row],[Code]])</f>
        <v>2</v>
      </c>
      <c r="L1510" s="78">
        <f>STOCK[[#This Row],[Entradas]]-STOCK[[#This Row],[Salidas]]</f>
        <v>0</v>
      </c>
      <c r="M1510" s="75">
        <f>STOCK[[#This Row],[Precio Final]]*10%</f>
        <v>3</v>
      </c>
      <c r="N1510" s="75">
        <v>0</v>
      </c>
      <c r="O1510" s="75">
        <v>0</v>
      </c>
      <c r="P1510" s="75">
        <v>10.98</v>
      </c>
      <c r="Q1510" s="78">
        <v>0</v>
      </c>
      <c r="R1510" s="75">
        <v>0</v>
      </c>
      <c r="S1510" s="75">
        <v>1.65</v>
      </c>
      <c r="T1510" s="75">
        <f>STOCK[[#This Row],[Costo Unitario (USD)]]+STOCK[[#This Row],[Costo Envío (USD)]]+STOCK[[#This Row],[Comisión 10%]]</f>
        <v>15.63</v>
      </c>
      <c r="U1510" s="53">
        <f>STOCK[[#This Row],[Costo total]]*1.5</f>
        <v>23.445</v>
      </c>
      <c r="V1510" s="81">
        <v>30</v>
      </c>
      <c r="W1510" s="75">
        <f>STOCK[[#This Row],[Precio Final]]-STOCK[[#This Row],[Costo total]]</f>
        <v>14.37</v>
      </c>
      <c r="X1510" s="75">
        <f>STOCK[[#This Row],[Ganancia Unitaria]]*STOCK[[#This Row],[Salidas]]</f>
        <v>28.74</v>
      </c>
      <c r="Y1510" s="75"/>
      <c r="Z1510" s="75"/>
      <c r="AA1510" s="54">
        <f>STOCK[[#This Row],[Costo total]]*STOCK[[#This Row],[Entradas]]</f>
        <v>31.26</v>
      </c>
      <c r="AB1510" s="54">
        <f>STOCK[[#This Row],[Stock Actual]]*STOCK[[#This Row],[Costo total]]</f>
        <v>0</v>
      </c>
      <c r="AC1510" s="75"/>
    </row>
    <row r="1511" spans="1:29" s="53" customFormat="1" ht="50" customHeight="1">
      <c r="A1511" s="53" t="s">
        <v>3014</v>
      </c>
      <c r="B1511" s="76"/>
      <c r="C1511" s="75" t="s">
        <v>32</v>
      </c>
      <c r="D1511" s="75" t="s">
        <v>2846</v>
      </c>
      <c r="E1511" s="77" t="s">
        <v>3012</v>
      </c>
      <c r="F1511" s="75" t="s">
        <v>46</v>
      </c>
      <c r="G1511" s="75"/>
      <c r="H1511" s="75">
        <f>STOCK[[#This Row],[Precio Final]]</f>
        <v>30</v>
      </c>
      <c r="I1511" s="80">
        <f>STOCK[[#This Row],[Precio Venta Ideal (x1.5)]]</f>
        <v>23.445</v>
      </c>
      <c r="J1511" s="78">
        <v>2</v>
      </c>
      <c r="K1511" s="78">
        <f>SUMIFS(VENTAS[Cantidad],VENTAS[Código del producto Vendido],STOCK[[#This Row],[Code]])</f>
        <v>4</v>
      </c>
      <c r="L1511" s="78">
        <f>STOCK[[#This Row],[Entradas]]-STOCK[[#This Row],[Salidas]]</f>
        <v>-2</v>
      </c>
      <c r="M1511" s="75">
        <f>STOCK[[#This Row],[Precio Final]]*10%</f>
        <v>3</v>
      </c>
      <c r="N1511" s="75">
        <v>0</v>
      </c>
      <c r="O1511" s="75">
        <v>0</v>
      </c>
      <c r="P1511" s="75">
        <v>10.98</v>
      </c>
      <c r="Q1511" s="78">
        <v>0</v>
      </c>
      <c r="R1511" s="75">
        <v>0</v>
      </c>
      <c r="S1511" s="75">
        <v>1.65</v>
      </c>
      <c r="T1511" s="75">
        <f>STOCK[[#This Row],[Costo Unitario (USD)]]+STOCK[[#This Row],[Costo Envío (USD)]]+STOCK[[#This Row],[Comisión 10%]]</f>
        <v>15.63</v>
      </c>
      <c r="U1511" s="53">
        <f>STOCK[[#This Row],[Costo total]]*1.5</f>
        <v>23.445</v>
      </c>
      <c r="V1511" s="75">
        <v>30</v>
      </c>
      <c r="W1511" s="75">
        <f>STOCK[[#This Row],[Precio Final]]-STOCK[[#This Row],[Costo total]]</f>
        <v>14.37</v>
      </c>
      <c r="X1511" s="75">
        <f>STOCK[[#This Row],[Ganancia Unitaria]]*STOCK[[#This Row],[Salidas]]</f>
        <v>57.48</v>
      </c>
      <c r="Y1511" s="75"/>
      <c r="Z1511" s="75"/>
      <c r="AA1511" s="54">
        <f>STOCK[[#This Row],[Costo total]]*STOCK[[#This Row],[Entradas]]</f>
        <v>31.26</v>
      </c>
      <c r="AB1511" s="54">
        <f>STOCK[[#This Row],[Stock Actual]]*STOCK[[#This Row],[Costo total]]</f>
        <v>-31.26</v>
      </c>
      <c r="AC1511" s="75"/>
    </row>
    <row r="1512" spans="1:29" s="53" customFormat="1" ht="50" customHeight="1">
      <c r="A1512" s="53" t="s">
        <v>3015</v>
      </c>
      <c r="B1512" s="76"/>
      <c r="C1512" s="75" t="s">
        <v>32</v>
      </c>
      <c r="D1512" s="75" t="s">
        <v>2846</v>
      </c>
      <c r="E1512" s="77" t="s">
        <v>3012</v>
      </c>
      <c r="F1512" s="75" t="s">
        <v>3016</v>
      </c>
      <c r="G1512" s="75"/>
      <c r="H1512" s="75">
        <f>STOCK[[#This Row],[Precio Final]]</f>
        <v>30</v>
      </c>
      <c r="I1512" s="80">
        <f>STOCK[[#This Row],[Precio Venta Ideal (x1.5)]]</f>
        <v>23.445</v>
      </c>
      <c r="J1512" s="78">
        <v>3</v>
      </c>
      <c r="K1512" s="78">
        <f>SUMIFS(VENTAS[Cantidad],VENTAS[Código del producto Vendido],STOCK[[#This Row],[Code]])</f>
        <v>6</v>
      </c>
      <c r="L1512" s="78">
        <f>STOCK[[#This Row],[Entradas]]-STOCK[[#This Row],[Salidas]]</f>
        <v>-3</v>
      </c>
      <c r="M1512" s="75">
        <f>STOCK[[#This Row],[Precio Final]]*10%</f>
        <v>3</v>
      </c>
      <c r="N1512" s="75">
        <v>0</v>
      </c>
      <c r="O1512" s="75">
        <v>0</v>
      </c>
      <c r="P1512" s="75">
        <v>10.98</v>
      </c>
      <c r="Q1512" s="78">
        <v>0</v>
      </c>
      <c r="R1512" s="75">
        <v>0</v>
      </c>
      <c r="S1512" s="75">
        <v>1.65</v>
      </c>
      <c r="T1512" s="75">
        <f>STOCK[[#This Row],[Costo Unitario (USD)]]+STOCK[[#This Row],[Costo Envío (USD)]]+STOCK[[#This Row],[Comisión 10%]]</f>
        <v>15.63</v>
      </c>
      <c r="U1512" s="53">
        <f>STOCK[[#This Row],[Costo total]]*1.5</f>
        <v>23.445</v>
      </c>
      <c r="V1512" s="75">
        <v>30</v>
      </c>
      <c r="W1512" s="75">
        <f>STOCK[[#This Row],[Precio Final]]-STOCK[[#This Row],[Costo total]]</f>
        <v>14.37</v>
      </c>
      <c r="X1512" s="75">
        <f>STOCK[[#This Row],[Ganancia Unitaria]]*STOCK[[#This Row],[Salidas]]</f>
        <v>86.22</v>
      </c>
      <c r="Y1512" s="75"/>
      <c r="Z1512" s="75"/>
      <c r="AA1512" s="54">
        <f>STOCK[[#This Row],[Costo total]]*STOCK[[#This Row],[Entradas]]</f>
        <v>46.89</v>
      </c>
      <c r="AB1512" s="54">
        <f>STOCK[[#This Row],[Stock Actual]]*STOCK[[#This Row],[Costo total]]</f>
        <v>-46.89</v>
      </c>
      <c r="AC1512" s="75"/>
    </row>
    <row r="1513" spans="1:29" s="53" customFormat="1" ht="50" customHeight="1">
      <c r="A1513" s="53" t="s">
        <v>3017</v>
      </c>
      <c r="B1513" s="76"/>
      <c r="C1513" s="75" t="s">
        <v>32</v>
      </c>
      <c r="D1513" s="75" t="s">
        <v>2880</v>
      </c>
      <c r="E1513" s="77" t="s">
        <v>3018</v>
      </c>
      <c r="F1513" s="75" t="s">
        <v>46</v>
      </c>
      <c r="G1513" s="75"/>
      <c r="H1513" s="75">
        <f>STOCK[[#This Row],[Precio Final]]</f>
        <v>30</v>
      </c>
      <c r="I1513" s="80">
        <f>STOCK[[#This Row],[Precio Venta Ideal (x1.5)]]</f>
        <v>27.014999999999997</v>
      </c>
      <c r="J1513" s="78">
        <v>1</v>
      </c>
      <c r="K1513" s="78">
        <f>SUMIFS(VENTAS[Cantidad],VENTAS[Código del producto Vendido],STOCK[[#This Row],[Code]])</f>
        <v>1</v>
      </c>
      <c r="L1513" s="78">
        <f>STOCK[[#This Row],[Entradas]]-STOCK[[#This Row],[Salidas]]</f>
        <v>0</v>
      </c>
      <c r="M1513" s="75">
        <f>STOCK[[#This Row],[Precio Final]]*10%</f>
        <v>3</v>
      </c>
      <c r="N1513" s="75">
        <v>0</v>
      </c>
      <c r="O1513" s="75">
        <v>0</v>
      </c>
      <c r="P1513" s="75">
        <v>13.36</v>
      </c>
      <c r="Q1513" s="78">
        <v>0</v>
      </c>
      <c r="R1513" s="75">
        <v>0</v>
      </c>
      <c r="S1513" s="75">
        <v>1.65</v>
      </c>
      <c r="T1513" s="75">
        <f>STOCK[[#This Row],[Costo Unitario (USD)]]+STOCK[[#This Row],[Costo Envío (USD)]]+STOCK[[#This Row],[Comisión 10%]]</f>
        <v>18.009999999999998</v>
      </c>
      <c r="U1513" s="53">
        <f>STOCK[[#This Row],[Costo total]]*1.5</f>
        <v>27.014999999999997</v>
      </c>
      <c r="V1513" s="75">
        <v>30</v>
      </c>
      <c r="W1513" s="75">
        <f>STOCK[[#This Row],[Precio Final]]-STOCK[[#This Row],[Costo total]]</f>
        <v>11.990000000000002</v>
      </c>
      <c r="X1513" s="75">
        <f>STOCK[[#This Row],[Ganancia Unitaria]]*STOCK[[#This Row],[Salidas]]</f>
        <v>11.990000000000002</v>
      </c>
      <c r="Y1513" s="75"/>
      <c r="Z1513" s="75"/>
      <c r="AA1513" s="54">
        <f>STOCK[[#This Row],[Costo total]]*STOCK[[#This Row],[Entradas]]</f>
        <v>18.009999999999998</v>
      </c>
      <c r="AB1513" s="54">
        <f>STOCK[[#This Row],[Stock Actual]]*STOCK[[#This Row],[Costo total]]</f>
        <v>0</v>
      </c>
      <c r="AC1513" s="75"/>
    </row>
    <row r="1514" spans="1:29" s="53" customFormat="1" ht="50" customHeight="1">
      <c r="A1514" s="53" t="s">
        <v>3019</v>
      </c>
      <c r="B1514" s="76"/>
      <c r="C1514" s="75" t="s">
        <v>32</v>
      </c>
      <c r="D1514" s="75" t="s">
        <v>1226</v>
      </c>
      <c r="E1514" s="77" t="s">
        <v>3020</v>
      </c>
      <c r="F1514" s="75" t="s">
        <v>517</v>
      </c>
      <c r="G1514" s="75"/>
      <c r="H1514" s="75">
        <f>STOCK[[#This Row],[Precio Final]]</f>
        <v>40</v>
      </c>
      <c r="I1514" s="80">
        <f>STOCK[[#This Row],[Precio Venta Ideal (x1.5)]]</f>
        <v>23.475000000000001</v>
      </c>
      <c r="J1514" s="78">
        <v>2</v>
      </c>
      <c r="K1514" s="78">
        <f>SUMIFS(VENTAS[Cantidad],VENTAS[Código del producto Vendido],STOCK[[#This Row],[Code]])</f>
        <v>2</v>
      </c>
      <c r="L1514" s="78">
        <f>STOCK[[#This Row],[Entradas]]-STOCK[[#This Row],[Salidas]]</f>
        <v>0</v>
      </c>
      <c r="M1514" s="75">
        <f>STOCK[[#This Row],[Precio Final]]*10%</f>
        <v>4</v>
      </c>
      <c r="N1514" s="75">
        <v>0</v>
      </c>
      <c r="O1514" s="75">
        <v>0</v>
      </c>
      <c r="P1514" s="75">
        <v>10</v>
      </c>
      <c r="Q1514" s="78">
        <v>0</v>
      </c>
      <c r="R1514" s="75">
        <v>0</v>
      </c>
      <c r="S1514" s="75">
        <v>1.65</v>
      </c>
      <c r="T1514" s="75">
        <f>STOCK[[#This Row],[Costo Unitario (USD)]]+STOCK[[#This Row],[Costo Envío (USD)]]+STOCK[[#This Row],[Comisión 10%]]</f>
        <v>15.65</v>
      </c>
      <c r="U1514" s="53">
        <f>STOCK[[#This Row],[Costo total]]*1.5</f>
        <v>23.475000000000001</v>
      </c>
      <c r="V1514" s="75">
        <v>40</v>
      </c>
      <c r="W1514" s="75">
        <f>STOCK[[#This Row],[Precio Final]]-STOCK[[#This Row],[Costo total]]</f>
        <v>24.35</v>
      </c>
      <c r="X1514" s="75">
        <f>STOCK[[#This Row],[Ganancia Unitaria]]*STOCK[[#This Row],[Salidas]]</f>
        <v>48.7</v>
      </c>
      <c r="Y1514" s="75"/>
      <c r="Z1514" s="75"/>
      <c r="AA1514" s="54">
        <f>STOCK[[#This Row],[Costo total]]*STOCK[[#This Row],[Entradas]]</f>
        <v>31.3</v>
      </c>
      <c r="AB1514" s="54">
        <f>STOCK[[#This Row],[Stock Actual]]*STOCK[[#This Row],[Costo total]]</f>
        <v>0</v>
      </c>
      <c r="AC1514" s="75"/>
    </row>
    <row r="1515" spans="1:29" s="53" customFormat="1" ht="50" customHeight="1">
      <c r="A1515" s="53" t="s">
        <v>3021</v>
      </c>
      <c r="B1515" s="76"/>
      <c r="C1515" s="75" t="s">
        <v>32</v>
      </c>
      <c r="D1515" s="75" t="s">
        <v>1226</v>
      </c>
      <c r="E1515" s="77" t="s">
        <v>3020</v>
      </c>
      <c r="F1515" s="75" t="s">
        <v>540</v>
      </c>
      <c r="G1515" s="75"/>
      <c r="H1515" s="75">
        <f>STOCK[[#This Row],[Precio Final]]</f>
        <v>40</v>
      </c>
      <c r="I1515" s="80">
        <f>STOCK[[#This Row],[Precio Venta Ideal (x1.5)]]</f>
        <v>23.475000000000001</v>
      </c>
      <c r="J1515" s="78">
        <v>2</v>
      </c>
      <c r="K1515" s="78">
        <f>SUMIFS(VENTAS[Cantidad],VENTAS[Código del producto Vendido],STOCK[[#This Row],[Code]])</f>
        <v>0</v>
      </c>
      <c r="L1515" s="78">
        <f>STOCK[[#This Row],[Entradas]]-STOCK[[#This Row],[Salidas]]</f>
        <v>2</v>
      </c>
      <c r="M1515" s="75">
        <f>STOCK[[#This Row],[Precio Final]]*10%</f>
        <v>4</v>
      </c>
      <c r="N1515" s="75">
        <v>0</v>
      </c>
      <c r="O1515" s="75">
        <v>0</v>
      </c>
      <c r="P1515" s="75">
        <v>10</v>
      </c>
      <c r="Q1515" s="78">
        <v>0</v>
      </c>
      <c r="R1515" s="75">
        <v>0</v>
      </c>
      <c r="S1515" s="75">
        <v>1.65</v>
      </c>
      <c r="T1515" s="75">
        <f>STOCK[[#This Row],[Costo Unitario (USD)]]+STOCK[[#This Row],[Costo Envío (USD)]]+STOCK[[#This Row],[Comisión 10%]]</f>
        <v>15.65</v>
      </c>
      <c r="U1515" s="53">
        <f>STOCK[[#This Row],[Costo total]]*1.5</f>
        <v>23.475000000000001</v>
      </c>
      <c r="V1515" s="75">
        <v>40</v>
      </c>
      <c r="W1515" s="75">
        <f>STOCK[[#This Row],[Precio Final]]-STOCK[[#This Row],[Costo total]]</f>
        <v>24.35</v>
      </c>
      <c r="X1515" s="75">
        <f>STOCK[[#This Row],[Ganancia Unitaria]]*STOCK[[#This Row],[Salidas]]</f>
        <v>0</v>
      </c>
      <c r="Y1515" s="75"/>
      <c r="Z1515" s="75"/>
      <c r="AA1515" s="54">
        <f>STOCK[[#This Row],[Costo total]]*STOCK[[#This Row],[Entradas]]</f>
        <v>31.3</v>
      </c>
      <c r="AB1515" s="54">
        <f>STOCK[[#This Row],[Stock Actual]]*STOCK[[#This Row],[Costo total]]</f>
        <v>31.3</v>
      </c>
      <c r="AC1515" s="75"/>
    </row>
    <row r="1516" spans="1:29" s="53" customFormat="1" ht="50" customHeight="1">
      <c r="A1516" s="53" t="s">
        <v>3022</v>
      </c>
      <c r="B1516" s="76"/>
      <c r="C1516" s="75" t="s">
        <v>32</v>
      </c>
      <c r="D1516" s="75" t="s">
        <v>1226</v>
      </c>
      <c r="E1516" s="77" t="s">
        <v>3020</v>
      </c>
      <c r="F1516" s="75" t="s">
        <v>754</v>
      </c>
      <c r="G1516" s="75"/>
      <c r="H1516" s="75">
        <f>STOCK[[#This Row],[Precio Final]]</f>
        <v>40</v>
      </c>
      <c r="I1516" s="80">
        <f>STOCK[[#This Row],[Precio Venta Ideal (x1.5)]]</f>
        <v>23.475000000000001</v>
      </c>
      <c r="J1516" s="78">
        <v>2</v>
      </c>
      <c r="K1516" s="78">
        <f>SUMIFS(VENTAS[Cantidad],VENTAS[Código del producto Vendido],STOCK[[#This Row],[Code]])</f>
        <v>1</v>
      </c>
      <c r="L1516" s="78">
        <f>STOCK[[#This Row],[Entradas]]-STOCK[[#This Row],[Salidas]]</f>
        <v>1</v>
      </c>
      <c r="M1516" s="75">
        <f>STOCK[[#This Row],[Precio Final]]*10%</f>
        <v>4</v>
      </c>
      <c r="N1516" s="75">
        <v>0</v>
      </c>
      <c r="O1516" s="75">
        <v>0</v>
      </c>
      <c r="P1516" s="75">
        <v>10</v>
      </c>
      <c r="Q1516" s="78">
        <v>0</v>
      </c>
      <c r="R1516" s="75">
        <v>0</v>
      </c>
      <c r="S1516" s="75">
        <v>1.65</v>
      </c>
      <c r="T1516" s="75">
        <f>STOCK[[#This Row],[Costo Unitario (USD)]]+STOCK[[#This Row],[Costo Envío (USD)]]+STOCK[[#This Row],[Comisión 10%]]</f>
        <v>15.65</v>
      </c>
      <c r="U1516" s="53">
        <f>STOCK[[#This Row],[Costo total]]*1.5</f>
        <v>23.475000000000001</v>
      </c>
      <c r="V1516" s="75">
        <v>40</v>
      </c>
      <c r="W1516" s="75">
        <f>STOCK[[#This Row],[Precio Final]]-STOCK[[#This Row],[Costo total]]</f>
        <v>24.35</v>
      </c>
      <c r="X1516" s="75">
        <f>STOCK[[#This Row],[Ganancia Unitaria]]*STOCK[[#This Row],[Salidas]]</f>
        <v>24.35</v>
      </c>
      <c r="Y1516" s="75"/>
      <c r="Z1516" s="75"/>
      <c r="AA1516" s="54">
        <f>STOCK[[#This Row],[Costo total]]*STOCK[[#This Row],[Entradas]]</f>
        <v>31.3</v>
      </c>
      <c r="AB1516" s="54">
        <f>STOCK[[#This Row],[Stock Actual]]*STOCK[[#This Row],[Costo total]]</f>
        <v>15.65</v>
      </c>
      <c r="AC1516" s="75"/>
    </row>
    <row r="1517" spans="1:29" s="53" customFormat="1" ht="50" customHeight="1">
      <c r="A1517" s="53" t="s">
        <v>3023</v>
      </c>
      <c r="B1517" s="76"/>
      <c r="C1517" s="75" t="s">
        <v>32</v>
      </c>
      <c r="D1517" s="75" t="s">
        <v>2846</v>
      </c>
      <c r="E1517" s="77" t="s">
        <v>3024</v>
      </c>
      <c r="F1517" s="75" t="s">
        <v>40</v>
      </c>
      <c r="G1517" s="75"/>
      <c r="H1517" s="75">
        <f>STOCK[[#This Row],[Precio Final]]</f>
        <v>25</v>
      </c>
      <c r="I1517" s="80">
        <f>STOCK[[#This Row],[Precio Venta Ideal (x1.5)]]</f>
        <v>25.650000000000002</v>
      </c>
      <c r="J1517" s="78">
        <v>1</v>
      </c>
      <c r="K1517" s="78">
        <f>SUMIFS(VENTAS[Cantidad],VENTAS[Código del producto Vendido],STOCK[[#This Row],[Code]])</f>
        <v>1</v>
      </c>
      <c r="L1517" s="78">
        <f>STOCK[[#This Row],[Entradas]]-STOCK[[#This Row],[Salidas]]</f>
        <v>0</v>
      </c>
      <c r="M1517" s="75">
        <f>STOCK[[#This Row],[Precio Final]]*10%</f>
        <v>2.5</v>
      </c>
      <c r="N1517" s="75">
        <v>0</v>
      </c>
      <c r="O1517" s="75">
        <v>0</v>
      </c>
      <c r="P1517" s="75">
        <v>13</v>
      </c>
      <c r="Q1517" s="78">
        <v>0</v>
      </c>
      <c r="R1517" s="75">
        <v>0</v>
      </c>
      <c r="S1517" s="75">
        <v>1.6</v>
      </c>
      <c r="T1517" s="75">
        <f>STOCK[[#This Row],[Costo Unitario (USD)]]+STOCK[[#This Row],[Costo Envío (USD)]]+STOCK[[#This Row],[Comisión 10%]]</f>
        <v>17.100000000000001</v>
      </c>
      <c r="U1517" s="53">
        <f>STOCK[[#This Row],[Costo total]]*1.5</f>
        <v>25.650000000000002</v>
      </c>
      <c r="V1517" s="75">
        <v>25</v>
      </c>
      <c r="W1517" s="75">
        <f>STOCK[[#This Row],[Precio Final]]-STOCK[[#This Row],[Costo total]]</f>
        <v>7.8999999999999986</v>
      </c>
      <c r="X1517" s="75">
        <f>STOCK[[#This Row],[Ganancia Unitaria]]*STOCK[[#This Row],[Salidas]]</f>
        <v>7.8999999999999986</v>
      </c>
      <c r="Y1517" s="75"/>
      <c r="Z1517" s="75"/>
      <c r="AA1517" s="54">
        <f>STOCK[[#This Row],[Costo total]]*STOCK[[#This Row],[Entradas]]</f>
        <v>17.100000000000001</v>
      </c>
      <c r="AB1517" s="54">
        <f>STOCK[[#This Row],[Stock Actual]]*STOCK[[#This Row],[Costo total]]</f>
        <v>0</v>
      </c>
      <c r="AC1517" s="75"/>
    </row>
    <row r="1518" spans="1:29" s="53" customFormat="1" ht="50" customHeight="1">
      <c r="A1518" s="53" t="s">
        <v>3025</v>
      </c>
      <c r="B1518" s="76"/>
      <c r="C1518" s="75" t="s">
        <v>32</v>
      </c>
      <c r="D1518" s="75" t="s">
        <v>1190</v>
      </c>
      <c r="E1518" s="77" t="s">
        <v>3026</v>
      </c>
      <c r="F1518" s="75" t="s">
        <v>62</v>
      </c>
      <c r="G1518" s="75"/>
      <c r="H1518" s="75">
        <f>STOCK[[#This Row],[Precio Final]]</f>
        <v>18</v>
      </c>
      <c r="I1518" s="80">
        <f>STOCK[[#This Row],[Precio Venta Ideal (x1.5)]]</f>
        <v>16.23</v>
      </c>
      <c r="J1518" s="78">
        <v>2</v>
      </c>
      <c r="K1518" s="78">
        <f>SUMIFS(VENTAS[Cantidad],VENTAS[Código del producto Vendido],STOCK[[#This Row],[Code]])</f>
        <v>1</v>
      </c>
      <c r="L1518" s="78">
        <f>STOCK[[#This Row],[Entradas]]-STOCK[[#This Row],[Salidas]]</f>
        <v>1</v>
      </c>
      <c r="M1518" s="75">
        <f>STOCK[[#This Row],[Precio Final]]*10%</f>
        <v>1.8</v>
      </c>
      <c r="N1518" s="75">
        <v>0</v>
      </c>
      <c r="O1518" s="75">
        <v>0</v>
      </c>
      <c r="P1518" s="75">
        <v>7.42</v>
      </c>
      <c r="Q1518" s="78">
        <v>0</v>
      </c>
      <c r="R1518" s="75">
        <v>0</v>
      </c>
      <c r="S1518" s="75">
        <v>1.6</v>
      </c>
      <c r="T1518" s="75">
        <f>STOCK[[#This Row],[Costo Unitario (USD)]]+STOCK[[#This Row],[Costo Envío (USD)]]+STOCK[[#This Row],[Comisión 10%]]</f>
        <v>10.82</v>
      </c>
      <c r="U1518" s="53">
        <f>STOCK[[#This Row],[Costo total]]*1.5</f>
        <v>16.23</v>
      </c>
      <c r="V1518" s="75">
        <v>18</v>
      </c>
      <c r="W1518" s="75">
        <f>STOCK[[#This Row],[Precio Final]]-STOCK[[#This Row],[Costo total]]</f>
        <v>7.18</v>
      </c>
      <c r="X1518" s="75">
        <f>STOCK[[#This Row],[Ganancia Unitaria]]*STOCK[[#This Row],[Salidas]]</f>
        <v>7.18</v>
      </c>
      <c r="Y1518" s="75"/>
      <c r="Z1518" s="75"/>
      <c r="AA1518" s="54">
        <f>STOCK[[#This Row],[Costo total]]*STOCK[[#This Row],[Entradas]]</f>
        <v>21.64</v>
      </c>
      <c r="AB1518" s="54">
        <f>STOCK[[#This Row],[Stock Actual]]*STOCK[[#This Row],[Costo total]]</f>
        <v>10.82</v>
      </c>
      <c r="AC1518" s="75"/>
    </row>
    <row r="1519" spans="1:29" s="53" customFormat="1" ht="50" customHeight="1">
      <c r="A1519" s="53" t="s">
        <v>3027</v>
      </c>
      <c r="B1519" s="76"/>
      <c r="C1519" s="75" t="s">
        <v>32</v>
      </c>
      <c r="D1519" s="75" t="s">
        <v>1190</v>
      </c>
      <c r="E1519" s="77" t="s">
        <v>3026</v>
      </c>
      <c r="F1519" s="75" t="s">
        <v>49</v>
      </c>
      <c r="G1519" s="75"/>
      <c r="H1519" s="75">
        <f>STOCK[[#This Row],[Precio Final]]</f>
        <v>18</v>
      </c>
      <c r="I1519" s="80">
        <f>STOCK[[#This Row],[Precio Venta Ideal (x1.5)]]</f>
        <v>16.605</v>
      </c>
      <c r="J1519" s="78">
        <v>2</v>
      </c>
      <c r="K1519" s="78">
        <f>SUMIFS(VENTAS[Cantidad],VENTAS[Código del producto Vendido],STOCK[[#This Row],[Code]])</f>
        <v>1</v>
      </c>
      <c r="L1519" s="78">
        <f>STOCK[[#This Row],[Entradas]]-STOCK[[#This Row],[Salidas]]</f>
        <v>1</v>
      </c>
      <c r="M1519" s="75">
        <f>STOCK[[#This Row],[Precio Final]]*10%</f>
        <v>1.8</v>
      </c>
      <c r="N1519" s="75">
        <v>0</v>
      </c>
      <c r="O1519" s="75">
        <v>0</v>
      </c>
      <c r="P1519" s="75">
        <v>7.67</v>
      </c>
      <c r="Q1519" s="78">
        <v>0</v>
      </c>
      <c r="R1519" s="75">
        <v>0</v>
      </c>
      <c r="S1519" s="75">
        <v>1.6</v>
      </c>
      <c r="T1519" s="75">
        <f>STOCK[[#This Row],[Costo Unitario (USD)]]+STOCK[[#This Row],[Costo Envío (USD)]]+STOCK[[#This Row],[Comisión 10%]]</f>
        <v>11.07</v>
      </c>
      <c r="U1519" s="53">
        <f>STOCK[[#This Row],[Costo total]]*1.5</f>
        <v>16.605</v>
      </c>
      <c r="V1519" s="75">
        <v>18</v>
      </c>
      <c r="W1519" s="75">
        <f>STOCK[[#This Row],[Precio Final]]-STOCK[[#This Row],[Costo total]]</f>
        <v>6.93</v>
      </c>
      <c r="X1519" s="75">
        <f>STOCK[[#This Row],[Ganancia Unitaria]]*STOCK[[#This Row],[Salidas]]</f>
        <v>6.93</v>
      </c>
      <c r="Y1519" s="75"/>
      <c r="Z1519" s="75"/>
      <c r="AA1519" s="54">
        <f>STOCK[[#This Row],[Costo total]]*STOCK[[#This Row],[Entradas]]</f>
        <v>22.14</v>
      </c>
      <c r="AB1519" s="54">
        <f>STOCK[[#This Row],[Stock Actual]]*STOCK[[#This Row],[Costo total]]</f>
        <v>11.07</v>
      </c>
      <c r="AC1519" s="75"/>
    </row>
    <row r="1520" spans="1:29" s="53" customFormat="1" ht="50" customHeight="1">
      <c r="A1520" s="53" t="s">
        <v>3028</v>
      </c>
      <c r="B1520" s="76"/>
      <c r="C1520" s="75" t="s">
        <v>32</v>
      </c>
      <c r="D1520" s="75" t="s">
        <v>1190</v>
      </c>
      <c r="E1520" s="77" t="s">
        <v>3026</v>
      </c>
      <c r="F1520" s="75" t="s">
        <v>46</v>
      </c>
      <c r="G1520" s="75"/>
      <c r="H1520" s="75">
        <f>STOCK[[#This Row],[Precio Final]]</f>
        <v>18</v>
      </c>
      <c r="I1520" s="80">
        <f>STOCK[[#This Row],[Precio Venta Ideal (x1.5)]]</f>
        <v>17.22</v>
      </c>
      <c r="J1520" s="78">
        <v>2</v>
      </c>
      <c r="K1520" s="78">
        <f>SUMIFS(VENTAS[Cantidad],VENTAS[Código del producto Vendido],STOCK[[#This Row],[Code]])</f>
        <v>2</v>
      </c>
      <c r="L1520" s="78">
        <f>STOCK[[#This Row],[Entradas]]-STOCK[[#This Row],[Salidas]]</f>
        <v>0</v>
      </c>
      <c r="M1520" s="75">
        <f>STOCK[[#This Row],[Precio Final]]*10%</f>
        <v>1.8</v>
      </c>
      <c r="N1520" s="75">
        <v>0</v>
      </c>
      <c r="O1520" s="75">
        <v>0</v>
      </c>
      <c r="P1520" s="75">
        <v>8.08</v>
      </c>
      <c r="Q1520" s="78">
        <v>0</v>
      </c>
      <c r="R1520" s="75">
        <v>0</v>
      </c>
      <c r="S1520" s="75">
        <v>1.6</v>
      </c>
      <c r="T1520" s="75">
        <f>STOCK[[#This Row],[Costo Unitario (USD)]]+STOCK[[#This Row],[Costo Envío (USD)]]+STOCK[[#This Row],[Comisión 10%]]</f>
        <v>11.48</v>
      </c>
      <c r="U1520" s="53">
        <f>STOCK[[#This Row],[Costo total]]*1.5</f>
        <v>17.22</v>
      </c>
      <c r="V1520" s="75">
        <v>18</v>
      </c>
      <c r="W1520" s="75">
        <f>STOCK[[#This Row],[Precio Final]]-STOCK[[#This Row],[Costo total]]</f>
        <v>6.52</v>
      </c>
      <c r="X1520" s="75">
        <f>STOCK[[#This Row],[Ganancia Unitaria]]*STOCK[[#This Row],[Salidas]]</f>
        <v>13.04</v>
      </c>
      <c r="Y1520" s="75"/>
      <c r="Z1520" s="75"/>
      <c r="AA1520" s="54">
        <f>STOCK[[#This Row],[Costo total]]*STOCK[[#This Row],[Entradas]]</f>
        <v>22.96</v>
      </c>
      <c r="AB1520" s="54">
        <f>STOCK[[#This Row],[Stock Actual]]*STOCK[[#This Row],[Costo total]]</f>
        <v>0</v>
      </c>
      <c r="AC1520" s="75"/>
    </row>
    <row r="1521" spans="1:30" s="53" customFormat="1" ht="50" customHeight="1">
      <c r="A1521" s="53" t="s">
        <v>3029</v>
      </c>
      <c r="B1521" s="76"/>
      <c r="C1521" s="75" t="s">
        <v>32</v>
      </c>
      <c r="D1521" s="75" t="s">
        <v>1190</v>
      </c>
      <c r="E1521" s="77" t="s">
        <v>3030</v>
      </c>
      <c r="F1521" s="75" t="s">
        <v>62</v>
      </c>
      <c r="G1521" s="75"/>
      <c r="H1521" s="75">
        <f>STOCK[[#This Row],[Precio Final]]</f>
        <v>18</v>
      </c>
      <c r="I1521" s="80">
        <f>STOCK[[#This Row],[Precio Venta Ideal (x1.5)]]</f>
        <v>16.71</v>
      </c>
      <c r="J1521" s="78">
        <v>1</v>
      </c>
      <c r="K1521" s="78">
        <f>SUMIFS(VENTAS[Cantidad],VENTAS[Código del producto Vendido],STOCK[[#This Row],[Code]])</f>
        <v>0</v>
      </c>
      <c r="L1521" s="78">
        <f>STOCK[[#This Row],[Entradas]]-STOCK[[#This Row],[Salidas]]</f>
        <v>1</v>
      </c>
      <c r="M1521" s="75">
        <f>STOCK[[#This Row],[Precio Final]]*10%</f>
        <v>1.8</v>
      </c>
      <c r="N1521" s="75">
        <v>0</v>
      </c>
      <c r="O1521" s="75">
        <v>0</v>
      </c>
      <c r="P1521" s="75">
        <v>7.74</v>
      </c>
      <c r="Q1521" s="78">
        <v>0</v>
      </c>
      <c r="R1521" s="75">
        <v>0</v>
      </c>
      <c r="S1521" s="75">
        <v>1.6</v>
      </c>
      <c r="T1521" s="75">
        <f>STOCK[[#This Row],[Costo Unitario (USD)]]+STOCK[[#This Row],[Costo Envío (USD)]]+STOCK[[#This Row],[Comisión 10%]]</f>
        <v>11.14</v>
      </c>
      <c r="U1521" s="53">
        <f>STOCK[[#This Row],[Costo total]]*1.5</f>
        <v>16.71</v>
      </c>
      <c r="V1521" s="75">
        <v>18</v>
      </c>
      <c r="W1521" s="75">
        <f>STOCK[[#This Row],[Precio Final]]-STOCK[[#This Row],[Costo total]]</f>
        <v>6.8599999999999994</v>
      </c>
      <c r="X1521" s="75">
        <f>STOCK[[#This Row],[Ganancia Unitaria]]*STOCK[[#This Row],[Salidas]]</f>
        <v>0</v>
      </c>
      <c r="Y1521" s="75"/>
      <c r="Z1521" s="75"/>
      <c r="AA1521" s="54">
        <f>STOCK[[#This Row],[Costo total]]*STOCK[[#This Row],[Entradas]]</f>
        <v>11.14</v>
      </c>
      <c r="AB1521" s="54">
        <f>STOCK[[#This Row],[Stock Actual]]*STOCK[[#This Row],[Costo total]]</f>
        <v>11.14</v>
      </c>
      <c r="AC1521" s="75"/>
    </row>
    <row r="1522" spans="1:30" s="53" customFormat="1" ht="50" customHeight="1">
      <c r="A1522" s="53" t="s">
        <v>3031</v>
      </c>
      <c r="B1522" s="76"/>
      <c r="C1522" s="75" t="s">
        <v>32</v>
      </c>
      <c r="D1522" s="75" t="s">
        <v>1190</v>
      </c>
      <c r="E1522" s="77" t="s">
        <v>3030</v>
      </c>
      <c r="F1522" s="75" t="s">
        <v>49</v>
      </c>
      <c r="G1522" s="75"/>
      <c r="H1522" s="75">
        <f>STOCK[[#This Row],[Precio Final]]</f>
        <v>18</v>
      </c>
      <c r="I1522" s="80">
        <f>STOCK[[#This Row],[Precio Venta Ideal (x1.5)]]</f>
        <v>16.71</v>
      </c>
      <c r="J1522" s="78">
        <v>1</v>
      </c>
      <c r="K1522" s="78">
        <f>SUMIFS(VENTAS[Cantidad],VENTAS[Código del producto Vendido],STOCK[[#This Row],[Code]])</f>
        <v>0</v>
      </c>
      <c r="L1522" s="78">
        <f>STOCK[[#This Row],[Entradas]]-STOCK[[#This Row],[Salidas]]</f>
        <v>1</v>
      </c>
      <c r="M1522" s="75">
        <f>STOCK[[#This Row],[Precio Final]]*10%</f>
        <v>1.8</v>
      </c>
      <c r="N1522" s="75">
        <v>0</v>
      </c>
      <c r="O1522" s="75">
        <v>0</v>
      </c>
      <c r="P1522" s="75">
        <v>7.74</v>
      </c>
      <c r="Q1522" s="78">
        <v>0</v>
      </c>
      <c r="R1522" s="75">
        <v>0</v>
      </c>
      <c r="S1522" s="75">
        <v>1.6</v>
      </c>
      <c r="T1522" s="75">
        <f>STOCK[[#This Row],[Costo Unitario (USD)]]+STOCK[[#This Row],[Costo Envío (USD)]]+STOCK[[#This Row],[Comisión 10%]]</f>
        <v>11.14</v>
      </c>
      <c r="U1522" s="53">
        <f>STOCK[[#This Row],[Costo total]]*1.5</f>
        <v>16.71</v>
      </c>
      <c r="V1522" s="75">
        <v>18</v>
      </c>
      <c r="W1522" s="75">
        <f>STOCK[[#This Row],[Precio Final]]-STOCK[[#This Row],[Costo total]]</f>
        <v>6.8599999999999994</v>
      </c>
      <c r="X1522" s="75">
        <f>STOCK[[#This Row],[Ganancia Unitaria]]*STOCK[[#This Row],[Salidas]]</f>
        <v>0</v>
      </c>
      <c r="Y1522" s="75"/>
      <c r="Z1522" s="75"/>
      <c r="AA1522" s="54">
        <f>STOCK[[#This Row],[Costo total]]*STOCK[[#This Row],[Entradas]]</f>
        <v>11.14</v>
      </c>
      <c r="AB1522" s="54">
        <f>STOCK[[#This Row],[Stock Actual]]*STOCK[[#This Row],[Costo total]]</f>
        <v>11.14</v>
      </c>
      <c r="AC1522" s="75"/>
    </row>
    <row r="1523" spans="1:30" s="53" customFormat="1" ht="50" customHeight="1">
      <c r="A1523" s="53" t="s">
        <v>3032</v>
      </c>
      <c r="B1523" s="76"/>
      <c r="C1523" s="75" t="s">
        <v>32</v>
      </c>
      <c r="D1523" s="75" t="s">
        <v>1190</v>
      </c>
      <c r="E1523" s="77" t="s">
        <v>3030</v>
      </c>
      <c r="F1523" s="75" t="s">
        <v>46</v>
      </c>
      <c r="G1523" s="75"/>
      <c r="H1523" s="75">
        <f>STOCK[[#This Row],[Precio Final]]</f>
        <v>18</v>
      </c>
      <c r="I1523" s="80">
        <f>STOCK[[#This Row],[Precio Venta Ideal (x1.5)]]</f>
        <v>16.71</v>
      </c>
      <c r="J1523" s="78">
        <v>1</v>
      </c>
      <c r="K1523" s="78">
        <f>SUMIFS(VENTAS[Cantidad],VENTAS[Código del producto Vendido],STOCK[[#This Row],[Code]])</f>
        <v>0</v>
      </c>
      <c r="L1523" s="78">
        <f>STOCK[[#This Row],[Entradas]]-STOCK[[#This Row],[Salidas]]</f>
        <v>1</v>
      </c>
      <c r="M1523" s="75">
        <f>STOCK[[#This Row],[Precio Final]]*10%</f>
        <v>1.8</v>
      </c>
      <c r="N1523" s="75">
        <v>0</v>
      </c>
      <c r="O1523" s="75">
        <v>0</v>
      </c>
      <c r="P1523" s="75">
        <v>7.74</v>
      </c>
      <c r="Q1523" s="78">
        <v>0</v>
      </c>
      <c r="R1523" s="75">
        <v>0</v>
      </c>
      <c r="S1523" s="75">
        <v>1.6</v>
      </c>
      <c r="T1523" s="75">
        <f>STOCK[[#This Row],[Costo Unitario (USD)]]+STOCK[[#This Row],[Costo Envío (USD)]]+STOCK[[#This Row],[Comisión 10%]]</f>
        <v>11.14</v>
      </c>
      <c r="U1523" s="53">
        <f>STOCK[[#This Row],[Costo total]]*1.5</f>
        <v>16.71</v>
      </c>
      <c r="V1523" s="75">
        <v>18</v>
      </c>
      <c r="W1523" s="75">
        <f>STOCK[[#This Row],[Precio Final]]-STOCK[[#This Row],[Costo total]]</f>
        <v>6.8599999999999994</v>
      </c>
      <c r="X1523" s="75">
        <f>STOCK[[#This Row],[Ganancia Unitaria]]*STOCK[[#This Row],[Salidas]]</f>
        <v>0</v>
      </c>
      <c r="Y1523" s="75"/>
      <c r="Z1523" s="75"/>
      <c r="AA1523" s="54">
        <f>STOCK[[#This Row],[Costo total]]*STOCK[[#This Row],[Entradas]]</f>
        <v>11.14</v>
      </c>
      <c r="AB1523" s="54">
        <f>STOCK[[#This Row],[Stock Actual]]*STOCK[[#This Row],[Costo total]]</f>
        <v>11.14</v>
      </c>
      <c r="AC1523" s="75"/>
    </row>
    <row r="1524" spans="1:30" s="53" customFormat="1" ht="50" customHeight="1">
      <c r="A1524" s="53" t="s">
        <v>3033</v>
      </c>
      <c r="B1524" s="76"/>
      <c r="C1524" s="75" t="s">
        <v>32</v>
      </c>
      <c r="D1524" s="75" t="s">
        <v>1190</v>
      </c>
      <c r="E1524" s="77" t="s">
        <v>3034</v>
      </c>
      <c r="F1524" s="75" t="s">
        <v>62</v>
      </c>
      <c r="G1524" s="75"/>
      <c r="H1524" s="75">
        <f>STOCK[[#This Row],[Precio Final]]</f>
        <v>18</v>
      </c>
      <c r="I1524" s="80">
        <f>STOCK[[#This Row],[Precio Venta Ideal (x1.5)]]</f>
        <v>17.234999999999999</v>
      </c>
      <c r="J1524" s="78">
        <v>2</v>
      </c>
      <c r="K1524" s="78">
        <f>SUMIFS(VENTAS[Cantidad],VENTAS[Código del producto Vendido],STOCK[[#This Row],[Code]])</f>
        <v>0</v>
      </c>
      <c r="L1524" s="78">
        <f>STOCK[[#This Row],[Entradas]]-STOCK[[#This Row],[Salidas]]</f>
        <v>2</v>
      </c>
      <c r="M1524" s="75">
        <f>STOCK[[#This Row],[Precio Final]]*10%</f>
        <v>1.8</v>
      </c>
      <c r="N1524" s="75">
        <v>0</v>
      </c>
      <c r="O1524" s="75">
        <v>0</v>
      </c>
      <c r="P1524" s="75">
        <v>8.09</v>
      </c>
      <c r="Q1524" s="78">
        <v>0</v>
      </c>
      <c r="R1524" s="75">
        <v>0</v>
      </c>
      <c r="S1524" s="75">
        <v>1.6</v>
      </c>
      <c r="T1524" s="75">
        <f>STOCK[[#This Row],[Costo Unitario (USD)]]+STOCK[[#This Row],[Costo Envío (USD)]]+STOCK[[#This Row],[Comisión 10%]]</f>
        <v>11.49</v>
      </c>
      <c r="U1524" s="53">
        <f>STOCK[[#This Row],[Costo total]]*1.5</f>
        <v>17.234999999999999</v>
      </c>
      <c r="V1524" s="75">
        <v>18</v>
      </c>
      <c r="W1524" s="75">
        <f>STOCK[[#This Row],[Precio Final]]-STOCK[[#This Row],[Costo total]]</f>
        <v>6.51</v>
      </c>
      <c r="X1524" s="75">
        <f>STOCK[[#This Row],[Ganancia Unitaria]]*STOCK[[#This Row],[Salidas]]</f>
        <v>0</v>
      </c>
      <c r="Y1524" s="75"/>
      <c r="Z1524" s="75"/>
      <c r="AA1524" s="54">
        <f>STOCK[[#This Row],[Costo total]]*STOCK[[#This Row],[Entradas]]</f>
        <v>22.98</v>
      </c>
      <c r="AB1524" s="54">
        <f>STOCK[[#This Row],[Stock Actual]]*STOCK[[#This Row],[Costo total]]</f>
        <v>22.98</v>
      </c>
      <c r="AC1524" s="75"/>
    </row>
    <row r="1525" spans="1:30" s="53" customFormat="1" ht="50" customHeight="1">
      <c r="A1525" s="53" t="s">
        <v>3035</v>
      </c>
      <c r="B1525" s="76"/>
      <c r="C1525" s="75" t="s">
        <v>32</v>
      </c>
      <c r="D1525" s="75" t="s">
        <v>1190</v>
      </c>
      <c r="E1525" s="77" t="s">
        <v>3034</v>
      </c>
      <c r="F1525" s="75" t="s">
        <v>49</v>
      </c>
      <c r="G1525" s="75"/>
      <c r="H1525" s="75">
        <f>STOCK[[#This Row],[Precio Final]]</f>
        <v>18</v>
      </c>
      <c r="I1525" s="80">
        <f>STOCK[[#This Row],[Precio Venta Ideal (x1.5)]]</f>
        <v>17.234999999999999</v>
      </c>
      <c r="J1525" s="78">
        <v>2</v>
      </c>
      <c r="K1525" s="78">
        <f>SUMIFS(VENTAS[Cantidad],VENTAS[Código del producto Vendido],STOCK[[#This Row],[Code]])</f>
        <v>0</v>
      </c>
      <c r="L1525" s="78">
        <f>STOCK[[#This Row],[Entradas]]-STOCK[[#This Row],[Salidas]]</f>
        <v>2</v>
      </c>
      <c r="M1525" s="75">
        <f>STOCK[[#This Row],[Precio Final]]*10%</f>
        <v>1.8</v>
      </c>
      <c r="N1525" s="75">
        <v>0</v>
      </c>
      <c r="O1525" s="75">
        <v>0</v>
      </c>
      <c r="P1525" s="75">
        <v>8.09</v>
      </c>
      <c r="Q1525" s="78">
        <v>0</v>
      </c>
      <c r="R1525" s="75">
        <v>0</v>
      </c>
      <c r="S1525" s="75">
        <v>1.6</v>
      </c>
      <c r="T1525" s="75">
        <f>STOCK[[#This Row],[Costo Unitario (USD)]]+STOCK[[#This Row],[Costo Envío (USD)]]+STOCK[[#This Row],[Comisión 10%]]</f>
        <v>11.49</v>
      </c>
      <c r="U1525" s="53">
        <f>STOCK[[#This Row],[Costo total]]*1.5</f>
        <v>17.234999999999999</v>
      </c>
      <c r="V1525" s="75">
        <v>18</v>
      </c>
      <c r="W1525" s="75">
        <f>STOCK[[#This Row],[Precio Final]]-STOCK[[#This Row],[Costo total]]</f>
        <v>6.51</v>
      </c>
      <c r="X1525" s="75">
        <f>STOCK[[#This Row],[Ganancia Unitaria]]*STOCK[[#This Row],[Salidas]]</f>
        <v>0</v>
      </c>
      <c r="Y1525" s="75"/>
      <c r="Z1525" s="75"/>
      <c r="AA1525" s="54">
        <f>STOCK[[#This Row],[Costo total]]*STOCK[[#This Row],[Entradas]]</f>
        <v>22.98</v>
      </c>
      <c r="AB1525" s="54">
        <f>STOCK[[#This Row],[Stock Actual]]*STOCK[[#This Row],[Costo total]]</f>
        <v>22.98</v>
      </c>
      <c r="AC1525" s="75"/>
    </row>
    <row r="1526" spans="1:30" s="53" customFormat="1" ht="50" customHeight="1">
      <c r="A1526" s="53" t="s">
        <v>3036</v>
      </c>
      <c r="B1526" s="76"/>
      <c r="C1526" s="75" t="s">
        <v>32</v>
      </c>
      <c r="D1526" s="75" t="s">
        <v>1190</v>
      </c>
      <c r="E1526" s="77" t="s">
        <v>3034</v>
      </c>
      <c r="F1526" s="75" t="s">
        <v>46</v>
      </c>
      <c r="G1526" s="75"/>
      <c r="H1526" s="75">
        <f>STOCK[[#This Row],[Precio Final]]</f>
        <v>18</v>
      </c>
      <c r="I1526" s="80">
        <f>STOCK[[#This Row],[Precio Venta Ideal (x1.5)]]</f>
        <v>17.234999999999999</v>
      </c>
      <c r="J1526" s="78">
        <v>2</v>
      </c>
      <c r="K1526" s="78">
        <f>SUMIFS(VENTAS[Cantidad],VENTAS[Código del producto Vendido],STOCK[[#This Row],[Code]])</f>
        <v>0</v>
      </c>
      <c r="L1526" s="78">
        <f>STOCK[[#This Row],[Entradas]]-STOCK[[#This Row],[Salidas]]</f>
        <v>2</v>
      </c>
      <c r="M1526" s="75">
        <f>STOCK[[#This Row],[Precio Final]]*10%</f>
        <v>1.8</v>
      </c>
      <c r="N1526" s="75">
        <v>0</v>
      </c>
      <c r="O1526" s="75">
        <v>0</v>
      </c>
      <c r="P1526" s="75">
        <v>8.09</v>
      </c>
      <c r="Q1526" s="78">
        <v>0</v>
      </c>
      <c r="R1526" s="75">
        <v>0</v>
      </c>
      <c r="S1526" s="75">
        <v>1.6</v>
      </c>
      <c r="T1526" s="75">
        <f>STOCK[[#This Row],[Costo Unitario (USD)]]+STOCK[[#This Row],[Costo Envío (USD)]]+STOCK[[#This Row],[Comisión 10%]]</f>
        <v>11.49</v>
      </c>
      <c r="U1526" s="53">
        <f>STOCK[[#This Row],[Costo total]]*1.5</f>
        <v>17.234999999999999</v>
      </c>
      <c r="V1526" s="75">
        <v>18</v>
      </c>
      <c r="W1526" s="75">
        <f>STOCK[[#This Row],[Precio Final]]-STOCK[[#This Row],[Costo total]]</f>
        <v>6.51</v>
      </c>
      <c r="X1526" s="75">
        <f>STOCK[[#This Row],[Ganancia Unitaria]]*STOCK[[#This Row],[Salidas]]</f>
        <v>0</v>
      </c>
      <c r="Y1526" s="75"/>
      <c r="Z1526" s="75"/>
      <c r="AA1526" s="54">
        <f>STOCK[[#This Row],[Costo total]]*STOCK[[#This Row],[Entradas]]</f>
        <v>22.98</v>
      </c>
      <c r="AB1526" s="54">
        <f>STOCK[[#This Row],[Stock Actual]]*STOCK[[#This Row],[Costo total]]</f>
        <v>22.98</v>
      </c>
      <c r="AC1526" s="75"/>
    </row>
    <row r="1527" spans="1:30" s="53" customFormat="1" ht="50" customHeight="1">
      <c r="A1527" s="53" t="s">
        <v>3037</v>
      </c>
      <c r="B1527" s="76"/>
      <c r="C1527" s="75" t="s">
        <v>32</v>
      </c>
      <c r="D1527" s="75" t="s">
        <v>1190</v>
      </c>
      <c r="E1527" s="77" t="s">
        <v>3038</v>
      </c>
      <c r="F1527" s="75" t="s">
        <v>62</v>
      </c>
      <c r="G1527" s="75"/>
      <c r="H1527" s="75">
        <f>STOCK[[#This Row],[Precio Final]]</f>
        <v>18</v>
      </c>
      <c r="I1527" s="80">
        <f>STOCK[[#This Row],[Precio Venta Ideal (x1.5)]]</f>
        <v>17.22</v>
      </c>
      <c r="J1527" s="78">
        <v>2</v>
      </c>
      <c r="K1527" s="78">
        <f>SUMIFS(VENTAS[Cantidad],VENTAS[Código del producto Vendido],STOCK[[#This Row],[Code]])</f>
        <v>0</v>
      </c>
      <c r="L1527" s="78">
        <f>STOCK[[#This Row],[Entradas]]-STOCK[[#This Row],[Salidas]]</f>
        <v>2</v>
      </c>
      <c r="M1527" s="75">
        <f>STOCK[[#This Row],[Precio Final]]*10%</f>
        <v>1.8</v>
      </c>
      <c r="N1527" s="75">
        <v>0</v>
      </c>
      <c r="O1527" s="75">
        <v>0</v>
      </c>
      <c r="P1527" s="75">
        <v>8.08</v>
      </c>
      <c r="Q1527" s="78">
        <v>0</v>
      </c>
      <c r="R1527" s="75">
        <v>0</v>
      </c>
      <c r="S1527" s="75">
        <v>1.6</v>
      </c>
      <c r="T1527" s="75">
        <f>STOCK[[#This Row],[Costo Unitario (USD)]]+STOCK[[#This Row],[Costo Envío (USD)]]+STOCK[[#This Row],[Comisión 10%]]</f>
        <v>11.48</v>
      </c>
      <c r="U1527" s="53">
        <f>STOCK[[#This Row],[Costo total]]*1.5</f>
        <v>17.22</v>
      </c>
      <c r="V1527" s="75">
        <v>18</v>
      </c>
      <c r="W1527" s="75">
        <f>STOCK[[#This Row],[Precio Final]]-STOCK[[#This Row],[Costo total]]</f>
        <v>6.52</v>
      </c>
      <c r="X1527" s="75">
        <f>STOCK[[#This Row],[Ganancia Unitaria]]*STOCK[[#This Row],[Salidas]]</f>
        <v>0</v>
      </c>
      <c r="Y1527" s="75"/>
      <c r="Z1527" s="75"/>
      <c r="AA1527" s="54">
        <f>STOCK[[#This Row],[Costo total]]*STOCK[[#This Row],[Entradas]]</f>
        <v>22.96</v>
      </c>
      <c r="AB1527" s="54">
        <f>STOCK[[#This Row],[Stock Actual]]*STOCK[[#This Row],[Costo total]]</f>
        <v>22.96</v>
      </c>
      <c r="AC1527" s="75"/>
    </row>
    <row r="1528" spans="1:30" s="53" customFormat="1" ht="50" customHeight="1">
      <c r="A1528" s="53" t="s">
        <v>3039</v>
      </c>
      <c r="B1528" s="76"/>
      <c r="C1528" s="75" t="s">
        <v>32</v>
      </c>
      <c r="D1528" s="75" t="s">
        <v>1190</v>
      </c>
      <c r="E1528" s="77" t="s">
        <v>3038</v>
      </c>
      <c r="F1528" s="75" t="s">
        <v>49</v>
      </c>
      <c r="G1528" s="75"/>
      <c r="H1528" s="75">
        <f>STOCK[[#This Row],[Precio Final]]</f>
        <v>18</v>
      </c>
      <c r="I1528" s="80">
        <f>STOCK[[#This Row],[Precio Venta Ideal (x1.5)]]</f>
        <v>17.22</v>
      </c>
      <c r="J1528" s="78">
        <v>2</v>
      </c>
      <c r="K1528" s="78">
        <f>SUMIFS(VENTAS[Cantidad],VENTAS[Código del producto Vendido],STOCK[[#This Row],[Code]])</f>
        <v>0</v>
      </c>
      <c r="L1528" s="78">
        <f>STOCK[[#This Row],[Entradas]]-STOCK[[#This Row],[Salidas]]</f>
        <v>2</v>
      </c>
      <c r="M1528" s="75">
        <f>STOCK[[#This Row],[Precio Final]]*10%</f>
        <v>1.8</v>
      </c>
      <c r="N1528" s="75">
        <v>0</v>
      </c>
      <c r="O1528" s="75">
        <v>0</v>
      </c>
      <c r="P1528" s="75">
        <v>8.08</v>
      </c>
      <c r="Q1528" s="78">
        <v>0</v>
      </c>
      <c r="R1528" s="75">
        <v>0</v>
      </c>
      <c r="S1528" s="75">
        <v>1.6</v>
      </c>
      <c r="T1528" s="75">
        <f>STOCK[[#This Row],[Costo Unitario (USD)]]+STOCK[[#This Row],[Costo Envío (USD)]]+STOCK[[#This Row],[Comisión 10%]]</f>
        <v>11.48</v>
      </c>
      <c r="U1528" s="53">
        <f>STOCK[[#This Row],[Costo total]]*1.5</f>
        <v>17.22</v>
      </c>
      <c r="V1528" s="75">
        <v>18</v>
      </c>
      <c r="W1528" s="75">
        <f>STOCK[[#This Row],[Precio Final]]-STOCK[[#This Row],[Costo total]]</f>
        <v>6.52</v>
      </c>
      <c r="X1528" s="75">
        <f>STOCK[[#This Row],[Ganancia Unitaria]]*STOCK[[#This Row],[Salidas]]</f>
        <v>0</v>
      </c>
      <c r="Y1528" s="75"/>
      <c r="Z1528" s="75"/>
      <c r="AA1528" s="54">
        <f>STOCK[[#This Row],[Costo total]]*STOCK[[#This Row],[Entradas]]</f>
        <v>22.96</v>
      </c>
      <c r="AB1528" s="54">
        <f>STOCK[[#This Row],[Stock Actual]]*STOCK[[#This Row],[Costo total]]</f>
        <v>22.96</v>
      </c>
      <c r="AC1528" s="75"/>
    </row>
    <row r="1529" spans="1:30" s="53" customFormat="1" ht="50" customHeight="1">
      <c r="A1529" s="53" t="s">
        <v>3040</v>
      </c>
      <c r="B1529" s="76"/>
      <c r="C1529" s="75" t="s">
        <v>32</v>
      </c>
      <c r="D1529" s="75" t="s">
        <v>1190</v>
      </c>
      <c r="E1529" s="77" t="s">
        <v>3038</v>
      </c>
      <c r="F1529" s="75" t="s">
        <v>46</v>
      </c>
      <c r="G1529" s="75"/>
      <c r="H1529" s="75">
        <f>STOCK[[#This Row],[Precio Final]]</f>
        <v>18</v>
      </c>
      <c r="I1529" s="80">
        <f>STOCK[[#This Row],[Precio Venta Ideal (x1.5)]]</f>
        <v>17.22</v>
      </c>
      <c r="J1529" s="78">
        <v>2</v>
      </c>
      <c r="K1529" s="78">
        <f>SUMIFS(VENTAS[Cantidad],VENTAS[Código del producto Vendido],STOCK[[#This Row],[Code]])</f>
        <v>1</v>
      </c>
      <c r="L1529" s="78">
        <f>STOCK[[#This Row],[Entradas]]-STOCK[[#This Row],[Salidas]]</f>
        <v>1</v>
      </c>
      <c r="M1529" s="75">
        <f>STOCK[[#This Row],[Precio Final]]*10%</f>
        <v>1.8</v>
      </c>
      <c r="N1529" s="75">
        <v>0</v>
      </c>
      <c r="O1529" s="75">
        <v>0</v>
      </c>
      <c r="P1529" s="75">
        <v>8.08</v>
      </c>
      <c r="Q1529" s="78">
        <v>0</v>
      </c>
      <c r="R1529" s="75">
        <v>0</v>
      </c>
      <c r="S1529" s="75">
        <v>1.6</v>
      </c>
      <c r="T1529" s="75">
        <f>STOCK[[#This Row],[Costo Unitario (USD)]]+STOCK[[#This Row],[Costo Envío (USD)]]+STOCK[[#This Row],[Comisión 10%]]</f>
        <v>11.48</v>
      </c>
      <c r="U1529" s="53">
        <f>STOCK[[#This Row],[Costo total]]*1.5</f>
        <v>17.22</v>
      </c>
      <c r="V1529" s="75">
        <v>18</v>
      </c>
      <c r="W1529" s="75">
        <f>STOCK[[#This Row],[Precio Final]]-STOCK[[#This Row],[Costo total]]</f>
        <v>6.52</v>
      </c>
      <c r="X1529" s="75">
        <f>STOCK[[#This Row],[Ganancia Unitaria]]*STOCK[[#This Row],[Salidas]]</f>
        <v>6.52</v>
      </c>
      <c r="Y1529" s="75"/>
      <c r="Z1529" s="75"/>
      <c r="AA1529" s="54">
        <f>STOCK[[#This Row],[Costo total]]*STOCK[[#This Row],[Entradas]]</f>
        <v>22.96</v>
      </c>
      <c r="AB1529" s="54">
        <f>STOCK[[#This Row],[Stock Actual]]*STOCK[[#This Row],[Costo total]]</f>
        <v>11.48</v>
      </c>
      <c r="AC1529" s="75"/>
    </row>
    <row r="1530" spans="1:30" s="53" customFormat="1" ht="50" customHeight="1">
      <c r="A1530" s="53" t="s">
        <v>3041</v>
      </c>
      <c r="B1530" s="76"/>
      <c r="C1530" s="75" t="s">
        <v>32</v>
      </c>
      <c r="D1530" s="75" t="s">
        <v>2134</v>
      </c>
      <c r="E1530" s="77" t="s">
        <v>3042</v>
      </c>
      <c r="F1530" s="75" t="s">
        <v>62</v>
      </c>
      <c r="G1530" s="75"/>
      <c r="H1530" s="75">
        <f>STOCK[[#This Row],[Precio Final]]</f>
        <v>30</v>
      </c>
      <c r="I1530" s="80">
        <f>STOCK[[#This Row],[Precio Venta Ideal (x1.5)]]</f>
        <v>21.164999999999999</v>
      </c>
      <c r="J1530" s="78">
        <v>1</v>
      </c>
      <c r="K1530" s="78">
        <f>SUMIFS(VENTAS[Cantidad],VENTAS[Código del producto Vendido],STOCK[[#This Row],[Code]])</f>
        <v>1</v>
      </c>
      <c r="L1530" s="78">
        <f>STOCK[[#This Row],[Entradas]]-STOCK[[#This Row],[Salidas]]</f>
        <v>0</v>
      </c>
      <c r="M1530" s="75">
        <f>STOCK[[#This Row],[Precio Final]]*10%</f>
        <v>3</v>
      </c>
      <c r="N1530" s="75">
        <v>0</v>
      </c>
      <c r="O1530" s="75">
        <v>0</v>
      </c>
      <c r="P1530" s="75">
        <v>9.51</v>
      </c>
      <c r="Q1530" s="78">
        <v>0</v>
      </c>
      <c r="R1530" s="75">
        <v>0</v>
      </c>
      <c r="S1530" s="75">
        <v>1.6</v>
      </c>
      <c r="T1530" s="75">
        <f>STOCK[[#This Row],[Costo Unitario (USD)]]+STOCK[[#This Row],[Costo Envío (USD)]]+STOCK[[#This Row],[Comisión 10%]]</f>
        <v>14.11</v>
      </c>
      <c r="U1530" s="53">
        <f>STOCK[[#This Row],[Costo total]]*1.5</f>
        <v>21.164999999999999</v>
      </c>
      <c r="V1530" s="75">
        <v>30</v>
      </c>
      <c r="W1530" s="75">
        <f>STOCK[[#This Row],[Precio Final]]-STOCK[[#This Row],[Costo total]]</f>
        <v>15.89</v>
      </c>
      <c r="X1530" s="75">
        <f>STOCK[[#This Row],[Ganancia Unitaria]]*STOCK[[#This Row],[Salidas]]</f>
        <v>15.89</v>
      </c>
      <c r="Y1530" s="75"/>
      <c r="Z1530" s="75"/>
      <c r="AA1530" s="54">
        <f>STOCK[[#This Row],[Costo total]]*STOCK[[#This Row],[Entradas]]</f>
        <v>14.11</v>
      </c>
      <c r="AB1530" s="54">
        <f>STOCK[[#This Row],[Stock Actual]]*STOCK[[#This Row],[Costo total]]</f>
        <v>0</v>
      </c>
      <c r="AC1530" s="75"/>
    </row>
    <row r="1531" spans="1:30" s="53" customFormat="1" ht="50" customHeight="1">
      <c r="A1531" s="53" t="s">
        <v>3043</v>
      </c>
      <c r="B1531" s="69" t="e" vm="1">
        <f ca="1">_xlfn.DISPIMG("ID_D1E073E4129E4171A9BB6D3B66D1B537",1)</f>
        <v>#NAME?</v>
      </c>
      <c r="C1531" s="53" t="s">
        <v>32</v>
      </c>
      <c r="D1531" s="53" t="s">
        <v>749</v>
      </c>
      <c r="E1531" s="65" t="s">
        <v>3044</v>
      </c>
      <c r="F1531" s="53" t="s">
        <v>1534</v>
      </c>
      <c r="H1531" s="75">
        <f>STOCK[[#This Row],[Precio Final]]</f>
        <v>28</v>
      </c>
      <c r="I1531" s="80">
        <f>STOCK[[#This Row],[Precio Venta Ideal (x1.5)]]</f>
        <v>19.200000000000003</v>
      </c>
      <c r="J1531" s="69">
        <v>2</v>
      </c>
      <c r="K1531" s="78">
        <f>SUMIFS(VENTAS[Cantidad],VENTAS[Código del producto Vendido],STOCK[[#This Row],[Code]])</f>
        <v>1</v>
      </c>
      <c r="L1531" s="78">
        <f>STOCK[[#This Row],[Entradas]]-STOCK[[#This Row],[Salidas]]</f>
        <v>1</v>
      </c>
      <c r="M1531" s="75">
        <f>STOCK[[#This Row],[Precio Final]]*10%</f>
        <v>2.8000000000000003</v>
      </c>
      <c r="N1531" s="53">
        <v>0</v>
      </c>
      <c r="O1531" s="75">
        <v>0</v>
      </c>
      <c r="P1531" s="53">
        <v>10</v>
      </c>
      <c r="Q1531" s="70">
        <v>0</v>
      </c>
      <c r="R1531" s="53">
        <v>0</v>
      </c>
      <c r="S1531" s="54">
        <v>0</v>
      </c>
      <c r="T1531" s="75">
        <f>STOCK[[#This Row],[Costo Unitario (USD)]]+STOCK[[#This Row],[Costo Envío (USD)]]+STOCK[[#This Row],[Comisión 10%]]</f>
        <v>12.8</v>
      </c>
      <c r="U1531" s="53">
        <f>STOCK[[#This Row],[Costo total]]*1.5</f>
        <v>19.200000000000003</v>
      </c>
      <c r="V1531" s="53">
        <v>28</v>
      </c>
      <c r="W1531" s="75">
        <f>STOCK[[#This Row],[Precio Final]]-STOCK[[#This Row],[Costo total]]</f>
        <v>15.2</v>
      </c>
      <c r="X1531" s="75">
        <f>STOCK[[#This Row],[Ganancia Unitaria]]*STOCK[[#This Row],[Salidas]]</f>
        <v>15.2</v>
      </c>
      <c r="Y1531" s="75"/>
      <c r="Z1531" s="75"/>
      <c r="AA1531" s="54">
        <f>STOCK[[#This Row],[Costo total]]*STOCK[[#This Row],[Entradas]]</f>
        <v>25.6</v>
      </c>
      <c r="AB1531" s="54">
        <f>STOCK[[#This Row],[Stock Actual]]*STOCK[[#This Row],[Costo total]]</f>
        <v>12.8</v>
      </c>
      <c r="AC1531" s="75"/>
      <c r="AD1531" s="82"/>
    </row>
    <row r="1532" spans="1:30" s="53" customFormat="1" ht="50" customHeight="1">
      <c r="A1532" s="53" t="s">
        <v>3045</v>
      </c>
      <c r="B1532" s="69" t="e" vm="1">
        <f ca="1">_xlfn.DISPIMG("ID_AC221203CCA54983BF820E257DAA06D8",1)</f>
        <v>#NAME?</v>
      </c>
      <c r="C1532" s="53" t="s">
        <v>32</v>
      </c>
      <c r="D1532" s="53" t="s">
        <v>749</v>
      </c>
      <c r="E1532" s="65" t="s">
        <v>3046</v>
      </c>
      <c r="F1532" s="53" t="s">
        <v>1534</v>
      </c>
      <c r="H1532" s="75">
        <f>STOCK[[#This Row],[Precio Final]]</f>
        <v>22</v>
      </c>
      <c r="I1532" s="80">
        <f>STOCK[[#This Row],[Precio Venta Ideal (x1.5)]]</f>
        <v>18.299999999999997</v>
      </c>
      <c r="J1532" s="69">
        <v>1</v>
      </c>
      <c r="K1532" s="78">
        <f>SUMIFS(VENTAS[Cantidad],VENTAS[Código del producto Vendido],STOCK[[#This Row],[Code]])</f>
        <v>1</v>
      </c>
      <c r="L1532" s="78">
        <f>STOCK[[#This Row],[Entradas]]-STOCK[[#This Row],[Salidas]]</f>
        <v>0</v>
      </c>
      <c r="M1532" s="75">
        <f>STOCK[[#This Row],[Precio Final]]*10%</f>
        <v>2.2000000000000002</v>
      </c>
      <c r="N1532" s="54">
        <v>0</v>
      </c>
      <c r="O1532" s="75">
        <v>0</v>
      </c>
      <c r="P1532" s="53">
        <v>10</v>
      </c>
      <c r="Q1532" s="69">
        <v>0</v>
      </c>
      <c r="R1532" s="54">
        <v>0</v>
      </c>
      <c r="S1532" s="53">
        <v>0</v>
      </c>
      <c r="T1532" s="75">
        <f>STOCK[[#This Row],[Costo Unitario (USD)]]+STOCK[[#This Row],[Costo Envío (USD)]]+STOCK[[#This Row],[Comisión 10%]]</f>
        <v>12.2</v>
      </c>
      <c r="U1532" s="53">
        <f>STOCK[[#This Row],[Costo total]]*1.5</f>
        <v>18.299999999999997</v>
      </c>
      <c r="V1532" s="53">
        <v>22</v>
      </c>
      <c r="W1532" s="75">
        <f>STOCK[[#This Row],[Precio Final]]-STOCK[[#This Row],[Costo total]]</f>
        <v>9.8000000000000007</v>
      </c>
      <c r="X1532" s="75">
        <f>STOCK[[#This Row],[Ganancia Unitaria]]*STOCK[[#This Row],[Salidas]]</f>
        <v>9.8000000000000007</v>
      </c>
      <c r="Y1532" s="75"/>
      <c r="Z1532" s="75"/>
      <c r="AA1532" s="54">
        <f>STOCK[[#This Row],[Costo total]]*STOCK[[#This Row],[Entradas]]</f>
        <v>12.2</v>
      </c>
      <c r="AB1532" s="54">
        <f>STOCK[[#This Row],[Stock Actual]]*STOCK[[#This Row],[Costo total]]</f>
        <v>0</v>
      </c>
      <c r="AC1532" s="75"/>
      <c r="AD1532" s="82"/>
    </row>
    <row r="1533" spans="1:30" s="53" customFormat="1" ht="50" customHeight="1">
      <c r="A1533" s="53" t="s">
        <v>3047</v>
      </c>
      <c r="B1533" s="69" t="e" vm="1">
        <f ca="1">_xlfn.DISPIMG("ID_993DE42165354B1EA401FCCCF2F045B5",1)</f>
        <v>#NAME?</v>
      </c>
      <c r="C1533" s="53" t="s">
        <v>32</v>
      </c>
      <c r="D1533" s="53" t="s">
        <v>749</v>
      </c>
      <c r="E1533" s="65" t="s">
        <v>3048</v>
      </c>
      <c r="F1533" s="53" t="s">
        <v>1534</v>
      </c>
      <c r="H1533" s="75">
        <f>STOCK[[#This Row],[Precio Final]]</f>
        <v>22</v>
      </c>
      <c r="I1533" s="80">
        <f>STOCK[[#This Row],[Precio Venta Ideal (x1.5)]]</f>
        <v>18.299999999999997</v>
      </c>
      <c r="J1533" s="69">
        <v>1</v>
      </c>
      <c r="K1533" s="78">
        <f>SUMIFS(VENTAS[Cantidad],VENTAS[Código del producto Vendido],STOCK[[#This Row],[Code]])</f>
        <v>0</v>
      </c>
      <c r="L1533" s="78">
        <f>STOCK[[#This Row],[Entradas]]-STOCK[[#This Row],[Salidas]]</f>
        <v>1</v>
      </c>
      <c r="M1533" s="75">
        <f>STOCK[[#This Row],[Precio Final]]*10%</f>
        <v>2.2000000000000002</v>
      </c>
      <c r="N1533" s="54">
        <v>0</v>
      </c>
      <c r="O1533" s="75">
        <v>0</v>
      </c>
      <c r="P1533" s="53">
        <v>10</v>
      </c>
      <c r="Q1533" s="69">
        <v>0</v>
      </c>
      <c r="R1533" s="53">
        <v>0</v>
      </c>
      <c r="S1533" s="54">
        <v>0</v>
      </c>
      <c r="T1533" s="75">
        <f>STOCK[[#This Row],[Costo Unitario (USD)]]+STOCK[[#This Row],[Costo Envío (USD)]]+STOCK[[#This Row],[Comisión 10%]]</f>
        <v>12.2</v>
      </c>
      <c r="U1533" s="53">
        <f>STOCK[[#This Row],[Costo total]]*1.5</f>
        <v>18.299999999999997</v>
      </c>
      <c r="V1533" s="53">
        <v>22</v>
      </c>
      <c r="W1533" s="75">
        <f>STOCK[[#This Row],[Precio Final]]-STOCK[[#This Row],[Costo total]]</f>
        <v>9.8000000000000007</v>
      </c>
      <c r="X1533" s="75">
        <f>STOCK[[#This Row],[Ganancia Unitaria]]*STOCK[[#This Row],[Salidas]]</f>
        <v>0</v>
      </c>
      <c r="Y1533" s="75"/>
      <c r="Z1533" s="75"/>
      <c r="AA1533" s="54">
        <f>STOCK[[#This Row],[Costo total]]*STOCK[[#This Row],[Entradas]]</f>
        <v>12.2</v>
      </c>
      <c r="AB1533" s="54">
        <f>STOCK[[#This Row],[Stock Actual]]*STOCK[[#This Row],[Costo total]]</f>
        <v>12.2</v>
      </c>
      <c r="AC1533" s="75"/>
      <c r="AD1533" s="82"/>
    </row>
    <row r="1534" spans="1:30" s="53" customFormat="1" ht="50" customHeight="1">
      <c r="A1534" s="53" t="s">
        <v>3049</v>
      </c>
      <c r="B1534" s="69" t="e" vm="1">
        <f ca="1">_xlfn.DISPIMG("ID_0FF41747A0794EE98C5DCDF1FA378C04",1)</f>
        <v>#NAME?</v>
      </c>
      <c r="C1534" s="53" t="s">
        <v>32</v>
      </c>
      <c r="D1534" s="53" t="s">
        <v>749</v>
      </c>
      <c r="E1534" s="65" t="s">
        <v>3050</v>
      </c>
      <c r="F1534" s="53" t="s">
        <v>49</v>
      </c>
      <c r="H1534" s="75">
        <f>STOCK[[#This Row],[Precio Final]]</f>
        <v>28</v>
      </c>
      <c r="I1534" s="80">
        <f>STOCK[[#This Row],[Precio Venta Ideal (x1.5)]]</f>
        <v>19.200000000000003</v>
      </c>
      <c r="J1534" s="69">
        <v>1</v>
      </c>
      <c r="K1534" s="78">
        <f>SUMIFS(VENTAS[Cantidad],VENTAS[Código del producto Vendido],STOCK[[#This Row],[Code]])</f>
        <v>1</v>
      </c>
      <c r="L1534" s="78">
        <f>STOCK[[#This Row],[Entradas]]-STOCK[[#This Row],[Salidas]]</f>
        <v>0</v>
      </c>
      <c r="M1534" s="75">
        <f>STOCK[[#This Row],[Precio Final]]*10%</f>
        <v>2.8000000000000003</v>
      </c>
      <c r="N1534" s="53">
        <v>0</v>
      </c>
      <c r="O1534" s="75">
        <v>0</v>
      </c>
      <c r="P1534" s="53">
        <v>10</v>
      </c>
      <c r="Q1534" s="70">
        <v>0</v>
      </c>
      <c r="R1534" s="54">
        <v>0</v>
      </c>
      <c r="S1534" s="54">
        <v>0</v>
      </c>
      <c r="T1534" s="75">
        <f>STOCK[[#This Row],[Costo Unitario (USD)]]+STOCK[[#This Row],[Costo Envío (USD)]]+STOCK[[#This Row],[Comisión 10%]]</f>
        <v>12.8</v>
      </c>
      <c r="U1534" s="53">
        <f>STOCK[[#This Row],[Costo total]]*1.5</f>
        <v>19.200000000000003</v>
      </c>
      <c r="V1534" s="53">
        <v>28</v>
      </c>
      <c r="W1534" s="75">
        <f>STOCK[[#This Row],[Precio Final]]-STOCK[[#This Row],[Costo total]]</f>
        <v>15.2</v>
      </c>
      <c r="X1534" s="75">
        <f>STOCK[[#This Row],[Ganancia Unitaria]]*STOCK[[#This Row],[Salidas]]</f>
        <v>15.2</v>
      </c>
      <c r="Y1534" s="75"/>
      <c r="Z1534" s="75"/>
      <c r="AA1534" s="54">
        <f>STOCK[[#This Row],[Costo total]]*STOCK[[#This Row],[Entradas]]</f>
        <v>12.8</v>
      </c>
      <c r="AB1534" s="54">
        <f>STOCK[[#This Row],[Stock Actual]]*STOCK[[#This Row],[Costo total]]</f>
        <v>0</v>
      </c>
      <c r="AC1534" s="75"/>
      <c r="AD1534" s="82"/>
    </row>
    <row r="1535" spans="1:30" s="53" customFormat="1" ht="50" customHeight="1">
      <c r="A1535" s="53" t="s">
        <v>3051</v>
      </c>
      <c r="B1535" s="69" t="e" vm="1">
        <f ca="1">_xlfn.DISPIMG("ID_211C81173A9244828AAC5353B2385B31",1)</f>
        <v>#NAME?</v>
      </c>
      <c r="C1535" s="53" t="s">
        <v>32</v>
      </c>
      <c r="D1535" s="53" t="s">
        <v>749</v>
      </c>
      <c r="E1535" s="65" t="s">
        <v>3050</v>
      </c>
      <c r="F1535" s="53" t="s">
        <v>62</v>
      </c>
      <c r="H1535" s="75">
        <f>STOCK[[#This Row],[Precio Final]]</f>
        <v>28</v>
      </c>
      <c r="I1535" s="80">
        <f>STOCK[[#This Row],[Precio Venta Ideal (x1.5)]]</f>
        <v>19.200000000000003</v>
      </c>
      <c r="J1535" s="69">
        <v>1</v>
      </c>
      <c r="K1535" s="78">
        <f>SUMIFS(VENTAS[Cantidad],VENTAS[Código del producto Vendido],STOCK[[#This Row],[Code]])</f>
        <v>1</v>
      </c>
      <c r="L1535" s="78">
        <f>STOCK[[#This Row],[Entradas]]-STOCK[[#This Row],[Salidas]]</f>
        <v>0</v>
      </c>
      <c r="M1535" s="75">
        <f>STOCK[[#This Row],[Precio Final]]*10%</f>
        <v>2.8000000000000003</v>
      </c>
      <c r="N1535" s="54">
        <v>0</v>
      </c>
      <c r="O1535" s="75">
        <v>0</v>
      </c>
      <c r="P1535" s="53">
        <v>10</v>
      </c>
      <c r="Q1535" s="69">
        <v>0</v>
      </c>
      <c r="R1535" s="53">
        <v>0</v>
      </c>
      <c r="S1535" s="53">
        <v>0</v>
      </c>
      <c r="T1535" s="75">
        <f>STOCK[[#This Row],[Costo Unitario (USD)]]+STOCK[[#This Row],[Costo Envío (USD)]]+STOCK[[#This Row],[Comisión 10%]]</f>
        <v>12.8</v>
      </c>
      <c r="U1535" s="53">
        <f>STOCK[[#This Row],[Costo total]]*1.5</f>
        <v>19.200000000000003</v>
      </c>
      <c r="V1535" s="53">
        <v>28</v>
      </c>
      <c r="W1535" s="75">
        <f>STOCK[[#This Row],[Precio Final]]-STOCK[[#This Row],[Costo total]]</f>
        <v>15.2</v>
      </c>
      <c r="X1535" s="75">
        <f>STOCK[[#This Row],[Ganancia Unitaria]]*STOCK[[#This Row],[Salidas]]</f>
        <v>15.2</v>
      </c>
      <c r="Y1535" s="75"/>
      <c r="Z1535" s="75"/>
      <c r="AA1535" s="54">
        <f>STOCK[[#This Row],[Costo total]]*STOCK[[#This Row],[Entradas]]</f>
        <v>12.8</v>
      </c>
      <c r="AB1535" s="54">
        <f>STOCK[[#This Row],[Stock Actual]]*STOCK[[#This Row],[Costo total]]</f>
        <v>0</v>
      </c>
      <c r="AC1535" s="75"/>
      <c r="AD1535" s="82"/>
    </row>
    <row r="1536" spans="1:30" s="53" customFormat="1" ht="50" customHeight="1">
      <c r="A1536" s="53" t="s">
        <v>3052</v>
      </c>
      <c r="B1536" s="69" t="e" vm="1">
        <f ca="1">_xlfn.DISPIMG("ID_CEC879C0EFD145C5A9BB614C361D7625",1)</f>
        <v>#NAME?</v>
      </c>
      <c r="C1536" s="53" t="s">
        <v>32</v>
      </c>
      <c r="D1536" s="53" t="s">
        <v>749</v>
      </c>
      <c r="E1536" s="65" t="s">
        <v>3053</v>
      </c>
      <c r="F1536" s="53" t="s">
        <v>1534</v>
      </c>
      <c r="H1536" s="75">
        <f>STOCK[[#This Row],[Precio Final]]</f>
        <v>25</v>
      </c>
      <c r="I1536" s="80">
        <f>STOCK[[#This Row],[Precio Venta Ideal (x1.5)]]</f>
        <v>18.75</v>
      </c>
      <c r="J1536" s="69">
        <v>1</v>
      </c>
      <c r="K1536" s="78">
        <f>SUMIFS(VENTAS[Cantidad],VENTAS[Código del producto Vendido],STOCK[[#This Row],[Code]])</f>
        <v>0</v>
      </c>
      <c r="L1536" s="78">
        <f>STOCK[[#This Row],[Entradas]]-STOCK[[#This Row],[Salidas]]</f>
        <v>1</v>
      </c>
      <c r="M1536" s="75">
        <f>STOCK[[#This Row],[Precio Final]]*10%</f>
        <v>2.5</v>
      </c>
      <c r="N1536" s="53">
        <v>0</v>
      </c>
      <c r="O1536" s="75">
        <v>0</v>
      </c>
      <c r="P1536" s="53">
        <v>10</v>
      </c>
      <c r="Q1536" s="69">
        <v>0</v>
      </c>
      <c r="R1536" s="54">
        <v>0</v>
      </c>
      <c r="S1536" s="54">
        <v>0</v>
      </c>
      <c r="T1536" s="75">
        <f>STOCK[[#This Row],[Costo Unitario (USD)]]+STOCK[[#This Row],[Costo Envío (USD)]]+STOCK[[#This Row],[Comisión 10%]]</f>
        <v>12.5</v>
      </c>
      <c r="U1536" s="53">
        <f>STOCK[[#This Row],[Costo total]]*1.5</f>
        <v>18.75</v>
      </c>
      <c r="V1536" s="53">
        <v>25</v>
      </c>
      <c r="W1536" s="75">
        <f>STOCK[[#This Row],[Precio Final]]-STOCK[[#This Row],[Costo total]]</f>
        <v>12.5</v>
      </c>
      <c r="X1536" s="75">
        <f>STOCK[[#This Row],[Ganancia Unitaria]]*STOCK[[#This Row],[Salidas]]</f>
        <v>0</v>
      </c>
      <c r="Y1536" s="75"/>
      <c r="Z1536" s="75"/>
      <c r="AA1536" s="54">
        <f>STOCK[[#This Row],[Costo total]]*STOCK[[#This Row],[Entradas]]</f>
        <v>12.5</v>
      </c>
      <c r="AB1536" s="54">
        <f>STOCK[[#This Row],[Stock Actual]]*STOCK[[#This Row],[Costo total]]</f>
        <v>12.5</v>
      </c>
      <c r="AC1536" s="75"/>
      <c r="AD1536" s="82"/>
    </row>
    <row r="1537" spans="1:30" s="53" customFormat="1" ht="50" customHeight="1">
      <c r="A1537" s="53" t="s">
        <v>3054</v>
      </c>
      <c r="B1537" s="69" t="e" vm="1">
        <f ca="1">_xlfn.DISPIMG("ID_77562D2FB091404BBDC136380EDDC670",1)</f>
        <v>#NAME?</v>
      </c>
      <c r="C1537" s="53" t="s">
        <v>32</v>
      </c>
      <c r="D1537" s="53" t="s">
        <v>749</v>
      </c>
      <c r="E1537" s="65" t="s">
        <v>3055</v>
      </c>
      <c r="F1537" s="53" t="s">
        <v>42</v>
      </c>
      <c r="H1537" s="75">
        <f>STOCK[[#This Row],[Precio Final]]</f>
        <v>22</v>
      </c>
      <c r="I1537" s="80">
        <f>STOCK[[#This Row],[Precio Venta Ideal (x1.5)]]</f>
        <v>18.299999999999997</v>
      </c>
      <c r="J1537" s="69">
        <v>2</v>
      </c>
      <c r="K1537" s="78">
        <f>SUMIFS(VENTAS[Cantidad],VENTAS[Código del producto Vendido],STOCK[[#This Row],[Code]])</f>
        <v>0</v>
      </c>
      <c r="L1537" s="78">
        <f>STOCK[[#This Row],[Entradas]]-STOCK[[#This Row],[Salidas]]</f>
        <v>2</v>
      </c>
      <c r="M1537" s="75">
        <f>STOCK[[#This Row],[Precio Final]]*10%</f>
        <v>2.2000000000000002</v>
      </c>
      <c r="N1537" s="54">
        <v>0</v>
      </c>
      <c r="O1537" s="75">
        <v>0</v>
      </c>
      <c r="P1537" s="53">
        <v>10</v>
      </c>
      <c r="Q1537" s="70">
        <v>0</v>
      </c>
      <c r="R1537" s="53">
        <v>0</v>
      </c>
      <c r="S1537" s="54">
        <v>0</v>
      </c>
      <c r="T1537" s="75">
        <f>STOCK[[#This Row],[Costo Unitario (USD)]]+STOCK[[#This Row],[Costo Envío (USD)]]+STOCK[[#This Row],[Comisión 10%]]</f>
        <v>12.2</v>
      </c>
      <c r="U1537" s="53">
        <f>STOCK[[#This Row],[Costo total]]*1.5</f>
        <v>18.299999999999997</v>
      </c>
      <c r="V1537" s="53">
        <v>22</v>
      </c>
      <c r="W1537" s="75">
        <f>STOCK[[#This Row],[Precio Final]]-STOCK[[#This Row],[Costo total]]</f>
        <v>9.8000000000000007</v>
      </c>
      <c r="X1537" s="75">
        <f>STOCK[[#This Row],[Ganancia Unitaria]]*STOCK[[#This Row],[Salidas]]</f>
        <v>0</v>
      </c>
      <c r="Y1537" s="75"/>
      <c r="Z1537" s="75"/>
      <c r="AA1537" s="54">
        <f>STOCK[[#This Row],[Costo total]]*STOCK[[#This Row],[Entradas]]</f>
        <v>24.4</v>
      </c>
      <c r="AB1537" s="54">
        <f>STOCK[[#This Row],[Stock Actual]]*STOCK[[#This Row],[Costo total]]</f>
        <v>24.4</v>
      </c>
      <c r="AC1537" s="75"/>
      <c r="AD1537" s="82"/>
    </row>
    <row r="1538" spans="1:30" s="53" customFormat="1" ht="50" customHeight="1">
      <c r="A1538" s="53" t="s">
        <v>3056</v>
      </c>
      <c r="B1538" s="69" t="e" vm="1">
        <f ca="1">_xlfn.DISPIMG("ID_95BDB41B40814921ADDFD45140CB4D91",1)</f>
        <v>#NAME?</v>
      </c>
      <c r="C1538" s="53" t="s">
        <v>32</v>
      </c>
      <c r="D1538" s="53" t="s">
        <v>749</v>
      </c>
      <c r="E1538" s="65" t="s">
        <v>3055</v>
      </c>
      <c r="F1538" s="53" t="s">
        <v>46</v>
      </c>
      <c r="H1538" s="75">
        <f>STOCK[[#This Row],[Precio Final]]</f>
        <v>22</v>
      </c>
      <c r="I1538" s="80">
        <f>STOCK[[#This Row],[Precio Venta Ideal (x1.5)]]</f>
        <v>18.299999999999997</v>
      </c>
      <c r="J1538" s="69">
        <v>1</v>
      </c>
      <c r="K1538" s="78">
        <f>SUMIFS(VENTAS[Cantidad],VENTAS[Código del producto Vendido],STOCK[[#This Row],[Code]])</f>
        <v>1</v>
      </c>
      <c r="L1538" s="78">
        <f>STOCK[[#This Row],[Entradas]]-STOCK[[#This Row],[Salidas]]</f>
        <v>0</v>
      </c>
      <c r="M1538" s="75">
        <f>STOCK[[#This Row],[Precio Final]]*10%</f>
        <v>2.2000000000000002</v>
      </c>
      <c r="N1538" s="54">
        <v>0</v>
      </c>
      <c r="O1538" s="75">
        <v>0</v>
      </c>
      <c r="P1538" s="53">
        <v>10</v>
      </c>
      <c r="Q1538" s="69">
        <v>0</v>
      </c>
      <c r="R1538" s="54">
        <v>0</v>
      </c>
      <c r="S1538" s="53">
        <v>0</v>
      </c>
      <c r="T1538" s="75">
        <f>STOCK[[#This Row],[Costo Unitario (USD)]]+STOCK[[#This Row],[Costo Envío (USD)]]+STOCK[[#This Row],[Comisión 10%]]</f>
        <v>12.2</v>
      </c>
      <c r="U1538" s="53">
        <f>STOCK[[#This Row],[Costo total]]*1.5</f>
        <v>18.299999999999997</v>
      </c>
      <c r="V1538" s="53">
        <v>22</v>
      </c>
      <c r="W1538" s="75">
        <f>STOCK[[#This Row],[Precio Final]]-STOCK[[#This Row],[Costo total]]</f>
        <v>9.8000000000000007</v>
      </c>
      <c r="X1538" s="75">
        <f>STOCK[[#This Row],[Ganancia Unitaria]]*STOCK[[#This Row],[Salidas]]</f>
        <v>9.8000000000000007</v>
      </c>
      <c r="Y1538" s="75"/>
      <c r="Z1538" s="75"/>
      <c r="AA1538" s="54">
        <f>STOCK[[#This Row],[Costo total]]*STOCK[[#This Row],[Entradas]]</f>
        <v>12.2</v>
      </c>
      <c r="AB1538" s="54">
        <f>STOCK[[#This Row],[Stock Actual]]*STOCK[[#This Row],[Costo total]]</f>
        <v>0</v>
      </c>
      <c r="AC1538" s="75"/>
      <c r="AD1538" s="82"/>
    </row>
    <row r="1539" spans="1:30" s="53" customFormat="1" ht="50" customHeight="1">
      <c r="A1539" s="53" t="s">
        <v>3057</v>
      </c>
      <c r="B1539" s="69" t="e" vm="1">
        <f ca="1">_xlfn.DISPIMG("ID_155C3A022F474F2A990DD77E86CB57AD",1)</f>
        <v>#NAME?</v>
      </c>
      <c r="C1539" s="53" t="s">
        <v>32</v>
      </c>
      <c r="D1539" s="53" t="s">
        <v>749</v>
      </c>
      <c r="E1539" s="65" t="s">
        <v>3053</v>
      </c>
      <c r="F1539" s="53" t="s">
        <v>49</v>
      </c>
      <c r="H1539" s="75">
        <f>STOCK[[#This Row],[Precio Final]]</f>
        <v>25</v>
      </c>
      <c r="I1539" s="80">
        <f>STOCK[[#This Row],[Precio Venta Ideal (x1.5)]]</f>
        <v>18.75</v>
      </c>
      <c r="J1539" s="69">
        <v>1</v>
      </c>
      <c r="K1539" s="78">
        <f>SUMIFS(VENTAS[Cantidad],VENTAS[Código del producto Vendido],STOCK[[#This Row],[Code]])</f>
        <v>0</v>
      </c>
      <c r="L1539" s="78">
        <f>STOCK[[#This Row],[Entradas]]-STOCK[[#This Row],[Salidas]]</f>
        <v>1</v>
      </c>
      <c r="M1539" s="75">
        <f>STOCK[[#This Row],[Precio Final]]*10%</f>
        <v>2.5</v>
      </c>
      <c r="N1539" s="53">
        <v>0</v>
      </c>
      <c r="O1539" s="75">
        <v>0</v>
      </c>
      <c r="P1539" s="53">
        <v>10</v>
      </c>
      <c r="Q1539" s="69">
        <v>0</v>
      </c>
      <c r="R1539" s="53">
        <v>0</v>
      </c>
      <c r="S1539" s="54">
        <v>0</v>
      </c>
      <c r="T1539" s="75">
        <f>STOCK[[#This Row],[Costo Unitario (USD)]]+STOCK[[#This Row],[Costo Envío (USD)]]+STOCK[[#This Row],[Comisión 10%]]</f>
        <v>12.5</v>
      </c>
      <c r="U1539" s="53">
        <f>STOCK[[#This Row],[Costo total]]*1.5</f>
        <v>18.75</v>
      </c>
      <c r="V1539" s="53">
        <v>25</v>
      </c>
      <c r="W1539" s="75">
        <f>STOCK[[#This Row],[Precio Final]]-STOCK[[#This Row],[Costo total]]</f>
        <v>12.5</v>
      </c>
      <c r="X1539" s="75">
        <f>STOCK[[#This Row],[Ganancia Unitaria]]*STOCK[[#This Row],[Salidas]]</f>
        <v>0</v>
      </c>
      <c r="Y1539" s="75"/>
      <c r="Z1539" s="75"/>
      <c r="AA1539" s="54">
        <f>STOCK[[#This Row],[Costo total]]*STOCK[[#This Row],[Entradas]]</f>
        <v>12.5</v>
      </c>
      <c r="AB1539" s="54">
        <f>STOCK[[#This Row],[Stock Actual]]*STOCK[[#This Row],[Costo total]]</f>
        <v>12.5</v>
      </c>
      <c r="AC1539" s="75"/>
      <c r="AD1539" s="82"/>
    </row>
    <row r="1540" spans="1:30" s="53" customFormat="1" ht="50" customHeight="1">
      <c r="A1540" s="53" t="s">
        <v>3058</v>
      </c>
      <c r="B1540" s="69" t="e" vm="1">
        <f ca="1">_xlfn.DISPIMG("ID_7FBA60068A874CDB82993402BC5DEF69",1)</f>
        <v>#NAME?</v>
      </c>
      <c r="C1540" s="53" t="s">
        <v>32</v>
      </c>
      <c r="D1540" s="53" t="s">
        <v>749</v>
      </c>
      <c r="E1540" s="65" t="s">
        <v>3059</v>
      </c>
      <c r="F1540" s="53" t="s">
        <v>49</v>
      </c>
      <c r="H1540" s="75">
        <f>STOCK[[#This Row],[Precio Final]]</f>
        <v>20</v>
      </c>
      <c r="I1540" s="80">
        <f>STOCK[[#This Row],[Precio Venta Ideal (x1.5)]]</f>
        <v>18</v>
      </c>
      <c r="J1540" s="69">
        <v>2</v>
      </c>
      <c r="K1540" s="78">
        <f>SUMIFS(VENTAS[Cantidad],VENTAS[Código del producto Vendido],STOCK[[#This Row],[Code]])</f>
        <v>0</v>
      </c>
      <c r="L1540" s="78">
        <f>STOCK[[#This Row],[Entradas]]-STOCK[[#This Row],[Salidas]]</f>
        <v>2</v>
      </c>
      <c r="M1540" s="75">
        <f>STOCK[[#This Row],[Precio Final]]*10%</f>
        <v>2</v>
      </c>
      <c r="N1540" s="54">
        <v>0</v>
      </c>
      <c r="O1540" s="75">
        <v>0</v>
      </c>
      <c r="P1540" s="53">
        <v>10</v>
      </c>
      <c r="Q1540" s="70">
        <v>0</v>
      </c>
      <c r="R1540" s="54">
        <v>0</v>
      </c>
      <c r="S1540" s="54">
        <v>0</v>
      </c>
      <c r="T1540" s="75">
        <f>STOCK[[#This Row],[Costo Unitario (USD)]]+STOCK[[#This Row],[Costo Envío (USD)]]+STOCK[[#This Row],[Comisión 10%]]</f>
        <v>12</v>
      </c>
      <c r="U1540" s="53">
        <f>STOCK[[#This Row],[Costo total]]*1.5</f>
        <v>18</v>
      </c>
      <c r="V1540" s="53">
        <v>20</v>
      </c>
      <c r="W1540" s="75">
        <f>STOCK[[#This Row],[Precio Final]]-STOCK[[#This Row],[Costo total]]</f>
        <v>8</v>
      </c>
      <c r="X1540" s="75">
        <f>STOCK[[#This Row],[Ganancia Unitaria]]*STOCK[[#This Row],[Salidas]]</f>
        <v>0</v>
      </c>
      <c r="Y1540" s="75"/>
      <c r="Z1540" s="75"/>
      <c r="AA1540" s="54">
        <f>STOCK[[#This Row],[Costo total]]*STOCK[[#This Row],[Entradas]]</f>
        <v>24</v>
      </c>
      <c r="AB1540" s="54">
        <f>STOCK[[#This Row],[Stock Actual]]*STOCK[[#This Row],[Costo total]]</f>
        <v>24</v>
      </c>
      <c r="AC1540" s="75"/>
      <c r="AD1540" s="82"/>
    </row>
    <row r="1541" spans="1:30" s="53" customFormat="1" ht="50" customHeight="1">
      <c r="A1541" s="53" t="s">
        <v>3060</v>
      </c>
      <c r="B1541" s="69" t="e" vm="1">
        <f ca="1">_xlfn.DISPIMG("ID_E147D2FEB55342439B78D68CD73568BA",1)</f>
        <v>#NAME?</v>
      </c>
      <c r="C1541" s="53" t="s">
        <v>32</v>
      </c>
      <c r="D1541" s="53" t="s">
        <v>1388</v>
      </c>
      <c r="E1541" s="65" t="s">
        <v>3061</v>
      </c>
      <c r="F1541" s="53" t="s">
        <v>92</v>
      </c>
      <c r="H1541" s="75">
        <f>STOCK[[#This Row],[Precio Final]]</f>
        <v>35</v>
      </c>
      <c r="I1541" s="80">
        <f>STOCK[[#This Row],[Precio Venta Ideal (x1.5)]]</f>
        <v>20.25</v>
      </c>
      <c r="J1541" s="69">
        <v>1</v>
      </c>
      <c r="K1541" s="78">
        <f>SUMIFS(VENTAS[Cantidad],VENTAS[Código del producto Vendido],STOCK[[#This Row],[Code]])</f>
        <v>1</v>
      </c>
      <c r="L1541" s="78">
        <f>STOCK[[#This Row],[Entradas]]-STOCK[[#This Row],[Salidas]]</f>
        <v>0</v>
      </c>
      <c r="M1541" s="75">
        <f>STOCK[[#This Row],[Precio Final]]*10%</f>
        <v>3.5</v>
      </c>
      <c r="N1541" s="53">
        <v>0</v>
      </c>
      <c r="O1541" s="75">
        <v>0</v>
      </c>
      <c r="P1541" s="53">
        <v>10</v>
      </c>
      <c r="Q1541" s="69">
        <v>0</v>
      </c>
      <c r="R1541" s="54">
        <v>0</v>
      </c>
      <c r="S1541" s="53">
        <v>0</v>
      </c>
      <c r="T1541" s="75">
        <f>STOCK[[#This Row],[Costo Unitario (USD)]]+STOCK[[#This Row],[Costo Envío (USD)]]+STOCK[[#This Row],[Comisión 10%]]</f>
        <v>13.5</v>
      </c>
      <c r="U1541" s="53">
        <f>STOCK[[#This Row],[Costo total]]*1.5</f>
        <v>20.25</v>
      </c>
      <c r="V1541" s="53">
        <v>35</v>
      </c>
      <c r="W1541" s="75">
        <f>STOCK[[#This Row],[Precio Final]]-STOCK[[#This Row],[Costo total]]</f>
        <v>21.5</v>
      </c>
      <c r="X1541" s="75">
        <f>STOCK[[#This Row],[Ganancia Unitaria]]*STOCK[[#This Row],[Salidas]]</f>
        <v>21.5</v>
      </c>
      <c r="Y1541" s="75"/>
      <c r="Z1541" s="75"/>
      <c r="AA1541" s="54">
        <f>STOCK[[#This Row],[Costo total]]*STOCK[[#This Row],[Entradas]]</f>
        <v>13.5</v>
      </c>
      <c r="AB1541" s="54">
        <f>STOCK[[#This Row],[Stock Actual]]*STOCK[[#This Row],[Costo total]]</f>
        <v>0</v>
      </c>
      <c r="AC1541" s="75"/>
      <c r="AD1541" s="82"/>
    </row>
    <row r="1542" spans="1:30" s="53" customFormat="1" ht="50" customHeight="1">
      <c r="A1542" s="53" t="s">
        <v>3062</v>
      </c>
      <c r="B1542" s="69" t="e" vm="1">
        <f ca="1">_xlfn.DISPIMG("ID_331F02D25F0A44B3BA958E8D17162AD4",1)</f>
        <v>#NAME?</v>
      </c>
      <c r="C1542" s="53" t="s">
        <v>32</v>
      </c>
      <c r="D1542" s="53" t="s">
        <v>1388</v>
      </c>
      <c r="E1542" s="65" t="s">
        <v>3063</v>
      </c>
      <c r="F1542" s="53" t="s">
        <v>62</v>
      </c>
      <c r="H1542" s="75">
        <f>STOCK[[#This Row],[Precio Final]]</f>
        <v>30</v>
      </c>
      <c r="I1542" s="80">
        <f>STOCK[[#This Row],[Precio Venta Ideal (x1.5)]]</f>
        <v>19.5</v>
      </c>
      <c r="J1542" s="69">
        <v>1</v>
      </c>
      <c r="K1542" s="78">
        <f>SUMIFS(VENTAS[Cantidad],VENTAS[Código del producto Vendido],STOCK[[#This Row],[Code]])</f>
        <v>0</v>
      </c>
      <c r="L1542" s="78">
        <f>STOCK[[#This Row],[Entradas]]-STOCK[[#This Row],[Salidas]]</f>
        <v>1</v>
      </c>
      <c r="M1542" s="75">
        <f>STOCK[[#This Row],[Precio Final]]*10%</f>
        <v>3</v>
      </c>
      <c r="N1542" s="53">
        <v>0</v>
      </c>
      <c r="O1542" s="75">
        <v>0</v>
      </c>
      <c r="P1542" s="53">
        <v>10</v>
      </c>
      <c r="Q1542" s="69">
        <v>0</v>
      </c>
      <c r="R1542" s="53">
        <v>0</v>
      </c>
      <c r="S1542" s="53">
        <v>0</v>
      </c>
      <c r="T1542" s="75">
        <f>STOCK[[#This Row],[Costo Unitario (USD)]]+STOCK[[#This Row],[Costo Envío (USD)]]+STOCK[[#This Row],[Comisión 10%]]</f>
        <v>13</v>
      </c>
      <c r="U1542" s="53">
        <f>STOCK[[#This Row],[Costo total]]*1.5</f>
        <v>19.5</v>
      </c>
      <c r="V1542" s="53">
        <v>30</v>
      </c>
      <c r="W1542" s="75">
        <f>STOCK[[#This Row],[Precio Final]]-STOCK[[#This Row],[Costo total]]</f>
        <v>17</v>
      </c>
      <c r="X1542" s="75">
        <f>STOCK[[#This Row],[Ganancia Unitaria]]*STOCK[[#This Row],[Salidas]]</f>
        <v>0</v>
      </c>
      <c r="Y1542" s="75"/>
      <c r="Z1542" s="75"/>
      <c r="AA1542" s="54">
        <f>STOCK[[#This Row],[Costo total]]*STOCK[[#This Row],[Entradas]]</f>
        <v>13</v>
      </c>
      <c r="AB1542" s="54">
        <f>STOCK[[#This Row],[Stock Actual]]*STOCK[[#This Row],[Costo total]]</f>
        <v>13</v>
      </c>
      <c r="AC1542" s="75"/>
      <c r="AD1542" s="82"/>
    </row>
    <row r="1543" spans="1:30" s="53" customFormat="1" ht="50" customHeight="1">
      <c r="A1543" s="53" t="s">
        <v>3064</v>
      </c>
      <c r="B1543" s="69" t="e" vm="1">
        <f ca="1">_xlfn.DISPIMG("ID_C8E00973D2C44AA99B70C7D6EAFA12E9",1)</f>
        <v>#NAME?</v>
      </c>
      <c r="C1543" s="53" t="s">
        <v>32</v>
      </c>
      <c r="D1543" s="53" t="s">
        <v>1388</v>
      </c>
      <c r="E1543" s="65" t="s">
        <v>3065</v>
      </c>
      <c r="F1543" s="53" t="s">
        <v>46</v>
      </c>
      <c r="H1543" s="75">
        <f>STOCK[[#This Row],[Precio Final]]</f>
        <v>30</v>
      </c>
      <c r="I1543" s="80">
        <f>STOCK[[#This Row],[Precio Venta Ideal (x1.5)]]</f>
        <v>22.5</v>
      </c>
      <c r="J1543" s="69">
        <v>1</v>
      </c>
      <c r="K1543" s="78">
        <f>SUMIFS(VENTAS[Cantidad],VENTAS[Código del producto Vendido],STOCK[[#This Row],[Code]])</f>
        <v>1</v>
      </c>
      <c r="L1543" s="78">
        <f>STOCK[[#This Row],[Entradas]]-STOCK[[#This Row],[Salidas]]</f>
        <v>0</v>
      </c>
      <c r="M1543" s="75">
        <f>STOCK[[#This Row],[Precio Final]]*10%</f>
        <v>3</v>
      </c>
      <c r="N1543" s="54">
        <v>0</v>
      </c>
      <c r="O1543" s="75">
        <v>0</v>
      </c>
      <c r="P1543" s="53">
        <v>12</v>
      </c>
      <c r="Q1543" s="69">
        <v>0</v>
      </c>
      <c r="R1543" s="53">
        <v>0</v>
      </c>
      <c r="S1543" s="54">
        <v>0</v>
      </c>
      <c r="T1543" s="75">
        <f>STOCK[[#This Row],[Costo Unitario (USD)]]+STOCK[[#This Row],[Costo Envío (USD)]]+STOCK[[#This Row],[Comisión 10%]]</f>
        <v>15</v>
      </c>
      <c r="U1543" s="53">
        <f>STOCK[[#This Row],[Costo total]]*1.5</f>
        <v>22.5</v>
      </c>
      <c r="V1543" s="53">
        <v>30</v>
      </c>
      <c r="W1543" s="75">
        <f>STOCK[[#This Row],[Precio Final]]-STOCK[[#This Row],[Costo total]]</f>
        <v>15</v>
      </c>
      <c r="X1543" s="75">
        <f>STOCK[[#This Row],[Ganancia Unitaria]]*STOCK[[#This Row],[Salidas]]</f>
        <v>15</v>
      </c>
      <c r="Y1543" s="75"/>
      <c r="Z1543" s="75"/>
      <c r="AA1543" s="54">
        <f>STOCK[[#This Row],[Costo total]]*STOCK[[#This Row],[Entradas]]</f>
        <v>15</v>
      </c>
      <c r="AB1543" s="54">
        <f>STOCK[[#This Row],[Stock Actual]]*STOCK[[#This Row],[Costo total]]</f>
        <v>0</v>
      </c>
      <c r="AC1543" s="75"/>
      <c r="AD1543" s="82"/>
    </row>
    <row r="1544" spans="1:30" s="53" customFormat="1" ht="50" customHeight="1">
      <c r="A1544" s="53" t="s">
        <v>3066</v>
      </c>
      <c r="B1544" s="53" t="s">
        <v>1345</v>
      </c>
      <c r="C1544" s="53" t="s">
        <v>32</v>
      </c>
      <c r="D1544" s="53" t="s">
        <v>779</v>
      </c>
      <c r="E1544" s="65" t="s">
        <v>3067</v>
      </c>
      <c r="F1544" s="53" t="s">
        <v>46</v>
      </c>
      <c r="G1544" s="53" t="s">
        <v>62</v>
      </c>
      <c r="H1544" s="75">
        <f>STOCK[[#This Row],[Precio Final]]</f>
        <v>35</v>
      </c>
      <c r="I1544" s="80">
        <f>STOCK[[#This Row],[Precio Venta Ideal (x1.5)]]</f>
        <v>20.25</v>
      </c>
      <c r="J1544" s="69">
        <v>1</v>
      </c>
      <c r="K1544" s="78">
        <f>SUMIFS(VENTAS[Cantidad],VENTAS[Código del producto Vendido],STOCK[[#This Row],[Code]])</f>
        <v>0</v>
      </c>
      <c r="L1544" s="78">
        <f>STOCK[[#This Row],[Entradas]]-STOCK[[#This Row],[Salidas]]</f>
        <v>1</v>
      </c>
      <c r="M1544" s="75">
        <f>STOCK[[#This Row],[Precio Final]]*10%</f>
        <v>3.5</v>
      </c>
      <c r="N1544" s="53">
        <v>0</v>
      </c>
      <c r="O1544" s="75">
        <v>0</v>
      </c>
      <c r="P1544" s="53">
        <v>10</v>
      </c>
      <c r="Q1544" s="70">
        <v>0</v>
      </c>
      <c r="R1544" s="54">
        <v>0</v>
      </c>
      <c r="S1544" s="54">
        <v>0</v>
      </c>
      <c r="T1544" s="75">
        <f>STOCK[[#This Row],[Costo Unitario (USD)]]+STOCK[[#This Row],[Costo Envío (USD)]]+STOCK[[#This Row],[Comisión 10%]]</f>
        <v>13.5</v>
      </c>
      <c r="U1544" s="53">
        <f>STOCK[[#This Row],[Costo total]]*1.5</f>
        <v>20.25</v>
      </c>
      <c r="V1544" s="53">
        <v>35</v>
      </c>
      <c r="W1544" s="75">
        <f>STOCK[[#This Row],[Precio Final]]-STOCK[[#This Row],[Costo total]]</f>
        <v>21.5</v>
      </c>
      <c r="X1544" s="75">
        <f>STOCK[[#This Row],[Ganancia Unitaria]]*STOCK[[#This Row],[Salidas]]</f>
        <v>0</v>
      </c>
      <c r="Y1544" s="75"/>
      <c r="Z1544" s="75"/>
      <c r="AA1544" s="54">
        <f>STOCK[[#This Row],[Costo total]]*STOCK[[#This Row],[Entradas]]</f>
        <v>13.5</v>
      </c>
      <c r="AB1544" s="54">
        <f>STOCK[[#This Row],[Stock Actual]]*STOCK[[#This Row],[Costo total]]</f>
        <v>13.5</v>
      </c>
      <c r="AC1544" s="75"/>
      <c r="AD1544" s="82"/>
    </row>
    <row r="1545" spans="1:30" s="53" customFormat="1" ht="50" customHeight="1">
      <c r="A1545" s="53" t="s">
        <v>3068</v>
      </c>
      <c r="B1545" s="69" t="e" vm="1">
        <f ca="1">_xlfn.DISPIMG("ID_061452DA8F694CDB87AE347AEBFE0C0A",1)</f>
        <v>#NAME?</v>
      </c>
      <c r="C1545" s="53" t="s">
        <v>32</v>
      </c>
      <c r="D1545" s="53" t="s">
        <v>1388</v>
      </c>
      <c r="E1545" s="65" t="s">
        <v>3069</v>
      </c>
      <c r="F1545" s="53" t="s">
        <v>49</v>
      </c>
      <c r="H1545" s="75">
        <f>STOCK[[#This Row],[Precio Final]]</f>
        <v>30</v>
      </c>
      <c r="I1545" s="80">
        <f>STOCK[[#This Row],[Precio Venta Ideal (x1.5)]]</f>
        <v>22.5</v>
      </c>
      <c r="J1545" s="69">
        <v>1</v>
      </c>
      <c r="K1545" s="78">
        <f>SUMIFS(VENTAS[Cantidad],VENTAS[Código del producto Vendido],STOCK[[#This Row],[Code]])</f>
        <v>1</v>
      </c>
      <c r="L1545" s="78">
        <f>STOCK[[#This Row],[Entradas]]-STOCK[[#This Row],[Salidas]]</f>
        <v>0</v>
      </c>
      <c r="M1545" s="75">
        <f>STOCK[[#This Row],[Precio Final]]*10%</f>
        <v>3</v>
      </c>
      <c r="N1545" s="54">
        <v>0</v>
      </c>
      <c r="O1545" s="75">
        <v>0</v>
      </c>
      <c r="P1545" s="53">
        <v>12</v>
      </c>
      <c r="Q1545" s="69">
        <v>0</v>
      </c>
      <c r="R1545" s="53">
        <v>0</v>
      </c>
      <c r="S1545" s="53">
        <v>0</v>
      </c>
      <c r="T1545" s="75">
        <f>STOCK[[#This Row],[Costo Unitario (USD)]]+STOCK[[#This Row],[Costo Envío (USD)]]+STOCK[[#This Row],[Comisión 10%]]</f>
        <v>15</v>
      </c>
      <c r="U1545" s="53">
        <f>STOCK[[#This Row],[Costo total]]*1.5</f>
        <v>22.5</v>
      </c>
      <c r="V1545" s="53">
        <v>30</v>
      </c>
      <c r="W1545" s="75">
        <f>STOCK[[#This Row],[Precio Final]]-STOCK[[#This Row],[Costo total]]</f>
        <v>15</v>
      </c>
      <c r="X1545" s="75">
        <f>STOCK[[#This Row],[Ganancia Unitaria]]*STOCK[[#This Row],[Salidas]]</f>
        <v>15</v>
      </c>
      <c r="Y1545" s="75"/>
      <c r="Z1545" s="75"/>
      <c r="AA1545" s="54">
        <f>STOCK[[#This Row],[Costo total]]*STOCK[[#This Row],[Entradas]]</f>
        <v>15</v>
      </c>
      <c r="AB1545" s="54">
        <f>STOCK[[#This Row],[Stock Actual]]*STOCK[[#This Row],[Costo total]]</f>
        <v>0</v>
      </c>
      <c r="AC1545" s="75"/>
      <c r="AD1545" s="82"/>
    </row>
    <row r="1546" spans="1:30" s="53" customFormat="1" ht="50" customHeight="1">
      <c r="A1546" s="53" t="s">
        <v>3070</v>
      </c>
      <c r="B1546" s="69" t="e" vm="1">
        <f ca="1">_xlfn.DISPIMG("ID_236FDEE0D44C44AE9993C59484124512",1)</f>
        <v>#NAME?</v>
      </c>
      <c r="C1546" s="53" t="s">
        <v>32</v>
      </c>
      <c r="D1546" s="53" t="s">
        <v>1388</v>
      </c>
      <c r="E1546" s="65" t="s">
        <v>3071</v>
      </c>
      <c r="F1546" s="53" t="s">
        <v>49</v>
      </c>
      <c r="H1546" s="75">
        <f>STOCK[[#This Row],[Precio Final]]</f>
        <v>30</v>
      </c>
      <c r="I1546" s="80">
        <f>STOCK[[#This Row],[Precio Venta Ideal (x1.5)]]</f>
        <v>22.5</v>
      </c>
      <c r="J1546" s="69">
        <v>2</v>
      </c>
      <c r="K1546" s="78">
        <f>SUMIFS(VENTAS[Cantidad],VENTAS[Código del producto Vendido],STOCK[[#This Row],[Code]])</f>
        <v>2</v>
      </c>
      <c r="L1546" s="78">
        <f>STOCK[[#This Row],[Entradas]]-STOCK[[#This Row],[Salidas]]</f>
        <v>0</v>
      </c>
      <c r="M1546" s="75">
        <f>STOCK[[#This Row],[Precio Final]]*10%</f>
        <v>3</v>
      </c>
      <c r="N1546" s="54">
        <v>0</v>
      </c>
      <c r="O1546" s="75">
        <v>0</v>
      </c>
      <c r="P1546" s="53">
        <v>12</v>
      </c>
      <c r="Q1546" s="69">
        <v>0</v>
      </c>
      <c r="R1546" s="54">
        <v>0</v>
      </c>
      <c r="S1546" s="54">
        <v>0</v>
      </c>
      <c r="T1546" s="75">
        <f>STOCK[[#This Row],[Costo Unitario (USD)]]+STOCK[[#This Row],[Costo Envío (USD)]]+STOCK[[#This Row],[Comisión 10%]]</f>
        <v>15</v>
      </c>
      <c r="U1546" s="53">
        <f>STOCK[[#This Row],[Costo total]]*1.5</f>
        <v>22.5</v>
      </c>
      <c r="V1546" s="53">
        <v>30</v>
      </c>
      <c r="W1546" s="75">
        <f>STOCK[[#This Row],[Precio Final]]-STOCK[[#This Row],[Costo total]]</f>
        <v>15</v>
      </c>
      <c r="X1546" s="75">
        <f>STOCK[[#This Row],[Ganancia Unitaria]]*STOCK[[#This Row],[Salidas]]</f>
        <v>30</v>
      </c>
      <c r="Y1546" s="75"/>
      <c r="Z1546" s="75"/>
      <c r="AA1546" s="54">
        <f>STOCK[[#This Row],[Costo total]]*STOCK[[#This Row],[Entradas]]</f>
        <v>30</v>
      </c>
      <c r="AB1546" s="54">
        <f>STOCK[[#This Row],[Stock Actual]]*STOCK[[#This Row],[Costo total]]</f>
        <v>0</v>
      </c>
      <c r="AC1546" s="75"/>
      <c r="AD1546" s="82"/>
    </row>
    <row r="1547" spans="1:30" s="53" customFormat="1" ht="50" customHeight="1">
      <c r="A1547" s="53" t="s">
        <v>3072</v>
      </c>
      <c r="B1547" s="69" t="e" vm="1">
        <f ca="1">_xlfn.DISPIMG("ID_C90935565D5E4AF5AC176886EF0D4DF7",1)</f>
        <v>#NAME?</v>
      </c>
      <c r="C1547" s="53" t="s">
        <v>32</v>
      </c>
      <c r="D1547" s="53" t="s">
        <v>735</v>
      </c>
      <c r="E1547" s="65" t="s">
        <v>3073</v>
      </c>
      <c r="F1547" s="53" t="s">
        <v>42</v>
      </c>
      <c r="H1547" s="75">
        <f>STOCK[[#This Row],[Precio Final]]</f>
        <v>28</v>
      </c>
      <c r="I1547" s="80">
        <f>STOCK[[#This Row],[Precio Venta Ideal (x1.5)]]</f>
        <v>26.700000000000003</v>
      </c>
      <c r="J1547" s="69">
        <v>1</v>
      </c>
      <c r="K1547" s="78">
        <f>SUMIFS(VENTAS[Cantidad],VENTAS[Código del producto Vendido],STOCK[[#This Row],[Code]])</f>
        <v>0</v>
      </c>
      <c r="L1547" s="78">
        <f>STOCK[[#This Row],[Entradas]]-STOCK[[#This Row],[Salidas]]</f>
        <v>1</v>
      </c>
      <c r="M1547" s="75">
        <f>STOCK[[#This Row],[Precio Final]]*10%</f>
        <v>2.8000000000000003</v>
      </c>
      <c r="N1547" s="53">
        <v>0</v>
      </c>
      <c r="O1547" s="75">
        <v>0</v>
      </c>
      <c r="P1547" s="53">
        <v>15</v>
      </c>
      <c r="Q1547" s="70">
        <v>0</v>
      </c>
      <c r="R1547" s="53">
        <v>0</v>
      </c>
      <c r="S1547" s="54">
        <v>0</v>
      </c>
      <c r="T1547" s="75">
        <f>STOCK[[#This Row],[Costo Unitario (USD)]]+STOCK[[#This Row],[Costo Envío (USD)]]+STOCK[[#This Row],[Comisión 10%]]</f>
        <v>17.8</v>
      </c>
      <c r="U1547" s="53">
        <f>STOCK[[#This Row],[Costo total]]*1.5</f>
        <v>26.700000000000003</v>
      </c>
      <c r="V1547" s="53">
        <v>28</v>
      </c>
      <c r="W1547" s="75">
        <f>STOCK[[#This Row],[Precio Final]]-STOCK[[#This Row],[Costo total]]</f>
        <v>10.199999999999999</v>
      </c>
      <c r="X1547" s="75">
        <f>STOCK[[#This Row],[Ganancia Unitaria]]*STOCK[[#This Row],[Salidas]]</f>
        <v>0</v>
      </c>
      <c r="Y1547" s="75"/>
      <c r="Z1547" s="75"/>
      <c r="AA1547" s="54">
        <f>STOCK[[#This Row],[Costo total]]*STOCK[[#This Row],[Entradas]]</f>
        <v>17.8</v>
      </c>
      <c r="AB1547" s="54">
        <f>STOCK[[#This Row],[Stock Actual]]*STOCK[[#This Row],[Costo total]]</f>
        <v>17.8</v>
      </c>
      <c r="AC1547" s="75"/>
      <c r="AD1547" s="82"/>
    </row>
    <row r="1548" spans="1:30" s="53" customFormat="1" ht="50" customHeight="1">
      <c r="A1548" s="53" t="s">
        <v>3074</v>
      </c>
      <c r="B1548" s="53" t="s">
        <v>1345</v>
      </c>
      <c r="C1548" s="53" t="s">
        <v>32</v>
      </c>
      <c r="D1548" s="53" t="s">
        <v>1388</v>
      </c>
      <c r="E1548" s="65" t="s">
        <v>3075</v>
      </c>
      <c r="F1548" s="53" t="s">
        <v>49</v>
      </c>
      <c r="H1548" s="75">
        <f>STOCK[[#This Row],[Precio Final]]</f>
        <v>35</v>
      </c>
      <c r="I1548" s="80">
        <f>STOCK[[#This Row],[Precio Venta Ideal (x1.5)]]</f>
        <v>20.25</v>
      </c>
      <c r="J1548" s="69">
        <v>1</v>
      </c>
      <c r="K1548" s="78">
        <f>SUMIFS(VENTAS[Cantidad],VENTAS[Código del producto Vendido],STOCK[[#This Row],[Code]])</f>
        <v>0</v>
      </c>
      <c r="L1548" s="78">
        <f>STOCK[[#This Row],[Entradas]]-STOCK[[#This Row],[Salidas]]</f>
        <v>1</v>
      </c>
      <c r="M1548" s="75">
        <f>STOCK[[#This Row],[Precio Final]]*10%</f>
        <v>3.5</v>
      </c>
      <c r="N1548" s="54">
        <v>0</v>
      </c>
      <c r="O1548" s="75">
        <v>0</v>
      </c>
      <c r="P1548" s="53">
        <v>10</v>
      </c>
      <c r="Q1548" s="69">
        <v>0</v>
      </c>
      <c r="R1548" s="54">
        <v>0</v>
      </c>
      <c r="S1548" s="53">
        <v>0</v>
      </c>
      <c r="T1548" s="75">
        <f>STOCK[[#This Row],[Costo Unitario (USD)]]+STOCK[[#This Row],[Costo Envío (USD)]]+STOCK[[#This Row],[Comisión 10%]]</f>
        <v>13.5</v>
      </c>
      <c r="U1548" s="53">
        <f>STOCK[[#This Row],[Costo total]]*1.5</f>
        <v>20.25</v>
      </c>
      <c r="V1548" s="53">
        <v>35</v>
      </c>
      <c r="W1548" s="75">
        <f>STOCK[[#This Row],[Precio Final]]-STOCK[[#This Row],[Costo total]]</f>
        <v>21.5</v>
      </c>
      <c r="X1548" s="75">
        <f>STOCK[[#This Row],[Ganancia Unitaria]]*STOCK[[#This Row],[Salidas]]</f>
        <v>0</v>
      </c>
      <c r="Y1548" s="75"/>
      <c r="Z1548" s="75"/>
      <c r="AA1548" s="54">
        <f>STOCK[[#This Row],[Costo total]]*STOCK[[#This Row],[Entradas]]</f>
        <v>13.5</v>
      </c>
      <c r="AB1548" s="54">
        <f>STOCK[[#This Row],[Stock Actual]]*STOCK[[#This Row],[Costo total]]</f>
        <v>13.5</v>
      </c>
      <c r="AC1548" s="75"/>
      <c r="AD1548" s="82"/>
    </row>
    <row r="1549" spans="1:30" s="53" customFormat="1" ht="50" customHeight="1">
      <c r="E1549" s="65"/>
      <c r="H1549" s="75"/>
      <c r="I1549" s="80"/>
      <c r="J1549" s="69"/>
      <c r="K1549" s="78"/>
      <c r="L1549" s="78"/>
      <c r="M1549" s="75"/>
      <c r="O1549" s="75"/>
      <c r="Q1549" s="69"/>
      <c r="S1549" s="54"/>
      <c r="T1549" s="75"/>
      <c r="W1549" s="75"/>
      <c r="X1549" s="75"/>
      <c r="Y1549" s="75"/>
      <c r="Z1549" s="75"/>
      <c r="AA1549" s="54">
        <f>STOCK[[#This Row],[Costo total]]*STOCK[[#This Row],[Entradas]]</f>
        <v>0</v>
      </c>
      <c r="AB1549" s="54">
        <f>STOCK[[#This Row],[Stock Actual]]*STOCK[[#This Row],[Costo total]]</f>
        <v>0</v>
      </c>
      <c r="AC1549" s="75"/>
      <c r="AD1549" s="82"/>
    </row>
    <row r="1550" spans="1:30" s="53" customFormat="1" ht="50" customHeight="1">
      <c r="A1550" s="53" t="s">
        <v>3076</v>
      </c>
      <c r="B1550" s="69" t="e" vm="1">
        <f ca="1">_xlfn.DISPIMG("ID_08DEA944CCB84E22963C11C45A954510",1)</f>
        <v>#NAME?</v>
      </c>
      <c r="C1550" s="53" t="s">
        <v>32</v>
      </c>
      <c r="D1550" s="53" t="s">
        <v>735</v>
      </c>
      <c r="E1550" s="65" t="s">
        <v>3077</v>
      </c>
      <c r="F1550" s="53" t="s">
        <v>46</v>
      </c>
      <c r="H1550" s="75">
        <f>STOCK[[#This Row],[Precio Final]]</f>
        <v>30</v>
      </c>
      <c r="I1550" s="80">
        <f>STOCK[[#This Row],[Precio Venta Ideal (x1.5)]]</f>
        <v>16.5</v>
      </c>
      <c r="J1550" s="69">
        <v>1</v>
      </c>
      <c r="K1550" s="78">
        <f>SUMIFS(VENTAS[Cantidad],VENTAS[Código del producto Vendido],STOCK[[#This Row],[Code]])</f>
        <v>1</v>
      </c>
      <c r="L1550" s="78">
        <f>STOCK[[#This Row],[Entradas]]-STOCK[[#This Row],[Salidas]]</f>
        <v>0</v>
      </c>
      <c r="M1550" s="75">
        <f>STOCK[[#This Row],[Precio Final]]*10%</f>
        <v>3</v>
      </c>
      <c r="N1550" s="54">
        <v>0</v>
      </c>
      <c r="O1550" s="75">
        <v>0</v>
      </c>
      <c r="P1550" s="53">
        <v>8</v>
      </c>
      <c r="Q1550" s="69">
        <v>0</v>
      </c>
      <c r="R1550" s="53">
        <v>0</v>
      </c>
      <c r="S1550" s="53">
        <v>0</v>
      </c>
      <c r="T1550" s="75">
        <f>STOCK[[#This Row],[Costo Unitario (USD)]]+STOCK[[#This Row],[Costo Envío (USD)]]+STOCK[[#This Row],[Comisión 10%]]</f>
        <v>11</v>
      </c>
      <c r="U1550" s="53">
        <f>STOCK[[#This Row],[Costo total]]*1.5</f>
        <v>16.5</v>
      </c>
      <c r="V1550" s="53">
        <v>30</v>
      </c>
      <c r="W1550" s="75">
        <f>STOCK[[#This Row],[Precio Final]]-STOCK[[#This Row],[Costo total]]</f>
        <v>19</v>
      </c>
      <c r="X1550" s="75">
        <f>STOCK[[#This Row],[Ganancia Unitaria]]*STOCK[[#This Row],[Salidas]]</f>
        <v>19</v>
      </c>
      <c r="Y1550" s="75"/>
      <c r="Z1550" s="75"/>
      <c r="AA1550" s="54">
        <f>STOCK[[#This Row],[Costo total]]*STOCK[[#This Row],[Entradas]]</f>
        <v>11</v>
      </c>
      <c r="AB1550" s="54">
        <f>STOCK[[#This Row],[Stock Actual]]*STOCK[[#This Row],[Costo total]]</f>
        <v>0</v>
      </c>
      <c r="AC1550" s="75"/>
      <c r="AD1550" s="82"/>
    </row>
    <row r="1551" spans="1:30" s="53" customFormat="1" ht="50" customHeight="1">
      <c r="A1551" s="53" t="s">
        <v>3078</v>
      </c>
      <c r="B1551" s="69" t="e" vm="1">
        <f ca="1">_xlfn.DISPIMG("ID_A91DFB2CBB434112A64908E008E8E85E",1)</f>
        <v>#NAME?</v>
      </c>
      <c r="C1551" s="53" t="s">
        <v>32</v>
      </c>
      <c r="D1551" s="53" t="s">
        <v>735</v>
      </c>
      <c r="E1551" s="65" t="s">
        <v>3079</v>
      </c>
      <c r="F1551" s="53" t="s">
        <v>46</v>
      </c>
      <c r="H1551" s="75">
        <f>STOCK[[#This Row],[Precio Final]]</f>
        <v>35</v>
      </c>
      <c r="I1551" s="80">
        <f>STOCK[[#This Row],[Precio Venta Ideal (x1.5)]]</f>
        <v>17.25</v>
      </c>
      <c r="J1551" s="69">
        <v>1</v>
      </c>
      <c r="K1551" s="78">
        <f>SUMIFS(VENTAS[Cantidad],VENTAS[Código del producto Vendido],STOCK[[#This Row],[Code]])</f>
        <v>0</v>
      </c>
      <c r="L1551" s="78">
        <f>STOCK[[#This Row],[Entradas]]-STOCK[[#This Row],[Salidas]]</f>
        <v>1</v>
      </c>
      <c r="M1551" s="75">
        <f>STOCK[[#This Row],[Precio Final]]*10%</f>
        <v>3.5</v>
      </c>
      <c r="N1551" s="53">
        <v>0</v>
      </c>
      <c r="O1551" s="75">
        <v>0</v>
      </c>
      <c r="P1551" s="53">
        <v>8</v>
      </c>
      <c r="Q1551" s="69">
        <v>0</v>
      </c>
      <c r="R1551" s="54">
        <v>0</v>
      </c>
      <c r="S1551" s="54">
        <v>0</v>
      </c>
      <c r="T1551" s="75">
        <f>STOCK[[#This Row],[Costo Unitario (USD)]]+STOCK[[#This Row],[Costo Envío (USD)]]+STOCK[[#This Row],[Comisión 10%]]</f>
        <v>11.5</v>
      </c>
      <c r="U1551" s="53">
        <f>STOCK[[#This Row],[Costo total]]*1.5</f>
        <v>17.25</v>
      </c>
      <c r="V1551" s="53">
        <v>35</v>
      </c>
      <c r="W1551" s="75">
        <f>STOCK[[#This Row],[Precio Final]]-STOCK[[#This Row],[Costo total]]</f>
        <v>23.5</v>
      </c>
      <c r="X1551" s="75">
        <f>STOCK[[#This Row],[Ganancia Unitaria]]*STOCK[[#This Row],[Salidas]]</f>
        <v>0</v>
      </c>
      <c r="Y1551" s="75"/>
      <c r="Z1551" s="75"/>
      <c r="AA1551" s="54">
        <f>STOCK[[#This Row],[Costo total]]*STOCK[[#This Row],[Entradas]]</f>
        <v>11.5</v>
      </c>
      <c r="AB1551" s="54">
        <f>STOCK[[#This Row],[Stock Actual]]*STOCK[[#This Row],[Costo total]]</f>
        <v>11.5</v>
      </c>
      <c r="AC1551" s="75"/>
      <c r="AD1551" s="82"/>
    </row>
    <row r="1552" spans="1:30" s="53" customFormat="1" ht="50" customHeight="1">
      <c r="A1552" s="53" t="s">
        <v>3080</v>
      </c>
      <c r="B1552" s="69" t="e" vm="1">
        <f ca="1">_xlfn.DISPIMG("ID_C05C05881E274DF5803BEC4F6C227727",1)</f>
        <v>#NAME?</v>
      </c>
      <c r="C1552" s="53" t="s">
        <v>32</v>
      </c>
      <c r="D1552" s="53" t="s">
        <v>735</v>
      </c>
      <c r="E1552" s="65" t="s">
        <v>3081</v>
      </c>
      <c r="F1552" s="53" t="s">
        <v>49</v>
      </c>
      <c r="H1552" s="75">
        <f>STOCK[[#This Row],[Precio Final]]</f>
        <v>30</v>
      </c>
      <c r="I1552" s="80">
        <f>STOCK[[#This Row],[Precio Venta Ideal (x1.5)]]</f>
        <v>16.5</v>
      </c>
      <c r="J1552" s="69">
        <v>1</v>
      </c>
      <c r="K1552" s="78">
        <f>SUMIFS(VENTAS[Cantidad],VENTAS[Código del producto Vendido],STOCK[[#This Row],[Code]])</f>
        <v>0</v>
      </c>
      <c r="L1552" s="78">
        <f>STOCK[[#This Row],[Entradas]]-STOCK[[#This Row],[Salidas]]</f>
        <v>1</v>
      </c>
      <c r="M1552" s="75">
        <f>STOCK[[#This Row],[Precio Final]]*10%</f>
        <v>3</v>
      </c>
      <c r="N1552" s="54">
        <v>0</v>
      </c>
      <c r="O1552" s="75">
        <v>0</v>
      </c>
      <c r="P1552" s="53">
        <v>8</v>
      </c>
      <c r="Q1552" s="70">
        <v>0</v>
      </c>
      <c r="R1552" s="53">
        <v>0</v>
      </c>
      <c r="S1552" s="54">
        <v>0</v>
      </c>
      <c r="T1552" s="75">
        <f>STOCK[[#This Row],[Costo Unitario (USD)]]+STOCK[[#This Row],[Costo Envío (USD)]]+STOCK[[#This Row],[Comisión 10%]]</f>
        <v>11</v>
      </c>
      <c r="U1552" s="53">
        <f>STOCK[[#This Row],[Costo total]]*1.5</f>
        <v>16.5</v>
      </c>
      <c r="V1552" s="53">
        <v>30</v>
      </c>
      <c r="W1552" s="75">
        <f>STOCK[[#This Row],[Precio Final]]-STOCK[[#This Row],[Costo total]]</f>
        <v>19</v>
      </c>
      <c r="X1552" s="75">
        <f>STOCK[[#This Row],[Ganancia Unitaria]]*STOCK[[#This Row],[Salidas]]</f>
        <v>0</v>
      </c>
      <c r="Y1552" s="75"/>
      <c r="Z1552" s="75"/>
      <c r="AA1552" s="54">
        <f>STOCK[[#This Row],[Costo total]]*STOCK[[#This Row],[Entradas]]</f>
        <v>11</v>
      </c>
      <c r="AB1552" s="54">
        <f>STOCK[[#This Row],[Stock Actual]]*STOCK[[#This Row],[Costo total]]</f>
        <v>11</v>
      </c>
      <c r="AC1552" s="75"/>
      <c r="AD1552" s="82"/>
    </row>
    <row r="1553" spans="1:30" s="53" customFormat="1" ht="50" customHeight="1">
      <c r="A1553" s="53" t="s">
        <v>3082</v>
      </c>
      <c r="B1553" s="69" t="e" vm="1">
        <f ca="1">_xlfn.DISPIMG("ID_6C1C0962176A4D4BB45C4944FB24CA50",1)</f>
        <v>#NAME?</v>
      </c>
      <c r="C1553" s="53" t="s">
        <v>32</v>
      </c>
      <c r="D1553" s="53" t="s">
        <v>735</v>
      </c>
      <c r="E1553" s="65" t="s">
        <v>3083</v>
      </c>
      <c r="F1553" s="53" t="s">
        <v>62</v>
      </c>
      <c r="H1553" s="75">
        <f>STOCK[[#This Row],[Precio Final]]</f>
        <v>20</v>
      </c>
      <c r="I1553" s="80">
        <f>STOCK[[#This Row],[Precio Venta Ideal (x1.5)]]</f>
        <v>15</v>
      </c>
      <c r="J1553" s="69">
        <v>1</v>
      </c>
      <c r="K1553" s="78">
        <f>SUMIFS(VENTAS[Cantidad],VENTAS[Código del producto Vendido],STOCK[[#This Row],[Code]])</f>
        <v>0</v>
      </c>
      <c r="L1553" s="78">
        <f>STOCK[[#This Row],[Entradas]]-STOCK[[#This Row],[Salidas]]</f>
        <v>1</v>
      </c>
      <c r="M1553" s="75">
        <f>STOCK[[#This Row],[Precio Final]]*10%</f>
        <v>2</v>
      </c>
      <c r="N1553" s="53">
        <v>0</v>
      </c>
      <c r="O1553" s="75">
        <v>0</v>
      </c>
      <c r="P1553" s="53">
        <v>8</v>
      </c>
      <c r="Q1553" s="69">
        <v>0</v>
      </c>
      <c r="R1553" s="54">
        <v>0</v>
      </c>
      <c r="S1553" s="53">
        <v>0</v>
      </c>
      <c r="T1553" s="75">
        <f>STOCK[[#This Row],[Costo Unitario (USD)]]+STOCK[[#This Row],[Costo Envío (USD)]]+STOCK[[#This Row],[Comisión 10%]]</f>
        <v>10</v>
      </c>
      <c r="U1553" s="53">
        <f>STOCK[[#This Row],[Costo total]]*1.5</f>
        <v>15</v>
      </c>
      <c r="V1553" s="53">
        <v>20</v>
      </c>
      <c r="W1553" s="75">
        <f>STOCK[[#This Row],[Precio Final]]-STOCK[[#This Row],[Costo total]]</f>
        <v>10</v>
      </c>
      <c r="X1553" s="75">
        <f>STOCK[[#This Row],[Ganancia Unitaria]]*STOCK[[#This Row],[Salidas]]</f>
        <v>0</v>
      </c>
      <c r="Y1553" s="75"/>
      <c r="Z1553" s="75"/>
      <c r="AA1553" s="54">
        <f>STOCK[[#This Row],[Costo total]]*STOCK[[#This Row],[Entradas]]</f>
        <v>10</v>
      </c>
      <c r="AB1553" s="54">
        <f>STOCK[[#This Row],[Stock Actual]]*STOCK[[#This Row],[Costo total]]</f>
        <v>10</v>
      </c>
      <c r="AC1553" s="75"/>
      <c r="AD1553" s="82"/>
    </row>
    <row r="1554" spans="1:30" s="53" customFormat="1" ht="50" customHeight="1">
      <c r="A1554" s="53" t="s">
        <v>3084</v>
      </c>
      <c r="B1554" s="69" t="e" vm="1">
        <f ca="1">_xlfn.DISPIMG("ID_983CBCE8D4A04C1791520403A9BA8D8D",1)</f>
        <v>#NAME?</v>
      </c>
      <c r="C1554" s="53" t="s">
        <v>32</v>
      </c>
      <c r="D1554" s="53" t="s">
        <v>735</v>
      </c>
      <c r="E1554" s="65" t="s">
        <v>3085</v>
      </c>
      <c r="F1554" s="53" t="s">
        <v>62</v>
      </c>
      <c r="H1554" s="75">
        <f>STOCK[[#This Row],[Precio Final]]</f>
        <v>20</v>
      </c>
      <c r="I1554" s="80">
        <f>STOCK[[#This Row],[Precio Venta Ideal (x1.5)]]</f>
        <v>15</v>
      </c>
      <c r="J1554" s="69">
        <v>1</v>
      </c>
      <c r="K1554" s="78">
        <f>SUMIFS(VENTAS[Cantidad],VENTAS[Código del producto Vendido],STOCK[[#This Row],[Code]])</f>
        <v>0</v>
      </c>
      <c r="L1554" s="78">
        <f>STOCK[[#This Row],[Entradas]]-STOCK[[#This Row],[Salidas]]</f>
        <v>1</v>
      </c>
      <c r="M1554" s="75">
        <f>STOCK[[#This Row],[Precio Final]]*10%</f>
        <v>2</v>
      </c>
      <c r="N1554" s="53">
        <v>0</v>
      </c>
      <c r="O1554" s="75">
        <v>0</v>
      </c>
      <c r="P1554" s="53">
        <v>8</v>
      </c>
      <c r="Q1554" s="69">
        <v>0</v>
      </c>
      <c r="R1554" s="53">
        <v>0</v>
      </c>
      <c r="S1554" s="53">
        <v>0</v>
      </c>
      <c r="T1554" s="75">
        <f>STOCK[[#This Row],[Costo Unitario (USD)]]+STOCK[[#This Row],[Costo Envío (USD)]]+STOCK[[#This Row],[Comisión 10%]]</f>
        <v>10</v>
      </c>
      <c r="U1554" s="53">
        <f>STOCK[[#This Row],[Costo total]]*1.5</f>
        <v>15</v>
      </c>
      <c r="V1554" s="53">
        <v>20</v>
      </c>
      <c r="W1554" s="75">
        <f>STOCK[[#This Row],[Precio Final]]-STOCK[[#This Row],[Costo total]]</f>
        <v>10</v>
      </c>
      <c r="X1554" s="75">
        <f>STOCK[[#This Row],[Ganancia Unitaria]]*STOCK[[#This Row],[Salidas]]</f>
        <v>0</v>
      </c>
      <c r="Y1554" s="75"/>
      <c r="Z1554" s="75"/>
      <c r="AA1554" s="54">
        <f>STOCK[[#This Row],[Costo total]]*STOCK[[#This Row],[Entradas]]</f>
        <v>10</v>
      </c>
      <c r="AB1554" s="54">
        <f>STOCK[[#This Row],[Stock Actual]]*STOCK[[#This Row],[Costo total]]</f>
        <v>10</v>
      </c>
      <c r="AC1554" s="75"/>
      <c r="AD1554" s="82"/>
    </row>
    <row r="1555" spans="1:30" s="53" customFormat="1" ht="50" customHeight="1">
      <c r="A1555" s="53" t="s">
        <v>3086</v>
      </c>
      <c r="B1555" s="69" t="e" vm="1">
        <f ca="1">_xlfn.DISPIMG("ID_A226EDE5909E4F87B1E614E6A87D6A8A",1)</f>
        <v>#NAME?</v>
      </c>
      <c r="C1555" s="53" t="s">
        <v>32</v>
      </c>
      <c r="D1555" s="53" t="s">
        <v>735</v>
      </c>
      <c r="E1555" s="65" t="s">
        <v>3087</v>
      </c>
      <c r="F1555" s="53" t="s">
        <v>49</v>
      </c>
      <c r="H1555" s="75">
        <f>STOCK[[#This Row],[Precio Final]]</f>
        <v>25</v>
      </c>
      <c r="I1555" s="80">
        <f>STOCK[[#This Row],[Precio Venta Ideal (x1.5)]]</f>
        <v>15.75</v>
      </c>
      <c r="J1555" s="69">
        <v>1</v>
      </c>
      <c r="K1555" s="78">
        <f>SUMIFS(VENTAS[Cantidad],VENTAS[Código del producto Vendido],STOCK[[#This Row],[Code]])</f>
        <v>0</v>
      </c>
      <c r="L1555" s="78">
        <f>STOCK[[#This Row],[Entradas]]-STOCK[[#This Row],[Salidas]]</f>
        <v>1</v>
      </c>
      <c r="M1555" s="75">
        <f>STOCK[[#This Row],[Precio Final]]*10%</f>
        <v>2.5</v>
      </c>
      <c r="N1555" s="54">
        <v>0</v>
      </c>
      <c r="O1555" s="75">
        <v>0</v>
      </c>
      <c r="P1555" s="53">
        <v>8</v>
      </c>
      <c r="Q1555" s="69">
        <v>0</v>
      </c>
      <c r="R1555" s="54">
        <v>0</v>
      </c>
      <c r="S1555" s="54">
        <v>0</v>
      </c>
      <c r="T1555" s="75">
        <f>STOCK[[#This Row],[Costo Unitario (USD)]]+STOCK[[#This Row],[Costo Envío (USD)]]+STOCK[[#This Row],[Comisión 10%]]</f>
        <v>10.5</v>
      </c>
      <c r="U1555" s="53">
        <f>STOCK[[#This Row],[Costo total]]*1.5</f>
        <v>15.75</v>
      </c>
      <c r="V1555" s="53">
        <v>25</v>
      </c>
      <c r="W1555" s="75">
        <f>STOCK[[#This Row],[Precio Final]]-STOCK[[#This Row],[Costo total]]</f>
        <v>14.5</v>
      </c>
      <c r="X1555" s="75">
        <f>STOCK[[#This Row],[Ganancia Unitaria]]*STOCK[[#This Row],[Salidas]]</f>
        <v>0</v>
      </c>
      <c r="Y1555" s="75"/>
      <c r="Z1555" s="75"/>
      <c r="AA1555" s="54">
        <f>STOCK[[#This Row],[Costo total]]*STOCK[[#This Row],[Entradas]]</f>
        <v>10.5</v>
      </c>
      <c r="AB1555" s="54">
        <f>STOCK[[#This Row],[Stock Actual]]*STOCK[[#This Row],[Costo total]]</f>
        <v>10.5</v>
      </c>
      <c r="AC1555" s="75"/>
      <c r="AD1555" s="82"/>
    </row>
    <row r="1556" spans="1:30" s="53" customFormat="1" ht="50" customHeight="1">
      <c r="A1556" s="53" t="s">
        <v>3088</v>
      </c>
      <c r="B1556" s="69" t="e" vm="1">
        <f ca="1">_xlfn.DISPIMG("ID_EED211429BA64BACA72B7F2FF9873304",1)</f>
        <v>#NAME?</v>
      </c>
      <c r="C1556" s="53" t="s">
        <v>32</v>
      </c>
      <c r="D1556" s="53" t="s">
        <v>779</v>
      </c>
      <c r="E1556" s="65" t="s">
        <v>3089</v>
      </c>
      <c r="F1556" s="53" t="s">
        <v>46</v>
      </c>
      <c r="H1556" s="75">
        <f>STOCK[[#This Row],[Precio Final]]</f>
        <v>22</v>
      </c>
      <c r="I1556" s="80">
        <f>STOCK[[#This Row],[Precio Venta Ideal (x1.5)]]</f>
        <v>15.299999999999999</v>
      </c>
      <c r="J1556" s="69">
        <v>1</v>
      </c>
      <c r="K1556" s="78">
        <f>SUMIFS(VENTAS[Cantidad],VENTAS[Código del producto Vendido],STOCK[[#This Row],[Code]])</f>
        <v>0</v>
      </c>
      <c r="L1556" s="78">
        <f>STOCK[[#This Row],[Entradas]]-STOCK[[#This Row],[Salidas]]</f>
        <v>1</v>
      </c>
      <c r="M1556" s="75">
        <f>STOCK[[#This Row],[Precio Final]]*10%</f>
        <v>2.2000000000000002</v>
      </c>
      <c r="N1556" s="53">
        <v>0</v>
      </c>
      <c r="O1556" s="75">
        <v>0</v>
      </c>
      <c r="P1556" s="53">
        <v>8</v>
      </c>
      <c r="Q1556" s="70">
        <v>0</v>
      </c>
      <c r="R1556" s="53">
        <v>0</v>
      </c>
      <c r="S1556" s="54">
        <v>0</v>
      </c>
      <c r="T1556" s="75">
        <f>STOCK[[#This Row],[Costo Unitario (USD)]]+STOCK[[#This Row],[Costo Envío (USD)]]+STOCK[[#This Row],[Comisión 10%]]</f>
        <v>10.199999999999999</v>
      </c>
      <c r="U1556" s="53">
        <f>STOCK[[#This Row],[Costo total]]*1.5</f>
        <v>15.299999999999999</v>
      </c>
      <c r="V1556" s="53">
        <v>22</v>
      </c>
      <c r="W1556" s="75">
        <f>STOCK[[#This Row],[Precio Final]]-STOCK[[#This Row],[Costo total]]</f>
        <v>11.8</v>
      </c>
      <c r="X1556" s="75">
        <f>STOCK[[#This Row],[Ganancia Unitaria]]*STOCK[[#This Row],[Salidas]]</f>
        <v>0</v>
      </c>
      <c r="Y1556" s="75"/>
      <c r="Z1556" s="75"/>
      <c r="AA1556" s="54">
        <f>STOCK[[#This Row],[Costo total]]*STOCK[[#This Row],[Entradas]]</f>
        <v>10.199999999999999</v>
      </c>
      <c r="AB1556" s="54">
        <f>STOCK[[#This Row],[Stock Actual]]*STOCK[[#This Row],[Costo total]]</f>
        <v>10.199999999999999</v>
      </c>
      <c r="AC1556" s="75"/>
      <c r="AD1556" s="82"/>
    </row>
    <row r="1557" spans="1:30" s="53" customFormat="1" ht="50" customHeight="1">
      <c r="A1557" s="53" t="s">
        <v>3090</v>
      </c>
      <c r="B1557" s="69" t="e" vm="1">
        <f ca="1">_xlfn.DISPIMG("ID_D60116D6E0C0406A8C0F939D86334CF9",1)</f>
        <v>#NAME?</v>
      </c>
      <c r="C1557" s="53" t="s">
        <v>32</v>
      </c>
      <c r="D1557" s="53" t="s">
        <v>779</v>
      </c>
      <c r="E1557" s="65" t="s">
        <v>3091</v>
      </c>
      <c r="F1557" s="53" t="s">
        <v>46</v>
      </c>
      <c r="H1557" s="75">
        <f>STOCK[[#This Row],[Precio Final]]</f>
        <v>22</v>
      </c>
      <c r="I1557" s="80">
        <f>STOCK[[#This Row],[Precio Venta Ideal (x1.5)]]</f>
        <v>15.299999999999999</v>
      </c>
      <c r="J1557" s="69">
        <v>1</v>
      </c>
      <c r="K1557" s="78">
        <f>SUMIFS(VENTAS[Cantidad],VENTAS[Código del producto Vendido],STOCK[[#This Row],[Code]])</f>
        <v>1</v>
      </c>
      <c r="L1557" s="78">
        <f>STOCK[[#This Row],[Entradas]]-STOCK[[#This Row],[Salidas]]</f>
        <v>0</v>
      </c>
      <c r="M1557" s="75">
        <f>STOCK[[#This Row],[Precio Final]]*10%</f>
        <v>2.2000000000000002</v>
      </c>
      <c r="N1557" s="54">
        <v>0</v>
      </c>
      <c r="O1557" s="75">
        <v>0</v>
      </c>
      <c r="P1557" s="53">
        <v>8</v>
      </c>
      <c r="Q1557" s="69">
        <v>0</v>
      </c>
      <c r="R1557" s="54">
        <v>0</v>
      </c>
      <c r="S1557" s="53">
        <v>0</v>
      </c>
      <c r="T1557" s="75">
        <f>STOCK[[#This Row],[Costo Unitario (USD)]]+STOCK[[#This Row],[Costo Envío (USD)]]+STOCK[[#This Row],[Comisión 10%]]</f>
        <v>10.199999999999999</v>
      </c>
      <c r="U1557" s="53">
        <f>STOCK[[#This Row],[Costo total]]*1.5</f>
        <v>15.299999999999999</v>
      </c>
      <c r="V1557" s="53">
        <v>22</v>
      </c>
      <c r="W1557" s="75">
        <f>STOCK[[#This Row],[Precio Final]]-STOCK[[#This Row],[Costo total]]</f>
        <v>11.8</v>
      </c>
      <c r="X1557" s="75">
        <f>STOCK[[#This Row],[Ganancia Unitaria]]*STOCK[[#This Row],[Salidas]]</f>
        <v>11.8</v>
      </c>
      <c r="Y1557" s="75"/>
      <c r="Z1557" s="75"/>
      <c r="AA1557" s="54">
        <f>STOCK[[#This Row],[Costo total]]*STOCK[[#This Row],[Entradas]]</f>
        <v>10.199999999999999</v>
      </c>
      <c r="AB1557" s="54">
        <f>STOCK[[#This Row],[Stock Actual]]*STOCK[[#This Row],[Costo total]]</f>
        <v>0</v>
      </c>
      <c r="AC1557" s="75"/>
      <c r="AD1557" s="82"/>
    </row>
    <row r="1558" spans="1:30" s="53" customFormat="1" ht="50" customHeight="1">
      <c r="A1558" s="53" t="s">
        <v>3092</v>
      </c>
      <c r="B1558" s="69" t="e" vm="1">
        <f ca="1">_xlfn.DISPIMG("ID_611E317D4601404D973F1AA71F19BB1B",1)</f>
        <v>#NAME?</v>
      </c>
      <c r="C1558" s="53" t="s">
        <v>32</v>
      </c>
      <c r="D1558" s="53" t="s">
        <v>779</v>
      </c>
      <c r="E1558" s="65" t="s">
        <v>3091</v>
      </c>
      <c r="F1558" s="53" t="s">
        <v>42</v>
      </c>
      <c r="H1558" s="75">
        <f>STOCK[[#This Row],[Precio Final]]</f>
        <v>22</v>
      </c>
      <c r="I1558" s="80">
        <f>STOCK[[#This Row],[Precio Venta Ideal (x1.5)]]</f>
        <v>15.299999999999999</v>
      </c>
      <c r="J1558" s="69">
        <v>1</v>
      </c>
      <c r="K1558" s="78">
        <f>SUMIFS(VENTAS[Cantidad],VENTAS[Código del producto Vendido],STOCK[[#This Row],[Code]])</f>
        <v>0</v>
      </c>
      <c r="L1558" s="78">
        <f>STOCK[[#This Row],[Entradas]]-STOCK[[#This Row],[Salidas]]</f>
        <v>1</v>
      </c>
      <c r="M1558" s="75">
        <f>STOCK[[#This Row],[Precio Final]]*10%</f>
        <v>2.2000000000000002</v>
      </c>
      <c r="N1558" s="54">
        <v>0</v>
      </c>
      <c r="O1558" s="75">
        <v>0</v>
      </c>
      <c r="P1558" s="53">
        <v>8</v>
      </c>
      <c r="Q1558" s="69">
        <v>0</v>
      </c>
      <c r="R1558" s="53">
        <v>0</v>
      </c>
      <c r="S1558" s="54">
        <v>0</v>
      </c>
      <c r="T1558" s="75">
        <f>STOCK[[#This Row],[Costo Unitario (USD)]]+STOCK[[#This Row],[Costo Envío (USD)]]+STOCK[[#This Row],[Comisión 10%]]</f>
        <v>10.199999999999999</v>
      </c>
      <c r="U1558" s="53">
        <f>STOCK[[#This Row],[Costo total]]*1.5</f>
        <v>15.299999999999999</v>
      </c>
      <c r="V1558" s="53">
        <v>22</v>
      </c>
      <c r="W1558" s="75">
        <f>STOCK[[#This Row],[Precio Final]]-STOCK[[#This Row],[Costo total]]</f>
        <v>11.8</v>
      </c>
      <c r="X1558" s="75">
        <f>STOCK[[#This Row],[Ganancia Unitaria]]*STOCK[[#This Row],[Salidas]]</f>
        <v>0</v>
      </c>
      <c r="Y1558" s="75"/>
      <c r="Z1558" s="75"/>
      <c r="AA1558" s="54">
        <f>STOCK[[#This Row],[Costo total]]*STOCK[[#This Row],[Entradas]]</f>
        <v>10.199999999999999</v>
      </c>
      <c r="AB1558" s="54">
        <f>STOCK[[#This Row],[Stock Actual]]*STOCK[[#This Row],[Costo total]]</f>
        <v>10.199999999999999</v>
      </c>
      <c r="AC1558" s="75"/>
      <c r="AD1558" s="82"/>
    </row>
    <row r="1559" spans="1:30" s="53" customFormat="1" ht="50" customHeight="1">
      <c r="A1559" s="53" t="s">
        <v>3093</v>
      </c>
      <c r="B1559" s="69" t="e" vm="1">
        <f ca="1">_xlfn.DISPIMG("ID_2F46D2B8CA1649B9AE80B0FC68C14A3A",1)</f>
        <v>#NAME?</v>
      </c>
      <c r="C1559" s="53" t="s">
        <v>32</v>
      </c>
      <c r="D1559" s="53" t="s">
        <v>779</v>
      </c>
      <c r="E1559" s="65" t="s">
        <v>3094</v>
      </c>
      <c r="F1559" s="53" t="s">
        <v>49</v>
      </c>
      <c r="H1559" s="75">
        <f>STOCK[[#This Row],[Precio Final]]</f>
        <v>22</v>
      </c>
      <c r="I1559" s="80">
        <f>STOCK[[#This Row],[Precio Venta Ideal (x1.5)]]</f>
        <v>15.299999999999999</v>
      </c>
      <c r="J1559" s="69">
        <v>1</v>
      </c>
      <c r="K1559" s="78">
        <f>SUMIFS(VENTAS[Cantidad],VENTAS[Código del producto Vendido],STOCK[[#This Row],[Code]])</f>
        <v>0</v>
      </c>
      <c r="L1559" s="78">
        <f>STOCK[[#This Row],[Entradas]]-STOCK[[#This Row],[Salidas]]</f>
        <v>1</v>
      </c>
      <c r="M1559" s="75">
        <f>STOCK[[#This Row],[Precio Final]]*10%</f>
        <v>2.2000000000000002</v>
      </c>
      <c r="N1559" s="53">
        <v>0</v>
      </c>
      <c r="O1559" s="75">
        <v>0</v>
      </c>
      <c r="P1559" s="53">
        <v>8</v>
      </c>
      <c r="Q1559" s="70">
        <v>0</v>
      </c>
      <c r="R1559" s="54">
        <v>0</v>
      </c>
      <c r="S1559" s="54">
        <v>0</v>
      </c>
      <c r="T1559" s="75">
        <f>STOCK[[#This Row],[Costo Unitario (USD)]]+STOCK[[#This Row],[Costo Envío (USD)]]+STOCK[[#This Row],[Comisión 10%]]</f>
        <v>10.199999999999999</v>
      </c>
      <c r="U1559" s="53">
        <f>STOCK[[#This Row],[Costo total]]*1.5</f>
        <v>15.299999999999999</v>
      </c>
      <c r="V1559" s="53">
        <v>22</v>
      </c>
      <c r="W1559" s="75">
        <f>STOCK[[#This Row],[Precio Final]]-STOCK[[#This Row],[Costo total]]</f>
        <v>11.8</v>
      </c>
      <c r="X1559" s="75">
        <f>STOCK[[#This Row],[Ganancia Unitaria]]*STOCK[[#This Row],[Salidas]]</f>
        <v>0</v>
      </c>
      <c r="Y1559" s="75"/>
      <c r="Z1559" s="75"/>
      <c r="AA1559" s="54">
        <f>STOCK[[#This Row],[Costo total]]*STOCK[[#This Row],[Entradas]]</f>
        <v>10.199999999999999</v>
      </c>
      <c r="AB1559" s="54">
        <f>STOCK[[#This Row],[Stock Actual]]*STOCK[[#This Row],[Costo total]]</f>
        <v>10.199999999999999</v>
      </c>
      <c r="AC1559" s="75"/>
      <c r="AD1559" s="82"/>
    </row>
    <row r="1560" spans="1:30" s="53" customFormat="1" ht="50" customHeight="1">
      <c r="A1560" s="53" t="s">
        <v>3095</v>
      </c>
      <c r="B1560" s="69" t="e" vm="1">
        <f ca="1">_xlfn.DISPIMG("ID_FBD24FC94EB94F35BE3094CDBAF42CDD",1)</f>
        <v>#NAME?</v>
      </c>
      <c r="C1560" s="53" t="s">
        <v>32</v>
      </c>
      <c r="D1560" s="53" t="s">
        <v>779</v>
      </c>
      <c r="E1560" s="65" t="s">
        <v>3096</v>
      </c>
      <c r="F1560" s="53" t="s">
        <v>46</v>
      </c>
      <c r="H1560" s="75">
        <f>STOCK[[#This Row],[Precio Final]]</f>
        <v>22</v>
      </c>
      <c r="I1560" s="80">
        <f>STOCK[[#This Row],[Precio Venta Ideal (x1.5)]]</f>
        <v>15.299999999999999</v>
      </c>
      <c r="J1560" s="69">
        <v>1</v>
      </c>
      <c r="K1560" s="78">
        <f>SUMIFS(VENTAS[Cantidad],VENTAS[Código del producto Vendido],STOCK[[#This Row],[Code]])</f>
        <v>0</v>
      </c>
      <c r="L1560" s="78">
        <f>STOCK[[#This Row],[Entradas]]-STOCK[[#This Row],[Salidas]]</f>
        <v>1</v>
      </c>
      <c r="M1560" s="75">
        <f>STOCK[[#This Row],[Precio Final]]*10%</f>
        <v>2.2000000000000002</v>
      </c>
      <c r="N1560" s="54">
        <v>0</v>
      </c>
      <c r="O1560" s="75">
        <v>0</v>
      </c>
      <c r="P1560" s="53">
        <v>8</v>
      </c>
      <c r="Q1560" s="69">
        <v>0</v>
      </c>
      <c r="R1560" s="53">
        <v>0</v>
      </c>
      <c r="S1560" s="53">
        <v>0</v>
      </c>
      <c r="T1560" s="75">
        <f>STOCK[[#This Row],[Costo Unitario (USD)]]+STOCK[[#This Row],[Costo Envío (USD)]]+STOCK[[#This Row],[Comisión 10%]]</f>
        <v>10.199999999999999</v>
      </c>
      <c r="U1560" s="53">
        <f>STOCK[[#This Row],[Costo total]]*1.5</f>
        <v>15.299999999999999</v>
      </c>
      <c r="V1560" s="53">
        <v>22</v>
      </c>
      <c r="W1560" s="75">
        <f>STOCK[[#This Row],[Precio Final]]-STOCK[[#This Row],[Costo total]]</f>
        <v>11.8</v>
      </c>
      <c r="X1560" s="75">
        <f>STOCK[[#This Row],[Ganancia Unitaria]]*STOCK[[#This Row],[Salidas]]</f>
        <v>0</v>
      </c>
      <c r="Y1560" s="75"/>
      <c r="Z1560" s="75"/>
      <c r="AA1560" s="54">
        <f>STOCK[[#This Row],[Costo total]]*STOCK[[#This Row],[Entradas]]</f>
        <v>10.199999999999999</v>
      </c>
      <c r="AB1560" s="54">
        <f>STOCK[[#This Row],[Stock Actual]]*STOCK[[#This Row],[Costo total]]</f>
        <v>10.199999999999999</v>
      </c>
      <c r="AC1560" s="75"/>
      <c r="AD1560" s="82"/>
    </row>
    <row r="1561" spans="1:30" s="53" customFormat="1" ht="50" customHeight="1">
      <c r="A1561" s="53" t="s">
        <v>3097</v>
      </c>
      <c r="B1561" s="69" t="e" vm="1">
        <f ca="1">_xlfn.DISPIMG("ID_07AD7DA15D69462BADBED3B2588A0DA3",1)</f>
        <v>#NAME?</v>
      </c>
      <c r="C1561" s="53" t="s">
        <v>32</v>
      </c>
      <c r="D1561" s="53" t="s">
        <v>779</v>
      </c>
      <c r="E1561" s="65" t="s">
        <v>3098</v>
      </c>
      <c r="F1561" s="53" t="s">
        <v>49</v>
      </c>
      <c r="H1561" s="75">
        <f>STOCK[[#This Row],[Precio Final]]</f>
        <v>22</v>
      </c>
      <c r="I1561" s="80">
        <f>STOCK[[#This Row],[Precio Venta Ideal (x1.5)]]</f>
        <v>15.299999999999999</v>
      </c>
      <c r="J1561" s="69">
        <v>1</v>
      </c>
      <c r="K1561" s="78">
        <f>SUMIFS(VENTAS[Cantidad],VENTAS[Código del producto Vendido],STOCK[[#This Row],[Code]])</f>
        <v>0</v>
      </c>
      <c r="L1561" s="78">
        <f>STOCK[[#This Row],[Entradas]]-STOCK[[#This Row],[Salidas]]</f>
        <v>1</v>
      </c>
      <c r="M1561" s="75">
        <f>STOCK[[#This Row],[Precio Final]]*10%</f>
        <v>2.2000000000000002</v>
      </c>
      <c r="N1561" s="53">
        <v>0</v>
      </c>
      <c r="O1561" s="75">
        <v>0</v>
      </c>
      <c r="P1561" s="53">
        <v>8</v>
      </c>
      <c r="Q1561" s="69">
        <v>0</v>
      </c>
      <c r="R1561" s="53">
        <v>0</v>
      </c>
      <c r="S1561" s="53">
        <v>0</v>
      </c>
      <c r="T1561" s="75">
        <f>STOCK[[#This Row],[Costo Unitario (USD)]]+STOCK[[#This Row],[Costo Envío (USD)]]+STOCK[[#This Row],[Comisión 10%]]</f>
        <v>10.199999999999999</v>
      </c>
      <c r="U1561" s="53">
        <f>STOCK[[#This Row],[Costo total]]*1.5</f>
        <v>15.299999999999999</v>
      </c>
      <c r="V1561" s="53">
        <v>22</v>
      </c>
      <c r="W1561" s="75">
        <f>STOCK[[#This Row],[Precio Final]]-STOCK[[#This Row],[Costo total]]</f>
        <v>11.8</v>
      </c>
      <c r="X1561" s="75">
        <f>STOCK[[#This Row],[Ganancia Unitaria]]*STOCK[[#This Row],[Salidas]]</f>
        <v>0</v>
      </c>
      <c r="Y1561" s="75"/>
      <c r="Z1561" s="75"/>
      <c r="AA1561" s="54">
        <f>STOCK[[#This Row],[Costo total]]*STOCK[[#This Row],[Entradas]]</f>
        <v>10.199999999999999</v>
      </c>
      <c r="AB1561" s="54">
        <f>STOCK[[#This Row],[Stock Actual]]*STOCK[[#This Row],[Costo total]]</f>
        <v>10.199999999999999</v>
      </c>
      <c r="AC1561" s="75"/>
      <c r="AD1561" s="82"/>
    </row>
    <row r="1562" spans="1:30" s="53" customFormat="1" ht="50" customHeight="1">
      <c r="A1562" s="53" t="s">
        <v>3099</v>
      </c>
      <c r="C1562" s="53" t="s">
        <v>32</v>
      </c>
      <c r="D1562" s="53" t="s">
        <v>779</v>
      </c>
      <c r="E1562" s="65" t="s">
        <v>3100</v>
      </c>
      <c r="F1562" s="53" t="s">
        <v>62</v>
      </c>
      <c r="H1562" s="75">
        <f>STOCK[[#This Row],[Precio Final]]</f>
        <v>15</v>
      </c>
      <c r="I1562" s="80">
        <f>STOCK[[#This Row],[Precio Venta Ideal (x1.5)]]</f>
        <v>14.25</v>
      </c>
      <c r="J1562" s="69">
        <v>1</v>
      </c>
      <c r="K1562" s="78">
        <f>SUMIFS(VENTAS[Cantidad],VENTAS[Código del producto Vendido],STOCK[[#This Row],[Code]])</f>
        <v>1</v>
      </c>
      <c r="L1562" s="78">
        <f>STOCK[[#This Row],[Entradas]]-STOCK[[#This Row],[Salidas]]</f>
        <v>0</v>
      </c>
      <c r="M1562" s="75">
        <f>STOCK[[#This Row],[Precio Final]]*10%</f>
        <v>1.5</v>
      </c>
      <c r="N1562" s="53">
        <v>0</v>
      </c>
      <c r="O1562" s="75">
        <v>0</v>
      </c>
      <c r="P1562" s="53">
        <v>8</v>
      </c>
      <c r="Q1562" s="69">
        <v>0</v>
      </c>
      <c r="R1562" s="54">
        <v>0</v>
      </c>
      <c r="S1562" s="54">
        <v>0</v>
      </c>
      <c r="T1562" s="75">
        <f>STOCK[[#This Row],[Costo Unitario (USD)]]+STOCK[[#This Row],[Costo Envío (USD)]]+STOCK[[#This Row],[Comisión 10%]]</f>
        <v>9.5</v>
      </c>
      <c r="U1562" s="53">
        <f>STOCK[[#This Row],[Costo total]]*1.5</f>
        <v>14.25</v>
      </c>
      <c r="V1562" s="53">
        <v>15</v>
      </c>
      <c r="W1562" s="75">
        <f>STOCK[[#This Row],[Precio Final]]-STOCK[[#This Row],[Costo total]]</f>
        <v>5.5</v>
      </c>
      <c r="X1562" s="75">
        <f>STOCK[[#This Row],[Ganancia Unitaria]]*STOCK[[#This Row],[Salidas]]</f>
        <v>5.5</v>
      </c>
      <c r="Y1562" s="75"/>
      <c r="Z1562" s="75"/>
      <c r="AA1562" s="54">
        <f>STOCK[[#This Row],[Costo total]]*STOCK[[#This Row],[Entradas]]</f>
        <v>9.5</v>
      </c>
      <c r="AB1562" s="54">
        <f>STOCK[[#This Row],[Stock Actual]]*STOCK[[#This Row],[Costo total]]</f>
        <v>0</v>
      </c>
      <c r="AC1562" s="75"/>
      <c r="AD1562" s="82"/>
    </row>
    <row r="1563" spans="1:30" s="53" customFormat="1" ht="50" customHeight="1">
      <c r="A1563" s="53" t="s">
        <v>3101</v>
      </c>
      <c r="C1563" s="53" t="s">
        <v>32</v>
      </c>
      <c r="D1563" s="53" t="s">
        <v>3102</v>
      </c>
      <c r="E1563" s="65" t="s">
        <v>3103</v>
      </c>
      <c r="F1563" s="53" t="s">
        <v>49</v>
      </c>
      <c r="H1563" s="75">
        <f>STOCK[[#This Row],[Precio Final]]</f>
        <v>12</v>
      </c>
      <c r="I1563" s="80">
        <f>STOCK[[#This Row],[Precio Venta Ideal (x1.5)]]</f>
        <v>13.799999999999999</v>
      </c>
      <c r="J1563" s="69">
        <v>3</v>
      </c>
      <c r="K1563" s="78">
        <f>SUMIFS(VENTAS[Cantidad],VENTAS[Código del producto Vendido],STOCK[[#This Row],[Code]])</f>
        <v>0</v>
      </c>
      <c r="L1563" s="78">
        <f>STOCK[[#This Row],[Entradas]]-STOCK[[#This Row],[Salidas]]</f>
        <v>3</v>
      </c>
      <c r="M1563" s="75">
        <f>STOCK[[#This Row],[Precio Final]]*10%</f>
        <v>1.2000000000000002</v>
      </c>
      <c r="N1563" s="54">
        <v>0</v>
      </c>
      <c r="O1563" s="75">
        <v>0</v>
      </c>
      <c r="P1563" s="53">
        <v>8</v>
      </c>
      <c r="Q1563" s="70">
        <v>0</v>
      </c>
      <c r="R1563" s="53">
        <v>0</v>
      </c>
      <c r="S1563" s="54">
        <v>0</v>
      </c>
      <c r="T1563" s="75">
        <f>STOCK[[#This Row],[Costo Unitario (USD)]]+STOCK[[#This Row],[Costo Envío (USD)]]+STOCK[[#This Row],[Comisión 10%]]</f>
        <v>9.1999999999999993</v>
      </c>
      <c r="U1563" s="53">
        <f>STOCK[[#This Row],[Costo total]]*1.5</f>
        <v>13.799999999999999</v>
      </c>
      <c r="V1563" s="53">
        <v>12</v>
      </c>
      <c r="W1563" s="75">
        <f>STOCK[[#This Row],[Precio Final]]-STOCK[[#This Row],[Costo total]]</f>
        <v>2.8000000000000007</v>
      </c>
      <c r="X1563" s="75">
        <f>STOCK[[#This Row],[Ganancia Unitaria]]*STOCK[[#This Row],[Salidas]]</f>
        <v>0</v>
      </c>
      <c r="Y1563" s="75"/>
      <c r="Z1563" s="75"/>
      <c r="AA1563" s="54">
        <f>STOCK[[#This Row],[Costo total]]*STOCK[[#This Row],[Entradas]]</f>
        <v>27.599999999999998</v>
      </c>
      <c r="AB1563" s="54">
        <f>STOCK[[#This Row],[Stock Actual]]*STOCK[[#This Row],[Costo total]]</f>
        <v>27.599999999999998</v>
      </c>
      <c r="AC1563" s="75"/>
      <c r="AD1563" s="82"/>
    </row>
    <row r="1564" spans="1:30" s="53" customFormat="1" ht="50" customHeight="1">
      <c r="A1564" s="53" t="s">
        <v>3104</v>
      </c>
      <c r="C1564" s="53" t="s">
        <v>32</v>
      </c>
      <c r="D1564" s="53" t="s">
        <v>3102</v>
      </c>
      <c r="E1564" s="65" t="s">
        <v>3105</v>
      </c>
      <c r="F1564" s="53" t="s">
        <v>62</v>
      </c>
      <c r="H1564" s="75">
        <f>STOCK[[#This Row],[Precio Final]]</f>
        <v>12</v>
      </c>
      <c r="I1564" s="80">
        <f>STOCK[[#This Row],[Precio Venta Ideal (x1.5)]]</f>
        <v>13.799999999999999</v>
      </c>
      <c r="J1564" s="69">
        <v>0</v>
      </c>
      <c r="K1564" s="78">
        <f>SUMIFS(VENTAS[Cantidad],VENTAS[Código del producto Vendido],STOCK[[#This Row],[Code]])</f>
        <v>0</v>
      </c>
      <c r="L1564" s="78">
        <f>STOCK[[#This Row],[Entradas]]-STOCK[[#This Row],[Salidas]]</f>
        <v>0</v>
      </c>
      <c r="M1564" s="75">
        <f>STOCK[[#This Row],[Precio Final]]*10%</f>
        <v>1.2000000000000002</v>
      </c>
      <c r="N1564" s="54">
        <v>0</v>
      </c>
      <c r="O1564" s="75">
        <v>0</v>
      </c>
      <c r="P1564" s="53">
        <v>8</v>
      </c>
      <c r="Q1564" s="69">
        <v>0</v>
      </c>
      <c r="R1564" s="54">
        <v>0</v>
      </c>
      <c r="S1564" s="53">
        <v>0</v>
      </c>
      <c r="T1564" s="75">
        <f>STOCK[[#This Row],[Costo Unitario (USD)]]+STOCK[[#This Row],[Costo Envío (USD)]]+STOCK[[#This Row],[Comisión 10%]]</f>
        <v>9.1999999999999993</v>
      </c>
      <c r="U1564" s="53">
        <f>STOCK[[#This Row],[Costo total]]*1.5</f>
        <v>13.799999999999999</v>
      </c>
      <c r="V1564" s="53">
        <v>12</v>
      </c>
      <c r="W1564" s="75">
        <f>STOCK[[#This Row],[Precio Final]]-STOCK[[#This Row],[Costo total]]</f>
        <v>2.8000000000000007</v>
      </c>
      <c r="X1564" s="75">
        <f>STOCK[[#This Row],[Ganancia Unitaria]]*STOCK[[#This Row],[Salidas]]</f>
        <v>0</v>
      </c>
      <c r="Y1564" s="75"/>
      <c r="Z1564" s="75"/>
      <c r="AA1564" s="54">
        <f>STOCK[[#This Row],[Costo total]]*STOCK[[#This Row],[Entradas]]</f>
        <v>0</v>
      </c>
      <c r="AB1564" s="54">
        <f>STOCK[[#This Row],[Stock Actual]]*STOCK[[#This Row],[Costo total]]</f>
        <v>0</v>
      </c>
      <c r="AC1564" s="75"/>
      <c r="AD1564" s="82"/>
    </row>
    <row r="1565" spans="1:30" s="53" customFormat="1" ht="50" customHeight="1">
      <c r="A1565" s="53" t="s">
        <v>3106</v>
      </c>
      <c r="C1565" s="53" t="s">
        <v>32</v>
      </c>
      <c r="D1565" s="53" t="s">
        <v>779</v>
      </c>
      <c r="E1565" s="65" t="s">
        <v>3107</v>
      </c>
      <c r="F1565" s="53" t="s">
        <v>42</v>
      </c>
      <c r="H1565" s="75">
        <f>STOCK[[#This Row],[Precio Final]]</f>
        <v>15</v>
      </c>
      <c r="I1565" s="80">
        <f>STOCK[[#This Row],[Precio Venta Ideal (x1.5)]]</f>
        <v>14.25</v>
      </c>
      <c r="J1565" s="69">
        <v>1</v>
      </c>
      <c r="K1565" s="78">
        <f>SUMIFS(VENTAS[Cantidad],VENTAS[Código del producto Vendido],STOCK[[#This Row],[Code]])</f>
        <v>1</v>
      </c>
      <c r="L1565" s="78">
        <f>STOCK[[#This Row],[Entradas]]-STOCK[[#This Row],[Salidas]]</f>
        <v>0</v>
      </c>
      <c r="M1565" s="75">
        <f>STOCK[[#This Row],[Precio Final]]*10%</f>
        <v>1.5</v>
      </c>
      <c r="N1565" s="53">
        <v>0</v>
      </c>
      <c r="O1565" s="75">
        <v>0</v>
      </c>
      <c r="P1565" s="53">
        <v>8</v>
      </c>
      <c r="Q1565" s="69">
        <v>0</v>
      </c>
      <c r="R1565" s="53">
        <v>0</v>
      </c>
      <c r="S1565" s="54">
        <v>0</v>
      </c>
      <c r="T1565" s="75">
        <f>STOCK[[#This Row],[Costo Unitario (USD)]]+STOCK[[#This Row],[Costo Envío (USD)]]+STOCK[[#This Row],[Comisión 10%]]</f>
        <v>9.5</v>
      </c>
      <c r="U1565" s="53">
        <f>STOCK[[#This Row],[Costo total]]*1.5</f>
        <v>14.25</v>
      </c>
      <c r="V1565" s="53">
        <v>15</v>
      </c>
      <c r="W1565" s="75">
        <f>STOCK[[#This Row],[Precio Final]]-STOCK[[#This Row],[Costo total]]</f>
        <v>5.5</v>
      </c>
      <c r="X1565" s="75">
        <f>STOCK[[#This Row],[Ganancia Unitaria]]*STOCK[[#This Row],[Salidas]]</f>
        <v>5.5</v>
      </c>
      <c r="Y1565" s="75"/>
      <c r="Z1565" s="75"/>
      <c r="AA1565" s="54">
        <f>STOCK[[#This Row],[Costo total]]*STOCK[[#This Row],[Entradas]]</f>
        <v>9.5</v>
      </c>
      <c r="AB1565" s="54">
        <f>STOCK[[#This Row],[Stock Actual]]*STOCK[[#This Row],[Costo total]]</f>
        <v>0</v>
      </c>
      <c r="AC1565" s="75"/>
      <c r="AD1565" s="82"/>
    </row>
    <row r="1566" spans="1:30" s="53" customFormat="1" ht="50" customHeight="1">
      <c r="A1566" s="53" t="s">
        <v>3108</v>
      </c>
      <c r="C1566" s="53" t="s">
        <v>32</v>
      </c>
      <c r="D1566" s="53" t="s">
        <v>779</v>
      </c>
      <c r="E1566" s="65" t="s">
        <v>3109</v>
      </c>
      <c r="F1566" s="53" t="s">
        <v>62</v>
      </c>
      <c r="H1566" s="75">
        <f>STOCK[[#This Row],[Precio Final]]</f>
        <v>15</v>
      </c>
      <c r="I1566" s="80">
        <f>STOCK[[#This Row],[Precio Venta Ideal (x1.5)]]</f>
        <v>14.25</v>
      </c>
      <c r="J1566" s="69">
        <v>1</v>
      </c>
      <c r="K1566" s="78">
        <f>SUMIFS(VENTAS[Cantidad],VENTAS[Código del producto Vendido],STOCK[[#This Row],[Code]])</f>
        <v>0</v>
      </c>
      <c r="L1566" s="78">
        <f>STOCK[[#This Row],[Entradas]]-STOCK[[#This Row],[Salidas]]</f>
        <v>1</v>
      </c>
      <c r="M1566" s="75">
        <f>STOCK[[#This Row],[Precio Final]]*10%</f>
        <v>1.5</v>
      </c>
      <c r="N1566" s="54">
        <v>0</v>
      </c>
      <c r="O1566" s="75">
        <v>0</v>
      </c>
      <c r="P1566" s="53">
        <v>8</v>
      </c>
      <c r="Q1566" s="70">
        <v>0</v>
      </c>
      <c r="R1566" s="54">
        <v>0</v>
      </c>
      <c r="S1566" s="54">
        <v>0</v>
      </c>
      <c r="T1566" s="75">
        <f>STOCK[[#This Row],[Costo Unitario (USD)]]+STOCK[[#This Row],[Costo Envío (USD)]]+STOCK[[#This Row],[Comisión 10%]]</f>
        <v>9.5</v>
      </c>
      <c r="U1566" s="53">
        <f>STOCK[[#This Row],[Costo total]]*1.5</f>
        <v>14.25</v>
      </c>
      <c r="V1566" s="53">
        <v>15</v>
      </c>
      <c r="W1566" s="75">
        <f>STOCK[[#This Row],[Precio Final]]-STOCK[[#This Row],[Costo total]]</f>
        <v>5.5</v>
      </c>
      <c r="X1566" s="75">
        <f>STOCK[[#This Row],[Ganancia Unitaria]]*STOCK[[#This Row],[Salidas]]</f>
        <v>0</v>
      </c>
      <c r="Y1566" s="75"/>
      <c r="Z1566" s="75"/>
      <c r="AA1566" s="54">
        <f>STOCK[[#This Row],[Costo total]]*STOCK[[#This Row],[Entradas]]</f>
        <v>9.5</v>
      </c>
      <c r="AB1566" s="54">
        <f>STOCK[[#This Row],[Stock Actual]]*STOCK[[#This Row],[Costo total]]</f>
        <v>9.5</v>
      </c>
      <c r="AC1566" s="75"/>
      <c r="AD1566" s="82"/>
    </row>
    <row r="1567" spans="1:30" s="53" customFormat="1" ht="50" customHeight="1">
      <c r="A1567" s="53" t="s">
        <v>3110</v>
      </c>
      <c r="C1567" s="53" t="s">
        <v>32</v>
      </c>
      <c r="D1567" s="53" t="s">
        <v>779</v>
      </c>
      <c r="E1567" s="65" t="s">
        <v>3111</v>
      </c>
      <c r="F1567" s="53" t="s">
        <v>49</v>
      </c>
      <c r="H1567" s="75">
        <f>STOCK[[#This Row],[Precio Final]]</f>
        <v>15</v>
      </c>
      <c r="I1567" s="80">
        <f>STOCK[[#This Row],[Precio Venta Ideal (x1.5)]]</f>
        <v>14.25</v>
      </c>
      <c r="J1567" s="69">
        <v>1</v>
      </c>
      <c r="K1567" s="78">
        <f>SUMIFS(VENTAS[Cantidad],VENTAS[Código del producto Vendido],STOCK[[#This Row],[Code]])</f>
        <v>0</v>
      </c>
      <c r="L1567" s="78">
        <f>STOCK[[#This Row],[Entradas]]-STOCK[[#This Row],[Salidas]]</f>
        <v>1</v>
      </c>
      <c r="M1567" s="75">
        <f>STOCK[[#This Row],[Precio Final]]*10%</f>
        <v>1.5</v>
      </c>
      <c r="N1567" s="53">
        <v>0</v>
      </c>
      <c r="O1567" s="75">
        <v>0</v>
      </c>
      <c r="P1567" s="53">
        <v>8</v>
      </c>
      <c r="Q1567" s="69">
        <v>0</v>
      </c>
      <c r="R1567" s="53">
        <v>0</v>
      </c>
      <c r="S1567" s="53">
        <v>0</v>
      </c>
      <c r="T1567" s="75">
        <f>STOCK[[#This Row],[Costo Unitario (USD)]]+STOCK[[#This Row],[Costo Envío (USD)]]+STOCK[[#This Row],[Comisión 10%]]</f>
        <v>9.5</v>
      </c>
      <c r="U1567" s="53">
        <f>STOCK[[#This Row],[Costo total]]*1.5</f>
        <v>14.25</v>
      </c>
      <c r="V1567" s="53">
        <v>15</v>
      </c>
      <c r="W1567" s="75">
        <f>STOCK[[#This Row],[Precio Final]]-STOCK[[#This Row],[Costo total]]</f>
        <v>5.5</v>
      </c>
      <c r="X1567" s="75">
        <f>STOCK[[#This Row],[Ganancia Unitaria]]*STOCK[[#This Row],[Salidas]]</f>
        <v>0</v>
      </c>
      <c r="Y1567" s="75"/>
      <c r="Z1567" s="75"/>
      <c r="AA1567" s="54">
        <f>STOCK[[#This Row],[Costo total]]*STOCK[[#This Row],[Entradas]]</f>
        <v>9.5</v>
      </c>
      <c r="AB1567" s="54">
        <f>STOCK[[#This Row],[Stock Actual]]*STOCK[[#This Row],[Costo total]]</f>
        <v>9.5</v>
      </c>
      <c r="AC1567" s="75"/>
      <c r="AD1567" s="82"/>
    </row>
    <row r="1568" spans="1:30" s="53" customFormat="1" ht="50" customHeight="1">
      <c r="A1568" s="53" t="s">
        <v>3112</v>
      </c>
      <c r="C1568" s="53" t="s">
        <v>32</v>
      </c>
      <c r="D1568" s="53" t="s">
        <v>779</v>
      </c>
      <c r="E1568" s="65" t="s">
        <v>3113</v>
      </c>
      <c r="F1568" s="53" t="s">
        <v>46</v>
      </c>
      <c r="H1568" s="75">
        <f>STOCK[[#This Row],[Precio Final]]</f>
        <v>15</v>
      </c>
      <c r="I1568" s="80">
        <f>STOCK[[#This Row],[Precio Venta Ideal (x1.5)]]</f>
        <v>14.25</v>
      </c>
      <c r="J1568" s="69">
        <v>2</v>
      </c>
      <c r="K1568" s="78">
        <f>SUMIFS(VENTAS[Cantidad],VENTAS[Código del producto Vendido],STOCK[[#This Row],[Code]])</f>
        <v>2</v>
      </c>
      <c r="L1568" s="78">
        <f>STOCK[[#This Row],[Entradas]]-STOCK[[#This Row],[Salidas]]</f>
        <v>0</v>
      </c>
      <c r="M1568" s="75">
        <f>STOCK[[#This Row],[Precio Final]]*10%</f>
        <v>1.5</v>
      </c>
      <c r="N1568" s="54">
        <v>0</v>
      </c>
      <c r="O1568" s="75">
        <v>0</v>
      </c>
      <c r="P1568" s="53">
        <v>8</v>
      </c>
      <c r="Q1568" s="69">
        <v>0</v>
      </c>
      <c r="R1568" s="54">
        <v>0</v>
      </c>
      <c r="S1568" s="54">
        <v>0</v>
      </c>
      <c r="T1568" s="75">
        <f>STOCK[[#This Row],[Costo Unitario (USD)]]+STOCK[[#This Row],[Costo Envío (USD)]]+STOCK[[#This Row],[Comisión 10%]]</f>
        <v>9.5</v>
      </c>
      <c r="U1568" s="53">
        <f>STOCK[[#This Row],[Costo total]]*1.5</f>
        <v>14.25</v>
      </c>
      <c r="V1568" s="53">
        <v>15</v>
      </c>
      <c r="W1568" s="75">
        <f>STOCK[[#This Row],[Precio Final]]-STOCK[[#This Row],[Costo total]]</f>
        <v>5.5</v>
      </c>
      <c r="X1568" s="75">
        <f>STOCK[[#This Row],[Ganancia Unitaria]]*STOCK[[#This Row],[Salidas]]</f>
        <v>11</v>
      </c>
      <c r="Y1568" s="75"/>
      <c r="Z1568" s="75"/>
      <c r="AA1568" s="54">
        <f>STOCK[[#This Row],[Costo total]]*STOCK[[#This Row],[Entradas]]</f>
        <v>19</v>
      </c>
      <c r="AB1568" s="54">
        <f>STOCK[[#This Row],[Stock Actual]]*STOCK[[#This Row],[Costo total]]</f>
        <v>0</v>
      </c>
      <c r="AC1568" s="75"/>
      <c r="AD1568" s="82"/>
    </row>
    <row r="1569" spans="1:30" s="53" customFormat="1" ht="50" customHeight="1">
      <c r="A1569" s="53" t="s">
        <v>3114</v>
      </c>
      <c r="C1569" s="53" t="s">
        <v>32</v>
      </c>
      <c r="D1569" s="53" t="s">
        <v>779</v>
      </c>
      <c r="E1569" s="65" t="s">
        <v>3115</v>
      </c>
      <c r="F1569" s="53" t="s">
        <v>49</v>
      </c>
      <c r="H1569" s="75">
        <f>STOCK[[#This Row],[Precio Final]]</f>
        <v>15</v>
      </c>
      <c r="I1569" s="80">
        <f>STOCK[[#This Row],[Precio Venta Ideal (x1.5)]]</f>
        <v>14.25</v>
      </c>
      <c r="J1569" s="69">
        <v>1</v>
      </c>
      <c r="K1569" s="78">
        <f>SUMIFS(VENTAS[Cantidad],VENTAS[Código del producto Vendido],STOCK[[#This Row],[Code]])</f>
        <v>0</v>
      </c>
      <c r="L1569" s="78">
        <f>STOCK[[#This Row],[Entradas]]-STOCK[[#This Row],[Salidas]]</f>
        <v>1</v>
      </c>
      <c r="M1569" s="75">
        <f>STOCK[[#This Row],[Precio Final]]*10%</f>
        <v>1.5</v>
      </c>
      <c r="N1569" s="54">
        <v>0</v>
      </c>
      <c r="O1569" s="75">
        <v>0</v>
      </c>
      <c r="P1569" s="53">
        <v>8</v>
      </c>
      <c r="Q1569" s="70">
        <v>0</v>
      </c>
      <c r="R1569" s="53">
        <v>0</v>
      </c>
      <c r="S1569" s="54">
        <v>0</v>
      </c>
      <c r="T1569" s="75">
        <f>STOCK[[#This Row],[Costo Unitario (USD)]]+STOCK[[#This Row],[Costo Envío (USD)]]+STOCK[[#This Row],[Comisión 10%]]</f>
        <v>9.5</v>
      </c>
      <c r="U1569" s="53">
        <f>STOCK[[#This Row],[Costo total]]*1.5</f>
        <v>14.25</v>
      </c>
      <c r="V1569" s="53">
        <v>15</v>
      </c>
      <c r="W1569" s="75">
        <f>STOCK[[#This Row],[Precio Final]]-STOCK[[#This Row],[Costo total]]</f>
        <v>5.5</v>
      </c>
      <c r="X1569" s="75">
        <f>STOCK[[#This Row],[Ganancia Unitaria]]*STOCK[[#This Row],[Salidas]]</f>
        <v>0</v>
      </c>
      <c r="Y1569" s="75"/>
      <c r="Z1569" s="75"/>
      <c r="AA1569" s="54">
        <f>STOCK[[#This Row],[Costo total]]*STOCK[[#This Row],[Entradas]]</f>
        <v>9.5</v>
      </c>
      <c r="AB1569" s="54">
        <f>STOCK[[#This Row],[Stock Actual]]*STOCK[[#This Row],[Costo total]]</f>
        <v>9.5</v>
      </c>
      <c r="AC1569" s="75"/>
      <c r="AD1569" s="82"/>
    </row>
    <row r="1570" spans="1:30" s="53" customFormat="1" ht="50" customHeight="1">
      <c r="A1570" s="53" t="s">
        <v>3116</v>
      </c>
      <c r="C1570" s="53" t="s">
        <v>32</v>
      </c>
      <c r="D1570" s="53" t="s">
        <v>779</v>
      </c>
      <c r="E1570" s="65" t="s">
        <v>3117</v>
      </c>
      <c r="F1570" s="53" t="s">
        <v>62</v>
      </c>
      <c r="H1570" s="75">
        <f>STOCK[[#This Row],[Precio Final]]</f>
        <v>15</v>
      </c>
      <c r="I1570" s="80">
        <f>STOCK[[#This Row],[Precio Venta Ideal (x1.5)]]</f>
        <v>14.25</v>
      </c>
      <c r="J1570" s="69">
        <v>1</v>
      </c>
      <c r="K1570" s="78">
        <f>SUMIFS(VENTAS[Cantidad],VENTAS[Código del producto Vendido],STOCK[[#This Row],[Code]])</f>
        <v>0</v>
      </c>
      <c r="L1570" s="78">
        <f>STOCK[[#This Row],[Entradas]]-STOCK[[#This Row],[Salidas]]</f>
        <v>1</v>
      </c>
      <c r="M1570" s="75">
        <f>STOCK[[#This Row],[Precio Final]]*10%</f>
        <v>1.5</v>
      </c>
      <c r="N1570" s="53">
        <v>0</v>
      </c>
      <c r="O1570" s="75">
        <v>0</v>
      </c>
      <c r="P1570" s="53">
        <v>8</v>
      </c>
      <c r="Q1570" s="69">
        <v>0</v>
      </c>
      <c r="R1570" s="54">
        <v>0</v>
      </c>
      <c r="S1570" s="53">
        <v>0</v>
      </c>
      <c r="T1570" s="75">
        <f>STOCK[[#This Row],[Costo Unitario (USD)]]+STOCK[[#This Row],[Costo Envío (USD)]]+STOCK[[#This Row],[Comisión 10%]]</f>
        <v>9.5</v>
      </c>
      <c r="U1570" s="53">
        <f>STOCK[[#This Row],[Costo total]]*1.5</f>
        <v>14.25</v>
      </c>
      <c r="V1570" s="53">
        <v>15</v>
      </c>
      <c r="W1570" s="75">
        <f>STOCK[[#This Row],[Precio Final]]-STOCK[[#This Row],[Costo total]]</f>
        <v>5.5</v>
      </c>
      <c r="X1570" s="75">
        <f>STOCK[[#This Row],[Ganancia Unitaria]]*STOCK[[#This Row],[Salidas]]</f>
        <v>0</v>
      </c>
      <c r="Y1570" s="75"/>
      <c r="Z1570" s="75"/>
      <c r="AA1570" s="54">
        <f>STOCK[[#This Row],[Costo total]]*STOCK[[#This Row],[Entradas]]</f>
        <v>9.5</v>
      </c>
      <c r="AB1570" s="54">
        <f>STOCK[[#This Row],[Stock Actual]]*STOCK[[#This Row],[Costo total]]</f>
        <v>9.5</v>
      </c>
      <c r="AC1570" s="75"/>
      <c r="AD1570" s="82"/>
    </row>
    <row r="1571" spans="1:30" s="53" customFormat="1" ht="50" customHeight="1">
      <c r="A1571" s="53" t="s">
        <v>3118</v>
      </c>
      <c r="C1571" s="53" t="s">
        <v>32</v>
      </c>
      <c r="D1571" s="53" t="s">
        <v>779</v>
      </c>
      <c r="E1571" s="65" t="s">
        <v>3117</v>
      </c>
      <c r="F1571" s="53" t="s">
        <v>49</v>
      </c>
      <c r="H1571" s="75">
        <f>STOCK[[#This Row],[Precio Final]]</f>
        <v>15</v>
      </c>
      <c r="I1571" s="80">
        <f>STOCK[[#This Row],[Precio Venta Ideal (x1.5)]]</f>
        <v>14.25</v>
      </c>
      <c r="J1571" s="69">
        <v>1</v>
      </c>
      <c r="K1571" s="78">
        <f>SUMIFS(VENTAS[Cantidad],VENTAS[Código del producto Vendido],STOCK[[#This Row],[Code]])</f>
        <v>1</v>
      </c>
      <c r="L1571" s="78">
        <f>STOCK[[#This Row],[Entradas]]-STOCK[[#This Row],[Salidas]]</f>
        <v>0</v>
      </c>
      <c r="M1571" s="75">
        <f>STOCK[[#This Row],[Precio Final]]*10%</f>
        <v>1.5</v>
      </c>
      <c r="N1571" s="54">
        <v>0</v>
      </c>
      <c r="O1571" s="75">
        <v>0</v>
      </c>
      <c r="P1571" s="53">
        <v>8</v>
      </c>
      <c r="Q1571" s="69">
        <v>0</v>
      </c>
      <c r="R1571" s="53">
        <v>0</v>
      </c>
      <c r="S1571" s="54">
        <v>0</v>
      </c>
      <c r="T1571" s="75">
        <f>STOCK[[#This Row],[Costo Unitario (USD)]]+STOCK[[#This Row],[Costo Envío (USD)]]+STOCK[[#This Row],[Comisión 10%]]</f>
        <v>9.5</v>
      </c>
      <c r="U1571" s="53">
        <f>STOCK[[#This Row],[Costo total]]*1.5</f>
        <v>14.25</v>
      </c>
      <c r="V1571" s="53">
        <v>15</v>
      </c>
      <c r="W1571" s="75">
        <f>STOCK[[#This Row],[Precio Final]]-STOCK[[#This Row],[Costo total]]</f>
        <v>5.5</v>
      </c>
      <c r="X1571" s="75">
        <f>STOCK[[#This Row],[Ganancia Unitaria]]*STOCK[[#This Row],[Salidas]]</f>
        <v>5.5</v>
      </c>
      <c r="Y1571" s="75"/>
      <c r="Z1571" s="75"/>
      <c r="AA1571" s="54">
        <f>STOCK[[#This Row],[Costo total]]*STOCK[[#This Row],[Entradas]]</f>
        <v>9.5</v>
      </c>
      <c r="AB1571" s="54">
        <f>STOCK[[#This Row],[Stock Actual]]*STOCK[[#This Row],[Costo total]]</f>
        <v>0</v>
      </c>
      <c r="AC1571" s="75"/>
      <c r="AD1571" s="82"/>
    </row>
    <row r="1572" spans="1:30" s="53" customFormat="1" ht="50" customHeight="1">
      <c r="A1572" s="53" t="s">
        <v>3119</v>
      </c>
      <c r="B1572" s="53" t="s">
        <v>1345</v>
      </c>
      <c r="C1572" s="53" t="s">
        <v>32</v>
      </c>
      <c r="D1572" s="53" t="s">
        <v>779</v>
      </c>
      <c r="E1572" s="65" t="s">
        <v>3120</v>
      </c>
      <c r="F1572" s="53" t="s">
        <v>46</v>
      </c>
      <c r="H1572" s="75">
        <f>STOCK[[#This Row],[Precio Final]]</f>
        <v>15</v>
      </c>
      <c r="I1572" s="80">
        <f>STOCK[[#This Row],[Precio Venta Ideal (x1.5)]]</f>
        <v>14.25</v>
      </c>
      <c r="J1572" s="69">
        <v>1</v>
      </c>
      <c r="K1572" s="78">
        <f>SUMIFS(VENTAS[Cantidad],VENTAS[Código del producto Vendido],STOCK[[#This Row],[Code]])</f>
        <v>0</v>
      </c>
      <c r="L1572" s="78">
        <f>STOCK[[#This Row],[Entradas]]-STOCK[[#This Row],[Salidas]]</f>
        <v>1</v>
      </c>
      <c r="M1572" s="75">
        <f>STOCK[[#This Row],[Precio Final]]*10%</f>
        <v>1.5</v>
      </c>
      <c r="N1572" s="53">
        <v>0</v>
      </c>
      <c r="O1572" s="75">
        <v>0</v>
      </c>
      <c r="P1572" s="53">
        <v>8</v>
      </c>
      <c r="Q1572" s="70">
        <v>0</v>
      </c>
      <c r="R1572" s="54">
        <v>0</v>
      </c>
      <c r="S1572" s="54">
        <v>0</v>
      </c>
      <c r="T1572" s="75">
        <f>STOCK[[#This Row],[Costo Unitario (USD)]]+STOCK[[#This Row],[Costo Envío (USD)]]+STOCK[[#This Row],[Comisión 10%]]</f>
        <v>9.5</v>
      </c>
      <c r="U1572" s="53">
        <f>STOCK[[#This Row],[Costo total]]*1.5</f>
        <v>14.25</v>
      </c>
      <c r="V1572" s="53">
        <v>15</v>
      </c>
      <c r="W1572" s="75">
        <f>STOCK[[#This Row],[Precio Final]]-STOCK[[#This Row],[Costo total]]</f>
        <v>5.5</v>
      </c>
      <c r="X1572" s="75">
        <f>STOCK[[#This Row],[Ganancia Unitaria]]*STOCK[[#This Row],[Salidas]]</f>
        <v>0</v>
      </c>
      <c r="Y1572" s="75"/>
      <c r="Z1572" s="75"/>
      <c r="AA1572" s="54">
        <f>STOCK[[#This Row],[Costo total]]*STOCK[[#This Row],[Entradas]]</f>
        <v>9.5</v>
      </c>
      <c r="AB1572" s="54">
        <f>STOCK[[#This Row],[Stock Actual]]*STOCK[[#This Row],[Costo total]]</f>
        <v>9.5</v>
      </c>
      <c r="AC1572" s="75"/>
      <c r="AD1572" s="82"/>
    </row>
    <row r="1573" spans="1:30" s="53" customFormat="1" ht="50" customHeight="1">
      <c r="A1573" s="53" t="s">
        <v>3121</v>
      </c>
      <c r="B1573" s="53" t="s">
        <v>1345</v>
      </c>
      <c r="C1573" s="53" t="s">
        <v>32</v>
      </c>
      <c r="D1573" s="53" t="s">
        <v>779</v>
      </c>
      <c r="E1573" s="65" t="s">
        <v>3122</v>
      </c>
      <c r="F1573" s="53" t="s">
        <v>49</v>
      </c>
      <c r="H1573" s="75">
        <f>STOCK[[#This Row],[Precio Final]]</f>
        <v>15</v>
      </c>
      <c r="I1573" s="80">
        <f>STOCK[[#This Row],[Precio Venta Ideal (x1.5)]]</f>
        <v>14.25</v>
      </c>
      <c r="J1573" s="69">
        <v>2</v>
      </c>
      <c r="K1573" s="78">
        <f>SUMIFS(VENTAS[Cantidad],VENTAS[Código del producto Vendido],STOCK[[#This Row],[Code]])</f>
        <v>0</v>
      </c>
      <c r="L1573" s="78">
        <f>STOCK[[#This Row],[Entradas]]-STOCK[[#This Row],[Salidas]]</f>
        <v>2</v>
      </c>
      <c r="M1573" s="75">
        <f>STOCK[[#This Row],[Precio Final]]*10%</f>
        <v>1.5</v>
      </c>
      <c r="N1573" s="54">
        <v>0</v>
      </c>
      <c r="O1573" s="75">
        <v>0</v>
      </c>
      <c r="P1573" s="53">
        <v>8</v>
      </c>
      <c r="Q1573" s="69">
        <v>0</v>
      </c>
      <c r="R1573" s="53">
        <v>0</v>
      </c>
      <c r="S1573" s="53">
        <v>0</v>
      </c>
      <c r="T1573" s="75">
        <f>STOCK[[#This Row],[Costo Unitario (USD)]]+STOCK[[#This Row],[Costo Envío (USD)]]+STOCK[[#This Row],[Comisión 10%]]</f>
        <v>9.5</v>
      </c>
      <c r="U1573" s="53">
        <f>STOCK[[#This Row],[Costo total]]*1.5</f>
        <v>14.25</v>
      </c>
      <c r="V1573" s="53">
        <v>15</v>
      </c>
      <c r="W1573" s="75">
        <f>STOCK[[#This Row],[Precio Final]]-STOCK[[#This Row],[Costo total]]</f>
        <v>5.5</v>
      </c>
      <c r="X1573" s="75">
        <f>STOCK[[#This Row],[Ganancia Unitaria]]*STOCK[[#This Row],[Salidas]]</f>
        <v>0</v>
      </c>
      <c r="Y1573" s="75"/>
      <c r="Z1573" s="75"/>
      <c r="AA1573" s="54">
        <f>STOCK[[#This Row],[Costo total]]*STOCK[[#This Row],[Entradas]]</f>
        <v>19</v>
      </c>
      <c r="AB1573" s="54">
        <f>STOCK[[#This Row],[Stock Actual]]*STOCK[[#This Row],[Costo total]]</f>
        <v>19</v>
      </c>
      <c r="AC1573" s="75"/>
      <c r="AD1573" s="82"/>
    </row>
    <row r="1574" spans="1:30" s="53" customFormat="1" ht="50" customHeight="1">
      <c r="A1574" s="53" t="s">
        <v>3123</v>
      </c>
      <c r="B1574" s="53" t="s">
        <v>1345</v>
      </c>
      <c r="C1574" s="53" t="s">
        <v>32</v>
      </c>
      <c r="D1574" s="53" t="s">
        <v>779</v>
      </c>
      <c r="E1574" s="65" t="s">
        <v>3122</v>
      </c>
      <c r="F1574" s="53" t="s">
        <v>62</v>
      </c>
      <c r="H1574" s="75">
        <f>STOCK[[#This Row],[Precio Final]]</f>
        <v>15</v>
      </c>
      <c r="I1574" s="80">
        <f>STOCK[[#This Row],[Precio Venta Ideal (x1.5)]]</f>
        <v>14.25</v>
      </c>
      <c r="J1574" s="69">
        <v>1</v>
      </c>
      <c r="K1574" s="78">
        <f>SUMIFS(VENTAS[Cantidad],VENTAS[Código del producto Vendido],STOCK[[#This Row],[Code]])</f>
        <v>0</v>
      </c>
      <c r="L1574" s="78">
        <f>STOCK[[#This Row],[Entradas]]-STOCK[[#This Row],[Salidas]]</f>
        <v>1</v>
      </c>
      <c r="M1574" s="75">
        <f>STOCK[[#This Row],[Precio Final]]*10%</f>
        <v>1.5</v>
      </c>
      <c r="N1574" s="54">
        <v>0</v>
      </c>
      <c r="O1574" s="75">
        <v>0</v>
      </c>
      <c r="P1574" s="53">
        <v>8</v>
      </c>
      <c r="Q1574" s="69">
        <v>0</v>
      </c>
      <c r="R1574" s="54">
        <v>0</v>
      </c>
      <c r="S1574" s="54">
        <v>0</v>
      </c>
      <c r="T1574" s="75">
        <f>STOCK[[#This Row],[Costo Unitario (USD)]]+STOCK[[#This Row],[Costo Envío (USD)]]+STOCK[[#This Row],[Comisión 10%]]</f>
        <v>9.5</v>
      </c>
      <c r="U1574" s="53">
        <f>STOCK[[#This Row],[Costo total]]*1.5</f>
        <v>14.25</v>
      </c>
      <c r="V1574" s="53">
        <v>15</v>
      </c>
      <c r="W1574" s="75">
        <f>STOCK[[#This Row],[Precio Final]]-STOCK[[#This Row],[Costo total]]</f>
        <v>5.5</v>
      </c>
      <c r="X1574" s="75">
        <f>STOCK[[#This Row],[Ganancia Unitaria]]*STOCK[[#This Row],[Salidas]]</f>
        <v>0</v>
      </c>
      <c r="Y1574" s="75"/>
      <c r="Z1574" s="75"/>
      <c r="AA1574" s="54">
        <f>STOCK[[#This Row],[Costo total]]*STOCK[[#This Row],[Entradas]]</f>
        <v>9.5</v>
      </c>
      <c r="AB1574" s="54">
        <f>STOCK[[#This Row],[Stock Actual]]*STOCK[[#This Row],[Costo total]]</f>
        <v>9.5</v>
      </c>
      <c r="AC1574" s="75"/>
      <c r="AD1574" s="82"/>
    </row>
    <row r="1575" spans="1:30" s="53" customFormat="1" ht="50" customHeight="1">
      <c r="A1575" s="53" t="s">
        <v>3124</v>
      </c>
      <c r="B1575" s="53" t="s">
        <v>1345</v>
      </c>
      <c r="C1575" s="53" t="s">
        <v>32</v>
      </c>
      <c r="D1575" s="53" t="s">
        <v>779</v>
      </c>
      <c r="E1575" s="65" t="s">
        <v>3125</v>
      </c>
      <c r="F1575" s="53" t="s">
        <v>46</v>
      </c>
      <c r="H1575" s="75">
        <f>STOCK[[#This Row],[Precio Final]]</f>
        <v>15</v>
      </c>
      <c r="I1575" s="80">
        <f>STOCK[[#This Row],[Precio Venta Ideal (x1.5)]]</f>
        <v>14.25</v>
      </c>
      <c r="J1575" s="69">
        <v>1</v>
      </c>
      <c r="K1575" s="78">
        <f>SUMIFS(VENTAS[Cantidad],VENTAS[Código del producto Vendido],STOCK[[#This Row],[Code]])</f>
        <v>0</v>
      </c>
      <c r="L1575" s="78">
        <f>STOCK[[#This Row],[Entradas]]-STOCK[[#This Row],[Salidas]]</f>
        <v>1</v>
      </c>
      <c r="M1575" s="75">
        <f>STOCK[[#This Row],[Precio Final]]*10%</f>
        <v>1.5</v>
      </c>
      <c r="N1575" s="53">
        <v>0</v>
      </c>
      <c r="O1575" s="75">
        <v>0</v>
      </c>
      <c r="P1575" s="53">
        <v>8</v>
      </c>
      <c r="Q1575" s="70">
        <v>0</v>
      </c>
      <c r="R1575" s="53">
        <v>0</v>
      </c>
      <c r="S1575" s="54">
        <v>0</v>
      </c>
      <c r="T1575" s="75">
        <f>STOCK[[#This Row],[Costo Unitario (USD)]]+STOCK[[#This Row],[Costo Envío (USD)]]+STOCK[[#This Row],[Comisión 10%]]</f>
        <v>9.5</v>
      </c>
      <c r="U1575" s="53">
        <f>STOCK[[#This Row],[Costo total]]*1.5</f>
        <v>14.25</v>
      </c>
      <c r="V1575" s="53">
        <v>15</v>
      </c>
      <c r="W1575" s="75">
        <f>STOCK[[#This Row],[Precio Final]]-STOCK[[#This Row],[Costo total]]</f>
        <v>5.5</v>
      </c>
      <c r="X1575" s="75">
        <f>STOCK[[#This Row],[Ganancia Unitaria]]*STOCK[[#This Row],[Salidas]]</f>
        <v>0</v>
      </c>
      <c r="Y1575" s="75"/>
      <c r="Z1575" s="75"/>
      <c r="AA1575" s="54">
        <f>STOCK[[#This Row],[Costo total]]*STOCK[[#This Row],[Entradas]]</f>
        <v>9.5</v>
      </c>
      <c r="AB1575" s="54">
        <f>STOCK[[#This Row],[Stock Actual]]*STOCK[[#This Row],[Costo total]]</f>
        <v>9.5</v>
      </c>
      <c r="AC1575" s="75"/>
      <c r="AD1575" s="82"/>
    </row>
    <row r="1576" spans="1:30" s="53" customFormat="1" ht="50" customHeight="1">
      <c r="A1576" s="53" t="s">
        <v>3126</v>
      </c>
      <c r="B1576" s="53" t="s">
        <v>1345</v>
      </c>
      <c r="C1576" s="53" t="s">
        <v>32</v>
      </c>
      <c r="D1576" s="53" t="s">
        <v>779</v>
      </c>
      <c r="E1576" s="65" t="s">
        <v>3127</v>
      </c>
      <c r="F1576" s="53" t="s">
        <v>49</v>
      </c>
      <c r="H1576" s="75">
        <f>STOCK[[#This Row],[Precio Final]]</f>
        <v>15</v>
      </c>
      <c r="I1576" s="80">
        <f>STOCK[[#This Row],[Precio Venta Ideal (x1.5)]]</f>
        <v>14.25</v>
      </c>
      <c r="J1576" s="69">
        <v>1</v>
      </c>
      <c r="K1576" s="78">
        <f>SUMIFS(VENTAS[Cantidad],VENTAS[Código del producto Vendido],STOCK[[#This Row],[Code]])</f>
        <v>0</v>
      </c>
      <c r="L1576" s="78">
        <f>STOCK[[#This Row],[Entradas]]-STOCK[[#This Row],[Salidas]]</f>
        <v>1</v>
      </c>
      <c r="M1576" s="75">
        <f>STOCK[[#This Row],[Precio Final]]*10%</f>
        <v>1.5</v>
      </c>
      <c r="N1576" s="54">
        <v>0</v>
      </c>
      <c r="O1576" s="75">
        <v>0</v>
      </c>
      <c r="P1576" s="53">
        <v>8</v>
      </c>
      <c r="Q1576" s="69">
        <v>0</v>
      </c>
      <c r="R1576" s="54">
        <v>0</v>
      </c>
      <c r="S1576" s="53">
        <v>0</v>
      </c>
      <c r="T1576" s="75">
        <f>STOCK[[#This Row],[Costo Unitario (USD)]]+STOCK[[#This Row],[Costo Envío (USD)]]+STOCK[[#This Row],[Comisión 10%]]</f>
        <v>9.5</v>
      </c>
      <c r="U1576" s="53">
        <f>STOCK[[#This Row],[Costo total]]*1.5</f>
        <v>14.25</v>
      </c>
      <c r="V1576" s="53">
        <v>15</v>
      </c>
      <c r="W1576" s="75">
        <f>STOCK[[#This Row],[Precio Final]]-STOCK[[#This Row],[Costo total]]</f>
        <v>5.5</v>
      </c>
      <c r="X1576" s="75">
        <f>STOCK[[#This Row],[Ganancia Unitaria]]*STOCK[[#This Row],[Salidas]]</f>
        <v>0</v>
      </c>
      <c r="Y1576" s="75"/>
      <c r="Z1576" s="75"/>
      <c r="AA1576" s="54">
        <f>STOCK[[#This Row],[Costo total]]*STOCK[[#This Row],[Entradas]]</f>
        <v>9.5</v>
      </c>
      <c r="AB1576" s="54">
        <f>STOCK[[#This Row],[Stock Actual]]*STOCK[[#This Row],[Costo total]]</f>
        <v>9.5</v>
      </c>
      <c r="AC1576" s="75"/>
      <c r="AD1576" s="82"/>
    </row>
    <row r="1577" spans="1:30" s="53" customFormat="1" ht="50" customHeight="1">
      <c r="A1577" s="53" t="s">
        <v>3128</v>
      </c>
      <c r="B1577" s="53" t="s">
        <v>1345</v>
      </c>
      <c r="C1577" s="53" t="s">
        <v>32</v>
      </c>
      <c r="D1577" s="53" t="s">
        <v>779</v>
      </c>
      <c r="E1577" s="65" t="s">
        <v>3129</v>
      </c>
      <c r="F1577" s="53" t="s">
        <v>49</v>
      </c>
      <c r="H1577" s="75">
        <f>STOCK[[#This Row],[Precio Final]]</f>
        <v>15</v>
      </c>
      <c r="I1577" s="80">
        <f>STOCK[[#This Row],[Precio Venta Ideal (x1.5)]]</f>
        <v>14.25</v>
      </c>
      <c r="J1577" s="69">
        <v>1</v>
      </c>
      <c r="K1577" s="78">
        <f>SUMIFS(VENTAS[Cantidad],VENTAS[Código del producto Vendido],STOCK[[#This Row],[Code]])</f>
        <v>0</v>
      </c>
      <c r="L1577" s="78">
        <f>STOCK[[#This Row],[Entradas]]-STOCK[[#This Row],[Salidas]]</f>
        <v>1</v>
      </c>
      <c r="M1577" s="75">
        <f>STOCK[[#This Row],[Precio Final]]*10%</f>
        <v>1.5</v>
      </c>
      <c r="N1577" s="54">
        <v>0</v>
      </c>
      <c r="O1577" s="75">
        <v>0</v>
      </c>
      <c r="P1577" s="53">
        <v>8</v>
      </c>
      <c r="Q1577" s="69">
        <v>0</v>
      </c>
      <c r="R1577" s="53">
        <v>0</v>
      </c>
      <c r="S1577" s="54">
        <v>0</v>
      </c>
      <c r="T1577" s="75">
        <f>STOCK[[#This Row],[Costo Unitario (USD)]]+STOCK[[#This Row],[Costo Envío (USD)]]+STOCK[[#This Row],[Comisión 10%]]</f>
        <v>9.5</v>
      </c>
      <c r="U1577" s="53">
        <f>STOCK[[#This Row],[Costo total]]*1.5</f>
        <v>14.25</v>
      </c>
      <c r="V1577" s="53">
        <v>15</v>
      </c>
      <c r="W1577" s="75">
        <f>STOCK[[#This Row],[Precio Final]]-STOCK[[#This Row],[Costo total]]</f>
        <v>5.5</v>
      </c>
      <c r="X1577" s="75">
        <f>STOCK[[#This Row],[Ganancia Unitaria]]*STOCK[[#This Row],[Salidas]]</f>
        <v>0</v>
      </c>
      <c r="Y1577" s="75"/>
      <c r="Z1577" s="75"/>
      <c r="AA1577" s="54">
        <f>STOCK[[#This Row],[Costo total]]*STOCK[[#This Row],[Entradas]]</f>
        <v>9.5</v>
      </c>
      <c r="AB1577" s="54">
        <f>STOCK[[#This Row],[Stock Actual]]*STOCK[[#This Row],[Costo total]]</f>
        <v>9.5</v>
      </c>
      <c r="AC1577" s="75"/>
      <c r="AD1577" s="82"/>
    </row>
    <row r="1578" spans="1:30" s="53" customFormat="1" ht="50" customHeight="1">
      <c r="A1578" s="53" t="s">
        <v>3130</v>
      </c>
      <c r="B1578" s="69" t="e" vm="1">
        <f ca="1">_xlfn.DISPIMG("ID_B2F0DA59D3134DF5852A0AA32494D198",1)</f>
        <v>#NAME?</v>
      </c>
      <c r="C1578" s="53" t="s">
        <v>32</v>
      </c>
      <c r="D1578" s="53" t="s">
        <v>779</v>
      </c>
      <c r="E1578" s="65" t="s">
        <v>3131</v>
      </c>
      <c r="F1578" s="53" t="s">
        <v>49</v>
      </c>
      <c r="H1578" s="75">
        <f>STOCK[[#This Row],[Precio Final]]</f>
        <v>15</v>
      </c>
      <c r="I1578" s="80">
        <f>STOCK[[#This Row],[Precio Venta Ideal (x1.5)]]</f>
        <v>14.25</v>
      </c>
      <c r="J1578" s="69">
        <v>1</v>
      </c>
      <c r="K1578" s="78">
        <f>SUMIFS(VENTAS[Cantidad],VENTAS[Código del producto Vendido],STOCK[[#This Row],[Code]])</f>
        <v>1</v>
      </c>
      <c r="L1578" s="78">
        <f>STOCK[[#This Row],[Entradas]]-STOCK[[#This Row],[Salidas]]</f>
        <v>0</v>
      </c>
      <c r="M1578" s="75">
        <f>STOCK[[#This Row],[Precio Final]]*10%</f>
        <v>1.5</v>
      </c>
      <c r="N1578" s="53">
        <v>0</v>
      </c>
      <c r="O1578" s="75">
        <v>0</v>
      </c>
      <c r="P1578" s="53">
        <v>8</v>
      </c>
      <c r="Q1578" s="70">
        <v>0</v>
      </c>
      <c r="R1578" s="54">
        <v>0</v>
      </c>
      <c r="S1578" s="54">
        <v>0</v>
      </c>
      <c r="T1578" s="75">
        <f>STOCK[[#This Row],[Costo Unitario (USD)]]+STOCK[[#This Row],[Costo Envío (USD)]]+STOCK[[#This Row],[Comisión 10%]]</f>
        <v>9.5</v>
      </c>
      <c r="U1578" s="53">
        <f>STOCK[[#This Row],[Costo total]]*1.5</f>
        <v>14.25</v>
      </c>
      <c r="V1578" s="53">
        <v>15</v>
      </c>
      <c r="W1578" s="75">
        <f>STOCK[[#This Row],[Precio Final]]-STOCK[[#This Row],[Costo total]]</f>
        <v>5.5</v>
      </c>
      <c r="X1578" s="75">
        <f>STOCK[[#This Row],[Ganancia Unitaria]]*STOCK[[#This Row],[Salidas]]</f>
        <v>5.5</v>
      </c>
      <c r="Y1578" s="75"/>
      <c r="Z1578" s="75"/>
      <c r="AA1578" s="54">
        <f>STOCK[[#This Row],[Costo total]]*STOCK[[#This Row],[Entradas]]</f>
        <v>9.5</v>
      </c>
      <c r="AB1578" s="54">
        <f>STOCK[[#This Row],[Stock Actual]]*STOCK[[#This Row],[Costo total]]</f>
        <v>0</v>
      </c>
      <c r="AC1578" s="75"/>
      <c r="AD1578" s="82"/>
    </row>
    <row r="1579" spans="1:30" s="53" customFormat="1" ht="50" customHeight="1">
      <c r="A1579" s="53" t="s">
        <v>3132</v>
      </c>
      <c r="B1579" s="69" t="e" vm="1">
        <f ca="1">_xlfn.DISPIMG("ID_31956D4F45564DECB64E4FB538B7E2E8",1)</f>
        <v>#NAME?</v>
      </c>
      <c r="C1579" s="53" t="s">
        <v>32</v>
      </c>
      <c r="D1579" s="53" t="s">
        <v>779</v>
      </c>
      <c r="E1579" s="65" t="s">
        <v>3133</v>
      </c>
      <c r="F1579" s="53" t="s">
        <v>46</v>
      </c>
      <c r="H1579" s="75">
        <f>STOCK[[#This Row],[Precio Final]]</f>
        <v>15</v>
      </c>
      <c r="I1579" s="80">
        <f>STOCK[[#This Row],[Precio Venta Ideal (x1.5)]]</f>
        <v>14.25</v>
      </c>
      <c r="J1579" s="69">
        <v>1</v>
      </c>
      <c r="K1579" s="78">
        <f>SUMIFS(VENTAS[Cantidad],VENTAS[Código del producto Vendido],STOCK[[#This Row],[Code]])</f>
        <v>1</v>
      </c>
      <c r="L1579" s="78">
        <f>STOCK[[#This Row],[Entradas]]-STOCK[[#This Row],[Salidas]]</f>
        <v>0</v>
      </c>
      <c r="M1579" s="75">
        <f>STOCK[[#This Row],[Precio Final]]*10%</f>
        <v>1.5</v>
      </c>
      <c r="N1579" s="54">
        <v>0</v>
      </c>
      <c r="O1579" s="75">
        <v>0</v>
      </c>
      <c r="P1579" s="53">
        <v>8</v>
      </c>
      <c r="Q1579" s="69">
        <v>0</v>
      </c>
      <c r="R1579" s="53">
        <v>0</v>
      </c>
      <c r="S1579" s="53">
        <v>0</v>
      </c>
      <c r="T1579" s="75">
        <f>STOCK[[#This Row],[Costo Unitario (USD)]]+STOCK[[#This Row],[Costo Envío (USD)]]+STOCK[[#This Row],[Comisión 10%]]</f>
        <v>9.5</v>
      </c>
      <c r="U1579" s="53">
        <f>STOCK[[#This Row],[Costo total]]*1.5</f>
        <v>14.25</v>
      </c>
      <c r="V1579" s="53">
        <v>15</v>
      </c>
      <c r="W1579" s="75">
        <f>STOCK[[#This Row],[Precio Final]]-STOCK[[#This Row],[Costo total]]</f>
        <v>5.5</v>
      </c>
      <c r="X1579" s="75">
        <f>STOCK[[#This Row],[Ganancia Unitaria]]*STOCK[[#This Row],[Salidas]]</f>
        <v>5.5</v>
      </c>
      <c r="Y1579" s="75"/>
      <c r="Z1579" s="75"/>
      <c r="AA1579" s="54">
        <f>STOCK[[#This Row],[Costo total]]*STOCK[[#This Row],[Entradas]]</f>
        <v>9.5</v>
      </c>
      <c r="AB1579" s="54">
        <f>STOCK[[#This Row],[Stock Actual]]*STOCK[[#This Row],[Costo total]]</f>
        <v>0</v>
      </c>
      <c r="AC1579" s="75"/>
      <c r="AD1579" s="82"/>
    </row>
    <row r="1580" spans="1:30" s="53" customFormat="1" ht="50" customHeight="1">
      <c r="A1580" s="53" t="s">
        <v>3134</v>
      </c>
      <c r="B1580" s="53" t="s">
        <v>1345</v>
      </c>
      <c r="C1580" s="53" t="s">
        <v>32</v>
      </c>
      <c r="D1580" s="53" t="s">
        <v>779</v>
      </c>
      <c r="E1580" s="65" t="s">
        <v>3135</v>
      </c>
      <c r="F1580" s="53" t="s">
        <v>46</v>
      </c>
      <c r="H1580" s="75">
        <f>STOCK[[#This Row],[Precio Final]]</f>
        <v>15</v>
      </c>
      <c r="I1580" s="80">
        <f>STOCK[[#This Row],[Precio Venta Ideal (x1.5)]]</f>
        <v>14.25</v>
      </c>
      <c r="J1580" s="69">
        <v>1</v>
      </c>
      <c r="K1580" s="78">
        <f>SUMIFS(VENTAS[Cantidad],VENTAS[Código del producto Vendido],STOCK[[#This Row],[Code]])</f>
        <v>0</v>
      </c>
      <c r="L1580" s="78">
        <f>STOCK[[#This Row],[Entradas]]-STOCK[[#This Row],[Salidas]]</f>
        <v>1</v>
      </c>
      <c r="M1580" s="75">
        <f>STOCK[[#This Row],[Precio Final]]*10%</f>
        <v>1.5</v>
      </c>
      <c r="N1580" s="54">
        <v>0</v>
      </c>
      <c r="O1580" s="75">
        <v>0</v>
      </c>
      <c r="P1580" s="53">
        <v>8</v>
      </c>
      <c r="Q1580" s="69">
        <v>0</v>
      </c>
      <c r="R1580" s="54">
        <v>0</v>
      </c>
      <c r="S1580" s="54">
        <v>0</v>
      </c>
      <c r="T1580" s="75">
        <f>STOCK[[#This Row],[Costo Unitario (USD)]]+STOCK[[#This Row],[Costo Envío (USD)]]+STOCK[[#This Row],[Comisión 10%]]</f>
        <v>9.5</v>
      </c>
      <c r="U1580" s="53">
        <f>STOCK[[#This Row],[Costo total]]*1.5</f>
        <v>14.25</v>
      </c>
      <c r="V1580" s="53">
        <v>15</v>
      </c>
      <c r="W1580" s="75">
        <f>STOCK[[#This Row],[Precio Final]]-STOCK[[#This Row],[Costo total]]</f>
        <v>5.5</v>
      </c>
      <c r="X1580" s="75">
        <f>STOCK[[#This Row],[Ganancia Unitaria]]*STOCK[[#This Row],[Salidas]]</f>
        <v>0</v>
      </c>
      <c r="Y1580" s="75"/>
      <c r="Z1580" s="75"/>
      <c r="AA1580" s="54">
        <f>STOCK[[#This Row],[Costo total]]*STOCK[[#This Row],[Entradas]]</f>
        <v>9.5</v>
      </c>
      <c r="AB1580" s="54">
        <f>STOCK[[#This Row],[Stock Actual]]*STOCK[[#This Row],[Costo total]]</f>
        <v>9.5</v>
      </c>
      <c r="AC1580" s="75"/>
      <c r="AD1580" s="82"/>
    </row>
    <row r="1581" spans="1:30" s="53" customFormat="1" ht="50" customHeight="1">
      <c r="A1581" s="53" t="s">
        <v>3136</v>
      </c>
      <c r="B1581" s="69" t="e" vm="1">
        <f ca="1">_xlfn.DISPIMG("ID_DEAF5ABB441341CA9DA766385E1F6670",1)</f>
        <v>#NAME?</v>
      </c>
      <c r="C1581" s="53" t="s">
        <v>32</v>
      </c>
      <c r="D1581" s="53" t="s">
        <v>779</v>
      </c>
      <c r="E1581" s="65" t="s">
        <v>3137</v>
      </c>
      <c r="F1581" s="53" t="s">
        <v>46</v>
      </c>
      <c r="H1581" s="75">
        <f>STOCK[[#This Row],[Precio Final]]</f>
        <v>15</v>
      </c>
      <c r="I1581" s="80">
        <f>STOCK[[#This Row],[Precio Venta Ideal (x1.5)]]</f>
        <v>14.25</v>
      </c>
      <c r="J1581" s="69">
        <v>1</v>
      </c>
      <c r="K1581" s="78">
        <f>SUMIFS(VENTAS[Cantidad],VENTAS[Código del producto Vendido],STOCK[[#This Row],[Code]])</f>
        <v>1</v>
      </c>
      <c r="L1581" s="78">
        <f>STOCK[[#This Row],[Entradas]]-STOCK[[#This Row],[Salidas]]</f>
        <v>0</v>
      </c>
      <c r="M1581" s="75">
        <f>STOCK[[#This Row],[Precio Final]]*10%</f>
        <v>1.5</v>
      </c>
      <c r="N1581" s="53">
        <v>0</v>
      </c>
      <c r="O1581" s="75">
        <v>0</v>
      </c>
      <c r="P1581" s="53">
        <v>8</v>
      </c>
      <c r="Q1581" s="70">
        <v>0</v>
      </c>
      <c r="R1581" s="53">
        <v>0</v>
      </c>
      <c r="S1581" s="54">
        <v>0</v>
      </c>
      <c r="T1581" s="75">
        <f>STOCK[[#This Row],[Costo Unitario (USD)]]+STOCK[[#This Row],[Costo Envío (USD)]]+STOCK[[#This Row],[Comisión 10%]]</f>
        <v>9.5</v>
      </c>
      <c r="U1581" s="53">
        <f>STOCK[[#This Row],[Costo total]]*1.5</f>
        <v>14.25</v>
      </c>
      <c r="V1581" s="53">
        <v>15</v>
      </c>
      <c r="W1581" s="75">
        <f>STOCK[[#This Row],[Precio Final]]-STOCK[[#This Row],[Costo total]]</f>
        <v>5.5</v>
      </c>
      <c r="X1581" s="75">
        <f>STOCK[[#This Row],[Ganancia Unitaria]]*STOCK[[#This Row],[Salidas]]</f>
        <v>5.5</v>
      </c>
      <c r="Y1581" s="75"/>
      <c r="Z1581" s="75"/>
      <c r="AA1581" s="54">
        <f>STOCK[[#This Row],[Costo total]]*STOCK[[#This Row],[Entradas]]</f>
        <v>9.5</v>
      </c>
      <c r="AB1581" s="54">
        <f>STOCK[[#This Row],[Stock Actual]]*STOCK[[#This Row],[Costo total]]</f>
        <v>0</v>
      </c>
      <c r="AC1581" s="75"/>
      <c r="AD1581" s="82"/>
    </row>
    <row r="1582" spans="1:30" s="53" customFormat="1" ht="50" customHeight="1">
      <c r="A1582" s="53" t="s">
        <v>3138</v>
      </c>
      <c r="B1582" s="69" t="e" vm="1">
        <f ca="1">_xlfn.DISPIMG("ID_A13CCF7F3F7A4E1CAD293BF92EEFFC56",1)</f>
        <v>#NAME?</v>
      </c>
      <c r="C1582" s="53" t="s">
        <v>32</v>
      </c>
      <c r="D1582" s="53" t="s">
        <v>779</v>
      </c>
      <c r="E1582" s="65" t="s">
        <v>3139</v>
      </c>
      <c r="F1582" s="53" t="s">
        <v>40</v>
      </c>
      <c r="H1582" s="75">
        <f>STOCK[[#This Row],[Precio Final]]</f>
        <v>15</v>
      </c>
      <c r="I1582" s="80">
        <f>STOCK[[#This Row],[Precio Venta Ideal (x1.5)]]</f>
        <v>14.25</v>
      </c>
      <c r="J1582" s="69">
        <v>1</v>
      </c>
      <c r="K1582" s="78">
        <f>SUMIFS(VENTAS[Cantidad],VENTAS[Código del producto Vendido],STOCK[[#This Row],[Code]])</f>
        <v>0</v>
      </c>
      <c r="L1582" s="78">
        <f>STOCK[[#This Row],[Entradas]]-STOCK[[#This Row],[Salidas]]</f>
        <v>1</v>
      </c>
      <c r="M1582" s="75">
        <f>STOCK[[#This Row],[Precio Final]]*10%</f>
        <v>1.5</v>
      </c>
      <c r="N1582" s="54">
        <v>0</v>
      </c>
      <c r="O1582" s="75">
        <v>0</v>
      </c>
      <c r="P1582" s="53">
        <v>8</v>
      </c>
      <c r="Q1582" s="69">
        <v>0</v>
      </c>
      <c r="R1582" s="54">
        <v>0</v>
      </c>
      <c r="S1582" s="53">
        <v>0</v>
      </c>
      <c r="T1582" s="75">
        <f>STOCK[[#This Row],[Costo Unitario (USD)]]+STOCK[[#This Row],[Costo Envío (USD)]]+STOCK[[#This Row],[Comisión 10%]]</f>
        <v>9.5</v>
      </c>
      <c r="U1582" s="53">
        <f>STOCK[[#This Row],[Costo total]]*1.5</f>
        <v>14.25</v>
      </c>
      <c r="V1582" s="53">
        <v>15</v>
      </c>
      <c r="W1582" s="75">
        <f>STOCK[[#This Row],[Precio Final]]-STOCK[[#This Row],[Costo total]]</f>
        <v>5.5</v>
      </c>
      <c r="X1582" s="75">
        <f>STOCK[[#This Row],[Ganancia Unitaria]]*STOCK[[#This Row],[Salidas]]</f>
        <v>0</v>
      </c>
      <c r="Y1582" s="75"/>
      <c r="Z1582" s="75"/>
      <c r="AA1582" s="54">
        <f>STOCK[[#This Row],[Costo total]]*STOCK[[#This Row],[Entradas]]</f>
        <v>9.5</v>
      </c>
      <c r="AB1582" s="54">
        <f>STOCK[[#This Row],[Stock Actual]]*STOCK[[#This Row],[Costo total]]</f>
        <v>9.5</v>
      </c>
      <c r="AC1582" s="75"/>
      <c r="AD1582" s="82"/>
    </row>
    <row r="1583" spans="1:30" s="53" customFormat="1" ht="50" customHeight="1">
      <c r="A1583" s="53" t="s">
        <v>3140</v>
      </c>
      <c r="B1583" s="69" t="e" vm="1">
        <f ca="1">_xlfn.DISPIMG("ID_F6391F3813FA4E8FA4EC1E07ADF257DE",1)</f>
        <v>#NAME?</v>
      </c>
      <c r="C1583" s="53" t="s">
        <v>32</v>
      </c>
      <c r="D1583" s="53" t="s">
        <v>779</v>
      </c>
      <c r="E1583" s="65" t="s">
        <v>3141</v>
      </c>
      <c r="F1583" s="53" t="s">
        <v>49</v>
      </c>
      <c r="H1583" s="75">
        <f>STOCK[[#This Row],[Precio Final]]</f>
        <v>22</v>
      </c>
      <c r="I1583" s="80">
        <f>STOCK[[#This Row],[Precio Venta Ideal (x1.5)]]</f>
        <v>21.299999999999997</v>
      </c>
      <c r="J1583" s="69">
        <v>1</v>
      </c>
      <c r="K1583" s="78">
        <f>SUMIFS(VENTAS[Cantidad],VENTAS[Código del producto Vendido],STOCK[[#This Row],[Code]])</f>
        <v>1</v>
      </c>
      <c r="L1583" s="78">
        <f>STOCK[[#This Row],[Entradas]]-STOCK[[#This Row],[Salidas]]</f>
        <v>0</v>
      </c>
      <c r="M1583" s="75">
        <f>STOCK[[#This Row],[Precio Final]]*10%</f>
        <v>2.2000000000000002</v>
      </c>
      <c r="N1583" s="54">
        <v>0</v>
      </c>
      <c r="O1583" s="75">
        <v>0</v>
      </c>
      <c r="P1583" s="53">
        <v>12</v>
      </c>
      <c r="Q1583" s="69">
        <v>0</v>
      </c>
      <c r="R1583" s="53">
        <v>0</v>
      </c>
      <c r="S1583" s="54">
        <v>0</v>
      </c>
      <c r="T1583" s="75">
        <f>STOCK[[#This Row],[Costo Unitario (USD)]]+STOCK[[#This Row],[Costo Envío (USD)]]+STOCK[[#This Row],[Comisión 10%]]</f>
        <v>14.2</v>
      </c>
      <c r="U1583" s="53">
        <f>STOCK[[#This Row],[Costo total]]*1.5</f>
        <v>21.299999999999997</v>
      </c>
      <c r="V1583" s="53">
        <v>22</v>
      </c>
      <c r="W1583" s="75">
        <f>STOCK[[#This Row],[Precio Final]]-STOCK[[#This Row],[Costo total]]</f>
        <v>7.8000000000000007</v>
      </c>
      <c r="X1583" s="75">
        <f>STOCK[[#This Row],[Ganancia Unitaria]]*STOCK[[#This Row],[Salidas]]</f>
        <v>7.8000000000000007</v>
      </c>
      <c r="Y1583" s="75"/>
      <c r="Z1583" s="75"/>
      <c r="AA1583" s="54">
        <f>STOCK[[#This Row],[Costo total]]*STOCK[[#This Row],[Entradas]]</f>
        <v>14.2</v>
      </c>
      <c r="AB1583" s="54">
        <f>STOCK[[#This Row],[Stock Actual]]*STOCK[[#This Row],[Costo total]]</f>
        <v>0</v>
      </c>
      <c r="AC1583" s="75"/>
      <c r="AD1583" s="82"/>
    </row>
    <row r="1584" spans="1:30" s="53" customFormat="1" ht="50" customHeight="1">
      <c r="A1584" s="53" t="s">
        <v>3142</v>
      </c>
      <c r="C1584" s="53" t="s">
        <v>32</v>
      </c>
      <c r="D1584" s="53" t="s">
        <v>779</v>
      </c>
      <c r="E1584" s="65" t="s">
        <v>3143</v>
      </c>
      <c r="F1584" s="53" t="s">
        <v>62</v>
      </c>
      <c r="H1584" s="75">
        <f>STOCK[[#This Row],[Precio Final]]</f>
        <v>25</v>
      </c>
      <c r="I1584" s="80">
        <f>STOCK[[#This Row],[Precio Venta Ideal (x1.5)]]</f>
        <v>21.75</v>
      </c>
      <c r="J1584" s="69">
        <v>1</v>
      </c>
      <c r="K1584" s="78">
        <f>SUMIFS(VENTAS[Cantidad],VENTAS[Código del producto Vendido],STOCK[[#This Row],[Code]])</f>
        <v>1</v>
      </c>
      <c r="L1584" s="78">
        <f>STOCK[[#This Row],[Entradas]]-STOCK[[#This Row],[Salidas]]</f>
        <v>0</v>
      </c>
      <c r="M1584" s="75">
        <f>STOCK[[#This Row],[Precio Final]]*10%</f>
        <v>2.5</v>
      </c>
      <c r="N1584" s="53">
        <v>0</v>
      </c>
      <c r="O1584" s="75">
        <v>0</v>
      </c>
      <c r="P1584" s="53">
        <v>12</v>
      </c>
      <c r="Q1584" s="70">
        <v>0</v>
      </c>
      <c r="R1584" s="54">
        <v>0</v>
      </c>
      <c r="S1584" s="54">
        <v>0</v>
      </c>
      <c r="T1584" s="75">
        <f>STOCK[[#This Row],[Costo Unitario (USD)]]+STOCK[[#This Row],[Costo Envío (USD)]]+STOCK[[#This Row],[Comisión 10%]]</f>
        <v>14.5</v>
      </c>
      <c r="U1584" s="53">
        <f>STOCK[[#This Row],[Costo total]]*1.5</f>
        <v>21.75</v>
      </c>
      <c r="V1584" s="53">
        <v>25</v>
      </c>
      <c r="W1584" s="75">
        <f>STOCK[[#This Row],[Precio Final]]-STOCK[[#This Row],[Costo total]]</f>
        <v>10.5</v>
      </c>
      <c r="X1584" s="75">
        <f>STOCK[[#This Row],[Ganancia Unitaria]]*STOCK[[#This Row],[Salidas]]</f>
        <v>10.5</v>
      </c>
      <c r="Y1584" s="75"/>
      <c r="Z1584" s="75"/>
      <c r="AA1584" s="54">
        <f>STOCK[[#This Row],[Costo total]]*STOCK[[#This Row],[Entradas]]</f>
        <v>14.5</v>
      </c>
      <c r="AB1584" s="54">
        <f>STOCK[[#This Row],[Stock Actual]]*STOCK[[#This Row],[Costo total]]</f>
        <v>0</v>
      </c>
      <c r="AC1584" s="75"/>
      <c r="AD1584" s="82"/>
    </row>
    <row r="1585" spans="1:30" s="53" customFormat="1" ht="50" customHeight="1">
      <c r="A1585" s="53" t="s">
        <v>3144</v>
      </c>
      <c r="B1585" s="69" t="e" vm="1">
        <f ca="1">_xlfn.DISPIMG("ID_315F63E0D5474F3D9FF9A5DDC0C4A126",1)</f>
        <v>#NAME?</v>
      </c>
      <c r="C1585" s="53" t="s">
        <v>32</v>
      </c>
      <c r="D1585" s="53" t="s">
        <v>779</v>
      </c>
      <c r="E1585" s="65" t="s">
        <v>3145</v>
      </c>
      <c r="F1585" s="53" t="s">
        <v>40</v>
      </c>
      <c r="H1585" s="75">
        <f>STOCK[[#This Row],[Precio Final]]</f>
        <v>25</v>
      </c>
      <c r="I1585" s="80">
        <f>STOCK[[#This Row],[Precio Venta Ideal (x1.5)]]</f>
        <v>21.75</v>
      </c>
      <c r="J1585" s="69">
        <v>1</v>
      </c>
      <c r="K1585" s="78">
        <f>SUMIFS(VENTAS[Cantidad],VENTAS[Código del producto Vendido],STOCK[[#This Row],[Code]])</f>
        <v>1</v>
      </c>
      <c r="L1585" s="78">
        <f>STOCK[[#This Row],[Entradas]]-STOCK[[#This Row],[Salidas]]</f>
        <v>0</v>
      </c>
      <c r="M1585" s="75">
        <f>STOCK[[#This Row],[Precio Final]]*10%</f>
        <v>2.5</v>
      </c>
      <c r="N1585" s="54">
        <v>0</v>
      </c>
      <c r="O1585" s="75">
        <v>0</v>
      </c>
      <c r="P1585" s="53">
        <v>12</v>
      </c>
      <c r="Q1585" s="69">
        <v>0</v>
      </c>
      <c r="R1585" s="53">
        <v>0</v>
      </c>
      <c r="S1585" s="53">
        <v>0</v>
      </c>
      <c r="T1585" s="75">
        <f>STOCK[[#This Row],[Costo Unitario (USD)]]+STOCK[[#This Row],[Costo Envío (USD)]]+STOCK[[#This Row],[Comisión 10%]]</f>
        <v>14.5</v>
      </c>
      <c r="U1585" s="53">
        <f>STOCK[[#This Row],[Costo total]]*1.5</f>
        <v>21.75</v>
      </c>
      <c r="V1585" s="53">
        <v>25</v>
      </c>
      <c r="W1585" s="75">
        <f>STOCK[[#This Row],[Precio Final]]-STOCK[[#This Row],[Costo total]]</f>
        <v>10.5</v>
      </c>
      <c r="X1585" s="75">
        <f>STOCK[[#This Row],[Ganancia Unitaria]]*STOCK[[#This Row],[Salidas]]</f>
        <v>10.5</v>
      </c>
      <c r="Y1585" s="75"/>
      <c r="Z1585" s="75"/>
      <c r="AA1585" s="54">
        <f>STOCK[[#This Row],[Costo total]]*STOCK[[#This Row],[Entradas]]</f>
        <v>14.5</v>
      </c>
      <c r="AB1585" s="54">
        <f>STOCK[[#This Row],[Stock Actual]]*STOCK[[#This Row],[Costo total]]</f>
        <v>0</v>
      </c>
      <c r="AC1585" s="75"/>
      <c r="AD1585" s="82"/>
    </row>
    <row r="1586" spans="1:30" s="53" customFormat="1" ht="50" customHeight="1">
      <c r="A1586" s="53" t="s">
        <v>3146</v>
      </c>
      <c r="B1586" s="69" t="e" vm="1">
        <f ca="1">_xlfn.DISPIMG("ID_677C6FEC13954461A125BE698441BF2E",1)</f>
        <v>#NAME?</v>
      </c>
      <c r="C1586" s="53" t="s">
        <v>32</v>
      </c>
      <c r="D1586" s="53" t="s">
        <v>779</v>
      </c>
      <c r="E1586" s="65" t="s">
        <v>3147</v>
      </c>
      <c r="F1586" s="53" t="s">
        <v>62</v>
      </c>
      <c r="H1586" s="75">
        <f>STOCK[[#This Row],[Precio Final]]</f>
        <v>25</v>
      </c>
      <c r="I1586" s="80">
        <f>STOCK[[#This Row],[Precio Venta Ideal (x1.5)]]</f>
        <v>21.75</v>
      </c>
      <c r="J1586" s="69">
        <v>1</v>
      </c>
      <c r="K1586" s="78">
        <f>SUMIFS(VENTAS[Cantidad],VENTAS[Código del producto Vendido],STOCK[[#This Row],[Code]])</f>
        <v>1</v>
      </c>
      <c r="L1586" s="78">
        <f>STOCK[[#This Row],[Entradas]]-STOCK[[#This Row],[Salidas]]</f>
        <v>0</v>
      </c>
      <c r="M1586" s="75">
        <f>STOCK[[#This Row],[Precio Final]]*10%</f>
        <v>2.5</v>
      </c>
      <c r="N1586" s="54">
        <v>0</v>
      </c>
      <c r="O1586" s="75">
        <v>0</v>
      </c>
      <c r="P1586" s="53">
        <v>12</v>
      </c>
      <c r="Q1586" s="69">
        <v>0</v>
      </c>
      <c r="R1586" s="54">
        <v>0</v>
      </c>
      <c r="S1586" s="54">
        <v>0</v>
      </c>
      <c r="T1586" s="75">
        <f>STOCK[[#This Row],[Costo Unitario (USD)]]+STOCK[[#This Row],[Costo Envío (USD)]]+STOCK[[#This Row],[Comisión 10%]]</f>
        <v>14.5</v>
      </c>
      <c r="U1586" s="53">
        <f>STOCK[[#This Row],[Costo total]]*1.5</f>
        <v>21.75</v>
      </c>
      <c r="V1586" s="53">
        <v>25</v>
      </c>
      <c r="W1586" s="75">
        <f>STOCK[[#This Row],[Precio Final]]-STOCK[[#This Row],[Costo total]]</f>
        <v>10.5</v>
      </c>
      <c r="X1586" s="75">
        <f>STOCK[[#This Row],[Ganancia Unitaria]]*STOCK[[#This Row],[Salidas]]</f>
        <v>10.5</v>
      </c>
      <c r="Y1586" s="75"/>
      <c r="Z1586" s="75"/>
      <c r="AA1586" s="54">
        <f>STOCK[[#This Row],[Costo total]]*STOCK[[#This Row],[Entradas]]</f>
        <v>14.5</v>
      </c>
      <c r="AB1586" s="54">
        <f>STOCK[[#This Row],[Stock Actual]]*STOCK[[#This Row],[Costo total]]</f>
        <v>0</v>
      </c>
      <c r="AC1586" s="75"/>
      <c r="AD1586" s="82"/>
    </row>
    <row r="1587" spans="1:30" s="53" customFormat="1" ht="50" customHeight="1">
      <c r="A1587" s="53" t="s">
        <v>3148</v>
      </c>
      <c r="B1587" s="69" t="e" vm="1">
        <f ca="1">_xlfn.DISPIMG("ID_889E5EDE8DBF42C6AEB0EA24F37D82AF",1)</f>
        <v>#NAME?</v>
      </c>
      <c r="C1587" s="53" t="s">
        <v>32</v>
      </c>
      <c r="D1587" s="53" t="s">
        <v>779</v>
      </c>
      <c r="E1587" s="65" t="s">
        <v>3149</v>
      </c>
      <c r="F1587" s="53" t="s">
        <v>62</v>
      </c>
      <c r="H1587" s="75">
        <f>STOCK[[#This Row],[Precio Final]]</f>
        <v>25</v>
      </c>
      <c r="I1587" s="80">
        <f>STOCK[[#This Row],[Precio Venta Ideal (x1.5)]]</f>
        <v>21.75</v>
      </c>
      <c r="J1587" s="69">
        <v>1</v>
      </c>
      <c r="K1587" s="78">
        <f>SUMIFS(VENTAS[Cantidad],VENTAS[Código del producto Vendido],STOCK[[#This Row],[Code]])</f>
        <v>1</v>
      </c>
      <c r="L1587" s="78">
        <f>STOCK[[#This Row],[Entradas]]-STOCK[[#This Row],[Salidas]]</f>
        <v>0</v>
      </c>
      <c r="M1587" s="75">
        <f>STOCK[[#This Row],[Precio Final]]*10%</f>
        <v>2.5</v>
      </c>
      <c r="N1587" s="53">
        <v>0</v>
      </c>
      <c r="O1587" s="75">
        <v>0</v>
      </c>
      <c r="P1587" s="53">
        <v>12</v>
      </c>
      <c r="Q1587" s="70">
        <v>0</v>
      </c>
      <c r="R1587" s="53">
        <v>0</v>
      </c>
      <c r="S1587" s="54">
        <v>0</v>
      </c>
      <c r="T1587" s="75">
        <f>STOCK[[#This Row],[Costo Unitario (USD)]]+STOCK[[#This Row],[Costo Envío (USD)]]+STOCK[[#This Row],[Comisión 10%]]</f>
        <v>14.5</v>
      </c>
      <c r="U1587" s="53">
        <f>STOCK[[#This Row],[Costo total]]*1.5</f>
        <v>21.75</v>
      </c>
      <c r="V1587" s="53">
        <v>25</v>
      </c>
      <c r="W1587" s="75">
        <f>STOCK[[#This Row],[Precio Final]]-STOCK[[#This Row],[Costo total]]</f>
        <v>10.5</v>
      </c>
      <c r="X1587" s="75">
        <f>STOCK[[#This Row],[Ganancia Unitaria]]*STOCK[[#This Row],[Salidas]]</f>
        <v>10.5</v>
      </c>
      <c r="Y1587" s="75"/>
      <c r="Z1587" s="75"/>
      <c r="AA1587" s="54">
        <f>STOCK[[#This Row],[Costo total]]*STOCK[[#This Row],[Entradas]]</f>
        <v>14.5</v>
      </c>
      <c r="AB1587" s="54">
        <f>STOCK[[#This Row],[Stock Actual]]*STOCK[[#This Row],[Costo total]]</f>
        <v>0</v>
      </c>
      <c r="AC1587" s="75"/>
      <c r="AD1587" s="82"/>
    </row>
    <row r="1588" spans="1:30" s="53" customFormat="1" ht="50" customHeight="1">
      <c r="A1588" s="53" t="s">
        <v>3150</v>
      </c>
      <c r="B1588" s="69" t="e" vm="1">
        <f ca="1">_xlfn.DISPIMG("ID_C124F5B9512D4E3CA04E0645BE99C60D",1)</f>
        <v>#NAME?</v>
      </c>
      <c r="C1588" s="53" t="s">
        <v>32</v>
      </c>
      <c r="D1588" s="53" t="s">
        <v>779</v>
      </c>
      <c r="E1588" s="65" t="s">
        <v>3151</v>
      </c>
      <c r="F1588" s="53" t="s">
        <v>49</v>
      </c>
      <c r="H1588" s="75">
        <f>STOCK[[#This Row],[Precio Final]]</f>
        <v>25</v>
      </c>
      <c r="I1588" s="80">
        <f>STOCK[[#This Row],[Precio Venta Ideal (x1.5)]]</f>
        <v>21.75</v>
      </c>
      <c r="J1588" s="69">
        <v>1</v>
      </c>
      <c r="K1588" s="78">
        <f>SUMIFS(VENTAS[Cantidad],VENTAS[Código del producto Vendido],STOCK[[#This Row],[Code]])</f>
        <v>1</v>
      </c>
      <c r="L1588" s="78">
        <f>STOCK[[#This Row],[Entradas]]-STOCK[[#This Row],[Salidas]]</f>
        <v>0</v>
      </c>
      <c r="M1588" s="75">
        <f>STOCK[[#This Row],[Precio Final]]*10%</f>
        <v>2.5</v>
      </c>
      <c r="N1588" s="54">
        <v>0</v>
      </c>
      <c r="O1588" s="75">
        <v>0</v>
      </c>
      <c r="P1588" s="53">
        <v>12</v>
      </c>
      <c r="Q1588" s="69">
        <v>0</v>
      </c>
      <c r="R1588" s="54">
        <v>0</v>
      </c>
      <c r="S1588" s="53">
        <v>0</v>
      </c>
      <c r="T1588" s="75">
        <f>STOCK[[#This Row],[Costo Unitario (USD)]]+STOCK[[#This Row],[Costo Envío (USD)]]+STOCK[[#This Row],[Comisión 10%]]</f>
        <v>14.5</v>
      </c>
      <c r="U1588" s="53">
        <f>STOCK[[#This Row],[Costo total]]*1.5</f>
        <v>21.75</v>
      </c>
      <c r="V1588" s="53">
        <v>25</v>
      </c>
      <c r="W1588" s="75">
        <f>STOCK[[#This Row],[Precio Final]]-STOCK[[#This Row],[Costo total]]</f>
        <v>10.5</v>
      </c>
      <c r="X1588" s="75">
        <f>STOCK[[#This Row],[Ganancia Unitaria]]*STOCK[[#This Row],[Salidas]]</f>
        <v>10.5</v>
      </c>
      <c r="Y1588" s="75"/>
      <c r="Z1588" s="75"/>
      <c r="AA1588" s="54">
        <f>STOCK[[#This Row],[Costo total]]*STOCK[[#This Row],[Entradas]]</f>
        <v>14.5</v>
      </c>
      <c r="AB1588" s="54">
        <f>STOCK[[#This Row],[Stock Actual]]*STOCK[[#This Row],[Costo total]]</f>
        <v>0</v>
      </c>
      <c r="AC1588" s="75"/>
      <c r="AD1588" s="82"/>
    </row>
    <row r="1589" spans="1:30" s="53" customFormat="1" ht="50" customHeight="1">
      <c r="A1589" s="53" t="s">
        <v>3152</v>
      </c>
      <c r="B1589" s="69" t="e" vm="1">
        <f ca="1">_xlfn.DISPIMG("ID_894A73110135420E8DEE306F1483BDB8",1)</f>
        <v>#NAME?</v>
      </c>
      <c r="C1589" s="53" t="s">
        <v>32</v>
      </c>
      <c r="D1589" s="53" t="s">
        <v>779</v>
      </c>
      <c r="E1589" s="65" t="s">
        <v>3153</v>
      </c>
      <c r="F1589" s="53" t="s">
        <v>62</v>
      </c>
      <c r="H1589" s="75">
        <f>STOCK[[#This Row],[Precio Final]]</f>
        <v>20</v>
      </c>
      <c r="I1589" s="80">
        <f>STOCK[[#This Row],[Precio Venta Ideal (x1.5)]]</f>
        <v>21</v>
      </c>
      <c r="J1589" s="69">
        <v>1</v>
      </c>
      <c r="K1589" s="78">
        <f>SUMIFS(VENTAS[Cantidad],VENTAS[Código del producto Vendido],STOCK[[#This Row],[Code]])</f>
        <v>1</v>
      </c>
      <c r="L1589" s="78">
        <f>STOCK[[#This Row],[Entradas]]-STOCK[[#This Row],[Salidas]]</f>
        <v>0</v>
      </c>
      <c r="M1589" s="75">
        <f>STOCK[[#This Row],[Precio Final]]*10%</f>
        <v>2</v>
      </c>
      <c r="N1589" s="54">
        <v>0</v>
      </c>
      <c r="O1589" s="75">
        <v>0</v>
      </c>
      <c r="P1589" s="53">
        <v>12</v>
      </c>
      <c r="Q1589" s="69">
        <v>0</v>
      </c>
      <c r="R1589" s="53">
        <v>0</v>
      </c>
      <c r="S1589" s="54">
        <v>0</v>
      </c>
      <c r="T1589" s="75">
        <f>STOCK[[#This Row],[Costo Unitario (USD)]]+STOCK[[#This Row],[Costo Envío (USD)]]+STOCK[[#This Row],[Comisión 10%]]</f>
        <v>14</v>
      </c>
      <c r="U1589" s="53">
        <f>STOCK[[#This Row],[Costo total]]*1.5</f>
        <v>21</v>
      </c>
      <c r="V1589" s="53">
        <v>20</v>
      </c>
      <c r="W1589" s="75">
        <f>STOCK[[#This Row],[Precio Final]]-STOCK[[#This Row],[Costo total]]</f>
        <v>6</v>
      </c>
      <c r="X1589" s="75">
        <f>STOCK[[#This Row],[Ganancia Unitaria]]*STOCK[[#This Row],[Salidas]]</f>
        <v>6</v>
      </c>
      <c r="Y1589" s="75"/>
      <c r="Z1589" s="75"/>
      <c r="AA1589" s="54">
        <f>STOCK[[#This Row],[Costo total]]*STOCK[[#This Row],[Entradas]]</f>
        <v>14</v>
      </c>
      <c r="AB1589" s="54">
        <f>STOCK[[#This Row],[Stock Actual]]*STOCK[[#This Row],[Costo total]]</f>
        <v>0</v>
      </c>
      <c r="AC1589" s="75"/>
      <c r="AD1589" s="82"/>
    </row>
    <row r="1590" spans="1:30" s="53" customFormat="1" ht="50" customHeight="1">
      <c r="A1590" s="53" t="s">
        <v>3154</v>
      </c>
      <c r="B1590" s="69" t="e" vm="1">
        <f ca="1">_xlfn.DISPIMG("ID_8C79A6110A4E40D1B23FEFB3281A788B",1)</f>
        <v>#NAME?</v>
      </c>
      <c r="C1590" s="53" t="s">
        <v>32</v>
      </c>
      <c r="D1590" s="53" t="s">
        <v>779</v>
      </c>
      <c r="E1590" s="65" t="s">
        <v>3155</v>
      </c>
      <c r="F1590" s="53" t="s">
        <v>46</v>
      </c>
      <c r="H1590" s="75">
        <f>STOCK[[#This Row],[Precio Final]]</f>
        <v>20</v>
      </c>
      <c r="I1590" s="80">
        <f>STOCK[[#This Row],[Precio Venta Ideal (x1.5)]]</f>
        <v>15</v>
      </c>
      <c r="J1590" s="69">
        <v>1</v>
      </c>
      <c r="K1590" s="78">
        <f>SUMIFS(VENTAS[Cantidad],VENTAS[Código del producto Vendido],STOCK[[#This Row],[Code]])</f>
        <v>0</v>
      </c>
      <c r="L1590" s="78">
        <f>STOCK[[#This Row],[Entradas]]-STOCK[[#This Row],[Salidas]]</f>
        <v>1</v>
      </c>
      <c r="M1590" s="75">
        <f>STOCK[[#This Row],[Precio Final]]*10%</f>
        <v>2</v>
      </c>
      <c r="N1590" s="53">
        <v>0</v>
      </c>
      <c r="O1590" s="75">
        <v>0</v>
      </c>
      <c r="P1590" s="53">
        <v>8</v>
      </c>
      <c r="Q1590" s="70">
        <v>0</v>
      </c>
      <c r="R1590" s="54">
        <v>0</v>
      </c>
      <c r="S1590" s="54">
        <v>0</v>
      </c>
      <c r="T1590" s="75">
        <f>STOCK[[#This Row],[Costo Unitario (USD)]]+STOCK[[#This Row],[Costo Envío (USD)]]+STOCK[[#This Row],[Comisión 10%]]</f>
        <v>10</v>
      </c>
      <c r="U1590" s="53">
        <f>STOCK[[#This Row],[Costo total]]*1.5</f>
        <v>15</v>
      </c>
      <c r="V1590" s="53">
        <v>20</v>
      </c>
      <c r="W1590" s="75">
        <f>STOCK[[#This Row],[Precio Final]]-STOCK[[#This Row],[Costo total]]</f>
        <v>10</v>
      </c>
      <c r="X1590" s="75">
        <f>STOCK[[#This Row],[Ganancia Unitaria]]*STOCK[[#This Row],[Salidas]]</f>
        <v>0</v>
      </c>
      <c r="Y1590" s="75"/>
      <c r="Z1590" s="75"/>
      <c r="AA1590" s="54">
        <f>STOCK[[#This Row],[Costo total]]*STOCK[[#This Row],[Entradas]]</f>
        <v>10</v>
      </c>
      <c r="AB1590" s="54">
        <f>STOCK[[#This Row],[Stock Actual]]*STOCK[[#This Row],[Costo total]]</f>
        <v>10</v>
      </c>
      <c r="AC1590" s="75"/>
      <c r="AD1590" s="82"/>
    </row>
    <row r="1591" spans="1:30" s="53" customFormat="1" ht="50" customHeight="1">
      <c r="A1591" s="53" t="s">
        <v>3156</v>
      </c>
      <c r="B1591" s="69" t="e" vm="1">
        <f ca="1">_xlfn.DISPIMG("ID_4D2FA45FDD8342C79F793CEA60F59338",1)</f>
        <v>#NAME?</v>
      </c>
      <c r="C1591" s="53" t="s">
        <v>32</v>
      </c>
      <c r="D1591" s="53" t="s">
        <v>779</v>
      </c>
      <c r="E1591" s="65" t="s">
        <v>3157</v>
      </c>
      <c r="F1591" s="53" t="s">
        <v>42</v>
      </c>
      <c r="H1591" s="75">
        <f>STOCK[[#This Row],[Precio Final]]</f>
        <v>20</v>
      </c>
      <c r="I1591" s="80">
        <f>STOCK[[#This Row],[Precio Venta Ideal (x1.5)]]</f>
        <v>15</v>
      </c>
      <c r="J1591" s="69">
        <v>1</v>
      </c>
      <c r="K1591" s="78">
        <f>SUMIFS(VENTAS[Cantidad],VENTAS[Código del producto Vendido],STOCK[[#This Row],[Code]])</f>
        <v>1</v>
      </c>
      <c r="L1591" s="78">
        <f>STOCK[[#This Row],[Entradas]]-STOCK[[#This Row],[Salidas]]</f>
        <v>0</v>
      </c>
      <c r="M1591" s="75">
        <f>STOCK[[#This Row],[Precio Final]]*10%</f>
        <v>2</v>
      </c>
      <c r="N1591" s="54">
        <v>0</v>
      </c>
      <c r="O1591" s="75">
        <v>0</v>
      </c>
      <c r="P1591" s="53">
        <v>8</v>
      </c>
      <c r="Q1591" s="69">
        <v>0</v>
      </c>
      <c r="R1591" s="53">
        <v>0</v>
      </c>
      <c r="S1591" s="53">
        <v>0</v>
      </c>
      <c r="T1591" s="75">
        <f>STOCK[[#This Row],[Costo Unitario (USD)]]+STOCK[[#This Row],[Costo Envío (USD)]]+STOCK[[#This Row],[Comisión 10%]]</f>
        <v>10</v>
      </c>
      <c r="U1591" s="53">
        <f>STOCK[[#This Row],[Costo total]]*1.5</f>
        <v>15</v>
      </c>
      <c r="V1591" s="53">
        <v>20</v>
      </c>
      <c r="W1591" s="75">
        <f>STOCK[[#This Row],[Precio Final]]-STOCK[[#This Row],[Costo total]]</f>
        <v>10</v>
      </c>
      <c r="X1591" s="75">
        <f>STOCK[[#This Row],[Ganancia Unitaria]]*STOCK[[#This Row],[Salidas]]</f>
        <v>10</v>
      </c>
      <c r="Y1591" s="75"/>
      <c r="Z1591" s="75"/>
      <c r="AA1591" s="54">
        <f>STOCK[[#This Row],[Costo total]]*STOCK[[#This Row],[Entradas]]</f>
        <v>10</v>
      </c>
      <c r="AB1591" s="54">
        <f>STOCK[[#This Row],[Stock Actual]]*STOCK[[#This Row],[Costo total]]</f>
        <v>0</v>
      </c>
      <c r="AC1591" s="75"/>
      <c r="AD1591" s="82"/>
    </row>
    <row r="1592" spans="1:30" s="53" customFormat="1" ht="50" customHeight="1">
      <c r="A1592" s="53" t="s">
        <v>3158</v>
      </c>
      <c r="B1592" s="69" t="e" vm="1">
        <f ca="1">_xlfn.DISPIMG("ID_4D2FA45FDD8342C79F793CEA60F59338",1)</f>
        <v>#NAME?</v>
      </c>
      <c r="C1592" s="53" t="s">
        <v>32</v>
      </c>
      <c r="D1592" s="53" t="s">
        <v>779</v>
      </c>
      <c r="E1592" s="65" t="s">
        <v>3157</v>
      </c>
      <c r="F1592" s="53" t="s">
        <v>281</v>
      </c>
      <c r="H1592" s="75">
        <f>STOCK[[#This Row],[Precio Final]]</f>
        <v>20</v>
      </c>
      <c r="I1592" s="80">
        <f>STOCK[[#This Row],[Precio Venta Ideal (x1.5)]]</f>
        <v>15</v>
      </c>
      <c r="J1592" s="69">
        <v>1</v>
      </c>
      <c r="K1592" s="78">
        <f>SUMIFS(VENTAS[Cantidad],VENTAS[Código del producto Vendido],STOCK[[#This Row],[Code]])</f>
        <v>1</v>
      </c>
      <c r="L1592" s="78">
        <f>STOCK[[#This Row],[Entradas]]-STOCK[[#This Row],[Salidas]]</f>
        <v>0</v>
      </c>
      <c r="M1592" s="75">
        <f>STOCK[[#This Row],[Precio Final]]*10%</f>
        <v>2</v>
      </c>
      <c r="N1592" s="54">
        <v>0</v>
      </c>
      <c r="O1592" s="75">
        <v>0</v>
      </c>
      <c r="P1592" s="53">
        <v>8</v>
      </c>
      <c r="Q1592" s="69">
        <v>0</v>
      </c>
      <c r="R1592" s="54">
        <v>0</v>
      </c>
      <c r="S1592" s="54">
        <v>0</v>
      </c>
      <c r="T1592" s="75">
        <f>STOCK[[#This Row],[Costo Unitario (USD)]]+STOCK[[#This Row],[Costo Envío (USD)]]+STOCK[[#This Row],[Comisión 10%]]</f>
        <v>10</v>
      </c>
      <c r="U1592" s="53">
        <f>STOCK[[#This Row],[Costo total]]*1.5</f>
        <v>15</v>
      </c>
      <c r="V1592" s="53">
        <v>20</v>
      </c>
      <c r="W1592" s="75">
        <f>STOCK[[#This Row],[Precio Final]]-STOCK[[#This Row],[Costo total]]</f>
        <v>10</v>
      </c>
      <c r="X1592" s="75">
        <f>STOCK[[#This Row],[Ganancia Unitaria]]*STOCK[[#This Row],[Salidas]]</f>
        <v>10</v>
      </c>
      <c r="Y1592" s="75"/>
      <c r="Z1592" s="75"/>
      <c r="AA1592" s="54">
        <f>STOCK[[#This Row],[Costo total]]*STOCK[[#This Row],[Entradas]]</f>
        <v>10</v>
      </c>
      <c r="AB1592" s="54">
        <f>STOCK[[#This Row],[Stock Actual]]*STOCK[[#This Row],[Costo total]]</f>
        <v>0</v>
      </c>
      <c r="AC1592" s="75"/>
      <c r="AD1592" s="82"/>
    </row>
    <row r="1593" spans="1:30" s="53" customFormat="1" ht="50" customHeight="1">
      <c r="A1593" s="53" t="s">
        <v>3159</v>
      </c>
      <c r="B1593" s="69" t="e" vm="1">
        <f ca="1">_xlfn.DISPIMG("ID_7AEEF701FAF24EDD84CFF723A4E24DAF",1)</f>
        <v>#NAME?</v>
      </c>
      <c r="C1593" s="53" t="s">
        <v>32</v>
      </c>
      <c r="D1593" s="53" t="s">
        <v>779</v>
      </c>
      <c r="E1593" s="65" t="s">
        <v>3160</v>
      </c>
      <c r="F1593" s="53" t="s">
        <v>46</v>
      </c>
      <c r="H1593" s="75">
        <f>STOCK[[#This Row],[Precio Final]]</f>
        <v>20</v>
      </c>
      <c r="I1593" s="80">
        <f>STOCK[[#This Row],[Precio Venta Ideal (x1.5)]]</f>
        <v>15</v>
      </c>
      <c r="J1593" s="69">
        <v>1</v>
      </c>
      <c r="K1593" s="78">
        <f>SUMIFS(VENTAS[Cantidad],VENTAS[Código del producto Vendido],STOCK[[#This Row],[Code]])</f>
        <v>1</v>
      </c>
      <c r="L1593" s="78">
        <f>STOCK[[#This Row],[Entradas]]-STOCK[[#This Row],[Salidas]]</f>
        <v>0</v>
      </c>
      <c r="M1593" s="75">
        <f>STOCK[[#This Row],[Precio Final]]*10%</f>
        <v>2</v>
      </c>
      <c r="N1593" s="53">
        <v>0</v>
      </c>
      <c r="O1593" s="75">
        <v>0</v>
      </c>
      <c r="P1593" s="53">
        <v>8</v>
      </c>
      <c r="Q1593" s="70">
        <v>0</v>
      </c>
      <c r="R1593" s="53">
        <v>0</v>
      </c>
      <c r="S1593" s="54">
        <v>0</v>
      </c>
      <c r="T1593" s="75">
        <f>STOCK[[#This Row],[Costo Unitario (USD)]]+STOCK[[#This Row],[Costo Envío (USD)]]+STOCK[[#This Row],[Comisión 10%]]</f>
        <v>10</v>
      </c>
      <c r="U1593" s="53">
        <f>STOCK[[#This Row],[Costo total]]*1.5</f>
        <v>15</v>
      </c>
      <c r="V1593" s="53">
        <v>20</v>
      </c>
      <c r="W1593" s="75">
        <f>STOCK[[#This Row],[Precio Final]]-STOCK[[#This Row],[Costo total]]</f>
        <v>10</v>
      </c>
      <c r="X1593" s="75">
        <f>STOCK[[#This Row],[Ganancia Unitaria]]*STOCK[[#This Row],[Salidas]]</f>
        <v>10</v>
      </c>
      <c r="Y1593" s="75"/>
      <c r="Z1593" s="75"/>
      <c r="AA1593" s="54">
        <f>STOCK[[#This Row],[Costo total]]*STOCK[[#This Row],[Entradas]]</f>
        <v>10</v>
      </c>
      <c r="AB1593" s="54">
        <f>STOCK[[#This Row],[Stock Actual]]*STOCK[[#This Row],[Costo total]]</f>
        <v>0</v>
      </c>
      <c r="AC1593" s="75"/>
      <c r="AD1593" s="82"/>
    </row>
    <row r="1594" spans="1:30" s="53" customFormat="1" ht="50" customHeight="1">
      <c r="A1594" s="53" t="s">
        <v>3161</v>
      </c>
      <c r="B1594" s="53" t="s">
        <v>1345</v>
      </c>
      <c r="C1594" s="53" t="s">
        <v>32</v>
      </c>
      <c r="D1594" s="53" t="s">
        <v>546</v>
      </c>
      <c r="E1594" s="65" t="s">
        <v>3162</v>
      </c>
      <c r="F1594" s="53" t="s">
        <v>62</v>
      </c>
      <c r="H1594" s="75">
        <f>STOCK[[#This Row],[Precio Final]]</f>
        <v>2.5</v>
      </c>
      <c r="I1594" s="80">
        <f>STOCK[[#This Row],[Precio Venta Ideal (x1.5)]]</f>
        <v>1.6649999999999998</v>
      </c>
      <c r="J1594" s="69">
        <v>9</v>
      </c>
      <c r="K1594" s="78">
        <f>SUMIFS(VENTAS[Cantidad],VENTAS[Código del producto Vendido],STOCK[[#This Row],[Code]])</f>
        <v>6</v>
      </c>
      <c r="L1594" s="78">
        <f>STOCK[[#This Row],[Entradas]]-STOCK[[#This Row],[Salidas]]</f>
        <v>3</v>
      </c>
      <c r="M1594" s="75">
        <f>STOCK[[#This Row],[Precio Final]]*10%</f>
        <v>0.25</v>
      </c>
      <c r="N1594" s="54">
        <v>0</v>
      </c>
      <c r="O1594" s="75">
        <v>0</v>
      </c>
      <c r="P1594" s="53">
        <v>0.86</v>
      </c>
      <c r="Q1594" s="69">
        <v>0</v>
      </c>
      <c r="R1594" s="54">
        <v>0</v>
      </c>
      <c r="S1594" s="53">
        <v>0</v>
      </c>
      <c r="T1594" s="75">
        <f>STOCK[[#This Row],[Costo Unitario (USD)]]+STOCK[[#This Row],[Costo Envío (USD)]]+STOCK[[#This Row],[Comisión 10%]]</f>
        <v>1.1099999999999999</v>
      </c>
      <c r="U1594" s="53">
        <f>STOCK[[#This Row],[Costo total]]*1.5</f>
        <v>1.6649999999999998</v>
      </c>
      <c r="V1594" s="53">
        <v>2.5</v>
      </c>
      <c r="W1594" s="75">
        <f>STOCK[[#This Row],[Precio Final]]-STOCK[[#This Row],[Costo total]]</f>
        <v>1.3900000000000001</v>
      </c>
      <c r="X1594" s="75">
        <f>STOCK[[#This Row],[Ganancia Unitaria]]*STOCK[[#This Row],[Salidas]]</f>
        <v>8.34</v>
      </c>
      <c r="Y1594" s="75"/>
      <c r="Z1594" s="75"/>
      <c r="AA1594" s="54">
        <f>STOCK[[#This Row],[Costo total]]*STOCK[[#This Row],[Entradas]]</f>
        <v>9.9899999999999984</v>
      </c>
      <c r="AB1594" s="54">
        <f>STOCK[[#This Row],[Stock Actual]]*STOCK[[#This Row],[Costo total]]</f>
        <v>3.3299999999999996</v>
      </c>
      <c r="AC1594" s="75"/>
      <c r="AD1594" s="82"/>
    </row>
    <row r="1595" spans="1:30" s="53" customFormat="1" ht="50" customHeight="1">
      <c r="A1595" s="53" t="s">
        <v>3163</v>
      </c>
      <c r="B1595" s="53" t="s">
        <v>1345</v>
      </c>
      <c r="C1595" s="53" t="s">
        <v>32</v>
      </c>
      <c r="D1595" s="53" t="s">
        <v>1388</v>
      </c>
      <c r="E1595" s="65" t="s">
        <v>3164</v>
      </c>
      <c r="F1595" s="53" t="s">
        <v>49</v>
      </c>
      <c r="H1595" s="75">
        <f>STOCK[[#This Row],[Precio Final]]</f>
        <v>18</v>
      </c>
      <c r="I1595" s="80">
        <f>STOCK[[#This Row],[Precio Venta Ideal (x1.5)]]</f>
        <v>11.7</v>
      </c>
      <c r="J1595" s="69">
        <v>1</v>
      </c>
      <c r="K1595" s="78">
        <f>SUMIFS(VENTAS[Cantidad],VENTAS[Código del producto Vendido],STOCK[[#This Row],[Code]])</f>
        <v>0</v>
      </c>
      <c r="L1595" s="78">
        <f>STOCK[[#This Row],[Entradas]]-STOCK[[#This Row],[Salidas]]</f>
        <v>1</v>
      </c>
      <c r="M1595" s="75">
        <f>STOCK[[#This Row],[Precio Final]]*10%</f>
        <v>1.8</v>
      </c>
      <c r="N1595" s="54">
        <v>0</v>
      </c>
      <c r="O1595" s="75">
        <v>0</v>
      </c>
      <c r="P1595" s="53">
        <v>6</v>
      </c>
      <c r="Q1595" s="69">
        <v>0</v>
      </c>
      <c r="R1595" s="53">
        <v>0</v>
      </c>
      <c r="S1595" s="54">
        <v>0</v>
      </c>
      <c r="T1595" s="75">
        <f>STOCK[[#This Row],[Costo Unitario (USD)]]+STOCK[[#This Row],[Costo Envío (USD)]]+STOCK[[#This Row],[Comisión 10%]]</f>
        <v>7.8</v>
      </c>
      <c r="U1595" s="53">
        <f>STOCK[[#This Row],[Costo total]]*1.5</f>
        <v>11.7</v>
      </c>
      <c r="V1595" s="53">
        <v>18</v>
      </c>
      <c r="W1595" s="75">
        <f>STOCK[[#This Row],[Precio Final]]-STOCK[[#This Row],[Costo total]]</f>
        <v>10.199999999999999</v>
      </c>
      <c r="X1595" s="75">
        <f>STOCK[[#This Row],[Ganancia Unitaria]]*STOCK[[#This Row],[Salidas]]</f>
        <v>0</v>
      </c>
      <c r="Y1595" s="75"/>
      <c r="Z1595" s="75"/>
      <c r="AA1595" s="54">
        <f>STOCK[[#This Row],[Costo total]]*STOCK[[#This Row],[Entradas]]</f>
        <v>7.8</v>
      </c>
      <c r="AB1595" s="54">
        <f>STOCK[[#This Row],[Stock Actual]]*STOCK[[#This Row],[Costo total]]</f>
        <v>7.8</v>
      </c>
      <c r="AC1595" s="75"/>
      <c r="AD1595" s="82"/>
    </row>
    <row r="1596" spans="1:30" s="53" customFormat="1" ht="50" customHeight="1">
      <c r="A1596" s="53" t="s">
        <v>3165</v>
      </c>
      <c r="B1596" s="53" t="s">
        <v>1345</v>
      </c>
      <c r="C1596" s="53" t="s">
        <v>32</v>
      </c>
      <c r="D1596" s="53" t="s">
        <v>1388</v>
      </c>
      <c r="E1596" s="65" t="s">
        <v>3166</v>
      </c>
      <c r="F1596" s="53" t="s">
        <v>62</v>
      </c>
      <c r="H1596" s="75">
        <f>STOCK[[#This Row],[Precio Final]]</f>
        <v>20</v>
      </c>
      <c r="I1596" s="80">
        <f>STOCK[[#This Row],[Precio Venta Ideal (x1.5)]]</f>
        <v>12</v>
      </c>
      <c r="J1596" s="69">
        <v>1</v>
      </c>
      <c r="K1596" s="78">
        <f>SUMIFS(VENTAS[Cantidad],VENTAS[Código del producto Vendido],STOCK[[#This Row],[Code]])</f>
        <v>0</v>
      </c>
      <c r="L1596" s="78">
        <f>STOCK[[#This Row],[Entradas]]-STOCK[[#This Row],[Salidas]]</f>
        <v>1</v>
      </c>
      <c r="M1596" s="75">
        <f>STOCK[[#This Row],[Precio Final]]*10%</f>
        <v>2</v>
      </c>
      <c r="N1596" s="53">
        <v>0</v>
      </c>
      <c r="O1596" s="75">
        <v>0</v>
      </c>
      <c r="P1596" s="53">
        <v>6</v>
      </c>
      <c r="Q1596" s="70">
        <v>0</v>
      </c>
      <c r="R1596" s="54">
        <v>0</v>
      </c>
      <c r="S1596" s="54">
        <v>0</v>
      </c>
      <c r="T1596" s="75">
        <f>STOCK[[#This Row],[Costo Unitario (USD)]]+STOCK[[#This Row],[Costo Envío (USD)]]+STOCK[[#This Row],[Comisión 10%]]</f>
        <v>8</v>
      </c>
      <c r="U1596" s="53">
        <f>STOCK[[#This Row],[Costo total]]*1.5</f>
        <v>12</v>
      </c>
      <c r="V1596" s="53">
        <v>20</v>
      </c>
      <c r="W1596" s="75">
        <f>STOCK[[#This Row],[Precio Final]]-STOCK[[#This Row],[Costo total]]</f>
        <v>12</v>
      </c>
      <c r="X1596" s="75">
        <f>STOCK[[#This Row],[Ganancia Unitaria]]*STOCK[[#This Row],[Salidas]]</f>
        <v>0</v>
      </c>
      <c r="Y1596" s="75"/>
      <c r="Z1596" s="75"/>
      <c r="AA1596" s="54">
        <f>STOCK[[#This Row],[Costo total]]*STOCK[[#This Row],[Entradas]]</f>
        <v>8</v>
      </c>
      <c r="AB1596" s="54">
        <f>STOCK[[#This Row],[Stock Actual]]*STOCK[[#This Row],[Costo total]]</f>
        <v>8</v>
      </c>
      <c r="AC1596" s="75"/>
      <c r="AD1596" s="82"/>
    </row>
    <row r="1597" spans="1:30" s="53" customFormat="1" ht="50" customHeight="1">
      <c r="A1597" s="53" t="s">
        <v>3167</v>
      </c>
      <c r="C1597" s="53" t="s">
        <v>32</v>
      </c>
      <c r="D1597" s="53" t="s">
        <v>1388</v>
      </c>
      <c r="E1597" s="65" t="s">
        <v>3168</v>
      </c>
      <c r="H1597" s="75">
        <f>STOCK[[#This Row],[Precio Final]]</f>
        <v>15</v>
      </c>
      <c r="I1597" s="80">
        <f>STOCK[[#This Row],[Precio Venta Ideal (x1.5)]]</f>
        <v>11.25</v>
      </c>
      <c r="J1597" s="69">
        <v>1</v>
      </c>
      <c r="K1597" s="78">
        <f>SUMIFS(VENTAS[Cantidad],VENTAS[Código del producto Vendido],STOCK[[#This Row],[Code]])</f>
        <v>1</v>
      </c>
      <c r="L1597" s="78">
        <f>STOCK[[#This Row],[Entradas]]-STOCK[[#This Row],[Salidas]]</f>
        <v>0</v>
      </c>
      <c r="M1597" s="75">
        <f>STOCK[[#This Row],[Precio Final]]*10%</f>
        <v>1.5</v>
      </c>
      <c r="N1597" s="54">
        <v>0</v>
      </c>
      <c r="O1597" s="75">
        <v>0</v>
      </c>
      <c r="P1597" s="53">
        <v>6</v>
      </c>
      <c r="Q1597" s="69">
        <v>0</v>
      </c>
      <c r="R1597" s="53">
        <v>0</v>
      </c>
      <c r="S1597" s="53">
        <v>0</v>
      </c>
      <c r="T1597" s="75">
        <f>STOCK[[#This Row],[Costo Unitario (USD)]]+STOCK[[#This Row],[Costo Envío (USD)]]+STOCK[[#This Row],[Comisión 10%]]</f>
        <v>7.5</v>
      </c>
      <c r="U1597" s="53">
        <f>STOCK[[#This Row],[Costo total]]*1.5</f>
        <v>11.25</v>
      </c>
      <c r="V1597" s="53">
        <v>15</v>
      </c>
      <c r="W1597" s="75">
        <f>STOCK[[#This Row],[Precio Final]]-STOCK[[#This Row],[Costo total]]</f>
        <v>7.5</v>
      </c>
      <c r="X1597" s="75">
        <f>STOCK[[#This Row],[Ganancia Unitaria]]*STOCK[[#This Row],[Salidas]]</f>
        <v>7.5</v>
      </c>
      <c r="Y1597" s="75"/>
      <c r="Z1597" s="75"/>
      <c r="AA1597" s="54">
        <f>STOCK[[#This Row],[Costo total]]*STOCK[[#This Row],[Entradas]]</f>
        <v>7.5</v>
      </c>
      <c r="AB1597" s="54">
        <f>STOCK[[#This Row],[Stock Actual]]*STOCK[[#This Row],[Costo total]]</f>
        <v>0</v>
      </c>
      <c r="AC1597" s="75"/>
      <c r="AD1597" s="82"/>
    </row>
    <row r="1598" spans="1:30" s="53" customFormat="1" ht="50" customHeight="1">
      <c r="A1598" s="53" t="s">
        <v>3169</v>
      </c>
      <c r="B1598" s="53" t="s">
        <v>1345</v>
      </c>
      <c r="C1598" s="53" t="s">
        <v>32</v>
      </c>
      <c r="D1598" s="53" t="s">
        <v>1388</v>
      </c>
      <c r="E1598" s="65" t="s">
        <v>3170</v>
      </c>
      <c r="F1598" s="53" t="s">
        <v>40</v>
      </c>
      <c r="H1598" s="75">
        <f>STOCK[[#This Row],[Precio Final]]</f>
        <v>15</v>
      </c>
      <c r="I1598" s="80">
        <f>STOCK[[#This Row],[Precio Venta Ideal (x1.5)]]</f>
        <v>11.25</v>
      </c>
      <c r="J1598" s="69">
        <v>2</v>
      </c>
      <c r="K1598" s="78">
        <f>SUMIFS(VENTAS[Cantidad],VENTAS[Código del producto Vendido],STOCK[[#This Row],[Code]])</f>
        <v>0</v>
      </c>
      <c r="L1598" s="78">
        <f>STOCK[[#This Row],[Entradas]]-STOCK[[#This Row],[Salidas]]</f>
        <v>2</v>
      </c>
      <c r="M1598" s="75">
        <f>STOCK[[#This Row],[Precio Final]]*10%</f>
        <v>1.5</v>
      </c>
      <c r="N1598" s="54">
        <v>0</v>
      </c>
      <c r="O1598" s="75">
        <v>0</v>
      </c>
      <c r="P1598" s="53">
        <v>6</v>
      </c>
      <c r="Q1598" s="69">
        <v>0</v>
      </c>
      <c r="R1598" s="54">
        <v>0</v>
      </c>
      <c r="S1598" s="54">
        <v>0</v>
      </c>
      <c r="T1598" s="75">
        <f>STOCK[[#This Row],[Costo Unitario (USD)]]+STOCK[[#This Row],[Costo Envío (USD)]]+STOCK[[#This Row],[Comisión 10%]]</f>
        <v>7.5</v>
      </c>
      <c r="U1598" s="53">
        <f>STOCK[[#This Row],[Costo total]]*1.5</f>
        <v>11.25</v>
      </c>
      <c r="V1598" s="53">
        <v>15</v>
      </c>
      <c r="W1598" s="75">
        <f>STOCK[[#This Row],[Precio Final]]-STOCK[[#This Row],[Costo total]]</f>
        <v>7.5</v>
      </c>
      <c r="X1598" s="75">
        <f>STOCK[[#This Row],[Ganancia Unitaria]]*STOCK[[#This Row],[Salidas]]</f>
        <v>0</v>
      </c>
      <c r="Y1598" s="75"/>
      <c r="Z1598" s="75"/>
      <c r="AA1598" s="54">
        <f>STOCK[[#This Row],[Costo total]]*STOCK[[#This Row],[Entradas]]</f>
        <v>15</v>
      </c>
      <c r="AB1598" s="54">
        <f>STOCK[[#This Row],[Stock Actual]]*STOCK[[#This Row],[Costo total]]</f>
        <v>15</v>
      </c>
      <c r="AC1598" s="75"/>
      <c r="AD1598" s="82"/>
    </row>
    <row r="1599" spans="1:30" s="53" customFormat="1" ht="50" customHeight="1">
      <c r="A1599" s="53" t="s">
        <v>3171</v>
      </c>
      <c r="B1599" s="69" t="e" vm="1">
        <f ca="1">_xlfn.DISPIMG("ID_EFB0578B518248C1B857153ADB5E7172",1)</f>
        <v>#NAME?</v>
      </c>
      <c r="C1599" s="53" t="s">
        <v>32</v>
      </c>
      <c r="D1599" s="53" t="s">
        <v>1388</v>
      </c>
      <c r="E1599" s="65" t="s">
        <v>3172</v>
      </c>
      <c r="F1599" s="53" t="s">
        <v>525</v>
      </c>
      <c r="H1599" s="75">
        <f>STOCK[[#This Row],[Precio Final]]</f>
        <v>12</v>
      </c>
      <c r="I1599" s="80">
        <f>STOCK[[#This Row],[Precio Venta Ideal (x1.5)]]</f>
        <v>9.3000000000000007</v>
      </c>
      <c r="J1599" s="69">
        <v>2</v>
      </c>
      <c r="K1599" s="78">
        <f>SUMIFS(VENTAS[Cantidad],VENTAS[Código del producto Vendido],STOCK[[#This Row],[Code]])</f>
        <v>2</v>
      </c>
      <c r="L1599" s="78">
        <f>STOCK[[#This Row],[Entradas]]-STOCK[[#This Row],[Salidas]]</f>
        <v>0</v>
      </c>
      <c r="M1599" s="75">
        <f>STOCK[[#This Row],[Precio Final]]*10%</f>
        <v>1.2000000000000002</v>
      </c>
      <c r="N1599" s="53">
        <v>0</v>
      </c>
      <c r="O1599" s="75">
        <v>0</v>
      </c>
      <c r="P1599" s="53">
        <v>5</v>
      </c>
      <c r="Q1599" s="70">
        <v>0</v>
      </c>
      <c r="R1599" s="53">
        <v>0</v>
      </c>
      <c r="S1599" s="54">
        <v>0</v>
      </c>
      <c r="T1599" s="75">
        <f>STOCK[[#This Row],[Costo Unitario (USD)]]+STOCK[[#This Row],[Costo Envío (USD)]]+STOCK[[#This Row],[Comisión 10%]]</f>
        <v>6.2</v>
      </c>
      <c r="U1599" s="53">
        <f>STOCK[[#This Row],[Costo total]]*1.5</f>
        <v>9.3000000000000007</v>
      </c>
      <c r="V1599" s="53">
        <v>12</v>
      </c>
      <c r="W1599" s="75">
        <f>STOCK[[#This Row],[Precio Final]]-STOCK[[#This Row],[Costo total]]</f>
        <v>5.8</v>
      </c>
      <c r="X1599" s="75">
        <f>STOCK[[#This Row],[Ganancia Unitaria]]*STOCK[[#This Row],[Salidas]]</f>
        <v>11.6</v>
      </c>
      <c r="Y1599" s="75"/>
      <c r="Z1599" s="75"/>
      <c r="AA1599" s="54">
        <f>STOCK[[#This Row],[Costo total]]*STOCK[[#This Row],[Entradas]]</f>
        <v>12.4</v>
      </c>
      <c r="AB1599" s="54">
        <f>STOCK[[#This Row],[Stock Actual]]*STOCK[[#This Row],[Costo total]]</f>
        <v>0</v>
      </c>
      <c r="AC1599" s="75"/>
      <c r="AD1599" s="82"/>
    </row>
    <row r="1600" spans="1:30" s="53" customFormat="1" ht="50" customHeight="1">
      <c r="A1600" s="53" t="s">
        <v>3173</v>
      </c>
      <c r="B1600" s="69" t="e" vm="1">
        <f ca="1">_xlfn.DISPIMG("ID_08EB29356B4D4141A7357EF1ABF5545E",1)</f>
        <v>#NAME?</v>
      </c>
      <c r="C1600" s="53" t="s">
        <v>32</v>
      </c>
      <c r="D1600" s="53" t="s">
        <v>749</v>
      </c>
      <c r="E1600" s="65" t="s">
        <v>3174</v>
      </c>
      <c r="F1600" s="53" t="s">
        <v>46</v>
      </c>
      <c r="H1600" s="75">
        <f>STOCK[[#This Row],[Precio Final]]</f>
        <v>25</v>
      </c>
      <c r="I1600" s="80">
        <f>STOCK[[#This Row],[Precio Venta Ideal (x1.5)]]</f>
        <v>18.75</v>
      </c>
      <c r="J1600" s="69">
        <v>1</v>
      </c>
      <c r="K1600" s="78">
        <f>SUMIFS(VENTAS[Cantidad],VENTAS[Código del producto Vendido],STOCK[[#This Row],[Code]])</f>
        <v>1</v>
      </c>
      <c r="L1600" s="78">
        <f>STOCK[[#This Row],[Entradas]]-STOCK[[#This Row],[Salidas]]</f>
        <v>0</v>
      </c>
      <c r="M1600" s="75">
        <f>STOCK[[#This Row],[Precio Final]]*10%</f>
        <v>2.5</v>
      </c>
      <c r="N1600" s="54">
        <v>0</v>
      </c>
      <c r="O1600" s="75">
        <v>0</v>
      </c>
      <c r="P1600" s="53">
        <v>10</v>
      </c>
      <c r="Q1600" s="69">
        <v>0</v>
      </c>
      <c r="R1600" s="54">
        <v>0</v>
      </c>
      <c r="S1600" s="53">
        <v>0</v>
      </c>
      <c r="T1600" s="75">
        <f>STOCK[[#This Row],[Costo Unitario (USD)]]+STOCK[[#This Row],[Costo Envío (USD)]]+STOCK[[#This Row],[Comisión 10%]]</f>
        <v>12.5</v>
      </c>
      <c r="U1600" s="53">
        <f>STOCK[[#This Row],[Costo total]]*1.5</f>
        <v>18.75</v>
      </c>
      <c r="V1600" s="53">
        <v>25</v>
      </c>
      <c r="W1600" s="75">
        <f>STOCK[[#This Row],[Precio Final]]-STOCK[[#This Row],[Costo total]]</f>
        <v>12.5</v>
      </c>
      <c r="X1600" s="75">
        <f>STOCK[[#This Row],[Ganancia Unitaria]]*STOCK[[#This Row],[Salidas]]</f>
        <v>12.5</v>
      </c>
      <c r="Y1600" s="75"/>
      <c r="Z1600" s="75"/>
      <c r="AA1600" s="54">
        <f>STOCK[[#This Row],[Costo total]]*STOCK[[#This Row],[Entradas]]</f>
        <v>12.5</v>
      </c>
      <c r="AB1600" s="54">
        <f>STOCK[[#This Row],[Stock Actual]]*STOCK[[#This Row],[Costo total]]</f>
        <v>0</v>
      </c>
      <c r="AC1600" s="75"/>
      <c r="AD1600" s="82"/>
    </row>
    <row r="1601" spans="1:30" s="53" customFormat="1" ht="50" customHeight="1">
      <c r="A1601" s="53" t="s">
        <v>3175</v>
      </c>
      <c r="B1601" s="69" t="e" vm="1">
        <f ca="1">_xlfn.DISPIMG("ID_97E71C483F3C4CBC88BA1DD756B0EB14",1)</f>
        <v>#NAME?</v>
      </c>
      <c r="C1601" s="53" t="s">
        <v>32</v>
      </c>
      <c r="D1601" s="53" t="s">
        <v>749</v>
      </c>
      <c r="E1601" s="65" t="s">
        <v>3176</v>
      </c>
      <c r="F1601" s="53" t="s">
        <v>46</v>
      </c>
      <c r="H1601" s="75">
        <f>STOCK[[#This Row],[Precio Final]]</f>
        <v>25</v>
      </c>
      <c r="I1601" s="80">
        <f>STOCK[[#This Row],[Precio Venta Ideal (x1.5)]]</f>
        <v>18.75</v>
      </c>
      <c r="J1601" s="69">
        <v>1</v>
      </c>
      <c r="K1601" s="78">
        <f>SUMIFS(VENTAS[Cantidad],VENTAS[Código del producto Vendido],STOCK[[#This Row],[Code]])</f>
        <v>0</v>
      </c>
      <c r="L1601" s="78">
        <f>STOCK[[#This Row],[Entradas]]-STOCK[[#This Row],[Salidas]]</f>
        <v>1</v>
      </c>
      <c r="M1601" s="75">
        <f>STOCK[[#This Row],[Precio Final]]*10%</f>
        <v>2.5</v>
      </c>
      <c r="N1601" s="54">
        <v>0</v>
      </c>
      <c r="O1601" s="75">
        <v>0</v>
      </c>
      <c r="P1601" s="53">
        <v>10</v>
      </c>
      <c r="Q1601" s="69">
        <v>0</v>
      </c>
      <c r="R1601" s="53">
        <v>0</v>
      </c>
      <c r="S1601" s="54">
        <v>0</v>
      </c>
      <c r="T1601" s="75">
        <f>STOCK[[#This Row],[Costo Unitario (USD)]]+STOCK[[#This Row],[Costo Envío (USD)]]+STOCK[[#This Row],[Comisión 10%]]</f>
        <v>12.5</v>
      </c>
      <c r="U1601" s="53">
        <f>STOCK[[#This Row],[Costo total]]*1.5</f>
        <v>18.75</v>
      </c>
      <c r="V1601" s="53">
        <v>25</v>
      </c>
      <c r="W1601" s="75">
        <f>STOCK[[#This Row],[Precio Final]]-STOCK[[#This Row],[Costo total]]</f>
        <v>12.5</v>
      </c>
      <c r="X1601" s="75">
        <f>STOCK[[#This Row],[Ganancia Unitaria]]*STOCK[[#This Row],[Salidas]]</f>
        <v>0</v>
      </c>
      <c r="Y1601" s="75"/>
      <c r="Z1601" s="75"/>
      <c r="AA1601" s="54">
        <f>STOCK[[#This Row],[Costo total]]*STOCK[[#This Row],[Entradas]]</f>
        <v>12.5</v>
      </c>
      <c r="AB1601" s="54">
        <f>STOCK[[#This Row],[Stock Actual]]*STOCK[[#This Row],[Costo total]]</f>
        <v>12.5</v>
      </c>
      <c r="AC1601" s="75"/>
      <c r="AD1601" s="82"/>
    </row>
    <row r="1602" spans="1:30" s="53" customFormat="1" ht="50" customHeight="1">
      <c r="A1602" s="53" t="s">
        <v>3177</v>
      </c>
      <c r="B1602" s="69" t="e" vm="1">
        <f ca="1">_xlfn.DISPIMG("ID_6FB794C641B84A03B4564E8FDD724AD0",1)</f>
        <v>#NAME?</v>
      </c>
      <c r="C1602" s="53" t="s">
        <v>32</v>
      </c>
      <c r="D1602" s="53" t="s">
        <v>749</v>
      </c>
      <c r="E1602" s="65" t="s">
        <v>3178</v>
      </c>
      <c r="F1602" s="53" t="s">
        <v>46</v>
      </c>
      <c r="H1602" s="75">
        <f>STOCK[[#This Row],[Precio Final]]</f>
        <v>25</v>
      </c>
      <c r="I1602" s="80">
        <f>STOCK[[#This Row],[Precio Venta Ideal (x1.5)]]</f>
        <v>18.75</v>
      </c>
      <c r="J1602" s="69">
        <v>1</v>
      </c>
      <c r="K1602" s="78">
        <f>SUMIFS(VENTAS[Cantidad],VENTAS[Código del producto Vendido],STOCK[[#This Row],[Code]])</f>
        <v>1</v>
      </c>
      <c r="L1602" s="78">
        <f>STOCK[[#This Row],[Entradas]]-STOCK[[#This Row],[Salidas]]</f>
        <v>0</v>
      </c>
      <c r="M1602" s="75">
        <f>STOCK[[#This Row],[Precio Final]]*10%</f>
        <v>2.5</v>
      </c>
      <c r="N1602" s="53">
        <v>0</v>
      </c>
      <c r="O1602" s="75">
        <v>0</v>
      </c>
      <c r="P1602" s="53">
        <v>10</v>
      </c>
      <c r="Q1602" s="70">
        <v>0</v>
      </c>
      <c r="R1602" s="54">
        <v>0</v>
      </c>
      <c r="S1602" s="54">
        <v>0</v>
      </c>
      <c r="T1602" s="75">
        <f>STOCK[[#This Row],[Costo Unitario (USD)]]+STOCK[[#This Row],[Costo Envío (USD)]]+STOCK[[#This Row],[Comisión 10%]]</f>
        <v>12.5</v>
      </c>
      <c r="U1602" s="53">
        <f>STOCK[[#This Row],[Costo total]]*1.5</f>
        <v>18.75</v>
      </c>
      <c r="V1602" s="53">
        <v>25</v>
      </c>
      <c r="W1602" s="75">
        <f>STOCK[[#This Row],[Precio Final]]-STOCK[[#This Row],[Costo total]]</f>
        <v>12.5</v>
      </c>
      <c r="X1602" s="75">
        <f>STOCK[[#This Row],[Ganancia Unitaria]]*STOCK[[#This Row],[Salidas]]</f>
        <v>12.5</v>
      </c>
      <c r="Y1602" s="75"/>
      <c r="Z1602" s="75"/>
      <c r="AA1602" s="54">
        <f>STOCK[[#This Row],[Costo total]]*STOCK[[#This Row],[Entradas]]</f>
        <v>12.5</v>
      </c>
      <c r="AB1602" s="54">
        <f>STOCK[[#This Row],[Stock Actual]]*STOCK[[#This Row],[Costo total]]</f>
        <v>0</v>
      </c>
      <c r="AC1602" s="75"/>
      <c r="AD1602" s="82"/>
    </row>
    <row r="1603" spans="1:30" s="53" customFormat="1" ht="50" customHeight="1">
      <c r="A1603" s="53" t="s">
        <v>3179</v>
      </c>
      <c r="C1603" s="53" t="s">
        <v>32</v>
      </c>
      <c r="D1603" s="53" t="s">
        <v>749</v>
      </c>
      <c r="E1603" s="65" t="s">
        <v>3180</v>
      </c>
      <c r="H1603" s="75">
        <f>STOCK[[#This Row],[Precio Final]]</f>
        <v>18</v>
      </c>
      <c r="I1603" s="80">
        <f>STOCK[[#This Row],[Precio Venta Ideal (x1.5)]]</f>
        <v>17.700000000000003</v>
      </c>
      <c r="J1603" s="69">
        <v>1</v>
      </c>
      <c r="K1603" s="78">
        <f>SUMIFS(VENTAS[Cantidad],VENTAS[Código del producto Vendido],STOCK[[#This Row],[Code]])</f>
        <v>1</v>
      </c>
      <c r="L1603" s="78">
        <f>STOCK[[#This Row],[Entradas]]-STOCK[[#This Row],[Salidas]]</f>
        <v>0</v>
      </c>
      <c r="M1603" s="75">
        <f>STOCK[[#This Row],[Precio Final]]*10%</f>
        <v>1.8</v>
      </c>
      <c r="N1603" s="54">
        <v>0</v>
      </c>
      <c r="O1603" s="75">
        <v>0</v>
      </c>
      <c r="P1603" s="53">
        <v>10</v>
      </c>
      <c r="Q1603" s="69">
        <v>0</v>
      </c>
      <c r="R1603" s="53">
        <v>0</v>
      </c>
      <c r="S1603" s="53">
        <v>0</v>
      </c>
      <c r="T1603" s="75">
        <f>STOCK[[#This Row],[Costo Unitario (USD)]]+STOCK[[#This Row],[Costo Envío (USD)]]+STOCK[[#This Row],[Comisión 10%]]</f>
        <v>11.8</v>
      </c>
      <c r="U1603" s="53">
        <f>STOCK[[#This Row],[Costo total]]*1.5</f>
        <v>17.700000000000003</v>
      </c>
      <c r="V1603" s="53">
        <v>18</v>
      </c>
      <c r="W1603" s="75">
        <f>STOCK[[#This Row],[Precio Final]]-STOCK[[#This Row],[Costo total]]</f>
        <v>6.1999999999999993</v>
      </c>
      <c r="X1603" s="75">
        <f>STOCK[[#This Row],[Ganancia Unitaria]]*STOCK[[#This Row],[Salidas]]</f>
        <v>6.1999999999999993</v>
      </c>
      <c r="Y1603" s="75"/>
      <c r="Z1603" s="75"/>
      <c r="AA1603" s="54">
        <f>STOCK[[#This Row],[Costo total]]*STOCK[[#This Row],[Entradas]]</f>
        <v>11.8</v>
      </c>
      <c r="AB1603" s="54">
        <f>STOCK[[#This Row],[Stock Actual]]*STOCK[[#This Row],[Costo total]]</f>
        <v>0</v>
      </c>
      <c r="AC1603" s="75"/>
      <c r="AD1603" s="82"/>
    </row>
    <row r="1604" spans="1:30" s="53" customFormat="1" ht="50" customHeight="1">
      <c r="A1604" s="53" t="s">
        <v>3181</v>
      </c>
      <c r="B1604" s="69" t="e" vm="1">
        <f ca="1">_xlfn.DISPIMG("ID_369D3B6160B245A482A99DEFA0E3400D",1)</f>
        <v>#NAME?</v>
      </c>
      <c r="C1604" s="53" t="s">
        <v>32</v>
      </c>
      <c r="D1604" s="53" t="s">
        <v>749</v>
      </c>
      <c r="E1604" s="65" t="s">
        <v>3182</v>
      </c>
      <c r="F1604" s="53" t="s">
        <v>46</v>
      </c>
      <c r="H1604" s="75">
        <f>STOCK[[#This Row],[Precio Final]]</f>
        <v>18</v>
      </c>
      <c r="I1604" s="80">
        <f>STOCK[[#This Row],[Precio Venta Ideal (x1.5)]]</f>
        <v>17.700000000000003</v>
      </c>
      <c r="J1604" s="69">
        <v>1</v>
      </c>
      <c r="K1604" s="78">
        <f>SUMIFS(VENTAS[Cantidad],VENTAS[Código del producto Vendido],STOCK[[#This Row],[Code]])</f>
        <v>0</v>
      </c>
      <c r="L1604" s="78">
        <f>STOCK[[#This Row],[Entradas]]-STOCK[[#This Row],[Salidas]]</f>
        <v>1</v>
      </c>
      <c r="M1604" s="75">
        <f>STOCK[[#This Row],[Precio Final]]*10%</f>
        <v>1.8</v>
      </c>
      <c r="N1604" s="54">
        <v>0</v>
      </c>
      <c r="O1604" s="75">
        <v>0</v>
      </c>
      <c r="P1604" s="53">
        <v>10</v>
      </c>
      <c r="Q1604" s="69">
        <v>0</v>
      </c>
      <c r="R1604" s="54">
        <v>0</v>
      </c>
      <c r="S1604" s="54">
        <v>0</v>
      </c>
      <c r="T1604" s="75">
        <f>STOCK[[#This Row],[Costo Unitario (USD)]]+STOCK[[#This Row],[Costo Envío (USD)]]+STOCK[[#This Row],[Comisión 10%]]</f>
        <v>11.8</v>
      </c>
      <c r="U1604" s="53">
        <f>STOCK[[#This Row],[Costo total]]*1.5</f>
        <v>17.700000000000003</v>
      </c>
      <c r="V1604" s="53">
        <v>18</v>
      </c>
      <c r="W1604" s="75">
        <f>STOCK[[#This Row],[Precio Final]]-STOCK[[#This Row],[Costo total]]</f>
        <v>6.1999999999999993</v>
      </c>
      <c r="X1604" s="75">
        <f>STOCK[[#This Row],[Ganancia Unitaria]]*STOCK[[#This Row],[Salidas]]</f>
        <v>0</v>
      </c>
      <c r="Y1604" s="75"/>
      <c r="Z1604" s="75"/>
      <c r="AA1604" s="54">
        <f>STOCK[[#This Row],[Costo total]]*STOCK[[#This Row],[Entradas]]</f>
        <v>11.8</v>
      </c>
      <c r="AB1604" s="54">
        <f>STOCK[[#This Row],[Stock Actual]]*STOCK[[#This Row],[Costo total]]</f>
        <v>11.8</v>
      </c>
      <c r="AC1604" s="75"/>
      <c r="AD1604" s="82"/>
    </row>
    <row r="1605" spans="1:30" s="53" customFormat="1" ht="50" customHeight="1">
      <c r="A1605" s="53" t="s">
        <v>3183</v>
      </c>
      <c r="B1605" s="69" t="e" vm="1">
        <f ca="1">_xlfn.DISPIMG("ID_369D3B6160B245A482A99DEFA0E3400D",1)</f>
        <v>#NAME?</v>
      </c>
      <c r="C1605" s="53" t="s">
        <v>32</v>
      </c>
      <c r="D1605" s="53" t="s">
        <v>749</v>
      </c>
      <c r="E1605" s="65" t="s">
        <v>3182</v>
      </c>
      <c r="F1605" s="53" t="s">
        <v>42</v>
      </c>
      <c r="H1605" s="75">
        <f>STOCK[[#This Row],[Precio Final]]</f>
        <v>18</v>
      </c>
      <c r="I1605" s="80">
        <f>STOCK[[#This Row],[Precio Venta Ideal (x1.5)]]</f>
        <v>17.700000000000003</v>
      </c>
      <c r="J1605" s="69">
        <v>1</v>
      </c>
      <c r="K1605" s="78">
        <f>SUMIFS(VENTAS[Cantidad],VENTAS[Código del producto Vendido],STOCK[[#This Row],[Code]])</f>
        <v>0</v>
      </c>
      <c r="L1605" s="78">
        <f>STOCK[[#This Row],[Entradas]]-STOCK[[#This Row],[Salidas]]</f>
        <v>1</v>
      </c>
      <c r="M1605" s="75">
        <f>STOCK[[#This Row],[Precio Final]]*10%</f>
        <v>1.8</v>
      </c>
      <c r="N1605" s="53">
        <v>0</v>
      </c>
      <c r="O1605" s="75">
        <v>0</v>
      </c>
      <c r="P1605" s="53">
        <v>10</v>
      </c>
      <c r="Q1605" s="70">
        <v>0</v>
      </c>
      <c r="R1605" s="53">
        <v>0</v>
      </c>
      <c r="S1605" s="54">
        <v>0</v>
      </c>
      <c r="T1605" s="75">
        <f>STOCK[[#This Row],[Costo Unitario (USD)]]+STOCK[[#This Row],[Costo Envío (USD)]]+STOCK[[#This Row],[Comisión 10%]]</f>
        <v>11.8</v>
      </c>
      <c r="U1605" s="53">
        <f>STOCK[[#This Row],[Costo total]]*1.5</f>
        <v>17.700000000000003</v>
      </c>
      <c r="V1605" s="53">
        <v>18</v>
      </c>
      <c r="W1605" s="75">
        <f>STOCK[[#This Row],[Precio Final]]-STOCK[[#This Row],[Costo total]]</f>
        <v>6.1999999999999993</v>
      </c>
      <c r="X1605" s="75">
        <f>STOCK[[#This Row],[Ganancia Unitaria]]*STOCK[[#This Row],[Salidas]]</f>
        <v>0</v>
      </c>
      <c r="Y1605" s="75"/>
      <c r="Z1605" s="75"/>
      <c r="AA1605" s="54">
        <f>STOCK[[#This Row],[Costo total]]*STOCK[[#This Row],[Entradas]]</f>
        <v>11.8</v>
      </c>
      <c r="AB1605" s="54">
        <f>STOCK[[#This Row],[Stock Actual]]*STOCK[[#This Row],[Costo total]]</f>
        <v>11.8</v>
      </c>
      <c r="AC1605" s="75"/>
      <c r="AD1605" s="82"/>
    </row>
    <row r="1606" spans="1:30" s="53" customFormat="1" ht="50" customHeight="1">
      <c r="A1606" s="53" t="s">
        <v>3184</v>
      </c>
      <c r="B1606" s="69" t="e" vm="1">
        <f ca="1">_xlfn.DISPIMG("ID_369D3B6160B245A482A99DEFA0E3400D",1)</f>
        <v>#NAME?</v>
      </c>
      <c r="C1606" s="53" t="s">
        <v>32</v>
      </c>
      <c r="D1606" s="53" t="s">
        <v>749</v>
      </c>
      <c r="E1606" s="65" t="s">
        <v>3182</v>
      </c>
      <c r="F1606" s="53" t="s">
        <v>62</v>
      </c>
      <c r="H1606" s="75">
        <f>STOCK[[#This Row],[Precio Final]]</f>
        <v>18</v>
      </c>
      <c r="I1606" s="80">
        <f>STOCK[[#This Row],[Precio Venta Ideal (x1.5)]]</f>
        <v>17.700000000000003</v>
      </c>
      <c r="J1606" s="69">
        <v>1</v>
      </c>
      <c r="K1606" s="78">
        <f>SUMIFS(VENTAS[Cantidad],VENTAS[Código del producto Vendido],STOCK[[#This Row],[Code]])</f>
        <v>0</v>
      </c>
      <c r="L1606" s="78">
        <f>STOCK[[#This Row],[Entradas]]-STOCK[[#This Row],[Salidas]]</f>
        <v>1</v>
      </c>
      <c r="M1606" s="75">
        <f>STOCK[[#This Row],[Precio Final]]*10%</f>
        <v>1.8</v>
      </c>
      <c r="N1606" s="54">
        <v>0</v>
      </c>
      <c r="O1606" s="75">
        <v>0</v>
      </c>
      <c r="P1606" s="53">
        <v>10</v>
      </c>
      <c r="Q1606" s="69">
        <v>0</v>
      </c>
      <c r="R1606" s="54">
        <v>0</v>
      </c>
      <c r="S1606" s="53">
        <v>0</v>
      </c>
      <c r="T1606" s="75">
        <f>STOCK[[#This Row],[Costo Unitario (USD)]]+STOCK[[#This Row],[Costo Envío (USD)]]+STOCK[[#This Row],[Comisión 10%]]</f>
        <v>11.8</v>
      </c>
      <c r="U1606" s="53">
        <f>STOCK[[#This Row],[Costo total]]*1.5</f>
        <v>17.700000000000003</v>
      </c>
      <c r="V1606" s="53">
        <v>18</v>
      </c>
      <c r="W1606" s="75">
        <f>STOCK[[#This Row],[Precio Final]]-STOCK[[#This Row],[Costo total]]</f>
        <v>6.1999999999999993</v>
      </c>
      <c r="X1606" s="75">
        <f>STOCK[[#This Row],[Ganancia Unitaria]]*STOCK[[#This Row],[Salidas]]</f>
        <v>0</v>
      </c>
      <c r="Y1606" s="75"/>
      <c r="Z1606" s="75"/>
      <c r="AA1606" s="54">
        <f>STOCK[[#This Row],[Costo total]]*STOCK[[#This Row],[Entradas]]</f>
        <v>11.8</v>
      </c>
      <c r="AB1606" s="54">
        <f>STOCK[[#This Row],[Stock Actual]]*STOCK[[#This Row],[Costo total]]</f>
        <v>11.8</v>
      </c>
      <c r="AC1606" s="75"/>
      <c r="AD1606" s="82"/>
    </row>
    <row r="1607" spans="1:30" s="53" customFormat="1" ht="50" customHeight="1">
      <c r="A1607" s="53" t="s">
        <v>3185</v>
      </c>
      <c r="B1607" s="69" t="e" vm="1">
        <f ca="1">_xlfn.DISPIMG("ID_7F752E326DE9458E9D3971BF2B070137",1)</f>
        <v>#NAME?</v>
      </c>
      <c r="C1607" s="53" t="s">
        <v>32</v>
      </c>
      <c r="D1607" s="53" t="s">
        <v>749</v>
      </c>
      <c r="E1607" s="65" t="s">
        <v>3186</v>
      </c>
      <c r="F1607" s="53" t="s">
        <v>49</v>
      </c>
      <c r="H1607" s="75">
        <f>STOCK[[#This Row],[Precio Final]]</f>
        <v>18</v>
      </c>
      <c r="I1607" s="80">
        <f>STOCK[[#This Row],[Precio Venta Ideal (x1.5)]]</f>
        <v>17.700000000000003</v>
      </c>
      <c r="J1607" s="69">
        <v>1</v>
      </c>
      <c r="K1607" s="78">
        <f>SUMIFS(VENTAS[Cantidad],VENTAS[Código del producto Vendido],STOCK[[#This Row],[Code]])</f>
        <v>1</v>
      </c>
      <c r="L1607" s="78">
        <f>STOCK[[#This Row],[Entradas]]-STOCK[[#This Row],[Salidas]]</f>
        <v>0</v>
      </c>
      <c r="M1607" s="75">
        <f>STOCK[[#This Row],[Precio Final]]*10%</f>
        <v>1.8</v>
      </c>
      <c r="N1607" s="54">
        <v>0</v>
      </c>
      <c r="O1607" s="75">
        <v>0</v>
      </c>
      <c r="P1607" s="53">
        <v>10</v>
      </c>
      <c r="Q1607" s="69">
        <v>0</v>
      </c>
      <c r="R1607" s="53">
        <v>0</v>
      </c>
      <c r="S1607" s="54">
        <v>0</v>
      </c>
      <c r="T1607" s="75">
        <f>STOCK[[#This Row],[Costo Unitario (USD)]]+STOCK[[#This Row],[Costo Envío (USD)]]+STOCK[[#This Row],[Comisión 10%]]</f>
        <v>11.8</v>
      </c>
      <c r="U1607" s="53">
        <f>STOCK[[#This Row],[Costo total]]*1.5</f>
        <v>17.700000000000003</v>
      </c>
      <c r="V1607" s="53">
        <v>18</v>
      </c>
      <c r="W1607" s="75">
        <f>STOCK[[#This Row],[Precio Final]]-STOCK[[#This Row],[Costo total]]</f>
        <v>6.1999999999999993</v>
      </c>
      <c r="X1607" s="75">
        <f>STOCK[[#This Row],[Ganancia Unitaria]]*STOCK[[#This Row],[Salidas]]</f>
        <v>6.1999999999999993</v>
      </c>
      <c r="Y1607" s="75"/>
      <c r="Z1607" s="75"/>
      <c r="AA1607" s="54">
        <f>STOCK[[#This Row],[Costo total]]*STOCK[[#This Row],[Entradas]]</f>
        <v>11.8</v>
      </c>
      <c r="AB1607" s="54">
        <f>STOCK[[#This Row],[Stock Actual]]*STOCK[[#This Row],[Costo total]]</f>
        <v>0</v>
      </c>
      <c r="AC1607" s="75"/>
      <c r="AD1607" s="82"/>
    </row>
    <row r="1608" spans="1:30" s="53" customFormat="1" ht="50" customHeight="1">
      <c r="A1608" s="53" t="s">
        <v>3187</v>
      </c>
      <c r="B1608" s="69" t="e" vm="1">
        <f ca="1">_xlfn.DISPIMG("ID_7F752E326DE9458E9D3971BF2B070137",1)</f>
        <v>#NAME?</v>
      </c>
      <c r="C1608" s="53" t="s">
        <v>32</v>
      </c>
      <c r="D1608" s="53" t="s">
        <v>749</v>
      </c>
      <c r="E1608" s="65" t="s">
        <v>3186</v>
      </c>
      <c r="F1608" s="53" t="s">
        <v>46</v>
      </c>
      <c r="H1608" s="75">
        <f>STOCK[[#This Row],[Precio Final]]</f>
        <v>18</v>
      </c>
      <c r="I1608" s="80">
        <f>STOCK[[#This Row],[Precio Venta Ideal (x1.5)]]</f>
        <v>17.700000000000003</v>
      </c>
      <c r="J1608" s="69">
        <v>2</v>
      </c>
      <c r="K1608" s="78">
        <f>SUMIFS(VENTAS[Cantidad],VENTAS[Código del producto Vendido],STOCK[[#This Row],[Code]])</f>
        <v>0</v>
      </c>
      <c r="L1608" s="78">
        <f>STOCK[[#This Row],[Entradas]]-STOCK[[#This Row],[Salidas]]</f>
        <v>2</v>
      </c>
      <c r="M1608" s="75">
        <f>STOCK[[#This Row],[Precio Final]]*10%</f>
        <v>1.8</v>
      </c>
      <c r="N1608" s="53">
        <v>0</v>
      </c>
      <c r="O1608" s="75">
        <v>0</v>
      </c>
      <c r="P1608" s="53">
        <v>10</v>
      </c>
      <c r="Q1608" s="70">
        <v>0</v>
      </c>
      <c r="R1608" s="54">
        <v>0</v>
      </c>
      <c r="S1608" s="54">
        <v>0</v>
      </c>
      <c r="T1608" s="75">
        <f>STOCK[[#This Row],[Costo Unitario (USD)]]+STOCK[[#This Row],[Costo Envío (USD)]]+STOCK[[#This Row],[Comisión 10%]]</f>
        <v>11.8</v>
      </c>
      <c r="U1608" s="53">
        <f>STOCK[[#This Row],[Costo total]]*1.5</f>
        <v>17.700000000000003</v>
      </c>
      <c r="V1608" s="53">
        <v>18</v>
      </c>
      <c r="W1608" s="75">
        <f>STOCK[[#This Row],[Precio Final]]-STOCK[[#This Row],[Costo total]]</f>
        <v>6.1999999999999993</v>
      </c>
      <c r="X1608" s="75">
        <f>STOCK[[#This Row],[Ganancia Unitaria]]*STOCK[[#This Row],[Salidas]]</f>
        <v>0</v>
      </c>
      <c r="Y1608" s="75"/>
      <c r="Z1608" s="75"/>
      <c r="AA1608" s="54">
        <f>STOCK[[#This Row],[Costo total]]*STOCK[[#This Row],[Entradas]]</f>
        <v>23.6</v>
      </c>
      <c r="AB1608" s="54">
        <f>STOCK[[#This Row],[Stock Actual]]*STOCK[[#This Row],[Costo total]]</f>
        <v>23.6</v>
      </c>
      <c r="AC1608" s="75"/>
      <c r="AD1608" s="82"/>
    </row>
    <row r="1609" spans="1:30" s="53" customFormat="1" ht="50" customHeight="1">
      <c r="A1609" s="53" t="s">
        <v>3188</v>
      </c>
      <c r="B1609" s="69" t="e" vm="1">
        <f ca="1">_xlfn.DISPIMG("ID_7F752E326DE9458E9D3971BF2B070137",1)</f>
        <v>#NAME?</v>
      </c>
      <c r="C1609" s="53" t="s">
        <v>32</v>
      </c>
      <c r="D1609" s="53" t="s">
        <v>749</v>
      </c>
      <c r="E1609" s="65" t="s">
        <v>3186</v>
      </c>
      <c r="F1609" s="53" t="s">
        <v>42</v>
      </c>
      <c r="H1609" s="75">
        <f>STOCK[[#This Row],[Precio Final]]</f>
        <v>18</v>
      </c>
      <c r="I1609" s="80">
        <f>STOCK[[#This Row],[Precio Venta Ideal (x1.5)]]</f>
        <v>17.700000000000003</v>
      </c>
      <c r="J1609" s="69">
        <v>1</v>
      </c>
      <c r="K1609" s="78">
        <f>SUMIFS(VENTAS[Cantidad],VENTAS[Código del producto Vendido],STOCK[[#This Row],[Code]])</f>
        <v>1</v>
      </c>
      <c r="L1609" s="78">
        <f>STOCK[[#This Row],[Entradas]]-STOCK[[#This Row],[Salidas]]</f>
        <v>0</v>
      </c>
      <c r="M1609" s="75">
        <f>STOCK[[#This Row],[Precio Final]]*10%</f>
        <v>1.8</v>
      </c>
      <c r="N1609" s="54">
        <v>0</v>
      </c>
      <c r="O1609" s="75">
        <v>0</v>
      </c>
      <c r="P1609" s="53">
        <v>10</v>
      </c>
      <c r="Q1609" s="69">
        <v>0</v>
      </c>
      <c r="R1609" s="53">
        <v>0</v>
      </c>
      <c r="S1609" s="53">
        <v>0</v>
      </c>
      <c r="T1609" s="75">
        <f>STOCK[[#This Row],[Costo Unitario (USD)]]+STOCK[[#This Row],[Costo Envío (USD)]]+STOCK[[#This Row],[Comisión 10%]]</f>
        <v>11.8</v>
      </c>
      <c r="U1609" s="53">
        <f>STOCK[[#This Row],[Costo total]]*1.5</f>
        <v>17.700000000000003</v>
      </c>
      <c r="V1609" s="53">
        <v>18</v>
      </c>
      <c r="W1609" s="75">
        <f>STOCK[[#This Row],[Precio Final]]-STOCK[[#This Row],[Costo total]]</f>
        <v>6.1999999999999993</v>
      </c>
      <c r="X1609" s="75">
        <f>STOCK[[#This Row],[Ganancia Unitaria]]*STOCK[[#This Row],[Salidas]]</f>
        <v>6.1999999999999993</v>
      </c>
      <c r="Y1609" s="75"/>
      <c r="Z1609" s="75"/>
      <c r="AA1609" s="54">
        <f>STOCK[[#This Row],[Costo total]]*STOCK[[#This Row],[Entradas]]</f>
        <v>11.8</v>
      </c>
      <c r="AB1609" s="54">
        <f>STOCK[[#This Row],[Stock Actual]]*STOCK[[#This Row],[Costo total]]</f>
        <v>0</v>
      </c>
      <c r="AC1609" s="75"/>
      <c r="AD1609" s="82"/>
    </row>
    <row r="1610" spans="1:30" s="53" customFormat="1" ht="50" customHeight="1">
      <c r="A1610" s="53" t="s">
        <v>3189</v>
      </c>
      <c r="C1610" s="53" t="s">
        <v>32</v>
      </c>
      <c r="D1610" s="53" t="s">
        <v>749</v>
      </c>
      <c r="E1610" s="65" t="s">
        <v>3190</v>
      </c>
      <c r="F1610" s="53" t="s">
        <v>42</v>
      </c>
      <c r="H1610" s="75">
        <f>STOCK[[#This Row],[Precio Final]]</f>
        <v>18</v>
      </c>
      <c r="I1610" s="80">
        <f>STOCK[[#This Row],[Precio Venta Ideal (x1.5)]]</f>
        <v>17.700000000000003</v>
      </c>
      <c r="J1610" s="69">
        <v>1</v>
      </c>
      <c r="K1610" s="78">
        <f>SUMIFS(VENTAS[Cantidad],VENTAS[Código del producto Vendido],STOCK[[#This Row],[Code]])</f>
        <v>0</v>
      </c>
      <c r="L1610" s="78">
        <f>STOCK[[#This Row],[Entradas]]-STOCK[[#This Row],[Salidas]]</f>
        <v>1</v>
      </c>
      <c r="M1610" s="75">
        <f>STOCK[[#This Row],[Precio Final]]*10%</f>
        <v>1.8</v>
      </c>
      <c r="N1610" s="54">
        <v>0</v>
      </c>
      <c r="O1610" s="75">
        <v>0</v>
      </c>
      <c r="P1610" s="53">
        <v>10</v>
      </c>
      <c r="Q1610" s="69">
        <v>0</v>
      </c>
      <c r="R1610" s="54">
        <v>0</v>
      </c>
      <c r="S1610" s="54">
        <v>0</v>
      </c>
      <c r="T1610" s="75">
        <f>STOCK[[#This Row],[Costo Unitario (USD)]]+STOCK[[#This Row],[Costo Envío (USD)]]+STOCK[[#This Row],[Comisión 10%]]</f>
        <v>11.8</v>
      </c>
      <c r="U1610" s="53">
        <f>STOCK[[#This Row],[Costo total]]*1.5</f>
        <v>17.700000000000003</v>
      </c>
      <c r="V1610" s="53">
        <v>18</v>
      </c>
      <c r="W1610" s="75">
        <f>STOCK[[#This Row],[Precio Final]]-STOCK[[#This Row],[Costo total]]</f>
        <v>6.1999999999999993</v>
      </c>
      <c r="X1610" s="75">
        <f>STOCK[[#This Row],[Ganancia Unitaria]]*STOCK[[#This Row],[Salidas]]</f>
        <v>0</v>
      </c>
      <c r="Y1610" s="75"/>
      <c r="Z1610" s="75"/>
      <c r="AA1610" s="54">
        <f>STOCK[[#This Row],[Costo total]]*STOCK[[#This Row],[Entradas]]</f>
        <v>11.8</v>
      </c>
      <c r="AB1610" s="54">
        <f>STOCK[[#This Row],[Stock Actual]]*STOCK[[#This Row],[Costo total]]</f>
        <v>11.8</v>
      </c>
      <c r="AC1610" s="75"/>
      <c r="AD1610" s="82"/>
    </row>
    <row r="1611" spans="1:30" s="53" customFormat="1" ht="50" customHeight="1">
      <c r="A1611" s="53" t="s">
        <v>3191</v>
      </c>
      <c r="B1611" s="69" t="e" vm="1">
        <f ca="1">_xlfn.DISPIMG("ID_2975DE62BF5641D3941654633AA53440",1)</f>
        <v>#NAME?</v>
      </c>
      <c r="C1611" s="53" t="s">
        <v>32</v>
      </c>
      <c r="D1611" s="53" t="s">
        <v>749</v>
      </c>
      <c r="E1611" s="65" t="s">
        <v>3192</v>
      </c>
      <c r="F1611" s="53" t="s">
        <v>42</v>
      </c>
      <c r="H1611" s="75">
        <f>STOCK[[#This Row],[Precio Final]]</f>
        <v>18</v>
      </c>
      <c r="I1611" s="80">
        <f>STOCK[[#This Row],[Precio Venta Ideal (x1.5)]]</f>
        <v>17.700000000000003</v>
      </c>
      <c r="J1611" s="69">
        <v>2</v>
      </c>
      <c r="K1611" s="78">
        <f>SUMIFS(VENTAS[Cantidad],VENTAS[Código del producto Vendido],STOCK[[#This Row],[Code]])</f>
        <v>0</v>
      </c>
      <c r="L1611" s="78">
        <f>STOCK[[#This Row],[Entradas]]-STOCK[[#This Row],[Salidas]]</f>
        <v>2</v>
      </c>
      <c r="M1611" s="75">
        <f>STOCK[[#This Row],[Precio Final]]*10%</f>
        <v>1.8</v>
      </c>
      <c r="N1611" s="53">
        <v>0</v>
      </c>
      <c r="O1611" s="75">
        <v>0</v>
      </c>
      <c r="P1611" s="53">
        <v>10</v>
      </c>
      <c r="Q1611" s="70">
        <v>0</v>
      </c>
      <c r="R1611" s="53">
        <v>0</v>
      </c>
      <c r="S1611" s="54">
        <v>0</v>
      </c>
      <c r="T1611" s="75">
        <f>STOCK[[#This Row],[Costo Unitario (USD)]]+STOCK[[#This Row],[Costo Envío (USD)]]+STOCK[[#This Row],[Comisión 10%]]</f>
        <v>11.8</v>
      </c>
      <c r="U1611" s="53">
        <f>STOCK[[#This Row],[Costo total]]*1.5</f>
        <v>17.700000000000003</v>
      </c>
      <c r="V1611" s="53">
        <v>18</v>
      </c>
      <c r="W1611" s="75">
        <f>STOCK[[#This Row],[Precio Final]]-STOCK[[#This Row],[Costo total]]</f>
        <v>6.1999999999999993</v>
      </c>
      <c r="X1611" s="75">
        <f>STOCK[[#This Row],[Ganancia Unitaria]]*STOCK[[#This Row],[Salidas]]</f>
        <v>0</v>
      </c>
      <c r="Y1611" s="75"/>
      <c r="Z1611" s="75"/>
      <c r="AA1611" s="54">
        <f>STOCK[[#This Row],[Costo total]]*STOCK[[#This Row],[Entradas]]</f>
        <v>23.6</v>
      </c>
      <c r="AB1611" s="54">
        <f>STOCK[[#This Row],[Stock Actual]]*STOCK[[#This Row],[Costo total]]</f>
        <v>23.6</v>
      </c>
      <c r="AC1611" s="75"/>
      <c r="AD1611" s="82"/>
    </row>
    <row r="1612" spans="1:30" s="53" customFormat="1" ht="50" customHeight="1">
      <c r="A1612" s="53" t="s">
        <v>3193</v>
      </c>
      <c r="B1612" s="69" t="e" vm="1">
        <f ca="1">_xlfn.DISPIMG("ID_432F0E6BF5384984B222667A7B5EA4C8",1)</f>
        <v>#NAME?</v>
      </c>
      <c r="C1612" s="53" t="s">
        <v>32</v>
      </c>
      <c r="D1612" s="53" t="s">
        <v>749</v>
      </c>
      <c r="E1612" s="65" t="s">
        <v>3194</v>
      </c>
      <c r="F1612" s="53" t="s">
        <v>49</v>
      </c>
      <c r="H1612" s="75">
        <f>STOCK[[#This Row],[Precio Final]]</f>
        <v>18</v>
      </c>
      <c r="I1612" s="80">
        <f>STOCK[[#This Row],[Precio Venta Ideal (x1.5)]]</f>
        <v>17.700000000000003</v>
      </c>
      <c r="J1612" s="69">
        <v>2</v>
      </c>
      <c r="K1612" s="78">
        <f>SUMIFS(VENTAS[Cantidad],VENTAS[Código del producto Vendido],STOCK[[#This Row],[Code]])</f>
        <v>1</v>
      </c>
      <c r="L1612" s="78">
        <f>STOCK[[#This Row],[Entradas]]-STOCK[[#This Row],[Salidas]]</f>
        <v>1</v>
      </c>
      <c r="M1612" s="75">
        <f>STOCK[[#This Row],[Precio Final]]*10%</f>
        <v>1.8</v>
      </c>
      <c r="N1612" s="54">
        <v>0</v>
      </c>
      <c r="O1612" s="75">
        <v>0</v>
      </c>
      <c r="P1612" s="53">
        <v>10</v>
      </c>
      <c r="Q1612" s="69">
        <v>0</v>
      </c>
      <c r="R1612" s="54">
        <v>0</v>
      </c>
      <c r="S1612" s="53">
        <v>0</v>
      </c>
      <c r="T1612" s="75">
        <f>STOCK[[#This Row],[Costo Unitario (USD)]]+STOCK[[#This Row],[Costo Envío (USD)]]+STOCK[[#This Row],[Comisión 10%]]</f>
        <v>11.8</v>
      </c>
      <c r="U1612" s="53">
        <f>STOCK[[#This Row],[Costo total]]*1.5</f>
        <v>17.700000000000003</v>
      </c>
      <c r="V1612" s="53">
        <v>18</v>
      </c>
      <c r="W1612" s="75">
        <f>STOCK[[#This Row],[Precio Final]]-STOCK[[#This Row],[Costo total]]</f>
        <v>6.1999999999999993</v>
      </c>
      <c r="X1612" s="75">
        <f>STOCK[[#This Row],[Ganancia Unitaria]]*STOCK[[#This Row],[Salidas]]</f>
        <v>6.1999999999999993</v>
      </c>
      <c r="Y1612" s="75"/>
      <c r="Z1612" s="75"/>
      <c r="AA1612" s="54">
        <f>STOCK[[#This Row],[Costo total]]*STOCK[[#This Row],[Entradas]]</f>
        <v>23.6</v>
      </c>
      <c r="AB1612" s="54">
        <f>STOCK[[#This Row],[Stock Actual]]*STOCK[[#This Row],[Costo total]]</f>
        <v>11.8</v>
      </c>
      <c r="AC1612" s="75"/>
      <c r="AD1612" s="82"/>
    </row>
    <row r="1613" spans="1:30" s="53" customFormat="1" ht="50" customHeight="1">
      <c r="A1613" s="53" t="s">
        <v>3195</v>
      </c>
      <c r="B1613" s="69" t="e" vm="1">
        <f ca="1">_xlfn.DISPIMG("ID_9E5F345CDF4048A9AE9AE714630F08C6",1)</f>
        <v>#NAME?</v>
      </c>
      <c r="C1613" s="53" t="s">
        <v>32</v>
      </c>
      <c r="D1613" s="53" t="s">
        <v>749</v>
      </c>
      <c r="E1613" s="65" t="s">
        <v>3196</v>
      </c>
      <c r="F1613" s="53" t="s">
        <v>46</v>
      </c>
      <c r="H1613" s="75">
        <f>STOCK[[#This Row],[Precio Final]]</f>
        <v>18</v>
      </c>
      <c r="I1613" s="80">
        <f>STOCK[[#This Row],[Precio Venta Ideal (x1.5)]]</f>
        <v>17.700000000000003</v>
      </c>
      <c r="J1613" s="69">
        <v>1</v>
      </c>
      <c r="K1613" s="78">
        <f>SUMIFS(VENTAS[Cantidad],VENTAS[Código del producto Vendido],STOCK[[#This Row],[Code]])</f>
        <v>1</v>
      </c>
      <c r="L1613" s="78">
        <f>STOCK[[#This Row],[Entradas]]-STOCK[[#This Row],[Salidas]]</f>
        <v>0</v>
      </c>
      <c r="M1613" s="75">
        <f>STOCK[[#This Row],[Precio Final]]*10%</f>
        <v>1.8</v>
      </c>
      <c r="N1613" s="54">
        <v>0</v>
      </c>
      <c r="O1613" s="75">
        <v>0</v>
      </c>
      <c r="P1613" s="53">
        <v>10</v>
      </c>
      <c r="Q1613" s="69">
        <v>0</v>
      </c>
      <c r="R1613" s="53">
        <v>0</v>
      </c>
      <c r="S1613" s="54">
        <v>0</v>
      </c>
      <c r="T1613" s="75">
        <f>STOCK[[#This Row],[Costo Unitario (USD)]]+STOCK[[#This Row],[Costo Envío (USD)]]+STOCK[[#This Row],[Comisión 10%]]</f>
        <v>11.8</v>
      </c>
      <c r="U1613" s="53">
        <f>STOCK[[#This Row],[Costo total]]*1.5</f>
        <v>17.700000000000003</v>
      </c>
      <c r="V1613" s="53">
        <v>18</v>
      </c>
      <c r="W1613" s="75">
        <f>STOCK[[#This Row],[Precio Final]]-STOCK[[#This Row],[Costo total]]</f>
        <v>6.1999999999999993</v>
      </c>
      <c r="X1613" s="75">
        <f>STOCK[[#This Row],[Ganancia Unitaria]]*STOCK[[#This Row],[Salidas]]</f>
        <v>6.1999999999999993</v>
      </c>
      <c r="Y1613" s="75"/>
      <c r="Z1613" s="75"/>
      <c r="AA1613" s="54">
        <f>STOCK[[#This Row],[Costo total]]*STOCK[[#This Row],[Entradas]]</f>
        <v>11.8</v>
      </c>
      <c r="AB1613" s="54">
        <f>STOCK[[#This Row],[Stock Actual]]*STOCK[[#This Row],[Costo total]]</f>
        <v>0</v>
      </c>
      <c r="AC1613" s="75"/>
      <c r="AD1613" s="82"/>
    </row>
    <row r="1614" spans="1:30" s="53" customFormat="1" ht="50" customHeight="1">
      <c r="A1614" s="53" t="s">
        <v>3197</v>
      </c>
      <c r="B1614" s="69" t="e" vm="1">
        <f ca="1">_xlfn.DISPIMG("ID_CC98686D60D34BF997D1F5A2805BB1F6",1)</f>
        <v>#NAME?</v>
      </c>
      <c r="C1614" s="53" t="s">
        <v>32</v>
      </c>
      <c r="D1614" s="53" t="s">
        <v>749</v>
      </c>
      <c r="E1614" s="65" t="s">
        <v>3198</v>
      </c>
      <c r="F1614" s="53" t="s">
        <v>42</v>
      </c>
      <c r="H1614" s="75">
        <f>STOCK[[#This Row],[Precio Final]]</f>
        <v>18</v>
      </c>
      <c r="I1614" s="80">
        <f>STOCK[[#This Row],[Precio Venta Ideal (x1.5)]]</f>
        <v>17.700000000000003</v>
      </c>
      <c r="J1614" s="69">
        <v>1</v>
      </c>
      <c r="K1614" s="78">
        <f>SUMIFS(VENTAS[Cantidad],VENTAS[Código del producto Vendido],STOCK[[#This Row],[Code]])</f>
        <v>1</v>
      </c>
      <c r="L1614" s="78">
        <f>STOCK[[#This Row],[Entradas]]-STOCK[[#This Row],[Salidas]]</f>
        <v>0</v>
      </c>
      <c r="M1614" s="75">
        <f>STOCK[[#This Row],[Precio Final]]*10%</f>
        <v>1.8</v>
      </c>
      <c r="N1614" s="53">
        <v>0</v>
      </c>
      <c r="O1614" s="75">
        <v>0</v>
      </c>
      <c r="P1614" s="53">
        <v>10</v>
      </c>
      <c r="Q1614" s="70">
        <v>0</v>
      </c>
      <c r="R1614" s="54">
        <v>0</v>
      </c>
      <c r="S1614" s="54">
        <v>0</v>
      </c>
      <c r="T1614" s="75">
        <f>STOCK[[#This Row],[Costo Unitario (USD)]]+STOCK[[#This Row],[Costo Envío (USD)]]+STOCK[[#This Row],[Comisión 10%]]</f>
        <v>11.8</v>
      </c>
      <c r="U1614" s="53">
        <f>STOCK[[#This Row],[Costo total]]*1.5</f>
        <v>17.700000000000003</v>
      </c>
      <c r="V1614" s="53">
        <v>18</v>
      </c>
      <c r="W1614" s="75">
        <f>STOCK[[#This Row],[Precio Final]]-STOCK[[#This Row],[Costo total]]</f>
        <v>6.1999999999999993</v>
      </c>
      <c r="X1614" s="75">
        <f>STOCK[[#This Row],[Ganancia Unitaria]]*STOCK[[#This Row],[Salidas]]</f>
        <v>6.1999999999999993</v>
      </c>
      <c r="Y1614" s="75"/>
      <c r="Z1614" s="75"/>
      <c r="AA1614" s="54">
        <f>STOCK[[#This Row],[Costo total]]*STOCK[[#This Row],[Entradas]]</f>
        <v>11.8</v>
      </c>
      <c r="AB1614" s="54">
        <f>STOCK[[#This Row],[Stock Actual]]*STOCK[[#This Row],[Costo total]]</f>
        <v>0</v>
      </c>
      <c r="AC1614" s="75"/>
      <c r="AD1614" s="82"/>
    </row>
    <row r="1615" spans="1:30" s="53" customFormat="1" ht="50" customHeight="1">
      <c r="A1615" s="53" t="s">
        <v>3199</v>
      </c>
      <c r="B1615" s="69" t="e" vm="1">
        <f ca="1">_xlfn.DISPIMG("ID_CC98686D60D34BF997D1F5A2805BB1F6",1)</f>
        <v>#NAME?</v>
      </c>
      <c r="C1615" s="53" t="s">
        <v>32</v>
      </c>
      <c r="D1615" s="53" t="s">
        <v>749</v>
      </c>
      <c r="E1615" s="65" t="s">
        <v>3198</v>
      </c>
      <c r="F1615" s="53" t="s">
        <v>62</v>
      </c>
      <c r="H1615" s="75">
        <f>STOCK[[#This Row],[Precio Final]]</f>
        <v>18</v>
      </c>
      <c r="I1615" s="80">
        <f>STOCK[[#This Row],[Precio Venta Ideal (x1.5)]]</f>
        <v>17.700000000000003</v>
      </c>
      <c r="J1615" s="69">
        <v>1</v>
      </c>
      <c r="K1615" s="78">
        <f>SUMIFS(VENTAS[Cantidad],VENTAS[Código del producto Vendido],STOCK[[#This Row],[Code]])</f>
        <v>1</v>
      </c>
      <c r="L1615" s="78">
        <f>STOCK[[#This Row],[Entradas]]-STOCK[[#This Row],[Salidas]]</f>
        <v>0</v>
      </c>
      <c r="M1615" s="75">
        <f>STOCK[[#This Row],[Precio Final]]*10%</f>
        <v>1.8</v>
      </c>
      <c r="N1615" s="54">
        <v>0</v>
      </c>
      <c r="O1615" s="75">
        <v>0</v>
      </c>
      <c r="P1615" s="53">
        <v>10</v>
      </c>
      <c r="Q1615" s="69">
        <v>0</v>
      </c>
      <c r="R1615" s="53">
        <v>0</v>
      </c>
      <c r="S1615" s="53">
        <v>0</v>
      </c>
      <c r="T1615" s="75">
        <f>STOCK[[#This Row],[Costo Unitario (USD)]]+STOCK[[#This Row],[Costo Envío (USD)]]+STOCK[[#This Row],[Comisión 10%]]</f>
        <v>11.8</v>
      </c>
      <c r="U1615" s="53">
        <f>STOCK[[#This Row],[Costo total]]*1.5</f>
        <v>17.700000000000003</v>
      </c>
      <c r="V1615" s="53">
        <v>18</v>
      </c>
      <c r="W1615" s="75">
        <f>STOCK[[#This Row],[Precio Final]]-STOCK[[#This Row],[Costo total]]</f>
        <v>6.1999999999999993</v>
      </c>
      <c r="X1615" s="75">
        <f>STOCK[[#This Row],[Ganancia Unitaria]]*STOCK[[#This Row],[Salidas]]</f>
        <v>6.1999999999999993</v>
      </c>
      <c r="Y1615" s="75"/>
      <c r="Z1615" s="75"/>
      <c r="AA1615" s="54">
        <f>STOCK[[#This Row],[Costo total]]*STOCK[[#This Row],[Entradas]]</f>
        <v>11.8</v>
      </c>
      <c r="AB1615" s="54">
        <f>STOCK[[#This Row],[Stock Actual]]*STOCK[[#This Row],[Costo total]]</f>
        <v>0</v>
      </c>
      <c r="AC1615" s="75"/>
      <c r="AD1615" s="82"/>
    </row>
    <row r="1616" spans="1:30" s="53" customFormat="1" ht="50" customHeight="1">
      <c r="A1616" s="53" t="s">
        <v>3200</v>
      </c>
      <c r="B1616" s="69" t="e" vm="1">
        <f ca="1">_xlfn.DISPIMG("ID_CC98686D60D34BF997D1F5A2805BB1F6",1)</f>
        <v>#NAME?</v>
      </c>
      <c r="C1616" s="53" t="s">
        <v>32</v>
      </c>
      <c r="D1616" s="53" t="s">
        <v>749</v>
      </c>
      <c r="E1616" s="65" t="s">
        <v>3198</v>
      </c>
      <c r="F1616" s="53" t="s">
        <v>49</v>
      </c>
      <c r="H1616" s="75">
        <f>STOCK[[#This Row],[Precio Final]]</f>
        <v>18</v>
      </c>
      <c r="I1616" s="80">
        <f>STOCK[[#This Row],[Precio Venta Ideal (x1.5)]]</f>
        <v>17.700000000000003</v>
      </c>
      <c r="J1616" s="69">
        <v>1</v>
      </c>
      <c r="K1616" s="78">
        <f>SUMIFS(VENTAS[Cantidad],VENTAS[Código del producto Vendido],STOCK[[#This Row],[Code]])</f>
        <v>1</v>
      </c>
      <c r="L1616" s="78">
        <f>STOCK[[#This Row],[Entradas]]-STOCK[[#This Row],[Salidas]]</f>
        <v>0</v>
      </c>
      <c r="M1616" s="75">
        <f>STOCK[[#This Row],[Precio Final]]*10%</f>
        <v>1.8</v>
      </c>
      <c r="N1616" s="54">
        <v>0</v>
      </c>
      <c r="O1616" s="75">
        <v>0</v>
      </c>
      <c r="P1616" s="53">
        <v>10</v>
      </c>
      <c r="Q1616" s="69">
        <v>0</v>
      </c>
      <c r="R1616" s="54">
        <v>0</v>
      </c>
      <c r="S1616" s="54">
        <v>0</v>
      </c>
      <c r="T1616" s="75">
        <f>STOCK[[#This Row],[Costo Unitario (USD)]]+STOCK[[#This Row],[Costo Envío (USD)]]+STOCK[[#This Row],[Comisión 10%]]</f>
        <v>11.8</v>
      </c>
      <c r="U1616" s="53">
        <f>STOCK[[#This Row],[Costo total]]*1.5</f>
        <v>17.700000000000003</v>
      </c>
      <c r="V1616" s="53">
        <v>18</v>
      </c>
      <c r="W1616" s="75">
        <f>STOCK[[#This Row],[Precio Final]]-STOCK[[#This Row],[Costo total]]</f>
        <v>6.1999999999999993</v>
      </c>
      <c r="X1616" s="75">
        <f>STOCK[[#This Row],[Ganancia Unitaria]]*STOCK[[#This Row],[Salidas]]</f>
        <v>6.1999999999999993</v>
      </c>
      <c r="Y1616" s="75"/>
      <c r="Z1616" s="75"/>
      <c r="AA1616" s="54">
        <f>STOCK[[#This Row],[Costo total]]*STOCK[[#This Row],[Entradas]]</f>
        <v>11.8</v>
      </c>
      <c r="AB1616" s="54">
        <f>STOCK[[#This Row],[Stock Actual]]*STOCK[[#This Row],[Costo total]]</f>
        <v>0</v>
      </c>
      <c r="AC1616" s="75"/>
      <c r="AD1616" s="82"/>
    </row>
    <row r="1617" spans="1:30" s="53" customFormat="1" ht="50" customHeight="1">
      <c r="A1617" s="53" t="s">
        <v>3201</v>
      </c>
      <c r="B1617" s="69" t="e" vm="1">
        <f ca="1">_xlfn.DISPIMG("ID_9D86C42268174E569F1B44CA83A94651",1)</f>
        <v>#NAME?</v>
      </c>
      <c r="C1617" s="53" t="s">
        <v>32</v>
      </c>
      <c r="D1617" s="53" t="s">
        <v>749</v>
      </c>
      <c r="E1617" s="65" t="s">
        <v>3202</v>
      </c>
      <c r="F1617" s="53" t="s">
        <v>40</v>
      </c>
      <c r="H1617" s="75">
        <f>STOCK[[#This Row],[Precio Final]]</f>
        <v>18</v>
      </c>
      <c r="I1617" s="80">
        <f>STOCK[[#This Row],[Precio Venta Ideal (x1.5)]]</f>
        <v>17.700000000000003</v>
      </c>
      <c r="J1617" s="69">
        <v>1</v>
      </c>
      <c r="K1617" s="78">
        <f>SUMIFS(VENTAS[Cantidad],VENTAS[Código del producto Vendido],STOCK[[#This Row],[Code]])</f>
        <v>0</v>
      </c>
      <c r="L1617" s="78">
        <f>STOCK[[#This Row],[Entradas]]-STOCK[[#This Row],[Salidas]]</f>
        <v>1</v>
      </c>
      <c r="M1617" s="75">
        <f>STOCK[[#This Row],[Precio Final]]*10%</f>
        <v>1.8</v>
      </c>
      <c r="N1617" s="53">
        <v>0</v>
      </c>
      <c r="O1617" s="75">
        <v>0</v>
      </c>
      <c r="P1617" s="53">
        <v>10</v>
      </c>
      <c r="Q1617" s="70">
        <v>0</v>
      </c>
      <c r="R1617" s="53">
        <v>0</v>
      </c>
      <c r="S1617" s="54">
        <v>0</v>
      </c>
      <c r="T1617" s="75">
        <f>STOCK[[#This Row],[Costo Unitario (USD)]]+STOCK[[#This Row],[Costo Envío (USD)]]+STOCK[[#This Row],[Comisión 10%]]</f>
        <v>11.8</v>
      </c>
      <c r="U1617" s="53">
        <f>STOCK[[#This Row],[Costo total]]*1.5</f>
        <v>17.700000000000003</v>
      </c>
      <c r="V1617" s="53">
        <v>18</v>
      </c>
      <c r="W1617" s="75">
        <f>STOCK[[#This Row],[Precio Final]]-STOCK[[#This Row],[Costo total]]</f>
        <v>6.1999999999999993</v>
      </c>
      <c r="X1617" s="75">
        <f>STOCK[[#This Row],[Ganancia Unitaria]]*STOCK[[#This Row],[Salidas]]</f>
        <v>0</v>
      </c>
      <c r="Y1617" s="75"/>
      <c r="Z1617" s="75"/>
      <c r="AA1617" s="54">
        <f>STOCK[[#This Row],[Costo total]]*STOCK[[#This Row],[Entradas]]</f>
        <v>11.8</v>
      </c>
      <c r="AB1617" s="54">
        <f>STOCK[[#This Row],[Stock Actual]]*STOCK[[#This Row],[Costo total]]</f>
        <v>11.8</v>
      </c>
      <c r="AC1617" s="75"/>
      <c r="AD1617" s="82"/>
    </row>
    <row r="1618" spans="1:30" s="53" customFormat="1" ht="50" customHeight="1">
      <c r="A1618" s="53" t="s">
        <v>3203</v>
      </c>
      <c r="B1618" s="69" t="e" vm="1">
        <f ca="1">_xlfn.DISPIMG("ID_6192ED3DEF4E40E0B9CB7A8B01908DF1",1)</f>
        <v>#NAME?</v>
      </c>
      <c r="C1618" s="53" t="s">
        <v>32</v>
      </c>
      <c r="D1618" s="53" t="s">
        <v>749</v>
      </c>
      <c r="E1618" s="65" t="s">
        <v>3204</v>
      </c>
      <c r="F1618" s="53" t="s">
        <v>46</v>
      </c>
      <c r="H1618" s="75">
        <f>STOCK[[#This Row],[Precio Final]]</f>
        <v>18</v>
      </c>
      <c r="I1618" s="80">
        <f>STOCK[[#This Row],[Precio Venta Ideal (x1.5)]]</f>
        <v>17.700000000000003</v>
      </c>
      <c r="J1618" s="69">
        <v>1</v>
      </c>
      <c r="K1618" s="78">
        <f>SUMIFS(VENTAS[Cantidad],VENTAS[Código del producto Vendido],STOCK[[#This Row],[Code]])</f>
        <v>0</v>
      </c>
      <c r="L1618" s="78">
        <f>STOCK[[#This Row],[Entradas]]-STOCK[[#This Row],[Salidas]]</f>
        <v>1</v>
      </c>
      <c r="M1618" s="75">
        <f>STOCK[[#This Row],[Precio Final]]*10%</f>
        <v>1.8</v>
      </c>
      <c r="N1618" s="54">
        <v>0</v>
      </c>
      <c r="O1618" s="75">
        <v>0</v>
      </c>
      <c r="P1618" s="53">
        <v>10</v>
      </c>
      <c r="Q1618" s="69">
        <v>0</v>
      </c>
      <c r="R1618" s="54">
        <v>0</v>
      </c>
      <c r="S1618" s="53">
        <v>0</v>
      </c>
      <c r="T1618" s="75">
        <f>STOCK[[#This Row],[Costo Unitario (USD)]]+STOCK[[#This Row],[Costo Envío (USD)]]+STOCK[[#This Row],[Comisión 10%]]</f>
        <v>11.8</v>
      </c>
      <c r="U1618" s="53">
        <f>STOCK[[#This Row],[Costo total]]*1.5</f>
        <v>17.700000000000003</v>
      </c>
      <c r="V1618" s="53">
        <v>18</v>
      </c>
      <c r="W1618" s="75">
        <f>STOCK[[#This Row],[Precio Final]]-STOCK[[#This Row],[Costo total]]</f>
        <v>6.1999999999999993</v>
      </c>
      <c r="X1618" s="75">
        <f>STOCK[[#This Row],[Ganancia Unitaria]]*STOCK[[#This Row],[Salidas]]</f>
        <v>0</v>
      </c>
      <c r="Y1618" s="75"/>
      <c r="Z1618" s="75"/>
      <c r="AA1618" s="54">
        <f>STOCK[[#This Row],[Costo total]]*STOCK[[#This Row],[Entradas]]</f>
        <v>11.8</v>
      </c>
      <c r="AB1618" s="54">
        <f>STOCK[[#This Row],[Stock Actual]]*STOCK[[#This Row],[Costo total]]</f>
        <v>11.8</v>
      </c>
      <c r="AC1618" s="75"/>
      <c r="AD1618" s="82"/>
    </row>
    <row r="1619" spans="1:30" s="53" customFormat="1" ht="50" customHeight="1">
      <c r="A1619" s="53" t="s">
        <v>3205</v>
      </c>
      <c r="B1619" s="69" t="e" vm="1">
        <f ca="1">_xlfn.DISPIMG("ID_AA724A023AFC4FB18C89A785789FBDC6",1)</f>
        <v>#NAME?</v>
      </c>
      <c r="C1619" s="53" t="s">
        <v>32</v>
      </c>
      <c r="D1619" s="53" t="s">
        <v>749</v>
      </c>
      <c r="E1619" s="65" t="s">
        <v>3206</v>
      </c>
      <c r="F1619" s="53" t="s">
        <v>62</v>
      </c>
      <c r="H1619" s="75">
        <f>STOCK[[#This Row],[Precio Final]]</f>
        <v>18</v>
      </c>
      <c r="I1619" s="80">
        <f>STOCK[[#This Row],[Precio Venta Ideal (x1.5)]]</f>
        <v>17.700000000000003</v>
      </c>
      <c r="J1619" s="69">
        <v>1</v>
      </c>
      <c r="K1619" s="78">
        <f>SUMIFS(VENTAS[Cantidad],VENTAS[Código del producto Vendido],STOCK[[#This Row],[Code]])</f>
        <v>1</v>
      </c>
      <c r="L1619" s="78">
        <f>STOCK[[#This Row],[Entradas]]-STOCK[[#This Row],[Salidas]]</f>
        <v>0</v>
      </c>
      <c r="M1619" s="75">
        <f>STOCK[[#This Row],[Precio Final]]*10%</f>
        <v>1.8</v>
      </c>
      <c r="N1619" s="54">
        <v>0</v>
      </c>
      <c r="O1619" s="75">
        <v>0</v>
      </c>
      <c r="P1619" s="53">
        <v>10</v>
      </c>
      <c r="Q1619" s="69">
        <v>0</v>
      </c>
      <c r="R1619" s="53">
        <v>0</v>
      </c>
      <c r="S1619" s="54">
        <v>0</v>
      </c>
      <c r="T1619" s="75">
        <f>STOCK[[#This Row],[Costo Unitario (USD)]]+STOCK[[#This Row],[Costo Envío (USD)]]+STOCK[[#This Row],[Comisión 10%]]</f>
        <v>11.8</v>
      </c>
      <c r="U1619" s="53">
        <f>STOCK[[#This Row],[Costo total]]*1.5</f>
        <v>17.700000000000003</v>
      </c>
      <c r="V1619" s="53">
        <v>18</v>
      </c>
      <c r="W1619" s="75">
        <f>STOCK[[#This Row],[Precio Final]]-STOCK[[#This Row],[Costo total]]</f>
        <v>6.1999999999999993</v>
      </c>
      <c r="X1619" s="75">
        <f>STOCK[[#This Row],[Ganancia Unitaria]]*STOCK[[#This Row],[Salidas]]</f>
        <v>6.1999999999999993</v>
      </c>
      <c r="Y1619" s="75"/>
      <c r="Z1619" s="75"/>
      <c r="AA1619" s="54">
        <f>STOCK[[#This Row],[Costo total]]*STOCK[[#This Row],[Entradas]]</f>
        <v>11.8</v>
      </c>
      <c r="AB1619" s="54">
        <f>STOCK[[#This Row],[Stock Actual]]*STOCK[[#This Row],[Costo total]]</f>
        <v>0</v>
      </c>
      <c r="AC1619" s="75"/>
      <c r="AD1619" s="82"/>
    </row>
    <row r="1620" spans="1:30" s="53" customFormat="1" ht="50" customHeight="1">
      <c r="A1620" s="53" t="s">
        <v>3207</v>
      </c>
      <c r="B1620" s="69" t="e" vm="1">
        <f ca="1">_xlfn.DISPIMG("ID_8CDF2E94ACBF49349E7B534C668F72E1",1)</f>
        <v>#NAME?</v>
      </c>
      <c r="C1620" s="53" t="s">
        <v>32</v>
      </c>
      <c r="D1620" s="53" t="s">
        <v>749</v>
      </c>
      <c r="E1620" s="65" t="s">
        <v>3208</v>
      </c>
      <c r="F1620" s="53" t="s">
        <v>40</v>
      </c>
      <c r="H1620" s="75">
        <f>STOCK[[#This Row],[Precio Final]]</f>
        <v>18</v>
      </c>
      <c r="I1620" s="80">
        <f>STOCK[[#This Row],[Precio Venta Ideal (x1.5)]]</f>
        <v>17.700000000000003</v>
      </c>
      <c r="J1620" s="69">
        <v>1</v>
      </c>
      <c r="K1620" s="78">
        <f>SUMIFS(VENTAS[Cantidad],VENTAS[Código del producto Vendido],STOCK[[#This Row],[Code]])</f>
        <v>0</v>
      </c>
      <c r="L1620" s="78">
        <f>STOCK[[#This Row],[Entradas]]-STOCK[[#This Row],[Salidas]]</f>
        <v>1</v>
      </c>
      <c r="M1620" s="75">
        <f>STOCK[[#This Row],[Precio Final]]*10%</f>
        <v>1.8</v>
      </c>
      <c r="N1620" s="53">
        <v>0</v>
      </c>
      <c r="O1620" s="75">
        <v>0</v>
      </c>
      <c r="P1620" s="53">
        <v>10</v>
      </c>
      <c r="Q1620" s="70">
        <v>0</v>
      </c>
      <c r="R1620" s="54">
        <v>0</v>
      </c>
      <c r="S1620" s="54">
        <v>0</v>
      </c>
      <c r="T1620" s="75">
        <f>STOCK[[#This Row],[Costo Unitario (USD)]]+STOCK[[#This Row],[Costo Envío (USD)]]+STOCK[[#This Row],[Comisión 10%]]</f>
        <v>11.8</v>
      </c>
      <c r="U1620" s="53">
        <f>STOCK[[#This Row],[Costo total]]*1.5</f>
        <v>17.700000000000003</v>
      </c>
      <c r="V1620" s="53">
        <v>18</v>
      </c>
      <c r="W1620" s="75">
        <f>STOCK[[#This Row],[Precio Final]]-STOCK[[#This Row],[Costo total]]</f>
        <v>6.1999999999999993</v>
      </c>
      <c r="X1620" s="75">
        <f>STOCK[[#This Row],[Ganancia Unitaria]]*STOCK[[#This Row],[Salidas]]</f>
        <v>0</v>
      </c>
      <c r="Y1620" s="75"/>
      <c r="Z1620" s="75"/>
      <c r="AA1620" s="54">
        <f>STOCK[[#This Row],[Costo total]]*STOCK[[#This Row],[Entradas]]</f>
        <v>11.8</v>
      </c>
      <c r="AB1620" s="54">
        <f>STOCK[[#This Row],[Stock Actual]]*STOCK[[#This Row],[Costo total]]</f>
        <v>11.8</v>
      </c>
      <c r="AC1620" s="75"/>
      <c r="AD1620" s="82"/>
    </row>
    <row r="1621" spans="1:30" s="53" customFormat="1" ht="50" customHeight="1">
      <c r="A1621" s="53" t="s">
        <v>3209</v>
      </c>
      <c r="B1621" s="69" t="e" vm="1">
        <f ca="1">_xlfn.DISPIMG("ID_8CDF2E94ACBF49349E7B534C668F72E1",1)</f>
        <v>#NAME?</v>
      </c>
      <c r="C1621" s="53" t="s">
        <v>32</v>
      </c>
      <c r="D1621" s="53" t="s">
        <v>749</v>
      </c>
      <c r="E1621" s="65" t="s">
        <v>3210</v>
      </c>
      <c r="F1621" s="53" t="s">
        <v>62</v>
      </c>
      <c r="H1621" s="75">
        <f>STOCK[[#This Row],[Precio Final]]</f>
        <v>18</v>
      </c>
      <c r="I1621" s="80">
        <f>STOCK[[#This Row],[Precio Venta Ideal (x1.5)]]</f>
        <v>17.700000000000003</v>
      </c>
      <c r="J1621" s="69">
        <v>0</v>
      </c>
      <c r="K1621" s="78">
        <f>SUMIFS(VENTAS[Cantidad],VENTAS[Código del producto Vendido],STOCK[[#This Row],[Code]])</f>
        <v>0</v>
      </c>
      <c r="L1621" s="78">
        <f>STOCK[[#This Row],[Entradas]]-STOCK[[#This Row],[Salidas]]</f>
        <v>0</v>
      </c>
      <c r="M1621" s="75">
        <f>STOCK[[#This Row],[Precio Final]]*10%</f>
        <v>1.8</v>
      </c>
      <c r="N1621" s="54">
        <v>0</v>
      </c>
      <c r="O1621" s="75">
        <v>0</v>
      </c>
      <c r="P1621" s="53">
        <v>10</v>
      </c>
      <c r="Q1621" s="69">
        <v>0</v>
      </c>
      <c r="R1621" s="53">
        <v>0</v>
      </c>
      <c r="S1621" s="53">
        <v>0</v>
      </c>
      <c r="T1621" s="75">
        <f>STOCK[[#This Row],[Costo Unitario (USD)]]+STOCK[[#This Row],[Costo Envío (USD)]]+STOCK[[#This Row],[Comisión 10%]]</f>
        <v>11.8</v>
      </c>
      <c r="U1621" s="53">
        <f>STOCK[[#This Row],[Costo total]]*1.5</f>
        <v>17.700000000000003</v>
      </c>
      <c r="V1621" s="53">
        <v>18</v>
      </c>
      <c r="W1621" s="75">
        <f>STOCK[[#This Row],[Precio Final]]-STOCK[[#This Row],[Costo total]]</f>
        <v>6.1999999999999993</v>
      </c>
      <c r="X1621" s="75">
        <f>STOCK[[#This Row],[Ganancia Unitaria]]*STOCK[[#This Row],[Salidas]]</f>
        <v>0</v>
      </c>
      <c r="Y1621" s="75"/>
      <c r="Z1621" s="75"/>
      <c r="AA1621" s="54">
        <f>STOCK[[#This Row],[Costo total]]*STOCK[[#This Row],[Entradas]]</f>
        <v>0</v>
      </c>
      <c r="AB1621" s="54">
        <f>STOCK[[#This Row],[Stock Actual]]*STOCK[[#This Row],[Costo total]]</f>
        <v>0</v>
      </c>
      <c r="AC1621" s="75"/>
      <c r="AD1621" s="82"/>
    </row>
    <row r="1622" spans="1:30" s="53" customFormat="1" ht="50" customHeight="1">
      <c r="A1622" s="53" t="s">
        <v>3211</v>
      </c>
      <c r="C1622" s="53" t="s">
        <v>32</v>
      </c>
      <c r="D1622" s="53" t="s">
        <v>1388</v>
      </c>
      <c r="E1622" s="65" t="s">
        <v>3164</v>
      </c>
      <c r="F1622" s="53" t="s">
        <v>49</v>
      </c>
      <c r="H1622" s="75">
        <f>STOCK[[#This Row],[Precio Final]]</f>
        <v>18</v>
      </c>
      <c r="I1622" s="80">
        <f>STOCK[[#This Row],[Precio Venta Ideal (x1.5)]]</f>
        <v>11.7</v>
      </c>
      <c r="J1622" s="69">
        <v>1</v>
      </c>
      <c r="K1622" s="78">
        <f>SUMIFS(VENTAS[Cantidad],VENTAS[Código del producto Vendido],STOCK[[#This Row],[Code]])</f>
        <v>0</v>
      </c>
      <c r="L1622" s="78">
        <f>STOCK[[#This Row],[Entradas]]-STOCK[[#This Row],[Salidas]]</f>
        <v>1</v>
      </c>
      <c r="M1622" s="75">
        <f>STOCK[[#This Row],[Precio Final]]*10%</f>
        <v>1.8</v>
      </c>
      <c r="N1622" s="54">
        <v>0</v>
      </c>
      <c r="O1622" s="75">
        <v>0</v>
      </c>
      <c r="P1622" s="53">
        <v>6</v>
      </c>
      <c r="Q1622" s="69">
        <v>0</v>
      </c>
      <c r="R1622" s="54">
        <v>0</v>
      </c>
      <c r="S1622" s="54">
        <v>0</v>
      </c>
      <c r="T1622" s="75">
        <f>STOCK[[#This Row],[Costo Unitario (USD)]]+STOCK[[#This Row],[Costo Envío (USD)]]+STOCK[[#This Row],[Comisión 10%]]</f>
        <v>7.8</v>
      </c>
      <c r="U1622" s="53">
        <f>STOCK[[#This Row],[Costo total]]*1.5</f>
        <v>11.7</v>
      </c>
      <c r="V1622" s="53">
        <v>18</v>
      </c>
      <c r="W1622" s="75">
        <f>STOCK[[#This Row],[Precio Final]]-STOCK[[#This Row],[Costo total]]</f>
        <v>10.199999999999999</v>
      </c>
      <c r="X1622" s="75">
        <f>STOCK[[#This Row],[Ganancia Unitaria]]*STOCK[[#This Row],[Salidas]]</f>
        <v>0</v>
      </c>
      <c r="Y1622" s="75"/>
      <c r="Z1622" s="75"/>
      <c r="AA1622" s="54">
        <f>STOCK[[#This Row],[Costo total]]*STOCK[[#This Row],[Entradas]]</f>
        <v>7.8</v>
      </c>
      <c r="AB1622" s="54">
        <f>STOCK[[#This Row],[Stock Actual]]*STOCK[[#This Row],[Costo total]]</f>
        <v>7.8</v>
      </c>
      <c r="AC1622" s="75"/>
      <c r="AD1622" s="82"/>
    </row>
    <row r="1623" spans="1:30" s="53" customFormat="1" ht="50" customHeight="1">
      <c r="A1623" s="53" t="s">
        <v>3212</v>
      </c>
      <c r="B1623" s="69" t="e" vm="1">
        <f ca="1">_xlfn.DISPIMG("ID_32237752924347C9958963C7F053ED96",1)</f>
        <v>#NAME?</v>
      </c>
      <c r="C1623" s="53" t="s">
        <v>32</v>
      </c>
      <c r="D1623" s="53" t="s">
        <v>749</v>
      </c>
      <c r="E1623" s="65" t="s">
        <v>3213</v>
      </c>
      <c r="F1623" s="53" t="s">
        <v>62</v>
      </c>
      <c r="H1623" s="75">
        <f>STOCK[[#This Row],[Precio Final]]</f>
        <v>22</v>
      </c>
      <c r="I1623" s="80">
        <f>STOCK[[#This Row],[Precio Venta Ideal (x1.5)]]</f>
        <v>18.299999999999997</v>
      </c>
      <c r="J1623" s="69">
        <v>2</v>
      </c>
      <c r="K1623" s="78">
        <f>SUMIFS(VENTAS[Cantidad],VENTAS[Código del producto Vendido],STOCK[[#This Row],[Code]])</f>
        <v>1</v>
      </c>
      <c r="L1623" s="78">
        <f>STOCK[[#This Row],[Entradas]]-STOCK[[#This Row],[Salidas]]</f>
        <v>1</v>
      </c>
      <c r="M1623" s="75">
        <f>STOCK[[#This Row],[Precio Final]]*10%</f>
        <v>2.2000000000000002</v>
      </c>
      <c r="N1623" s="53">
        <v>0</v>
      </c>
      <c r="O1623" s="75">
        <v>0</v>
      </c>
      <c r="P1623" s="53">
        <v>10</v>
      </c>
      <c r="Q1623" s="70">
        <v>0</v>
      </c>
      <c r="R1623" s="53">
        <v>0</v>
      </c>
      <c r="S1623" s="54">
        <v>0</v>
      </c>
      <c r="T1623" s="75">
        <f>STOCK[[#This Row],[Costo Unitario (USD)]]+STOCK[[#This Row],[Costo Envío (USD)]]+STOCK[[#This Row],[Comisión 10%]]</f>
        <v>12.2</v>
      </c>
      <c r="U1623" s="53">
        <f>STOCK[[#This Row],[Costo total]]*1.5</f>
        <v>18.299999999999997</v>
      </c>
      <c r="V1623" s="53">
        <v>22</v>
      </c>
      <c r="W1623" s="75">
        <f>STOCK[[#This Row],[Precio Final]]-STOCK[[#This Row],[Costo total]]</f>
        <v>9.8000000000000007</v>
      </c>
      <c r="X1623" s="75">
        <f>STOCK[[#This Row],[Ganancia Unitaria]]*STOCK[[#This Row],[Salidas]]</f>
        <v>9.8000000000000007</v>
      </c>
      <c r="Y1623" s="75"/>
      <c r="Z1623" s="75"/>
      <c r="AA1623" s="54">
        <f>STOCK[[#This Row],[Costo total]]*STOCK[[#This Row],[Entradas]]</f>
        <v>24.4</v>
      </c>
      <c r="AB1623" s="54">
        <f>STOCK[[#This Row],[Stock Actual]]*STOCK[[#This Row],[Costo total]]</f>
        <v>12.2</v>
      </c>
      <c r="AC1623" s="75"/>
      <c r="AD1623" s="82"/>
    </row>
    <row r="1624" spans="1:30" s="53" customFormat="1" ht="50" customHeight="1">
      <c r="A1624" s="53" t="s">
        <v>3214</v>
      </c>
      <c r="B1624" s="53" t="s">
        <v>1345</v>
      </c>
      <c r="C1624" s="53" t="s">
        <v>32</v>
      </c>
      <c r="D1624" s="53" t="s">
        <v>749</v>
      </c>
      <c r="E1624" s="65" t="s">
        <v>3215</v>
      </c>
      <c r="F1624" s="53" t="s">
        <v>62</v>
      </c>
      <c r="H1624" s="75">
        <f>STOCK[[#This Row],[Precio Final]]</f>
        <v>25</v>
      </c>
      <c r="I1624" s="80">
        <f>STOCK[[#This Row],[Precio Venta Ideal (x1.5)]]</f>
        <v>18.75</v>
      </c>
      <c r="J1624" s="69">
        <v>1</v>
      </c>
      <c r="K1624" s="78">
        <f>SUMIFS(VENTAS[Cantidad],VENTAS[Código del producto Vendido],STOCK[[#This Row],[Code]])</f>
        <v>0</v>
      </c>
      <c r="L1624" s="78">
        <f>STOCK[[#This Row],[Entradas]]-STOCK[[#This Row],[Salidas]]</f>
        <v>1</v>
      </c>
      <c r="M1624" s="75">
        <f>STOCK[[#This Row],[Precio Final]]*10%</f>
        <v>2.5</v>
      </c>
      <c r="N1624" s="54">
        <v>0</v>
      </c>
      <c r="O1624" s="75">
        <v>0</v>
      </c>
      <c r="P1624" s="53">
        <v>10</v>
      </c>
      <c r="Q1624" s="69">
        <v>0</v>
      </c>
      <c r="R1624" s="54">
        <v>0</v>
      </c>
      <c r="S1624" s="53">
        <v>0</v>
      </c>
      <c r="T1624" s="75">
        <f>STOCK[[#This Row],[Costo Unitario (USD)]]+STOCK[[#This Row],[Costo Envío (USD)]]+STOCK[[#This Row],[Comisión 10%]]</f>
        <v>12.5</v>
      </c>
      <c r="U1624" s="53">
        <f>STOCK[[#This Row],[Costo total]]*1.5</f>
        <v>18.75</v>
      </c>
      <c r="V1624" s="53">
        <v>25</v>
      </c>
      <c r="W1624" s="75">
        <f>STOCK[[#This Row],[Precio Final]]-STOCK[[#This Row],[Costo total]]</f>
        <v>12.5</v>
      </c>
      <c r="X1624" s="75">
        <f>STOCK[[#This Row],[Ganancia Unitaria]]*STOCK[[#This Row],[Salidas]]</f>
        <v>0</v>
      </c>
      <c r="Y1624" s="75"/>
      <c r="Z1624" s="75"/>
      <c r="AA1624" s="54">
        <f>STOCK[[#This Row],[Costo total]]*STOCK[[#This Row],[Entradas]]</f>
        <v>12.5</v>
      </c>
      <c r="AB1624" s="54">
        <f>STOCK[[#This Row],[Stock Actual]]*STOCK[[#This Row],[Costo total]]</f>
        <v>12.5</v>
      </c>
      <c r="AC1624" s="75"/>
      <c r="AD1624" s="82"/>
    </row>
    <row r="1625" spans="1:30" s="53" customFormat="1" ht="50" customHeight="1">
      <c r="A1625" s="53" t="s">
        <v>3216</v>
      </c>
      <c r="B1625" s="69" t="e" vm="1">
        <f ca="1">_xlfn.DISPIMG("ID_EBBCEBED0DC34FFB89EBAF2545A36AD1",1)</f>
        <v>#NAME?</v>
      </c>
      <c r="C1625" s="53" t="s">
        <v>32</v>
      </c>
      <c r="D1625" s="53" t="s">
        <v>749</v>
      </c>
      <c r="E1625" s="65" t="s">
        <v>3217</v>
      </c>
      <c r="F1625" s="53" t="s">
        <v>49</v>
      </c>
      <c r="H1625" s="75">
        <f>STOCK[[#This Row],[Precio Final]]</f>
        <v>25</v>
      </c>
      <c r="I1625" s="80">
        <f>STOCK[[#This Row],[Precio Venta Ideal (x1.5)]]</f>
        <v>18.75</v>
      </c>
      <c r="J1625" s="69">
        <v>1</v>
      </c>
      <c r="K1625" s="78">
        <f>SUMIFS(VENTAS[Cantidad],VENTAS[Código del producto Vendido],STOCK[[#This Row],[Code]])</f>
        <v>1</v>
      </c>
      <c r="L1625" s="78">
        <f>STOCK[[#This Row],[Entradas]]-STOCK[[#This Row],[Salidas]]</f>
        <v>0</v>
      </c>
      <c r="M1625" s="75">
        <f>STOCK[[#This Row],[Precio Final]]*10%</f>
        <v>2.5</v>
      </c>
      <c r="N1625" s="54">
        <v>0</v>
      </c>
      <c r="O1625" s="75">
        <v>0</v>
      </c>
      <c r="P1625" s="53">
        <v>10</v>
      </c>
      <c r="Q1625" s="69">
        <v>0</v>
      </c>
      <c r="R1625" s="53">
        <v>0</v>
      </c>
      <c r="S1625" s="54">
        <v>0</v>
      </c>
      <c r="T1625" s="75">
        <f>STOCK[[#This Row],[Costo Unitario (USD)]]+STOCK[[#This Row],[Costo Envío (USD)]]+STOCK[[#This Row],[Comisión 10%]]</f>
        <v>12.5</v>
      </c>
      <c r="U1625" s="53">
        <f>STOCK[[#This Row],[Costo total]]*1.5</f>
        <v>18.75</v>
      </c>
      <c r="V1625" s="53">
        <v>25</v>
      </c>
      <c r="W1625" s="75">
        <f>STOCK[[#This Row],[Precio Final]]-STOCK[[#This Row],[Costo total]]</f>
        <v>12.5</v>
      </c>
      <c r="X1625" s="75">
        <f>STOCK[[#This Row],[Ganancia Unitaria]]*STOCK[[#This Row],[Salidas]]</f>
        <v>12.5</v>
      </c>
      <c r="Y1625" s="75"/>
      <c r="Z1625" s="75"/>
      <c r="AA1625" s="54">
        <f>STOCK[[#This Row],[Costo total]]*STOCK[[#This Row],[Entradas]]</f>
        <v>12.5</v>
      </c>
      <c r="AB1625" s="54">
        <f>STOCK[[#This Row],[Stock Actual]]*STOCK[[#This Row],[Costo total]]</f>
        <v>0</v>
      </c>
      <c r="AC1625" s="75"/>
      <c r="AD1625" s="82"/>
    </row>
    <row r="1626" spans="1:30" s="53" customFormat="1" ht="50" customHeight="1">
      <c r="A1626" s="53" t="s">
        <v>3218</v>
      </c>
      <c r="B1626" s="69" t="e" vm="1">
        <f ca="1">_xlfn.DISPIMG("ID_21BE528AF4714D5CB2946E28AE2B61F6",1)</f>
        <v>#NAME?</v>
      </c>
      <c r="C1626" s="53" t="s">
        <v>32</v>
      </c>
      <c r="D1626" s="53" t="s">
        <v>749</v>
      </c>
      <c r="E1626" s="65" t="s">
        <v>3219</v>
      </c>
      <c r="F1626" s="53" t="s">
        <v>62</v>
      </c>
      <c r="H1626" s="75">
        <f>STOCK[[#This Row],[Precio Final]]</f>
        <v>25</v>
      </c>
      <c r="I1626" s="80">
        <f>STOCK[[#This Row],[Precio Venta Ideal (x1.5)]]</f>
        <v>21.75</v>
      </c>
      <c r="J1626" s="69">
        <v>1</v>
      </c>
      <c r="K1626" s="78">
        <f>SUMIFS(VENTAS[Cantidad],VENTAS[Código del producto Vendido],STOCK[[#This Row],[Code]])</f>
        <v>0</v>
      </c>
      <c r="L1626" s="78">
        <f>STOCK[[#This Row],[Entradas]]-STOCK[[#This Row],[Salidas]]</f>
        <v>1</v>
      </c>
      <c r="M1626" s="75">
        <f>STOCK[[#This Row],[Precio Final]]*10%</f>
        <v>2.5</v>
      </c>
      <c r="N1626" s="54">
        <v>0</v>
      </c>
      <c r="O1626" s="75">
        <v>0</v>
      </c>
      <c r="P1626" s="53">
        <v>12</v>
      </c>
      <c r="Q1626" s="69">
        <v>0</v>
      </c>
      <c r="R1626" s="53">
        <v>0</v>
      </c>
      <c r="S1626" s="53">
        <v>0</v>
      </c>
      <c r="T1626" s="75">
        <f>STOCK[[#This Row],[Costo Unitario (USD)]]+STOCK[[#This Row],[Costo Envío (USD)]]+STOCK[[#This Row],[Comisión 10%]]</f>
        <v>14.5</v>
      </c>
      <c r="U1626" s="53">
        <f>STOCK[[#This Row],[Costo total]]*1.5</f>
        <v>21.75</v>
      </c>
      <c r="V1626" s="53">
        <v>25</v>
      </c>
      <c r="W1626" s="75">
        <f>STOCK[[#This Row],[Precio Final]]-STOCK[[#This Row],[Costo total]]</f>
        <v>10.5</v>
      </c>
      <c r="X1626" s="75">
        <f>STOCK[[#This Row],[Ganancia Unitaria]]*STOCK[[#This Row],[Salidas]]</f>
        <v>0</v>
      </c>
      <c r="Y1626" s="75"/>
      <c r="Z1626" s="75"/>
      <c r="AA1626" s="54">
        <f>STOCK[[#This Row],[Costo total]]*STOCK[[#This Row],[Entradas]]</f>
        <v>14.5</v>
      </c>
      <c r="AB1626" s="54">
        <f>STOCK[[#This Row],[Stock Actual]]*STOCK[[#This Row],[Costo total]]</f>
        <v>14.5</v>
      </c>
      <c r="AC1626" s="75"/>
      <c r="AD1626" s="82"/>
    </row>
    <row r="1627" spans="1:30" s="53" customFormat="1" ht="50" customHeight="1">
      <c r="A1627" s="53" t="s">
        <v>3220</v>
      </c>
      <c r="B1627" s="69" t="e" vm="1">
        <f ca="1">_xlfn.DISPIMG("ID_0A7224B17DBC46D78E3CFBA92FF16148",1)</f>
        <v>#NAME?</v>
      </c>
      <c r="C1627" s="53" t="s">
        <v>32</v>
      </c>
      <c r="D1627" s="53" t="s">
        <v>749</v>
      </c>
      <c r="E1627" s="65" t="s">
        <v>3221</v>
      </c>
      <c r="F1627" s="53" t="s">
        <v>40</v>
      </c>
      <c r="H1627" s="75">
        <f>STOCK[[#This Row],[Precio Final]]</f>
        <v>30</v>
      </c>
      <c r="I1627" s="80">
        <f>STOCK[[#This Row],[Precio Venta Ideal (x1.5)]]</f>
        <v>22.5</v>
      </c>
      <c r="J1627" s="69">
        <v>1</v>
      </c>
      <c r="K1627" s="78">
        <f>SUMIFS(VENTAS[Cantidad],VENTAS[Código del producto Vendido],STOCK[[#This Row],[Code]])</f>
        <v>0</v>
      </c>
      <c r="L1627" s="78">
        <f>STOCK[[#This Row],[Entradas]]-STOCK[[#This Row],[Salidas]]</f>
        <v>1</v>
      </c>
      <c r="M1627" s="75">
        <f>STOCK[[#This Row],[Precio Final]]*10%</f>
        <v>3</v>
      </c>
      <c r="N1627" s="54">
        <v>0</v>
      </c>
      <c r="O1627" s="75">
        <v>0</v>
      </c>
      <c r="P1627" s="53">
        <v>12</v>
      </c>
      <c r="Q1627" s="69">
        <v>0</v>
      </c>
      <c r="R1627" s="53">
        <v>0</v>
      </c>
      <c r="S1627" s="54">
        <v>0</v>
      </c>
      <c r="T1627" s="75">
        <f>STOCK[[#This Row],[Costo Unitario (USD)]]+STOCK[[#This Row],[Costo Envío (USD)]]+STOCK[[#This Row],[Comisión 10%]]</f>
        <v>15</v>
      </c>
      <c r="U1627" s="53">
        <f>STOCK[[#This Row],[Costo total]]*1.5</f>
        <v>22.5</v>
      </c>
      <c r="V1627" s="53">
        <v>30</v>
      </c>
      <c r="W1627" s="75">
        <f>STOCK[[#This Row],[Precio Final]]-STOCK[[#This Row],[Costo total]]</f>
        <v>15</v>
      </c>
      <c r="X1627" s="75">
        <f>STOCK[[#This Row],[Ganancia Unitaria]]*STOCK[[#This Row],[Salidas]]</f>
        <v>0</v>
      </c>
      <c r="Y1627" s="75"/>
      <c r="Z1627" s="75"/>
      <c r="AA1627" s="54">
        <f>STOCK[[#This Row],[Costo total]]*STOCK[[#This Row],[Entradas]]</f>
        <v>15</v>
      </c>
      <c r="AB1627" s="54">
        <f>STOCK[[#This Row],[Stock Actual]]*STOCK[[#This Row],[Costo total]]</f>
        <v>15</v>
      </c>
      <c r="AC1627" s="75"/>
      <c r="AD1627" s="82"/>
    </row>
    <row r="1628" spans="1:30" s="53" customFormat="1" ht="50" customHeight="1">
      <c r="A1628" s="53" t="s">
        <v>3222</v>
      </c>
      <c r="B1628" s="69" t="e" vm="1">
        <f ca="1">_xlfn.DISPIMG("ID_10BC08E7CE7C4BF4BAFC2397BD828897",1)</f>
        <v>#NAME?</v>
      </c>
      <c r="C1628" s="53" t="s">
        <v>32</v>
      </c>
      <c r="D1628" s="53" t="s">
        <v>749</v>
      </c>
      <c r="E1628" s="65" t="s">
        <v>3223</v>
      </c>
      <c r="F1628" s="53" t="s">
        <v>49</v>
      </c>
      <c r="H1628" s="75">
        <f>STOCK[[#This Row],[Precio Final]]</f>
        <v>25</v>
      </c>
      <c r="I1628" s="80">
        <f>STOCK[[#This Row],[Precio Venta Ideal (x1.5)]]</f>
        <v>21.75</v>
      </c>
      <c r="J1628" s="69">
        <v>1</v>
      </c>
      <c r="K1628" s="78">
        <f>SUMIFS(VENTAS[Cantidad],VENTAS[Código del producto Vendido],STOCK[[#This Row],[Code]])</f>
        <v>1</v>
      </c>
      <c r="L1628" s="78">
        <f>STOCK[[#This Row],[Entradas]]-STOCK[[#This Row],[Salidas]]</f>
        <v>0</v>
      </c>
      <c r="M1628" s="75">
        <f>STOCK[[#This Row],[Precio Final]]*10%</f>
        <v>2.5</v>
      </c>
      <c r="N1628" s="53">
        <v>0</v>
      </c>
      <c r="O1628" s="75">
        <v>0</v>
      </c>
      <c r="P1628" s="53">
        <v>12</v>
      </c>
      <c r="Q1628" s="70">
        <v>0</v>
      </c>
      <c r="R1628" s="53">
        <v>0</v>
      </c>
      <c r="S1628" s="54">
        <v>0</v>
      </c>
      <c r="T1628" s="75">
        <f>STOCK[[#This Row],[Costo Unitario (USD)]]+STOCK[[#This Row],[Costo Envío (USD)]]+STOCK[[#This Row],[Comisión 10%]]</f>
        <v>14.5</v>
      </c>
      <c r="U1628" s="53">
        <f>STOCK[[#This Row],[Costo total]]*1.5</f>
        <v>21.75</v>
      </c>
      <c r="V1628" s="53">
        <v>25</v>
      </c>
      <c r="W1628" s="75">
        <f>STOCK[[#This Row],[Precio Final]]-STOCK[[#This Row],[Costo total]]</f>
        <v>10.5</v>
      </c>
      <c r="X1628" s="75">
        <f>STOCK[[#This Row],[Ganancia Unitaria]]*STOCK[[#This Row],[Salidas]]</f>
        <v>10.5</v>
      </c>
      <c r="Y1628" s="75"/>
      <c r="Z1628" s="75"/>
      <c r="AA1628" s="54">
        <f>STOCK[[#This Row],[Costo total]]*STOCK[[#This Row],[Entradas]]</f>
        <v>14.5</v>
      </c>
      <c r="AB1628" s="54">
        <f>STOCK[[#This Row],[Stock Actual]]*STOCK[[#This Row],[Costo total]]</f>
        <v>0</v>
      </c>
      <c r="AC1628" s="75"/>
      <c r="AD1628" s="82"/>
    </row>
    <row r="1629" spans="1:30" s="53" customFormat="1" ht="50" customHeight="1">
      <c r="A1629" s="53" t="s">
        <v>3224</v>
      </c>
      <c r="B1629" s="69" t="e" vm="1">
        <f ca="1">_xlfn.DISPIMG("ID_10D057D68DAE4E4B8C0E6236A387883F",1)</f>
        <v>#NAME?</v>
      </c>
      <c r="C1629" s="53" t="s">
        <v>32</v>
      </c>
      <c r="D1629" s="53" t="s">
        <v>749</v>
      </c>
      <c r="E1629" s="65" t="s">
        <v>3225</v>
      </c>
      <c r="F1629" s="53" t="s">
        <v>46</v>
      </c>
      <c r="H1629" s="75">
        <f>STOCK[[#This Row],[Precio Final]]</f>
        <v>35</v>
      </c>
      <c r="I1629" s="80">
        <f>STOCK[[#This Row],[Precio Venta Ideal (x1.5)]]</f>
        <v>23.25</v>
      </c>
      <c r="J1629" s="69">
        <v>1</v>
      </c>
      <c r="K1629" s="78">
        <f>SUMIFS(VENTAS[Cantidad],VENTAS[Código del producto Vendido],STOCK[[#This Row],[Code]])</f>
        <v>1</v>
      </c>
      <c r="L1629" s="78">
        <f>STOCK[[#This Row],[Entradas]]-STOCK[[#This Row],[Salidas]]</f>
        <v>0</v>
      </c>
      <c r="M1629" s="75">
        <f>STOCK[[#This Row],[Precio Final]]*10%</f>
        <v>3.5</v>
      </c>
      <c r="N1629" s="54">
        <v>0</v>
      </c>
      <c r="O1629" s="75">
        <v>0</v>
      </c>
      <c r="P1629" s="53">
        <v>12</v>
      </c>
      <c r="Q1629" s="69">
        <v>0</v>
      </c>
      <c r="R1629" s="53">
        <v>0</v>
      </c>
      <c r="S1629" s="53">
        <v>0</v>
      </c>
      <c r="T1629" s="75">
        <f>STOCK[[#This Row],[Costo Unitario (USD)]]+STOCK[[#This Row],[Costo Envío (USD)]]+STOCK[[#This Row],[Comisión 10%]]</f>
        <v>15.5</v>
      </c>
      <c r="U1629" s="53">
        <f>STOCK[[#This Row],[Costo total]]*1.5</f>
        <v>23.25</v>
      </c>
      <c r="V1629" s="53">
        <v>35</v>
      </c>
      <c r="W1629" s="75">
        <f>STOCK[[#This Row],[Precio Final]]-STOCK[[#This Row],[Costo total]]</f>
        <v>19.5</v>
      </c>
      <c r="X1629" s="75">
        <f>STOCK[[#This Row],[Ganancia Unitaria]]*STOCK[[#This Row],[Salidas]]</f>
        <v>19.5</v>
      </c>
      <c r="Y1629" s="75"/>
      <c r="Z1629" s="75"/>
      <c r="AA1629" s="54">
        <f>STOCK[[#This Row],[Costo total]]*STOCK[[#This Row],[Entradas]]</f>
        <v>15.5</v>
      </c>
      <c r="AB1629" s="54">
        <f>STOCK[[#This Row],[Stock Actual]]*STOCK[[#This Row],[Costo total]]</f>
        <v>0</v>
      </c>
      <c r="AC1629" s="75"/>
      <c r="AD1629" s="82"/>
    </row>
    <row r="1630" spans="1:30" s="53" customFormat="1" ht="50" customHeight="1">
      <c r="A1630" s="53" t="s">
        <v>3226</v>
      </c>
      <c r="B1630" s="53" t="s">
        <v>3227</v>
      </c>
      <c r="C1630" s="53" t="s">
        <v>32</v>
      </c>
      <c r="D1630" s="53" t="s">
        <v>749</v>
      </c>
      <c r="E1630" s="65" t="s">
        <v>3228</v>
      </c>
      <c r="F1630" s="53" t="s">
        <v>49</v>
      </c>
      <c r="H1630" s="75">
        <f>STOCK[[#This Row],[Precio Final]]</f>
        <v>25</v>
      </c>
      <c r="I1630" s="80">
        <f>STOCK[[#This Row],[Precio Venta Ideal (x1.5)]]</f>
        <v>21.75</v>
      </c>
      <c r="J1630" s="69">
        <v>1</v>
      </c>
      <c r="K1630" s="78">
        <f>SUMIFS(VENTAS[Cantidad],VENTAS[Código del producto Vendido],STOCK[[#This Row],[Code]])</f>
        <v>1</v>
      </c>
      <c r="L1630" s="78">
        <f>STOCK[[#This Row],[Entradas]]-STOCK[[#This Row],[Salidas]]</f>
        <v>0</v>
      </c>
      <c r="M1630" s="75">
        <f>STOCK[[#This Row],[Precio Final]]*10%</f>
        <v>2.5</v>
      </c>
      <c r="N1630" s="54">
        <v>0</v>
      </c>
      <c r="O1630" s="75">
        <v>0</v>
      </c>
      <c r="P1630" s="53">
        <v>12</v>
      </c>
      <c r="Q1630" s="69">
        <v>0</v>
      </c>
      <c r="R1630" s="53">
        <v>0</v>
      </c>
      <c r="S1630" s="54">
        <v>0</v>
      </c>
      <c r="T1630" s="75">
        <f>STOCK[[#This Row],[Costo Unitario (USD)]]+STOCK[[#This Row],[Costo Envío (USD)]]+STOCK[[#This Row],[Comisión 10%]]</f>
        <v>14.5</v>
      </c>
      <c r="U1630" s="53">
        <f>STOCK[[#This Row],[Costo total]]*1.5</f>
        <v>21.75</v>
      </c>
      <c r="V1630" s="53">
        <v>25</v>
      </c>
      <c r="W1630" s="75">
        <f>STOCK[[#This Row],[Precio Final]]-STOCK[[#This Row],[Costo total]]</f>
        <v>10.5</v>
      </c>
      <c r="X1630" s="75">
        <f>STOCK[[#This Row],[Ganancia Unitaria]]*STOCK[[#This Row],[Salidas]]</f>
        <v>10.5</v>
      </c>
      <c r="Y1630" s="75"/>
      <c r="Z1630" s="75"/>
      <c r="AA1630" s="54">
        <f>STOCK[[#This Row],[Costo total]]*STOCK[[#This Row],[Entradas]]</f>
        <v>14.5</v>
      </c>
      <c r="AB1630" s="54">
        <f>STOCK[[#This Row],[Stock Actual]]*STOCK[[#This Row],[Costo total]]</f>
        <v>0</v>
      </c>
      <c r="AC1630" s="75"/>
      <c r="AD1630" s="82"/>
    </row>
    <row r="1631" spans="1:30" s="53" customFormat="1" ht="50" customHeight="1">
      <c r="A1631" s="53" t="s">
        <v>3229</v>
      </c>
      <c r="C1631" s="53" t="s">
        <v>32</v>
      </c>
      <c r="D1631" s="53" t="s">
        <v>749</v>
      </c>
      <c r="E1631" s="65" t="s">
        <v>3230</v>
      </c>
      <c r="F1631" s="53" t="s">
        <v>49</v>
      </c>
      <c r="H1631" s="75">
        <f>STOCK[[#This Row],[Precio Final]]</f>
        <v>0</v>
      </c>
      <c r="I1631" s="80">
        <f>STOCK[[#This Row],[Precio Venta Ideal (x1.5)]]</f>
        <v>18</v>
      </c>
      <c r="J1631" s="69">
        <v>1</v>
      </c>
      <c r="K1631" s="78">
        <f>SUMIFS(VENTAS[Cantidad],VENTAS[Código del producto Vendido],STOCK[[#This Row],[Code]])</f>
        <v>1</v>
      </c>
      <c r="L1631" s="78">
        <f>STOCK[[#This Row],[Entradas]]-STOCK[[#This Row],[Salidas]]</f>
        <v>0</v>
      </c>
      <c r="M1631" s="75">
        <f>STOCK[[#This Row],[Precio Final]]*10%</f>
        <v>0</v>
      </c>
      <c r="N1631" s="53">
        <v>0</v>
      </c>
      <c r="O1631" s="75">
        <v>0</v>
      </c>
      <c r="P1631" s="53">
        <v>12</v>
      </c>
      <c r="Q1631" s="70">
        <v>0</v>
      </c>
      <c r="R1631" s="53">
        <v>0</v>
      </c>
      <c r="S1631" s="54">
        <v>0</v>
      </c>
      <c r="T1631" s="75">
        <f>STOCK[[#This Row],[Costo Unitario (USD)]]+STOCK[[#This Row],[Costo Envío (USD)]]+STOCK[[#This Row],[Comisión 10%]]</f>
        <v>12</v>
      </c>
      <c r="U1631" s="53">
        <f>STOCK[[#This Row],[Costo total]]*1.5</f>
        <v>18</v>
      </c>
      <c r="W1631" s="75">
        <f>STOCK[[#This Row],[Precio Final]]-STOCK[[#This Row],[Costo total]]</f>
        <v>-12</v>
      </c>
      <c r="X1631" s="75">
        <f>STOCK[[#This Row],[Ganancia Unitaria]]*STOCK[[#This Row],[Salidas]]</f>
        <v>-12</v>
      </c>
      <c r="Y1631" s="75"/>
      <c r="Z1631" s="75"/>
      <c r="AA1631" s="54">
        <f>STOCK[[#This Row],[Costo total]]*STOCK[[#This Row],[Entradas]]</f>
        <v>12</v>
      </c>
      <c r="AB1631" s="54">
        <f>STOCK[[#This Row],[Stock Actual]]*STOCK[[#This Row],[Costo total]]</f>
        <v>0</v>
      </c>
      <c r="AC1631" s="75"/>
      <c r="AD1631" s="82"/>
    </row>
    <row r="1632" spans="1:30" s="53" customFormat="1" ht="50" customHeight="1">
      <c r="A1632" s="53" t="s">
        <v>3231</v>
      </c>
      <c r="B1632" s="53" t="s">
        <v>3232</v>
      </c>
      <c r="C1632" s="53" t="s">
        <v>32</v>
      </c>
      <c r="D1632" s="53" t="s">
        <v>743</v>
      </c>
      <c r="E1632" s="65" t="s">
        <v>3233</v>
      </c>
      <c r="H1632" s="75">
        <f>STOCK[[#This Row],[Precio Final]]</f>
        <v>0</v>
      </c>
      <c r="I1632" s="80">
        <f>STOCK[[#This Row],[Precio Venta Ideal (x1.5)]]</f>
        <v>12</v>
      </c>
      <c r="J1632" s="69">
        <v>2</v>
      </c>
      <c r="K1632" s="78">
        <f>SUMIFS(VENTAS[Cantidad],VENTAS[Código del producto Vendido],STOCK[[#This Row],[Code]])</f>
        <v>2</v>
      </c>
      <c r="L1632" s="78">
        <f>STOCK[[#This Row],[Entradas]]-STOCK[[#This Row],[Salidas]]</f>
        <v>0</v>
      </c>
      <c r="M1632" s="75">
        <f>STOCK[[#This Row],[Precio Final]]*10%</f>
        <v>0</v>
      </c>
      <c r="N1632" s="54">
        <v>0</v>
      </c>
      <c r="O1632" s="75">
        <v>0</v>
      </c>
      <c r="P1632" s="53">
        <v>8</v>
      </c>
      <c r="Q1632" s="69">
        <v>0</v>
      </c>
      <c r="R1632" s="53">
        <v>0</v>
      </c>
      <c r="S1632" s="53">
        <v>0</v>
      </c>
      <c r="T1632" s="75">
        <f>STOCK[[#This Row],[Costo Unitario (USD)]]+STOCK[[#This Row],[Costo Envío (USD)]]+STOCK[[#This Row],[Comisión 10%]]</f>
        <v>8</v>
      </c>
      <c r="U1632" s="53">
        <f>STOCK[[#This Row],[Costo total]]*1.5</f>
        <v>12</v>
      </c>
      <c r="W1632" s="75">
        <f>STOCK[[#This Row],[Precio Final]]-STOCK[[#This Row],[Costo total]]</f>
        <v>-8</v>
      </c>
      <c r="X1632" s="75">
        <f>STOCK[[#This Row],[Ganancia Unitaria]]*STOCK[[#This Row],[Salidas]]</f>
        <v>-16</v>
      </c>
      <c r="Y1632" s="75"/>
      <c r="Z1632" s="75"/>
      <c r="AA1632" s="54">
        <f>STOCK[[#This Row],[Costo total]]*STOCK[[#This Row],[Entradas]]</f>
        <v>16</v>
      </c>
      <c r="AB1632" s="54">
        <f>STOCK[[#This Row],[Stock Actual]]*STOCK[[#This Row],[Costo total]]</f>
        <v>0</v>
      </c>
      <c r="AC1632" s="75"/>
      <c r="AD1632" s="82"/>
    </row>
    <row r="1633" spans="1:30" s="53" customFormat="1" ht="50" customHeight="1">
      <c r="A1633" s="53" t="s">
        <v>3234</v>
      </c>
      <c r="B1633" s="69" t="e" vm="1">
        <f ca="1">_xlfn.DISPIMG("ID_2D0D706DB7AE40C6B6E6EC219AB5C027",1)</f>
        <v>#NAME?</v>
      </c>
      <c r="C1633" s="53" t="s">
        <v>32</v>
      </c>
      <c r="D1633" s="53" t="s">
        <v>3235</v>
      </c>
      <c r="E1633" s="65" t="s">
        <v>3236</v>
      </c>
      <c r="F1633" s="53" t="s">
        <v>2109</v>
      </c>
      <c r="H1633" s="75">
        <f>STOCK[[#This Row],[Precio Final]]</f>
        <v>35</v>
      </c>
      <c r="I1633" s="80">
        <f>STOCK[[#This Row],[Precio Venta Ideal (x1.5)]]</f>
        <v>23.25</v>
      </c>
      <c r="J1633" s="69">
        <v>1</v>
      </c>
      <c r="K1633" s="78">
        <f>SUMIFS(VENTAS[Cantidad],VENTAS[Código del producto Vendido],STOCK[[#This Row],[Code]])</f>
        <v>1</v>
      </c>
      <c r="L1633" s="78">
        <f>STOCK[[#This Row],[Entradas]]-STOCK[[#This Row],[Salidas]]</f>
        <v>0</v>
      </c>
      <c r="M1633" s="75">
        <f>STOCK[[#This Row],[Precio Final]]*10%</f>
        <v>3.5</v>
      </c>
      <c r="N1633" s="54">
        <v>0</v>
      </c>
      <c r="O1633" s="75">
        <v>0</v>
      </c>
      <c r="P1633" s="53">
        <v>12</v>
      </c>
      <c r="Q1633" s="69">
        <v>0</v>
      </c>
      <c r="R1633" s="53">
        <v>0</v>
      </c>
      <c r="S1633" s="54">
        <v>0</v>
      </c>
      <c r="T1633" s="75">
        <f>STOCK[[#This Row],[Costo Unitario (USD)]]+STOCK[[#This Row],[Costo Envío (USD)]]+STOCK[[#This Row],[Comisión 10%]]</f>
        <v>15.5</v>
      </c>
      <c r="U1633" s="53">
        <f>STOCK[[#This Row],[Costo total]]*1.5</f>
        <v>23.25</v>
      </c>
      <c r="V1633" s="53">
        <v>35</v>
      </c>
      <c r="W1633" s="75">
        <f>STOCK[[#This Row],[Precio Final]]-STOCK[[#This Row],[Costo total]]</f>
        <v>19.5</v>
      </c>
      <c r="X1633" s="75">
        <f>STOCK[[#This Row],[Ganancia Unitaria]]*STOCK[[#This Row],[Salidas]]</f>
        <v>19.5</v>
      </c>
      <c r="Y1633" s="75"/>
      <c r="Z1633" s="75"/>
      <c r="AA1633" s="54">
        <f>STOCK[[#This Row],[Costo total]]*STOCK[[#This Row],[Entradas]]</f>
        <v>15.5</v>
      </c>
      <c r="AB1633" s="54">
        <f>STOCK[[#This Row],[Stock Actual]]*STOCK[[#This Row],[Costo total]]</f>
        <v>0</v>
      </c>
      <c r="AC1633" s="75"/>
      <c r="AD1633" s="82"/>
    </row>
    <row r="1634" spans="1:30" s="53" customFormat="1" ht="50" customHeight="1">
      <c r="A1634" s="53" t="s">
        <v>3237</v>
      </c>
      <c r="B1634" s="69" t="e" vm="1">
        <f ca="1">_xlfn.DISPIMG("ID_27B5E98B571C49E7944C572ACCBD5B70",1)</f>
        <v>#NAME?</v>
      </c>
      <c r="C1634" s="53" t="s">
        <v>32</v>
      </c>
      <c r="D1634" s="53" t="s">
        <v>3235</v>
      </c>
      <c r="E1634" s="65" t="s">
        <v>3238</v>
      </c>
      <c r="F1634" s="53" t="s">
        <v>42</v>
      </c>
      <c r="H1634" s="75">
        <f>STOCK[[#This Row],[Precio Final]]</f>
        <v>30</v>
      </c>
      <c r="I1634" s="80">
        <f>STOCK[[#This Row],[Precio Venta Ideal (x1.5)]]</f>
        <v>22.5</v>
      </c>
      <c r="J1634" s="69">
        <v>1</v>
      </c>
      <c r="K1634" s="78">
        <f>SUMIFS(VENTAS[Cantidad],VENTAS[Código del producto Vendido],STOCK[[#This Row],[Code]])</f>
        <v>1</v>
      </c>
      <c r="L1634" s="78">
        <f>STOCK[[#This Row],[Entradas]]-STOCK[[#This Row],[Salidas]]</f>
        <v>0</v>
      </c>
      <c r="M1634" s="75">
        <f>STOCK[[#This Row],[Precio Final]]*10%</f>
        <v>3</v>
      </c>
      <c r="N1634" s="53">
        <v>0</v>
      </c>
      <c r="O1634" s="75">
        <v>0</v>
      </c>
      <c r="P1634" s="53">
        <v>12</v>
      </c>
      <c r="Q1634" s="70">
        <v>0</v>
      </c>
      <c r="R1634" s="53">
        <v>0</v>
      </c>
      <c r="S1634" s="54">
        <v>0</v>
      </c>
      <c r="T1634" s="75">
        <f>STOCK[[#This Row],[Costo Unitario (USD)]]+STOCK[[#This Row],[Costo Envío (USD)]]+STOCK[[#This Row],[Comisión 10%]]</f>
        <v>15</v>
      </c>
      <c r="U1634" s="53">
        <f>STOCK[[#This Row],[Costo total]]*1.5</f>
        <v>22.5</v>
      </c>
      <c r="V1634" s="53">
        <v>30</v>
      </c>
      <c r="W1634" s="75">
        <f>STOCK[[#This Row],[Precio Final]]-STOCK[[#This Row],[Costo total]]</f>
        <v>15</v>
      </c>
      <c r="X1634" s="75">
        <f>STOCK[[#This Row],[Ganancia Unitaria]]*STOCK[[#This Row],[Salidas]]</f>
        <v>15</v>
      </c>
      <c r="Y1634" s="75"/>
      <c r="Z1634" s="75"/>
      <c r="AA1634" s="54">
        <f>STOCK[[#This Row],[Costo total]]*STOCK[[#This Row],[Entradas]]</f>
        <v>15</v>
      </c>
      <c r="AB1634" s="54">
        <f>STOCK[[#This Row],[Stock Actual]]*STOCK[[#This Row],[Costo total]]</f>
        <v>0</v>
      </c>
      <c r="AC1634" s="75"/>
      <c r="AD1634" s="82"/>
    </row>
    <row r="1635" spans="1:30" s="53" customFormat="1" ht="50" customHeight="1">
      <c r="A1635" s="53" t="s">
        <v>3239</v>
      </c>
      <c r="B1635" s="69" t="e" vm="1">
        <f ca="1">_xlfn.DISPIMG("ID_E78F5D080EDD475DAA7CB176C965852E",1)</f>
        <v>#NAME?</v>
      </c>
      <c r="C1635" s="53" t="s">
        <v>32</v>
      </c>
      <c r="D1635" s="53" t="s">
        <v>3235</v>
      </c>
      <c r="E1635" s="65" t="s">
        <v>3240</v>
      </c>
      <c r="F1635" s="53" t="s">
        <v>49</v>
      </c>
      <c r="H1635" s="75">
        <f>STOCK[[#This Row],[Precio Final]]</f>
        <v>35</v>
      </c>
      <c r="I1635" s="80">
        <f>STOCK[[#This Row],[Precio Venta Ideal (x1.5)]]</f>
        <v>23.25</v>
      </c>
      <c r="J1635" s="69">
        <v>1</v>
      </c>
      <c r="K1635" s="78">
        <f>SUMIFS(VENTAS[Cantidad],VENTAS[Código del producto Vendido],STOCK[[#This Row],[Code]])</f>
        <v>0</v>
      </c>
      <c r="L1635" s="78">
        <f>STOCK[[#This Row],[Entradas]]-STOCK[[#This Row],[Salidas]]</f>
        <v>1</v>
      </c>
      <c r="M1635" s="75">
        <f>STOCK[[#This Row],[Precio Final]]*10%</f>
        <v>3.5</v>
      </c>
      <c r="N1635" s="54">
        <v>0</v>
      </c>
      <c r="O1635" s="75">
        <v>0</v>
      </c>
      <c r="P1635" s="53">
        <v>12</v>
      </c>
      <c r="Q1635" s="69">
        <v>0</v>
      </c>
      <c r="R1635" s="53">
        <v>0</v>
      </c>
      <c r="S1635" s="53">
        <v>0</v>
      </c>
      <c r="T1635" s="75">
        <f>STOCK[[#This Row],[Costo Unitario (USD)]]+STOCK[[#This Row],[Costo Envío (USD)]]+STOCK[[#This Row],[Comisión 10%]]</f>
        <v>15.5</v>
      </c>
      <c r="U1635" s="53">
        <f>STOCK[[#This Row],[Costo total]]*1.5</f>
        <v>23.25</v>
      </c>
      <c r="V1635" s="53">
        <v>35</v>
      </c>
      <c r="W1635" s="75">
        <f>STOCK[[#This Row],[Precio Final]]-STOCK[[#This Row],[Costo total]]</f>
        <v>19.5</v>
      </c>
      <c r="X1635" s="75">
        <f>STOCK[[#This Row],[Ganancia Unitaria]]*STOCK[[#This Row],[Salidas]]</f>
        <v>0</v>
      </c>
      <c r="Y1635" s="75"/>
      <c r="Z1635" s="75"/>
      <c r="AA1635" s="54">
        <f>STOCK[[#This Row],[Costo total]]*STOCK[[#This Row],[Entradas]]</f>
        <v>15.5</v>
      </c>
      <c r="AB1635" s="54">
        <f>STOCK[[#This Row],[Stock Actual]]*STOCK[[#This Row],[Costo total]]</f>
        <v>15.5</v>
      </c>
      <c r="AC1635" s="75"/>
      <c r="AD1635" s="82"/>
    </row>
    <row r="1636" spans="1:30" s="53" customFormat="1" ht="50" customHeight="1">
      <c r="A1636" s="53" t="s">
        <v>3241</v>
      </c>
      <c r="B1636" s="69" t="e" vm="1">
        <f ca="1">_xlfn.DISPIMG("ID_F0D76E3F1A9C42489C4E2DA0176D3388",1)</f>
        <v>#NAME?</v>
      </c>
      <c r="C1636" s="53" t="s">
        <v>32</v>
      </c>
      <c r="D1636" s="53" t="s">
        <v>3235</v>
      </c>
      <c r="E1636" s="65" t="s">
        <v>3242</v>
      </c>
      <c r="F1636" s="53" t="s">
        <v>42</v>
      </c>
      <c r="H1636" s="75">
        <f>STOCK[[#This Row],[Precio Final]]</f>
        <v>30</v>
      </c>
      <c r="I1636" s="80">
        <f>STOCK[[#This Row],[Precio Venta Ideal (x1.5)]]</f>
        <v>22.5</v>
      </c>
      <c r="J1636" s="69">
        <v>1</v>
      </c>
      <c r="K1636" s="78">
        <f>SUMIFS(VENTAS[Cantidad],VENTAS[Código del producto Vendido],STOCK[[#This Row],[Code]])</f>
        <v>1</v>
      </c>
      <c r="L1636" s="78">
        <f>STOCK[[#This Row],[Entradas]]-STOCK[[#This Row],[Salidas]]</f>
        <v>0</v>
      </c>
      <c r="M1636" s="75">
        <f>STOCK[[#This Row],[Precio Final]]*10%</f>
        <v>3</v>
      </c>
      <c r="N1636" s="54">
        <v>0</v>
      </c>
      <c r="O1636" s="75">
        <v>0</v>
      </c>
      <c r="P1636" s="53">
        <v>12</v>
      </c>
      <c r="Q1636" s="69">
        <v>0</v>
      </c>
      <c r="R1636" s="53">
        <v>0</v>
      </c>
      <c r="S1636" s="54">
        <v>0</v>
      </c>
      <c r="T1636" s="75">
        <f>STOCK[[#This Row],[Costo Unitario (USD)]]+STOCK[[#This Row],[Costo Envío (USD)]]+STOCK[[#This Row],[Comisión 10%]]</f>
        <v>15</v>
      </c>
      <c r="U1636" s="53">
        <f>STOCK[[#This Row],[Costo total]]*1.5</f>
        <v>22.5</v>
      </c>
      <c r="V1636" s="53">
        <v>30</v>
      </c>
      <c r="W1636" s="75">
        <f>STOCK[[#This Row],[Precio Final]]-STOCK[[#This Row],[Costo total]]</f>
        <v>15</v>
      </c>
      <c r="X1636" s="75">
        <f>STOCK[[#This Row],[Ganancia Unitaria]]*STOCK[[#This Row],[Salidas]]</f>
        <v>15</v>
      </c>
      <c r="Y1636" s="75"/>
      <c r="Z1636" s="75"/>
      <c r="AA1636" s="54">
        <f>STOCK[[#This Row],[Costo total]]*STOCK[[#This Row],[Entradas]]</f>
        <v>15</v>
      </c>
      <c r="AB1636" s="54">
        <f>STOCK[[#This Row],[Stock Actual]]*STOCK[[#This Row],[Costo total]]</f>
        <v>0</v>
      </c>
      <c r="AC1636" s="75"/>
      <c r="AD1636" s="82"/>
    </row>
    <row r="1637" spans="1:30" s="53" customFormat="1" ht="50" customHeight="1">
      <c r="A1637" s="53" t="s">
        <v>3243</v>
      </c>
      <c r="B1637" s="69" t="e" vm="1">
        <f ca="1">_xlfn.DISPIMG("ID_252A756DF14448CB950ADF167E6B2F36",1)</f>
        <v>#NAME?</v>
      </c>
      <c r="C1637" s="53" t="s">
        <v>32</v>
      </c>
      <c r="D1637" s="53" t="s">
        <v>3235</v>
      </c>
      <c r="E1637" s="65" t="s">
        <v>3244</v>
      </c>
      <c r="F1637" s="53" t="s">
        <v>49</v>
      </c>
      <c r="H1637" s="75">
        <f>STOCK[[#This Row],[Precio Final]]</f>
        <v>30</v>
      </c>
      <c r="I1637" s="80">
        <f>STOCK[[#This Row],[Precio Venta Ideal (x1.5)]]</f>
        <v>22.5</v>
      </c>
      <c r="J1637" s="69">
        <v>1</v>
      </c>
      <c r="K1637" s="78">
        <f>SUMIFS(VENTAS[Cantidad],VENTAS[Código del producto Vendido],STOCK[[#This Row],[Code]])</f>
        <v>1</v>
      </c>
      <c r="L1637" s="78">
        <f>STOCK[[#This Row],[Entradas]]-STOCK[[#This Row],[Salidas]]</f>
        <v>0</v>
      </c>
      <c r="M1637" s="75">
        <f>STOCK[[#This Row],[Precio Final]]*10%</f>
        <v>3</v>
      </c>
      <c r="N1637" s="53">
        <v>0</v>
      </c>
      <c r="O1637" s="75">
        <v>0</v>
      </c>
      <c r="P1637" s="53">
        <v>12</v>
      </c>
      <c r="Q1637" s="70">
        <v>0</v>
      </c>
      <c r="R1637" s="53">
        <v>0</v>
      </c>
      <c r="S1637" s="54">
        <v>0</v>
      </c>
      <c r="T1637" s="75">
        <f>STOCK[[#This Row],[Costo Unitario (USD)]]+STOCK[[#This Row],[Costo Envío (USD)]]+STOCK[[#This Row],[Comisión 10%]]</f>
        <v>15</v>
      </c>
      <c r="U1637" s="53">
        <f>STOCK[[#This Row],[Costo total]]*1.5</f>
        <v>22.5</v>
      </c>
      <c r="V1637" s="53">
        <v>30</v>
      </c>
      <c r="W1637" s="75">
        <f>STOCK[[#This Row],[Precio Final]]-STOCK[[#This Row],[Costo total]]</f>
        <v>15</v>
      </c>
      <c r="X1637" s="75">
        <f>STOCK[[#This Row],[Ganancia Unitaria]]*STOCK[[#This Row],[Salidas]]</f>
        <v>15</v>
      </c>
      <c r="Y1637" s="75"/>
      <c r="Z1637" s="75"/>
      <c r="AA1637" s="54">
        <f>STOCK[[#This Row],[Costo total]]*STOCK[[#This Row],[Entradas]]</f>
        <v>15</v>
      </c>
      <c r="AB1637" s="54">
        <f>STOCK[[#This Row],[Stock Actual]]*STOCK[[#This Row],[Costo total]]</f>
        <v>0</v>
      </c>
      <c r="AC1637" s="75"/>
      <c r="AD1637" s="82"/>
    </row>
    <row r="1638" spans="1:30" s="53" customFormat="1" ht="50" customHeight="1">
      <c r="A1638" s="53" t="s">
        <v>3245</v>
      </c>
      <c r="B1638" s="69" t="e" vm="1">
        <f ca="1">_xlfn.DISPIMG("ID_BE20E88A6FB349A6927548A6F0EDC81B",1)</f>
        <v>#NAME?</v>
      </c>
      <c r="C1638" s="53" t="s">
        <v>32</v>
      </c>
      <c r="D1638" s="53" t="s">
        <v>3235</v>
      </c>
      <c r="E1638" s="65" t="s">
        <v>3244</v>
      </c>
      <c r="F1638" s="53" t="s">
        <v>3246</v>
      </c>
      <c r="H1638" s="75">
        <f>STOCK[[#This Row],[Precio Final]]</f>
        <v>0</v>
      </c>
      <c r="I1638" s="80">
        <f>STOCK[[#This Row],[Precio Venta Ideal (x1.5)]]</f>
        <v>18</v>
      </c>
      <c r="J1638" s="69">
        <v>1</v>
      </c>
      <c r="K1638" s="78">
        <f>SUMIFS(VENTAS[Cantidad],VENTAS[Código del producto Vendido],STOCK[[#This Row],[Code]])</f>
        <v>1</v>
      </c>
      <c r="L1638" s="78">
        <f>STOCK[[#This Row],[Entradas]]-STOCK[[#This Row],[Salidas]]</f>
        <v>0</v>
      </c>
      <c r="M1638" s="75">
        <f>STOCK[[#This Row],[Precio Final]]*10%</f>
        <v>0</v>
      </c>
      <c r="N1638" s="54">
        <v>0</v>
      </c>
      <c r="O1638" s="75">
        <v>0</v>
      </c>
      <c r="P1638" s="53">
        <v>12</v>
      </c>
      <c r="Q1638" s="69">
        <v>0</v>
      </c>
      <c r="R1638" s="53">
        <v>0</v>
      </c>
      <c r="S1638" s="53">
        <v>0</v>
      </c>
      <c r="T1638" s="75">
        <f>STOCK[[#This Row],[Costo Unitario (USD)]]+STOCK[[#This Row],[Costo Envío (USD)]]+STOCK[[#This Row],[Comisión 10%]]</f>
        <v>12</v>
      </c>
      <c r="U1638" s="53">
        <f>STOCK[[#This Row],[Costo total]]*1.5</f>
        <v>18</v>
      </c>
      <c r="W1638" s="75">
        <f>STOCK[[#This Row],[Precio Final]]-STOCK[[#This Row],[Costo total]]</f>
        <v>-12</v>
      </c>
      <c r="X1638" s="75">
        <f>STOCK[[#This Row],[Ganancia Unitaria]]*STOCK[[#This Row],[Salidas]]</f>
        <v>-12</v>
      </c>
      <c r="Y1638" s="75"/>
      <c r="Z1638" s="75"/>
      <c r="AA1638" s="54">
        <f>STOCK[[#This Row],[Costo total]]*STOCK[[#This Row],[Entradas]]</f>
        <v>12</v>
      </c>
      <c r="AB1638" s="54">
        <f>STOCK[[#This Row],[Stock Actual]]*STOCK[[#This Row],[Costo total]]</f>
        <v>0</v>
      </c>
      <c r="AC1638" s="75"/>
      <c r="AD1638" s="82"/>
    </row>
    <row r="1639" spans="1:30" s="53" customFormat="1" ht="50" customHeight="1">
      <c r="A1639" s="53" t="s">
        <v>3247</v>
      </c>
      <c r="B1639" s="53" t="s">
        <v>3248</v>
      </c>
      <c r="C1639" s="53" t="s">
        <v>32</v>
      </c>
      <c r="D1639" s="53" t="s">
        <v>1116</v>
      </c>
      <c r="E1639" s="65" t="s">
        <v>3249</v>
      </c>
      <c r="F1639" s="53" t="s">
        <v>3246</v>
      </c>
      <c r="H1639" s="75">
        <f>STOCK[[#This Row],[Precio Final]]</f>
        <v>0</v>
      </c>
      <c r="I1639" s="80">
        <f>STOCK[[#This Row],[Precio Venta Ideal (x1.5)]]</f>
        <v>4.5</v>
      </c>
      <c r="J1639" s="69">
        <v>1</v>
      </c>
      <c r="K1639" s="78">
        <f>SUMIFS(VENTAS[Cantidad],VENTAS[Código del producto Vendido],STOCK[[#This Row],[Code]])</f>
        <v>1</v>
      </c>
      <c r="L1639" s="78">
        <f>STOCK[[#This Row],[Entradas]]-STOCK[[#This Row],[Salidas]]</f>
        <v>0</v>
      </c>
      <c r="M1639" s="75">
        <f>STOCK[[#This Row],[Precio Final]]*10%</f>
        <v>0</v>
      </c>
      <c r="N1639" s="54">
        <v>0</v>
      </c>
      <c r="O1639" s="75">
        <v>0</v>
      </c>
      <c r="P1639" s="53">
        <v>3</v>
      </c>
      <c r="Q1639" s="69">
        <v>0</v>
      </c>
      <c r="R1639" s="53">
        <v>0</v>
      </c>
      <c r="S1639" s="54">
        <v>0</v>
      </c>
      <c r="T1639" s="75">
        <f>STOCK[[#This Row],[Costo Unitario (USD)]]+STOCK[[#This Row],[Costo Envío (USD)]]+STOCK[[#This Row],[Comisión 10%]]</f>
        <v>3</v>
      </c>
      <c r="U1639" s="53">
        <f>STOCK[[#This Row],[Costo total]]*1.5</f>
        <v>4.5</v>
      </c>
      <c r="W1639" s="75">
        <f>STOCK[[#This Row],[Precio Final]]-STOCK[[#This Row],[Costo total]]</f>
        <v>-3</v>
      </c>
      <c r="X1639" s="75">
        <f>STOCK[[#This Row],[Ganancia Unitaria]]*STOCK[[#This Row],[Salidas]]</f>
        <v>-3</v>
      </c>
      <c r="Y1639" s="75"/>
      <c r="Z1639" s="75"/>
      <c r="AA1639" s="54">
        <f>STOCK[[#This Row],[Costo total]]*STOCK[[#This Row],[Entradas]]</f>
        <v>3</v>
      </c>
      <c r="AB1639" s="54">
        <f>STOCK[[#This Row],[Stock Actual]]*STOCK[[#This Row],[Costo total]]</f>
        <v>0</v>
      </c>
      <c r="AC1639" s="75"/>
      <c r="AD1639" s="82"/>
    </row>
    <row r="1640" spans="1:30" s="53" customFormat="1" ht="50" customHeight="1">
      <c r="A1640" s="53" t="s">
        <v>3250</v>
      </c>
      <c r="B1640" s="53" t="s">
        <v>3251</v>
      </c>
      <c r="C1640" s="53" t="s">
        <v>32</v>
      </c>
      <c r="D1640" s="53" t="s">
        <v>1116</v>
      </c>
      <c r="E1640" s="65" t="s">
        <v>3252</v>
      </c>
      <c r="F1640" s="53" t="s">
        <v>3246</v>
      </c>
      <c r="H1640" s="75">
        <f>STOCK[[#This Row],[Precio Final]]</f>
        <v>0</v>
      </c>
      <c r="I1640" s="80">
        <f>STOCK[[#This Row],[Precio Venta Ideal (x1.5)]]</f>
        <v>4.5</v>
      </c>
      <c r="J1640" s="69">
        <v>1</v>
      </c>
      <c r="K1640" s="78">
        <f>SUMIFS(VENTAS[Cantidad],VENTAS[Código del producto Vendido],STOCK[[#This Row],[Code]])</f>
        <v>1</v>
      </c>
      <c r="L1640" s="78">
        <f>STOCK[[#This Row],[Entradas]]-STOCK[[#This Row],[Salidas]]</f>
        <v>0</v>
      </c>
      <c r="M1640" s="75">
        <f>STOCK[[#This Row],[Precio Final]]*10%</f>
        <v>0</v>
      </c>
      <c r="N1640" s="53">
        <v>0</v>
      </c>
      <c r="O1640" s="75">
        <v>0</v>
      </c>
      <c r="P1640" s="53">
        <v>3</v>
      </c>
      <c r="Q1640" s="70">
        <v>0</v>
      </c>
      <c r="R1640" s="53">
        <v>0</v>
      </c>
      <c r="S1640" s="54">
        <v>0</v>
      </c>
      <c r="T1640" s="75">
        <f>STOCK[[#This Row],[Costo Unitario (USD)]]+STOCK[[#This Row],[Costo Envío (USD)]]+STOCK[[#This Row],[Comisión 10%]]</f>
        <v>3</v>
      </c>
      <c r="U1640" s="53">
        <f>STOCK[[#This Row],[Costo total]]*1.5</f>
        <v>4.5</v>
      </c>
      <c r="W1640" s="75">
        <f>STOCK[[#This Row],[Precio Final]]-STOCK[[#This Row],[Costo total]]</f>
        <v>-3</v>
      </c>
      <c r="X1640" s="75">
        <f>STOCK[[#This Row],[Ganancia Unitaria]]*STOCK[[#This Row],[Salidas]]</f>
        <v>-3</v>
      </c>
      <c r="Y1640" s="75"/>
      <c r="Z1640" s="75"/>
      <c r="AA1640" s="54">
        <f>STOCK[[#This Row],[Costo total]]*STOCK[[#This Row],[Entradas]]</f>
        <v>3</v>
      </c>
      <c r="AB1640" s="54">
        <f>STOCK[[#This Row],[Stock Actual]]*STOCK[[#This Row],[Costo total]]</f>
        <v>0</v>
      </c>
      <c r="AC1640" s="75"/>
      <c r="AD1640" s="82"/>
    </row>
    <row r="1641" spans="1:30" s="53" customFormat="1" ht="50" customHeight="1">
      <c r="A1641" s="53" t="s">
        <v>3253</v>
      </c>
      <c r="B1641" s="69" t="e" vm="1">
        <f ca="1">_xlfn.DISPIMG("ID_CA59C52944AC4C77A7772C624B61C434",1)</f>
        <v>#NAME?</v>
      </c>
      <c r="C1641" s="53" t="s">
        <v>32</v>
      </c>
      <c r="D1641" s="53" t="s">
        <v>749</v>
      </c>
      <c r="E1641" s="65" t="s">
        <v>3254</v>
      </c>
      <c r="F1641" s="53" t="s">
        <v>49</v>
      </c>
      <c r="H1641" s="75">
        <f>STOCK[[#This Row],[Precio Final]]</f>
        <v>4</v>
      </c>
      <c r="I1641" s="80">
        <f>STOCK[[#This Row],[Precio Venta Ideal (x1.5)]]</f>
        <v>3.5999999999999996</v>
      </c>
      <c r="J1641" s="69">
        <v>3</v>
      </c>
      <c r="K1641" s="78">
        <f>SUMIFS(VENTAS[Cantidad],VENTAS[Código del producto Vendido],STOCK[[#This Row],[Code]])</f>
        <v>0</v>
      </c>
      <c r="L1641" s="78">
        <f>STOCK[[#This Row],[Entradas]]-STOCK[[#This Row],[Salidas]]</f>
        <v>3</v>
      </c>
      <c r="M1641" s="75">
        <f>STOCK[[#This Row],[Precio Final]]*10%</f>
        <v>0.4</v>
      </c>
      <c r="N1641" s="54">
        <v>0</v>
      </c>
      <c r="O1641" s="75">
        <v>0</v>
      </c>
      <c r="P1641" s="53">
        <v>2</v>
      </c>
      <c r="Q1641" s="69">
        <v>0</v>
      </c>
      <c r="R1641" s="53">
        <v>0</v>
      </c>
      <c r="S1641" s="53">
        <v>0</v>
      </c>
      <c r="T1641" s="75">
        <f>STOCK[[#This Row],[Costo Unitario (USD)]]+STOCK[[#This Row],[Costo Envío (USD)]]+STOCK[[#This Row],[Comisión 10%]]</f>
        <v>2.4</v>
      </c>
      <c r="U1641" s="53">
        <f>STOCK[[#This Row],[Costo total]]*1.5</f>
        <v>3.5999999999999996</v>
      </c>
      <c r="V1641" s="53">
        <v>4</v>
      </c>
      <c r="W1641" s="75">
        <f>STOCK[[#This Row],[Precio Final]]-STOCK[[#This Row],[Costo total]]</f>
        <v>1.6</v>
      </c>
      <c r="X1641" s="75">
        <f>STOCK[[#This Row],[Ganancia Unitaria]]*STOCK[[#This Row],[Salidas]]</f>
        <v>0</v>
      </c>
      <c r="Y1641" s="75"/>
      <c r="Z1641" s="75"/>
      <c r="AA1641" s="54">
        <f>STOCK[[#This Row],[Costo total]]*STOCK[[#This Row],[Entradas]]</f>
        <v>7.1999999999999993</v>
      </c>
      <c r="AB1641" s="54">
        <f>STOCK[[#This Row],[Stock Actual]]*STOCK[[#This Row],[Costo total]]</f>
        <v>7.1999999999999993</v>
      </c>
      <c r="AC1641" s="75"/>
      <c r="AD1641" s="82"/>
    </row>
    <row r="1642" spans="1:30" s="53" customFormat="1" ht="50" customHeight="1">
      <c r="A1642" s="53" t="s">
        <v>3255</v>
      </c>
      <c r="B1642" s="69" t="e" vm="1">
        <f ca="1">_xlfn.DISPIMG("ID_0505384F87244B17A5F12EC5E5CE6025",1)</f>
        <v>#NAME?</v>
      </c>
      <c r="C1642" s="53" t="s">
        <v>32</v>
      </c>
      <c r="D1642" s="53" t="s">
        <v>749</v>
      </c>
      <c r="E1642" s="65" t="s">
        <v>3256</v>
      </c>
      <c r="F1642" s="53" t="s">
        <v>46</v>
      </c>
      <c r="H1642" s="75">
        <f>STOCK[[#This Row],[Precio Final]]</f>
        <v>4</v>
      </c>
      <c r="I1642" s="80">
        <f>STOCK[[#This Row],[Precio Venta Ideal (x1.5)]]</f>
        <v>3.5999999999999996</v>
      </c>
      <c r="J1642" s="69">
        <v>3</v>
      </c>
      <c r="K1642" s="78">
        <f>SUMIFS(VENTAS[Cantidad],VENTAS[Código del producto Vendido],STOCK[[#This Row],[Code]])</f>
        <v>3</v>
      </c>
      <c r="L1642" s="78">
        <f>STOCK[[#This Row],[Entradas]]-STOCK[[#This Row],[Salidas]]</f>
        <v>0</v>
      </c>
      <c r="M1642" s="75">
        <f>STOCK[[#This Row],[Precio Final]]*10%</f>
        <v>0.4</v>
      </c>
      <c r="N1642" s="54">
        <v>0</v>
      </c>
      <c r="O1642" s="75">
        <v>0</v>
      </c>
      <c r="P1642" s="53">
        <v>2</v>
      </c>
      <c r="Q1642" s="69">
        <v>0</v>
      </c>
      <c r="R1642" s="53">
        <v>0</v>
      </c>
      <c r="S1642" s="53">
        <v>0</v>
      </c>
      <c r="T1642" s="75">
        <f>STOCK[[#This Row],[Costo Unitario (USD)]]+STOCK[[#This Row],[Costo Envío (USD)]]+STOCK[[#This Row],[Comisión 10%]]</f>
        <v>2.4</v>
      </c>
      <c r="U1642" s="53">
        <f>STOCK[[#This Row],[Costo total]]*1.5</f>
        <v>3.5999999999999996</v>
      </c>
      <c r="V1642" s="53">
        <v>4</v>
      </c>
      <c r="W1642" s="75">
        <f>STOCK[[#This Row],[Precio Final]]-STOCK[[#This Row],[Costo total]]</f>
        <v>1.6</v>
      </c>
      <c r="X1642" s="75">
        <f>STOCK[[#This Row],[Ganancia Unitaria]]*STOCK[[#This Row],[Salidas]]</f>
        <v>4.8000000000000007</v>
      </c>
      <c r="Y1642" s="75"/>
      <c r="Z1642" s="75"/>
      <c r="AA1642" s="54">
        <f>STOCK[[#This Row],[Costo total]]*STOCK[[#This Row],[Entradas]]</f>
        <v>7.1999999999999993</v>
      </c>
      <c r="AB1642" s="54">
        <f>STOCK[[#This Row],[Stock Actual]]*STOCK[[#This Row],[Costo total]]</f>
        <v>0</v>
      </c>
      <c r="AC1642" s="75"/>
      <c r="AD1642" s="82"/>
    </row>
    <row r="1643" spans="1:30" s="53" customFormat="1" ht="50" customHeight="1">
      <c r="A1643" s="53" t="s">
        <v>3257</v>
      </c>
      <c r="B1643" s="69" t="e" vm="1">
        <f ca="1">_xlfn.DISPIMG("ID_55313014813345A0B08CAA51D07E216F",1)</f>
        <v>#NAME?</v>
      </c>
      <c r="C1643" s="53" t="s">
        <v>32</v>
      </c>
      <c r="D1643" s="53" t="s">
        <v>3258</v>
      </c>
      <c r="E1643" s="65" t="s">
        <v>3259</v>
      </c>
      <c r="F1643" s="53" t="s">
        <v>525</v>
      </c>
      <c r="H1643" s="75">
        <f>STOCK[[#This Row],[Precio Final]]</f>
        <v>3</v>
      </c>
      <c r="I1643" s="80">
        <f>STOCK[[#This Row],[Precio Venta Ideal (x1.5)]]</f>
        <v>1.7400000000000002</v>
      </c>
      <c r="J1643" s="69">
        <v>4</v>
      </c>
      <c r="K1643" s="78">
        <f>SUMIFS(VENTAS[Cantidad],VENTAS[Código del producto Vendido],STOCK[[#This Row],[Code]])</f>
        <v>2</v>
      </c>
      <c r="L1643" s="78">
        <f>STOCK[[#This Row],[Entradas]]-STOCK[[#This Row],[Salidas]]</f>
        <v>2</v>
      </c>
      <c r="M1643" s="75">
        <f>STOCK[[#This Row],[Precio Final]]*10%</f>
        <v>0.30000000000000004</v>
      </c>
      <c r="N1643" s="54">
        <v>0</v>
      </c>
      <c r="O1643" s="75">
        <v>0</v>
      </c>
      <c r="P1643" s="53">
        <v>0.86</v>
      </c>
      <c r="Q1643" s="69">
        <v>0</v>
      </c>
      <c r="R1643" s="53">
        <v>0</v>
      </c>
      <c r="S1643" s="53">
        <v>0</v>
      </c>
      <c r="T1643" s="75">
        <f>STOCK[[#This Row],[Costo Unitario (USD)]]+STOCK[[#This Row],[Costo Envío (USD)]]+STOCK[[#This Row],[Comisión 10%]]</f>
        <v>1.1600000000000001</v>
      </c>
      <c r="U1643" s="53">
        <f>STOCK[[#This Row],[Costo total]]*1.5</f>
        <v>1.7400000000000002</v>
      </c>
      <c r="V1643" s="53">
        <v>3</v>
      </c>
      <c r="W1643" s="75">
        <f>STOCK[[#This Row],[Precio Final]]-STOCK[[#This Row],[Costo total]]</f>
        <v>1.8399999999999999</v>
      </c>
      <c r="X1643" s="75">
        <f>STOCK[[#This Row],[Ganancia Unitaria]]*STOCK[[#This Row],[Salidas]]</f>
        <v>3.6799999999999997</v>
      </c>
      <c r="Y1643" s="75"/>
      <c r="Z1643" s="75"/>
      <c r="AA1643" s="54">
        <f>STOCK[[#This Row],[Costo total]]*STOCK[[#This Row],[Entradas]]</f>
        <v>4.6400000000000006</v>
      </c>
      <c r="AB1643" s="54">
        <f>STOCK[[#This Row],[Stock Actual]]*STOCK[[#This Row],[Costo total]]</f>
        <v>2.3200000000000003</v>
      </c>
      <c r="AC1643" s="75"/>
      <c r="AD1643" s="82"/>
    </row>
    <row r="1644" spans="1:30" s="53" customFormat="1" ht="50" customHeight="1">
      <c r="A1644" s="53" t="s">
        <v>3260</v>
      </c>
      <c r="B1644" s="69"/>
      <c r="C1644" s="53" t="s">
        <v>32</v>
      </c>
      <c r="D1644" s="53" t="s">
        <v>3258</v>
      </c>
      <c r="E1644" s="65" t="s">
        <v>3261</v>
      </c>
      <c r="F1644" s="53" t="s">
        <v>525</v>
      </c>
      <c r="H1644" s="75">
        <f>STOCK[[#This Row],[Precio Final]]</f>
        <v>3</v>
      </c>
      <c r="I1644" s="80">
        <f>STOCK[[#This Row],[Precio Venta Ideal (x1.5)]]</f>
        <v>1.7400000000000002</v>
      </c>
      <c r="J1644" s="69">
        <v>3</v>
      </c>
      <c r="K1644" s="78">
        <f>SUMIFS(VENTAS[Cantidad],VENTAS[Código del producto Vendido],STOCK[[#This Row],[Code]])</f>
        <v>2</v>
      </c>
      <c r="L1644" s="78">
        <f>STOCK[[#This Row],[Entradas]]-STOCK[[#This Row],[Salidas]]</f>
        <v>1</v>
      </c>
      <c r="M1644" s="75">
        <f>STOCK[[#This Row],[Precio Final]]*10%</f>
        <v>0.30000000000000004</v>
      </c>
      <c r="N1644" s="54">
        <v>0</v>
      </c>
      <c r="O1644" s="75">
        <v>0</v>
      </c>
      <c r="P1644" s="53">
        <v>0.86</v>
      </c>
      <c r="Q1644" s="69">
        <v>0</v>
      </c>
      <c r="R1644" s="53">
        <v>0</v>
      </c>
      <c r="S1644" s="53">
        <v>0</v>
      </c>
      <c r="T1644" s="75">
        <f>STOCK[[#This Row],[Costo Unitario (USD)]]+STOCK[[#This Row],[Costo Envío (USD)]]+STOCK[[#This Row],[Comisión 10%]]</f>
        <v>1.1600000000000001</v>
      </c>
      <c r="U1644" s="53">
        <f>STOCK[[#This Row],[Costo total]]*1.5</f>
        <v>1.7400000000000002</v>
      </c>
      <c r="V1644" s="53">
        <v>3</v>
      </c>
      <c r="W1644" s="75">
        <f>STOCK[[#This Row],[Precio Final]]-STOCK[[#This Row],[Costo total]]</f>
        <v>1.8399999999999999</v>
      </c>
      <c r="X1644" s="75">
        <f>STOCK[[#This Row],[Ganancia Unitaria]]*STOCK[[#This Row],[Salidas]]</f>
        <v>3.6799999999999997</v>
      </c>
      <c r="Y1644" s="75"/>
      <c r="Z1644" s="75"/>
      <c r="AA1644" s="54">
        <f>STOCK[[#This Row],[Costo total]]*STOCK[[#This Row],[Entradas]]</f>
        <v>3.4800000000000004</v>
      </c>
      <c r="AB1644" s="54">
        <f>STOCK[[#This Row],[Stock Actual]]*STOCK[[#This Row],[Costo total]]</f>
        <v>1.1600000000000001</v>
      </c>
      <c r="AC1644" s="75"/>
      <c r="AD1644" s="82"/>
    </row>
    <row r="1645" spans="1:30" s="53" customFormat="1" ht="50" customHeight="1">
      <c r="A1645" s="53" t="s">
        <v>3262</v>
      </c>
      <c r="B1645" s="53" t="s">
        <v>1345</v>
      </c>
      <c r="C1645" s="53" t="s">
        <v>32</v>
      </c>
      <c r="D1645" s="53" t="s">
        <v>3258</v>
      </c>
      <c r="E1645" s="65" t="s">
        <v>3263</v>
      </c>
      <c r="F1645" s="53" t="s">
        <v>62</v>
      </c>
      <c r="H1645" s="75">
        <f>STOCK[[#This Row],[Precio Final]]</f>
        <v>2.5</v>
      </c>
      <c r="I1645" s="80">
        <f>STOCK[[#This Row],[Precio Venta Ideal (x1.5)]]</f>
        <v>1.6649999999999998</v>
      </c>
      <c r="J1645" s="69">
        <v>2</v>
      </c>
      <c r="K1645" s="78">
        <f>SUMIFS(VENTAS[Cantidad],VENTAS[Código del producto Vendido],STOCK[[#This Row],[Code]])</f>
        <v>0</v>
      </c>
      <c r="L1645" s="78">
        <f>STOCK[[#This Row],[Entradas]]-STOCK[[#This Row],[Salidas]]</f>
        <v>2</v>
      </c>
      <c r="M1645" s="75">
        <f>STOCK[[#This Row],[Precio Final]]*10%</f>
        <v>0.25</v>
      </c>
      <c r="N1645" s="54">
        <v>0</v>
      </c>
      <c r="O1645" s="75">
        <v>0</v>
      </c>
      <c r="P1645" s="53">
        <v>0.86</v>
      </c>
      <c r="Q1645" s="69">
        <v>0</v>
      </c>
      <c r="R1645" s="53">
        <v>0</v>
      </c>
      <c r="S1645" s="53">
        <v>0</v>
      </c>
      <c r="T1645" s="75">
        <f>STOCK[[#This Row],[Costo Unitario (USD)]]+STOCK[[#This Row],[Costo Envío (USD)]]+STOCK[[#This Row],[Comisión 10%]]</f>
        <v>1.1099999999999999</v>
      </c>
      <c r="U1645" s="53">
        <f>STOCK[[#This Row],[Costo total]]*1.5</f>
        <v>1.6649999999999998</v>
      </c>
      <c r="V1645" s="53">
        <v>2.5</v>
      </c>
      <c r="W1645" s="75">
        <f>STOCK[[#This Row],[Precio Final]]-STOCK[[#This Row],[Costo total]]</f>
        <v>1.3900000000000001</v>
      </c>
      <c r="X1645" s="75">
        <f>STOCK[[#This Row],[Ganancia Unitaria]]*STOCK[[#This Row],[Salidas]]</f>
        <v>0</v>
      </c>
      <c r="Y1645" s="75"/>
      <c r="Z1645" s="75"/>
      <c r="AA1645" s="54">
        <f>STOCK[[#This Row],[Costo total]]*STOCK[[#This Row],[Entradas]]</f>
        <v>2.2199999999999998</v>
      </c>
      <c r="AB1645" s="54">
        <f>STOCK[[#This Row],[Stock Actual]]*STOCK[[#This Row],[Costo total]]</f>
        <v>2.2199999999999998</v>
      </c>
      <c r="AC1645" s="75"/>
      <c r="AD1645" s="82"/>
    </row>
    <row r="1646" spans="1:30" s="53" customFormat="1" ht="50" customHeight="1">
      <c r="A1646" s="53" t="s">
        <v>3264</v>
      </c>
      <c r="B1646" s="53" t="s">
        <v>1345</v>
      </c>
      <c r="C1646" s="53" t="s">
        <v>32</v>
      </c>
      <c r="D1646" s="53" t="s">
        <v>3258</v>
      </c>
      <c r="E1646" s="65" t="s">
        <v>3265</v>
      </c>
      <c r="F1646" s="53" t="s">
        <v>62</v>
      </c>
      <c r="H1646" s="75">
        <f>STOCK[[#This Row],[Precio Final]]</f>
        <v>2.5</v>
      </c>
      <c r="I1646" s="80">
        <f>STOCK[[#This Row],[Precio Venta Ideal (x1.5)]]</f>
        <v>1.6649999999999998</v>
      </c>
      <c r="J1646" s="69">
        <v>2</v>
      </c>
      <c r="K1646" s="78">
        <f>SUMIFS(VENTAS[Cantidad],VENTAS[Código del producto Vendido],STOCK[[#This Row],[Code]])</f>
        <v>2</v>
      </c>
      <c r="L1646" s="78">
        <f>STOCK[[#This Row],[Entradas]]-STOCK[[#This Row],[Salidas]]</f>
        <v>0</v>
      </c>
      <c r="M1646" s="75">
        <f>STOCK[[#This Row],[Precio Final]]*10%</f>
        <v>0.25</v>
      </c>
      <c r="N1646" s="54">
        <v>0</v>
      </c>
      <c r="O1646" s="75">
        <v>0</v>
      </c>
      <c r="P1646" s="53">
        <v>0.86</v>
      </c>
      <c r="Q1646" s="69">
        <v>0</v>
      </c>
      <c r="R1646" s="53">
        <v>0</v>
      </c>
      <c r="S1646" s="53">
        <v>0</v>
      </c>
      <c r="T1646" s="75">
        <f>STOCK[[#This Row],[Costo Unitario (USD)]]+STOCK[[#This Row],[Costo Envío (USD)]]+STOCK[[#This Row],[Comisión 10%]]</f>
        <v>1.1099999999999999</v>
      </c>
      <c r="U1646" s="53">
        <f>STOCK[[#This Row],[Costo total]]*1.5</f>
        <v>1.6649999999999998</v>
      </c>
      <c r="V1646" s="53">
        <v>2.5</v>
      </c>
      <c r="W1646" s="75">
        <f>STOCK[[#This Row],[Precio Final]]-STOCK[[#This Row],[Costo total]]</f>
        <v>1.3900000000000001</v>
      </c>
      <c r="X1646" s="75">
        <f>STOCK[[#This Row],[Ganancia Unitaria]]*STOCK[[#This Row],[Salidas]]</f>
        <v>2.7800000000000002</v>
      </c>
      <c r="Y1646" s="75"/>
      <c r="Z1646" s="75"/>
      <c r="AA1646" s="54">
        <f>STOCK[[#This Row],[Costo total]]*STOCK[[#This Row],[Entradas]]</f>
        <v>2.2199999999999998</v>
      </c>
      <c r="AB1646" s="54">
        <f>STOCK[[#This Row],[Stock Actual]]*STOCK[[#This Row],[Costo total]]</f>
        <v>0</v>
      </c>
      <c r="AC1646" s="75"/>
      <c r="AD1646" s="82"/>
    </row>
    <row r="1647" spans="1:30" s="53" customFormat="1" ht="50" customHeight="1">
      <c r="A1647" s="53" t="s">
        <v>3266</v>
      </c>
      <c r="B1647" s="53" t="s">
        <v>1345</v>
      </c>
      <c r="C1647" s="53" t="s">
        <v>32</v>
      </c>
      <c r="D1647" s="53" t="s">
        <v>3258</v>
      </c>
      <c r="E1647" s="65" t="s">
        <v>3267</v>
      </c>
      <c r="F1647" s="53" t="s">
        <v>62</v>
      </c>
      <c r="H1647" s="75">
        <f>STOCK[[#This Row],[Precio Final]]</f>
        <v>2.5</v>
      </c>
      <c r="I1647" s="80">
        <f>STOCK[[#This Row],[Precio Venta Ideal (x1.5)]]</f>
        <v>1.6649999999999998</v>
      </c>
      <c r="J1647" s="69">
        <v>1</v>
      </c>
      <c r="K1647" s="78">
        <f>SUMIFS(VENTAS[Cantidad],VENTAS[Código del producto Vendido],STOCK[[#This Row],[Code]])</f>
        <v>0</v>
      </c>
      <c r="L1647" s="78">
        <f>STOCK[[#This Row],[Entradas]]-STOCK[[#This Row],[Salidas]]</f>
        <v>1</v>
      </c>
      <c r="M1647" s="75">
        <f>STOCK[[#This Row],[Precio Final]]*10%</f>
        <v>0.25</v>
      </c>
      <c r="N1647" s="54">
        <v>0</v>
      </c>
      <c r="O1647" s="75">
        <v>0</v>
      </c>
      <c r="P1647" s="53">
        <v>0.86</v>
      </c>
      <c r="Q1647" s="69">
        <v>0</v>
      </c>
      <c r="R1647" s="53">
        <v>0</v>
      </c>
      <c r="S1647" s="53">
        <v>0</v>
      </c>
      <c r="T1647" s="75">
        <f>STOCK[[#This Row],[Costo Unitario (USD)]]+STOCK[[#This Row],[Costo Envío (USD)]]+STOCK[[#This Row],[Comisión 10%]]</f>
        <v>1.1099999999999999</v>
      </c>
      <c r="U1647" s="53">
        <f>STOCK[[#This Row],[Costo total]]*1.5</f>
        <v>1.6649999999999998</v>
      </c>
      <c r="V1647" s="53">
        <v>2.5</v>
      </c>
      <c r="W1647" s="75">
        <f>STOCK[[#This Row],[Precio Final]]-STOCK[[#This Row],[Costo total]]</f>
        <v>1.3900000000000001</v>
      </c>
      <c r="X1647" s="75">
        <f>STOCK[[#This Row],[Ganancia Unitaria]]*STOCK[[#This Row],[Salidas]]</f>
        <v>0</v>
      </c>
      <c r="Y1647" s="75"/>
      <c r="Z1647" s="75"/>
      <c r="AA1647" s="54">
        <f>STOCK[[#This Row],[Costo total]]*STOCK[[#This Row],[Entradas]]</f>
        <v>1.1099999999999999</v>
      </c>
      <c r="AB1647" s="54">
        <f>STOCK[[#This Row],[Stock Actual]]*STOCK[[#This Row],[Costo total]]</f>
        <v>1.1099999999999999</v>
      </c>
      <c r="AC1647" s="75"/>
      <c r="AD1647" s="82"/>
    </row>
    <row r="1648" spans="1:30" s="53" customFormat="1" ht="50" customHeight="1">
      <c r="A1648" s="53" t="s">
        <v>3268</v>
      </c>
      <c r="B1648" s="69" t="e" vm="1">
        <f ca="1">_xlfn.DISPIMG("ID_3D450F2A6B7C47C59B1BC9781F1455B8",1)</f>
        <v>#NAME?</v>
      </c>
      <c r="C1648" s="53" t="s">
        <v>32</v>
      </c>
      <c r="D1648" s="53" t="s">
        <v>3269</v>
      </c>
      <c r="E1648" s="65" t="s">
        <v>3270</v>
      </c>
      <c r="F1648" s="53" t="s">
        <v>525</v>
      </c>
      <c r="H1648" s="75">
        <f>STOCK[[#This Row],[Precio Final]]</f>
        <v>3.5</v>
      </c>
      <c r="I1648" s="80">
        <f>STOCK[[#This Row],[Precio Venta Ideal (x1.5)]]</f>
        <v>3.5250000000000004</v>
      </c>
      <c r="J1648" s="69">
        <v>1</v>
      </c>
      <c r="K1648" s="78">
        <f>SUMIFS(VENTAS[Cantidad],VENTAS[Código del producto Vendido],STOCK[[#This Row],[Code]])</f>
        <v>0</v>
      </c>
      <c r="L1648" s="78">
        <f>STOCK[[#This Row],[Entradas]]-STOCK[[#This Row],[Salidas]]</f>
        <v>1</v>
      </c>
      <c r="M1648" s="75">
        <f>STOCK[[#This Row],[Precio Final]]*10%</f>
        <v>0.35000000000000003</v>
      </c>
      <c r="N1648" s="54">
        <v>0</v>
      </c>
      <c r="O1648" s="75">
        <v>0</v>
      </c>
      <c r="P1648" s="53">
        <v>2</v>
      </c>
      <c r="Q1648" s="69">
        <v>0</v>
      </c>
      <c r="R1648" s="53">
        <v>0</v>
      </c>
      <c r="S1648" s="53">
        <v>0</v>
      </c>
      <c r="T1648" s="75">
        <f>STOCK[[#This Row],[Costo Unitario (USD)]]+STOCK[[#This Row],[Costo Envío (USD)]]+STOCK[[#This Row],[Comisión 10%]]</f>
        <v>2.35</v>
      </c>
      <c r="U1648" s="53">
        <f>STOCK[[#This Row],[Costo total]]*1.5</f>
        <v>3.5250000000000004</v>
      </c>
      <c r="V1648" s="53">
        <v>3.5</v>
      </c>
      <c r="W1648" s="75">
        <f>STOCK[[#This Row],[Precio Final]]-STOCK[[#This Row],[Costo total]]</f>
        <v>1.1499999999999999</v>
      </c>
      <c r="X1648" s="75">
        <f>STOCK[[#This Row],[Ganancia Unitaria]]*STOCK[[#This Row],[Salidas]]</f>
        <v>0</v>
      </c>
      <c r="Y1648" s="75"/>
      <c r="Z1648" s="75"/>
      <c r="AA1648" s="54">
        <f>STOCK[[#This Row],[Costo total]]*STOCK[[#This Row],[Entradas]]</f>
        <v>2.35</v>
      </c>
      <c r="AB1648" s="54">
        <f>STOCK[[#This Row],[Stock Actual]]*STOCK[[#This Row],[Costo total]]</f>
        <v>2.35</v>
      </c>
      <c r="AC1648" s="75"/>
      <c r="AD1648" s="82"/>
    </row>
    <row r="1649" spans="1:30" s="53" customFormat="1" ht="50" customHeight="1">
      <c r="A1649" s="53" t="s">
        <v>3271</v>
      </c>
      <c r="B1649" s="69" t="e" vm="1">
        <f ca="1">_xlfn.DISPIMG("ID_FEA31DA4C4624707BACE85D4A3AE66F3",1)</f>
        <v>#NAME?</v>
      </c>
      <c r="C1649" s="53" t="s">
        <v>32</v>
      </c>
      <c r="D1649" s="53" t="s">
        <v>3269</v>
      </c>
      <c r="E1649" s="65" t="s">
        <v>3272</v>
      </c>
      <c r="F1649" s="53" t="s">
        <v>525</v>
      </c>
      <c r="H1649" s="75">
        <f>STOCK[[#This Row],[Precio Final]]</f>
        <v>5</v>
      </c>
      <c r="I1649" s="80">
        <f>STOCK[[#This Row],[Precio Venta Ideal (x1.5)]]</f>
        <v>3.75</v>
      </c>
      <c r="J1649" s="69">
        <v>2</v>
      </c>
      <c r="K1649" s="78">
        <f>SUMIFS(VENTAS[Cantidad],VENTAS[Código del producto Vendido],STOCK[[#This Row],[Code]])</f>
        <v>0</v>
      </c>
      <c r="L1649" s="78">
        <f>STOCK[[#This Row],[Entradas]]-STOCK[[#This Row],[Salidas]]</f>
        <v>2</v>
      </c>
      <c r="M1649" s="75">
        <f>STOCK[[#This Row],[Precio Final]]*10%</f>
        <v>0.5</v>
      </c>
      <c r="N1649" s="54">
        <v>0</v>
      </c>
      <c r="O1649" s="75">
        <v>0</v>
      </c>
      <c r="P1649" s="53">
        <v>2</v>
      </c>
      <c r="Q1649" s="69">
        <v>0</v>
      </c>
      <c r="R1649" s="53">
        <v>0</v>
      </c>
      <c r="S1649" s="53">
        <v>0</v>
      </c>
      <c r="T1649" s="75">
        <f>STOCK[[#This Row],[Costo Unitario (USD)]]+STOCK[[#This Row],[Costo Envío (USD)]]+STOCK[[#This Row],[Comisión 10%]]</f>
        <v>2.5</v>
      </c>
      <c r="U1649" s="53">
        <f>STOCK[[#This Row],[Costo total]]*1.5</f>
        <v>3.75</v>
      </c>
      <c r="V1649" s="53">
        <v>5</v>
      </c>
      <c r="W1649" s="75">
        <f>STOCK[[#This Row],[Precio Final]]-STOCK[[#This Row],[Costo total]]</f>
        <v>2.5</v>
      </c>
      <c r="X1649" s="75">
        <f>STOCK[[#This Row],[Ganancia Unitaria]]*STOCK[[#This Row],[Salidas]]</f>
        <v>0</v>
      </c>
      <c r="Y1649" s="75"/>
      <c r="Z1649" s="75"/>
      <c r="AA1649" s="54">
        <f>STOCK[[#This Row],[Costo total]]*STOCK[[#This Row],[Entradas]]</f>
        <v>5</v>
      </c>
      <c r="AB1649" s="54">
        <f>STOCK[[#This Row],[Stock Actual]]*STOCK[[#This Row],[Costo total]]</f>
        <v>5</v>
      </c>
      <c r="AC1649" s="75"/>
      <c r="AD1649" s="82"/>
    </row>
    <row r="1650" spans="1:30" s="53" customFormat="1" ht="50" customHeight="1">
      <c r="A1650" s="53" t="s">
        <v>3273</v>
      </c>
      <c r="B1650" s="69" t="e" vm="1">
        <f ca="1">_xlfn.DISPIMG("ID_22CAB55638B04FF8A0B296359D1A0FC6",1)</f>
        <v>#NAME?</v>
      </c>
      <c r="C1650" s="53" t="s">
        <v>32</v>
      </c>
      <c r="D1650" s="53" t="s">
        <v>3269</v>
      </c>
      <c r="E1650" s="65" t="s">
        <v>3274</v>
      </c>
      <c r="F1650" s="53" t="s">
        <v>525</v>
      </c>
      <c r="H1650" s="75">
        <f>STOCK[[#This Row],[Precio Final]]</f>
        <v>5</v>
      </c>
      <c r="I1650" s="80">
        <f>STOCK[[#This Row],[Precio Venta Ideal (x1.5)]]</f>
        <v>3.75</v>
      </c>
      <c r="J1650" s="69">
        <v>1</v>
      </c>
      <c r="K1650" s="78">
        <f>SUMIFS(VENTAS[Cantidad],VENTAS[Código del producto Vendido],STOCK[[#This Row],[Code]])</f>
        <v>0</v>
      </c>
      <c r="L1650" s="78">
        <f>STOCK[[#This Row],[Entradas]]-STOCK[[#This Row],[Salidas]]</f>
        <v>1</v>
      </c>
      <c r="M1650" s="75">
        <f>STOCK[[#This Row],[Precio Final]]*10%</f>
        <v>0.5</v>
      </c>
      <c r="N1650" s="54">
        <v>0</v>
      </c>
      <c r="O1650" s="75">
        <v>0</v>
      </c>
      <c r="P1650" s="53">
        <v>2</v>
      </c>
      <c r="Q1650" s="69">
        <v>0</v>
      </c>
      <c r="R1650" s="53">
        <v>0</v>
      </c>
      <c r="S1650" s="53">
        <v>0</v>
      </c>
      <c r="T1650" s="75">
        <f>STOCK[[#This Row],[Costo Unitario (USD)]]+STOCK[[#This Row],[Costo Envío (USD)]]+STOCK[[#This Row],[Comisión 10%]]</f>
        <v>2.5</v>
      </c>
      <c r="U1650" s="53">
        <f>STOCK[[#This Row],[Costo total]]*1.5</f>
        <v>3.75</v>
      </c>
      <c r="V1650" s="53">
        <v>5</v>
      </c>
      <c r="W1650" s="75">
        <f>STOCK[[#This Row],[Precio Final]]-STOCK[[#This Row],[Costo total]]</f>
        <v>2.5</v>
      </c>
      <c r="X1650" s="75">
        <f>STOCK[[#This Row],[Ganancia Unitaria]]*STOCK[[#This Row],[Salidas]]</f>
        <v>0</v>
      </c>
      <c r="Y1650" s="75"/>
      <c r="Z1650" s="75"/>
      <c r="AA1650" s="54">
        <f>STOCK[[#This Row],[Costo total]]*STOCK[[#This Row],[Entradas]]</f>
        <v>2.5</v>
      </c>
      <c r="AB1650" s="54">
        <f>STOCK[[#This Row],[Stock Actual]]*STOCK[[#This Row],[Costo total]]</f>
        <v>2.5</v>
      </c>
      <c r="AC1650" s="75"/>
      <c r="AD1650" s="82"/>
    </row>
    <row r="1651" spans="1:30" s="53" customFormat="1" ht="50" customHeight="1">
      <c r="A1651" s="53" t="s">
        <v>3275</v>
      </c>
      <c r="C1651" s="53" t="s">
        <v>32</v>
      </c>
      <c r="D1651" s="53" t="s">
        <v>3276</v>
      </c>
      <c r="E1651" s="65" t="s">
        <v>3277</v>
      </c>
      <c r="F1651" s="53" t="s">
        <v>62</v>
      </c>
      <c r="H1651" s="75">
        <f>STOCK[[#This Row],[Precio Final]]</f>
        <v>18</v>
      </c>
      <c r="I1651" s="80">
        <f>STOCK[[#This Row],[Precio Venta Ideal (x1.5)]]</f>
        <v>14.700000000000001</v>
      </c>
      <c r="J1651" s="69">
        <v>1</v>
      </c>
      <c r="K1651" s="78">
        <f>SUMIFS(VENTAS[Cantidad],VENTAS[Código del producto Vendido],STOCK[[#This Row],[Code]])</f>
        <v>1</v>
      </c>
      <c r="L1651" s="78">
        <f>STOCK[[#This Row],[Entradas]]-STOCK[[#This Row],[Salidas]]</f>
        <v>0</v>
      </c>
      <c r="M1651" s="75">
        <f>STOCK[[#This Row],[Precio Final]]*10%</f>
        <v>1.8</v>
      </c>
      <c r="N1651" s="54">
        <v>0</v>
      </c>
      <c r="O1651" s="75">
        <v>0</v>
      </c>
      <c r="P1651" s="53">
        <v>8</v>
      </c>
      <c r="Q1651" s="69">
        <v>0</v>
      </c>
      <c r="R1651" s="53">
        <v>0</v>
      </c>
      <c r="S1651" s="53">
        <v>0</v>
      </c>
      <c r="T1651" s="75">
        <f>STOCK[[#This Row],[Costo Unitario (USD)]]+STOCK[[#This Row],[Costo Envío (USD)]]+STOCK[[#This Row],[Comisión 10%]]</f>
        <v>9.8000000000000007</v>
      </c>
      <c r="U1651" s="53">
        <f>STOCK[[#This Row],[Costo total]]*1.5</f>
        <v>14.700000000000001</v>
      </c>
      <c r="V1651" s="53">
        <v>18</v>
      </c>
      <c r="W1651" s="75">
        <f>STOCK[[#This Row],[Precio Final]]-STOCK[[#This Row],[Costo total]]</f>
        <v>8.1999999999999993</v>
      </c>
      <c r="X1651" s="75">
        <f>STOCK[[#This Row],[Ganancia Unitaria]]*STOCK[[#This Row],[Salidas]]</f>
        <v>8.1999999999999993</v>
      </c>
      <c r="Y1651" s="75"/>
      <c r="Z1651" s="75"/>
      <c r="AA1651" s="54">
        <f>STOCK[[#This Row],[Costo total]]*STOCK[[#This Row],[Entradas]]</f>
        <v>9.8000000000000007</v>
      </c>
      <c r="AB1651" s="54">
        <f>STOCK[[#This Row],[Stock Actual]]*STOCK[[#This Row],[Costo total]]</f>
        <v>0</v>
      </c>
      <c r="AC1651" s="75"/>
      <c r="AD1651" s="82"/>
    </row>
    <row r="1652" spans="1:30" s="53" customFormat="1" ht="50" customHeight="1">
      <c r="A1652" s="53" t="s">
        <v>3278</v>
      </c>
      <c r="B1652" s="83"/>
      <c r="C1652" s="53" t="s">
        <v>32</v>
      </c>
      <c r="D1652" s="84" t="s">
        <v>3279</v>
      </c>
      <c r="E1652" s="85" t="s">
        <v>3280</v>
      </c>
      <c r="F1652" s="86" t="s">
        <v>49</v>
      </c>
      <c r="G1652" s="75"/>
      <c r="H1652" s="75">
        <f>STOCK[[#This Row],[Precio Final]]</f>
        <v>19.574999999999999</v>
      </c>
      <c r="I1652" s="80">
        <f>STOCK[[#This Row],[Precio Venta Ideal (x1.5)]]</f>
        <v>2.9362500000000002</v>
      </c>
      <c r="J1652" s="87">
        <v>1</v>
      </c>
      <c r="K1652" s="78">
        <f>SUMIFS(VENTAS[Cantidad],VENTAS[Código del producto Vendido],STOCK[[#This Row],[Code]])</f>
        <v>0</v>
      </c>
      <c r="L1652" s="78">
        <f>STOCK[[#This Row],[Entradas]]-STOCK[[#This Row],[Salidas]]</f>
        <v>1</v>
      </c>
      <c r="M1652" s="75">
        <f>STOCK[[#This Row],[Precio Final]]*10%</f>
        <v>1.9575</v>
      </c>
      <c r="N1652" s="54">
        <v>0</v>
      </c>
      <c r="O1652" s="75">
        <v>0</v>
      </c>
      <c r="P1652" s="75"/>
      <c r="Q1652" s="75">
        <v>9.5</v>
      </c>
      <c r="R1652" s="78"/>
      <c r="S1652" s="75"/>
      <c r="T1652" s="75">
        <f>STOCK[[#This Row],[Costo Unitario (USD)]]+STOCK[[#This Row],[Costo Envío (USD)]]+STOCK[[#This Row],[Comisión 10%]]</f>
        <v>1.9575</v>
      </c>
      <c r="U1652" s="53">
        <f>STOCK[[#This Row],[Costo total]]*1.5</f>
        <v>2.9362500000000002</v>
      </c>
      <c r="V1652" s="53">
        <v>19.574999999999999</v>
      </c>
      <c r="W1652" s="75">
        <f>STOCK[[#This Row],[Precio Final]]-STOCK[[#This Row],[Costo total]]</f>
        <v>17.6175</v>
      </c>
      <c r="X1652" s="75">
        <f>STOCK[[#This Row],[Ganancia Unitaria]]*STOCK[[#This Row],[Salidas]]</f>
        <v>0</v>
      </c>
      <c r="Y1652" s="75">
        <v>0</v>
      </c>
      <c r="Z1652" s="88"/>
      <c r="AA1652" s="54">
        <f>STOCK[[#This Row],[Costo total]]*STOCK[[#This Row],[Entradas]]</f>
        <v>1.9575</v>
      </c>
      <c r="AB1652" s="54">
        <f>STOCK[[#This Row],[Stock Actual]]*STOCK[[#This Row],[Costo total]]</f>
        <v>1.9575</v>
      </c>
      <c r="AC1652" s="75">
        <v>13.05</v>
      </c>
      <c r="AD1652" s="75"/>
    </row>
    <row r="1653" spans="1:30" s="53" customFormat="1" ht="50" customHeight="1">
      <c r="A1653" s="53" t="s">
        <v>3281</v>
      </c>
      <c r="B1653" s="83"/>
      <c r="C1653" s="53" t="s">
        <v>32</v>
      </c>
      <c r="D1653" s="84" t="s">
        <v>3279</v>
      </c>
      <c r="E1653" s="85" t="s">
        <v>3280</v>
      </c>
      <c r="F1653" s="86" t="s">
        <v>42</v>
      </c>
      <c r="G1653" s="75"/>
      <c r="H1653" s="75">
        <f>STOCK[[#This Row],[Precio Final]]</f>
        <v>19.574999999999999</v>
      </c>
      <c r="I1653" s="80">
        <f>STOCK[[#This Row],[Precio Venta Ideal (x1.5)]]</f>
        <v>2.9362500000000002</v>
      </c>
      <c r="J1653" s="87">
        <v>1</v>
      </c>
      <c r="K1653" s="78">
        <f>SUMIFS(VENTAS[Cantidad],VENTAS[Código del producto Vendido],STOCK[[#This Row],[Code]])</f>
        <v>0</v>
      </c>
      <c r="L1653" s="78">
        <f>STOCK[[#This Row],[Entradas]]-STOCK[[#This Row],[Salidas]]</f>
        <v>1</v>
      </c>
      <c r="M1653" s="75">
        <f>STOCK[[#This Row],[Precio Final]]*10%</f>
        <v>1.9575</v>
      </c>
      <c r="N1653" s="54">
        <v>0</v>
      </c>
      <c r="O1653" s="75">
        <v>0</v>
      </c>
      <c r="P1653" s="75"/>
      <c r="Q1653" s="75">
        <v>9.5</v>
      </c>
      <c r="R1653" s="78"/>
      <c r="S1653" s="75"/>
      <c r="T1653" s="75">
        <f>STOCK[[#This Row],[Costo Unitario (USD)]]+STOCK[[#This Row],[Costo Envío (USD)]]+STOCK[[#This Row],[Comisión 10%]]</f>
        <v>1.9575</v>
      </c>
      <c r="U1653" s="53">
        <f>STOCK[[#This Row],[Costo total]]*1.5</f>
        <v>2.9362500000000002</v>
      </c>
      <c r="V1653" s="53">
        <v>19.574999999999999</v>
      </c>
      <c r="W1653" s="75">
        <f>STOCK[[#This Row],[Precio Final]]-STOCK[[#This Row],[Costo total]]</f>
        <v>17.6175</v>
      </c>
      <c r="X1653" s="75">
        <f>STOCK[[#This Row],[Ganancia Unitaria]]*STOCK[[#This Row],[Salidas]]</f>
        <v>0</v>
      </c>
      <c r="Y1653" s="75">
        <v>0</v>
      </c>
      <c r="Z1653" s="88"/>
      <c r="AA1653" s="54">
        <f>STOCK[[#This Row],[Costo total]]*STOCK[[#This Row],[Entradas]]</f>
        <v>1.9575</v>
      </c>
      <c r="AB1653" s="54">
        <f>STOCK[[#This Row],[Stock Actual]]*STOCK[[#This Row],[Costo total]]</f>
        <v>1.9575</v>
      </c>
      <c r="AC1653" s="75">
        <v>13.05</v>
      </c>
      <c r="AD1653" s="75"/>
    </row>
    <row r="1654" spans="1:30" s="53" customFormat="1" ht="50" customHeight="1">
      <c r="A1654" s="53" t="s">
        <v>3282</v>
      </c>
      <c r="B1654" s="83"/>
      <c r="C1654" s="53" t="s">
        <v>32</v>
      </c>
      <c r="D1654" s="84" t="s">
        <v>3279</v>
      </c>
      <c r="E1654" s="85" t="s">
        <v>3283</v>
      </c>
      <c r="F1654" s="86" t="s">
        <v>525</v>
      </c>
      <c r="G1654" s="75"/>
      <c r="H1654" s="75">
        <f>STOCK[[#This Row],[Precio Final]]</f>
        <v>7.875</v>
      </c>
      <c r="I1654" s="80">
        <f>STOCK[[#This Row],[Precio Venta Ideal (x1.5)]]</f>
        <v>1.1812500000000001</v>
      </c>
      <c r="J1654" s="87">
        <v>6</v>
      </c>
      <c r="K1654" s="78">
        <f>SUMIFS(VENTAS[Cantidad],VENTAS[Código del producto Vendido],STOCK[[#This Row],[Code]])</f>
        <v>0</v>
      </c>
      <c r="L1654" s="78">
        <f>STOCK[[#This Row],[Entradas]]-STOCK[[#This Row],[Salidas]]</f>
        <v>6</v>
      </c>
      <c r="M1654" s="75">
        <f>STOCK[[#This Row],[Precio Final]]*10%</f>
        <v>0.78750000000000009</v>
      </c>
      <c r="N1654" s="54">
        <v>0</v>
      </c>
      <c r="O1654" s="75">
        <v>0</v>
      </c>
      <c r="P1654" s="75"/>
      <c r="Q1654" s="75">
        <v>3</v>
      </c>
      <c r="R1654" s="78"/>
      <c r="S1654" s="75"/>
      <c r="T1654" s="75">
        <f>STOCK[[#This Row],[Costo Unitario (USD)]]+STOCK[[#This Row],[Costo Envío (USD)]]+STOCK[[#This Row],[Comisión 10%]]</f>
        <v>0.78750000000000009</v>
      </c>
      <c r="U1654" s="53">
        <f>STOCK[[#This Row],[Costo total]]*1.5</f>
        <v>1.1812500000000001</v>
      </c>
      <c r="V1654" s="53">
        <v>7.875</v>
      </c>
      <c r="W1654" s="75">
        <f>STOCK[[#This Row],[Precio Final]]-STOCK[[#This Row],[Costo total]]</f>
        <v>7.0875000000000004</v>
      </c>
      <c r="X1654" s="75">
        <f>STOCK[[#This Row],[Ganancia Unitaria]]*STOCK[[#This Row],[Salidas]]</f>
        <v>0</v>
      </c>
      <c r="Y1654" s="75">
        <v>0</v>
      </c>
      <c r="Z1654" s="88"/>
      <c r="AA1654" s="54">
        <f>STOCK[[#This Row],[Costo total]]*STOCK[[#This Row],[Entradas]]</f>
        <v>4.7250000000000005</v>
      </c>
      <c r="AB1654" s="54">
        <f>STOCK[[#This Row],[Stock Actual]]*STOCK[[#This Row],[Costo total]]</f>
        <v>4.7250000000000005</v>
      </c>
      <c r="AC1654" s="75">
        <v>31.5</v>
      </c>
      <c r="AD1654" s="75"/>
    </row>
    <row r="1655" spans="1:30" s="53" customFormat="1" ht="50" customHeight="1">
      <c r="A1655" s="53" t="s">
        <v>3284</v>
      </c>
      <c r="B1655" s="83"/>
      <c r="C1655" s="53" t="s">
        <v>32</v>
      </c>
      <c r="D1655" s="84" t="s">
        <v>3279</v>
      </c>
      <c r="E1655" s="85" t="s">
        <v>3285</v>
      </c>
      <c r="F1655" s="86" t="s">
        <v>62</v>
      </c>
      <c r="G1655" s="75"/>
      <c r="H1655" s="75">
        <f>STOCK[[#This Row],[Precio Final]]</f>
        <v>21.074999999999999</v>
      </c>
      <c r="I1655" s="80">
        <f>STOCK[[#This Row],[Precio Venta Ideal (x1.5)]]</f>
        <v>3.1612499999999999</v>
      </c>
      <c r="J1655" s="87">
        <v>3</v>
      </c>
      <c r="K1655" s="78">
        <f>SUMIFS(VENTAS[Cantidad],VENTAS[Código del producto Vendido],STOCK[[#This Row],[Code]])</f>
        <v>0</v>
      </c>
      <c r="L1655" s="78">
        <f>STOCK[[#This Row],[Entradas]]-STOCK[[#This Row],[Salidas]]</f>
        <v>3</v>
      </c>
      <c r="M1655" s="75">
        <f>STOCK[[#This Row],[Precio Final]]*10%</f>
        <v>2.1074999999999999</v>
      </c>
      <c r="N1655" s="54">
        <v>0</v>
      </c>
      <c r="O1655" s="75">
        <v>0</v>
      </c>
      <c r="P1655" s="75"/>
      <c r="Q1655" s="75">
        <v>11</v>
      </c>
      <c r="R1655" s="78"/>
      <c r="S1655" s="75"/>
      <c r="T1655" s="75">
        <f>STOCK[[#This Row],[Costo Unitario (USD)]]+STOCK[[#This Row],[Costo Envío (USD)]]+STOCK[[#This Row],[Comisión 10%]]</f>
        <v>2.1074999999999999</v>
      </c>
      <c r="U1655" s="53">
        <f>STOCK[[#This Row],[Costo total]]*1.5</f>
        <v>3.1612499999999999</v>
      </c>
      <c r="V1655" s="53">
        <v>21.074999999999999</v>
      </c>
      <c r="W1655" s="75">
        <f>STOCK[[#This Row],[Precio Final]]-STOCK[[#This Row],[Costo total]]</f>
        <v>18.967500000000001</v>
      </c>
      <c r="X1655" s="75">
        <f>STOCK[[#This Row],[Ganancia Unitaria]]*STOCK[[#This Row],[Salidas]]</f>
        <v>0</v>
      </c>
      <c r="Y1655" s="75">
        <v>0</v>
      </c>
      <c r="Z1655" s="88"/>
      <c r="AA1655" s="54">
        <f>STOCK[[#This Row],[Costo total]]*STOCK[[#This Row],[Entradas]]</f>
        <v>6.3224999999999998</v>
      </c>
      <c r="AB1655" s="54">
        <f>STOCK[[#This Row],[Stock Actual]]*STOCK[[#This Row],[Costo total]]</f>
        <v>6.3224999999999998</v>
      </c>
      <c r="AC1655" s="75">
        <v>42.15</v>
      </c>
      <c r="AD1655" s="75"/>
    </row>
    <row r="1656" spans="1:30" s="53" customFormat="1" ht="50" customHeight="1">
      <c r="A1656" s="53" t="s">
        <v>3286</v>
      </c>
      <c r="B1656" s="83"/>
      <c r="C1656" s="53" t="s">
        <v>32</v>
      </c>
      <c r="D1656" s="84" t="s">
        <v>3279</v>
      </c>
      <c r="E1656" s="85" t="s">
        <v>3285</v>
      </c>
      <c r="F1656" s="86" t="s">
        <v>46</v>
      </c>
      <c r="G1656" s="75"/>
      <c r="H1656" s="75">
        <f>STOCK[[#This Row],[Precio Final]]</f>
        <v>21.074999999999999</v>
      </c>
      <c r="I1656" s="80">
        <f>STOCK[[#This Row],[Precio Venta Ideal (x1.5)]]</f>
        <v>3.1612499999999999</v>
      </c>
      <c r="J1656" s="87">
        <v>3</v>
      </c>
      <c r="K1656" s="78">
        <f>SUMIFS(VENTAS[Cantidad],VENTAS[Código del producto Vendido],STOCK[[#This Row],[Code]])</f>
        <v>0</v>
      </c>
      <c r="L1656" s="78">
        <f>STOCK[[#This Row],[Entradas]]-STOCK[[#This Row],[Salidas]]</f>
        <v>3</v>
      </c>
      <c r="M1656" s="75">
        <f>STOCK[[#This Row],[Precio Final]]*10%</f>
        <v>2.1074999999999999</v>
      </c>
      <c r="N1656" s="54">
        <v>0</v>
      </c>
      <c r="O1656" s="75">
        <v>0</v>
      </c>
      <c r="P1656" s="75"/>
      <c r="Q1656" s="75">
        <v>11</v>
      </c>
      <c r="R1656" s="78"/>
      <c r="S1656" s="75"/>
      <c r="T1656" s="75">
        <f>STOCK[[#This Row],[Costo Unitario (USD)]]+STOCK[[#This Row],[Costo Envío (USD)]]+STOCK[[#This Row],[Comisión 10%]]</f>
        <v>2.1074999999999999</v>
      </c>
      <c r="U1656" s="53">
        <f>STOCK[[#This Row],[Costo total]]*1.5</f>
        <v>3.1612499999999999</v>
      </c>
      <c r="V1656" s="53">
        <v>21.074999999999999</v>
      </c>
      <c r="W1656" s="75">
        <f>STOCK[[#This Row],[Precio Final]]-STOCK[[#This Row],[Costo total]]</f>
        <v>18.967500000000001</v>
      </c>
      <c r="X1656" s="75">
        <f>STOCK[[#This Row],[Ganancia Unitaria]]*STOCK[[#This Row],[Salidas]]</f>
        <v>0</v>
      </c>
      <c r="Y1656" s="75">
        <v>0</v>
      </c>
      <c r="Z1656" s="88"/>
      <c r="AA1656" s="54">
        <f>STOCK[[#This Row],[Costo total]]*STOCK[[#This Row],[Entradas]]</f>
        <v>6.3224999999999998</v>
      </c>
      <c r="AB1656" s="54">
        <f>STOCK[[#This Row],[Stock Actual]]*STOCK[[#This Row],[Costo total]]</f>
        <v>6.3224999999999998</v>
      </c>
      <c r="AC1656" s="75">
        <v>42.15</v>
      </c>
      <c r="AD1656" s="75"/>
    </row>
    <row r="1657" spans="1:30" s="53" customFormat="1" ht="50" customHeight="1">
      <c r="A1657" s="53" t="s">
        <v>3287</v>
      </c>
      <c r="B1657" s="83"/>
      <c r="C1657" s="53" t="s">
        <v>32</v>
      </c>
      <c r="D1657" s="84" t="s">
        <v>3279</v>
      </c>
      <c r="E1657" s="85" t="s">
        <v>3288</v>
      </c>
      <c r="F1657" s="86" t="s">
        <v>49</v>
      </c>
      <c r="G1657" s="75"/>
      <c r="H1657" s="75">
        <f>STOCK[[#This Row],[Precio Final]]</f>
        <v>18.074999999999999</v>
      </c>
      <c r="I1657" s="80">
        <f>STOCK[[#This Row],[Precio Venta Ideal (x1.5)]]</f>
        <v>2.7112500000000002</v>
      </c>
      <c r="J1657" s="87">
        <v>1</v>
      </c>
      <c r="K1657" s="78">
        <f>SUMIFS(VENTAS[Cantidad],VENTAS[Código del producto Vendido],STOCK[[#This Row],[Code]])</f>
        <v>0</v>
      </c>
      <c r="L1657" s="78">
        <f>STOCK[[#This Row],[Entradas]]-STOCK[[#This Row],[Salidas]]</f>
        <v>1</v>
      </c>
      <c r="M1657" s="75">
        <f>STOCK[[#This Row],[Precio Final]]*10%</f>
        <v>1.8075000000000001</v>
      </c>
      <c r="N1657" s="54">
        <v>0</v>
      </c>
      <c r="O1657" s="75">
        <v>0</v>
      </c>
      <c r="P1657" s="75"/>
      <c r="Q1657" s="75">
        <v>9</v>
      </c>
      <c r="R1657" s="78"/>
      <c r="S1657" s="75"/>
      <c r="T1657" s="75">
        <f>STOCK[[#This Row],[Costo Unitario (USD)]]+STOCK[[#This Row],[Costo Envío (USD)]]+STOCK[[#This Row],[Comisión 10%]]</f>
        <v>1.8075000000000001</v>
      </c>
      <c r="U1657" s="53">
        <f>STOCK[[#This Row],[Costo total]]*1.5</f>
        <v>2.7112500000000002</v>
      </c>
      <c r="V1657" s="53">
        <v>18.074999999999999</v>
      </c>
      <c r="W1657" s="75">
        <f>STOCK[[#This Row],[Precio Final]]-STOCK[[#This Row],[Costo total]]</f>
        <v>16.267499999999998</v>
      </c>
      <c r="X1657" s="75">
        <f>STOCK[[#This Row],[Ganancia Unitaria]]*STOCK[[#This Row],[Salidas]]</f>
        <v>0</v>
      </c>
      <c r="Y1657" s="75">
        <v>0</v>
      </c>
      <c r="Z1657" s="88"/>
      <c r="AA1657" s="54">
        <f>STOCK[[#This Row],[Costo total]]*STOCK[[#This Row],[Entradas]]</f>
        <v>1.8075000000000001</v>
      </c>
      <c r="AB1657" s="54">
        <f>STOCK[[#This Row],[Stock Actual]]*STOCK[[#This Row],[Costo total]]</f>
        <v>1.8075000000000001</v>
      </c>
      <c r="AC1657" s="75">
        <v>12.05</v>
      </c>
      <c r="AD1657" s="75"/>
    </row>
    <row r="1658" spans="1:30" s="53" customFormat="1" ht="50" customHeight="1">
      <c r="A1658" s="53" t="s">
        <v>3289</v>
      </c>
      <c r="B1658" s="83"/>
      <c r="C1658" s="53" t="s">
        <v>32</v>
      </c>
      <c r="D1658" s="84" t="s">
        <v>3279</v>
      </c>
      <c r="E1658" s="85" t="s">
        <v>3288</v>
      </c>
      <c r="F1658" s="86" t="s">
        <v>40</v>
      </c>
      <c r="G1658" s="75"/>
      <c r="H1658" s="75">
        <f>STOCK[[#This Row],[Precio Final]]</f>
        <v>18.824999999999999</v>
      </c>
      <c r="I1658" s="80">
        <f>STOCK[[#This Row],[Precio Venta Ideal (x1.5)]]</f>
        <v>2.82375</v>
      </c>
      <c r="J1658" s="87">
        <v>2</v>
      </c>
      <c r="K1658" s="78">
        <f>SUMIFS(VENTAS[Cantidad],VENTAS[Código del producto Vendido],STOCK[[#This Row],[Code]])</f>
        <v>1</v>
      </c>
      <c r="L1658" s="78">
        <f>STOCK[[#This Row],[Entradas]]-STOCK[[#This Row],[Salidas]]</f>
        <v>1</v>
      </c>
      <c r="M1658" s="75">
        <f>STOCK[[#This Row],[Precio Final]]*10%</f>
        <v>1.8825000000000001</v>
      </c>
      <c r="N1658" s="54">
        <v>0</v>
      </c>
      <c r="O1658" s="75">
        <v>0</v>
      </c>
      <c r="P1658" s="75"/>
      <c r="Q1658" s="75">
        <v>9</v>
      </c>
      <c r="R1658" s="78"/>
      <c r="S1658" s="75"/>
      <c r="T1658" s="75">
        <f>STOCK[[#This Row],[Costo Unitario (USD)]]+STOCK[[#This Row],[Costo Envío (USD)]]+STOCK[[#This Row],[Comisión 10%]]</f>
        <v>1.8825000000000001</v>
      </c>
      <c r="U1658" s="53">
        <f>STOCK[[#This Row],[Costo total]]*1.5</f>
        <v>2.82375</v>
      </c>
      <c r="V1658" s="53">
        <v>18.824999999999999</v>
      </c>
      <c r="W1658" s="75">
        <f>STOCK[[#This Row],[Precio Final]]-STOCK[[#This Row],[Costo total]]</f>
        <v>16.942499999999999</v>
      </c>
      <c r="X1658" s="75">
        <f>STOCK[[#This Row],[Ganancia Unitaria]]*STOCK[[#This Row],[Salidas]]</f>
        <v>16.942499999999999</v>
      </c>
      <c r="Y1658" s="75">
        <v>0</v>
      </c>
      <c r="Z1658" s="88"/>
      <c r="AA1658" s="54">
        <f>STOCK[[#This Row],[Costo total]]*STOCK[[#This Row],[Entradas]]</f>
        <v>3.7650000000000001</v>
      </c>
      <c r="AB1658" s="54">
        <f>STOCK[[#This Row],[Stock Actual]]*STOCK[[#This Row],[Costo total]]</f>
        <v>1.8825000000000001</v>
      </c>
      <c r="AC1658" s="75">
        <v>25.1</v>
      </c>
      <c r="AD1658" s="75"/>
    </row>
    <row r="1659" spans="1:30" s="53" customFormat="1" ht="50" customHeight="1">
      <c r="A1659" s="53" t="s">
        <v>3290</v>
      </c>
      <c r="B1659" s="83"/>
      <c r="C1659" s="53" t="s">
        <v>32</v>
      </c>
      <c r="D1659" s="84" t="s">
        <v>3279</v>
      </c>
      <c r="E1659" s="85" t="s">
        <v>3288</v>
      </c>
      <c r="F1659" s="86" t="s">
        <v>46</v>
      </c>
      <c r="G1659" s="75"/>
      <c r="H1659" s="75">
        <f>STOCK[[#This Row],[Precio Final]]</f>
        <v>18.824999999999999</v>
      </c>
      <c r="I1659" s="80">
        <f>STOCK[[#This Row],[Precio Venta Ideal (x1.5)]]</f>
        <v>2.82375</v>
      </c>
      <c r="J1659" s="87">
        <v>2</v>
      </c>
      <c r="K1659" s="78">
        <f>SUMIFS(VENTAS[Cantidad],VENTAS[Código del producto Vendido],STOCK[[#This Row],[Code]])</f>
        <v>0</v>
      </c>
      <c r="L1659" s="78">
        <f>STOCK[[#This Row],[Entradas]]-STOCK[[#This Row],[Salidas]]</f>
        <v>2</v>
      </c>
      <c r="M1659" s="75">
        <f>STOCK[[#This Row],[Precio Final]]*10%</f>
        <v>1.8825000000000001</v>
      </c>
      <c r="N1659" s="54">
        <v>0</v>
      </c>
      <c r="O1659" s="75">
        <v>0</v>
      </c>
      <c r="P1659" s="75"/>
      <c r="Q1659" s="75">
        <v>9</v>
      </c>
      <c r="R1659" s="78"/>
      <c r="S1659" s="75"/>
      <c r="T1659" s="75">
        <f>STOCK[[#This Row],[Costo Unitario (USD)]]+STOCK[[#This Row],[Costo Envío (USD)]]+STOCK[[#This Row],[Comisión 10%]]</f>
        <v>1.8825000000000001</v>
      </c>
      <c r="U1659" s="53">
        <f>STOCK[[#This Row],[Costo total]]*1.5</f>
        <v>2.82375</v>
      </c>
      <c r="V1659" s="53">
        <v>18.824999999999999</v>
      </c>
      <c r="W1659" s="75">
        <f>STOCK[[#This Row],[Precio Final]]-STOCK[[#This Row],[Costo total]]</f>
        <v>16.942499999999999</v>
      </c>
      <c r="X1659" s="75">
        <f>STOCK[[#This Row],[Ganancia Unitaria]]*STOCK[[#This Row],[Salidas]]</f>
        <v>0</v>
      </c>
      <c r="Y1659" s="75">
        <v>0</v>
      </c>
      <c r="Z1659" s="88"/>
      <c r="AA1659" s="54">
        <f>STOCK[[#This Row],[Costo total]]*STOCK[[#This Row],[Entradas]]</f>
        <v>3.7650000000000001</v>
      </c>
      <c r="AB1659" s="54">
        <f>STOCK[[#This Row],[Stock Actual]]*STOCK[[#This Row],[Costo total]]</f>
        <v>3.7650000000000001</v>
      </c>
      <c r="AC1659" s="75">
        <v>25.1</v>
      </c>
      <c r="AD1659" s="75"/>
    </row>
    <row r="1660" spans="1:30" s="53" customFormat="1" ht="50" customHeight="1">
      <c r="A1660" s="53" t="s">
        <v>3291</v>
      </c>
      <c r="B1660" s="83"/>
      <c r="C1660" s="53" t="s">
        <v>32</v>
      </c>
      <c r="D1660" s="84" t="s">
        <v>3279</v>
      </c>
      <c r="E1660" s="85" t="s">
        <v>3292</v>
      </c>
      <c r="F1660" s="86" t="s">
        <v>525</v>
      </c>
      <c r="G1660" s="75"/>
      <c r="H1660" s="75">
        <f>STOCK[[#This Row],[Precio Final]]</f>
        <v>12.074999999999999</v>
      </c>
      <c r="I1660" s="80">
        <f>STOCK[[#This Row],[Precio Venta Ideal (x1.5)]]</f>
        <v>1.81125</v>
      </c>
      <c r="J1660" s="87">
        <v>7</v>
      </c>
      <c r="K1660" s="78">
        <f>SUMIFS(VENTAS[Cantidad],VENTAS[Código del producto Vendido],STOCK[[#This Row],[Code]])</f>
        <v>3</v>
      </c>
      <c r="L1660" s="78">
        <f>STOCK[[#This Row],[Entradas]]-STOCK[[#This Row],[Salidas]]</f>
        <v>4</v>
      </c>
      <c r="M1660" s="75">
        <f>STOCK[[#This Row],[Precio Final]]*10%</f>
        <v>1.2075</v>
      </c>
      <c r="N1660" s="54">
        <v>0</v>
      </c>
      <c r="O1660" s="75">
        <v>0</v>
      </c>
      <c r="P1660" s="75"/>
      <c r="Q1660" s="75">
        <v>4.5</v>
      </c>
      <c r="R1660" s="78"/>
      <c r="S1660" s="75"/>
      <c r="T1660" s="75">
        <f>STOCK[[#This Row],[Costo Unitario (USD)]]+STOCK[[#This Row],[Costo Envío (USD)]]+STOCK[[#This Row],[Comisión 10%]]</f>
        <v>1.2075</v>
      </c>
      <c r="U1660" s="53">
        <f>STOCK[[#This Row],[Costo total]]*1.5</f>
        <v>1.81125</v>
      </c>
      <c r="V1660" s="53">
        <v>12.074999999999999</v>
      </c>
      <c r="W1660" s="75">
        <f>STOCK[[#This Row],[Precio Final]]-STOCK[[#This Row],[Costo total]]</f>
        <v>10.8675</v>
      </c>
      <c r="X1660" s="75">
        <f>STOCK[[#This Row],[Ganancia Unitaria]]*STOCK[[#This Row],[Salidas]]</f>
        <v>32.602499999999999</v>
      </c>
      <c r="Y1660" s="75">
        <v>0</v>
      </c>
      <c r="Z1660" s="88"/>
      <c r="AA1660" s="54">
        <f>STOCK[[#This Row],[Costo total]]*STOCK[[#This Row],[Entradas]]</f>
        <v>8.4525000000000006</v>
      </c>
      <c r="AB1660" s="54">
        <f>STOCK[[#This Row],[Stock Actual]]*STOCK[[#This Row],[Costo total]]</f>
        <v>4.83</v>
      </c>
      <c r="AC1660" s="75">
        <v>56.35</v>
      </c>
      <c r="AD1660" s="75"/>
    </row>
    <row r="1661" spans="1:30" s="53" customFormat="1" ht="50" customHeight="1">
      <c r="A1661" s="53" t="s">
        <v>3293</v>
      </c>
      <c r="B1661" s="83"/>
      <c r="C1661" s="53" t="s">
        <v>32</v>
      </c>
      <c r="D1661" s="84" t="s">
        <v>3279</v>
      </c>
      <c r="E1661" s="85" t="s">
        <v>3294</v>
      </c>
      <c r="F1661" s="86" t="s">
        <v>525</v>
      </c>
      <c r="G1661" s="75"/>
      <c r="H1661" s="75">
        <f>STOCK[[#This Row],[Precio Final]]</f>
        <v>5.2949999999999999</v>
      </c>
      <c r="I1661" s="80">
        <f>STOCK[[#This Row],[Precio Venta Ideal (x1.5)]]</f>
        <v>0.7942499999999999</v>
      </c>
      <c r="J1661" s="87">
        <v>2</v>
      </c>
      <c r="K1661" s="78">
        <f>SUMIFS(VENTAS[Cantidad],VENTAS[Código del producto Vendido],STOCK[[#This Row],[Code]])</f>
        <v>2</v>
      </c>
      <c r="L1661" s="78">
        <f>STOCK[[#This Row],[Entradas]]-STOCK[[#This Row],[Salidas]]</f>
        <v>0</v>
      </c>
      <c r="M1661" s="75">
        <f>STOCK[[#This Row],[Precio Final]]*10%</f>
        <v>0.52949999999999997</v>
      </c>
      <c r="N1661" s="54">
        <v>0</v>
      </c>
      <c r="O1661" s="75">
        <v>0</v>
      </c>
      <c r="P1661" s="75"/>
      <c r="Q1661" s="75">
        <v>1.68</v>
      </c>
      <c r="R1661" s="78"/>
      <c r="S1661" s="75"/>
      <c r="T1661" s="75">
        <f>STOCK[[#This Row],[Costo Unitario (USD)]]+STOCK[[#This Row],[Costo Envío (USD)]]+STOCK[[#This Row],[Comisión 10%]]</f>
        <v>0.52949999999999997</v>
      </c>
      <c r="U1661" s="53">
        <f>STOCK[[#This Row],[Costo total]]*1.5</f>
        <v>0.7942499999999999</v>
      </c>
      <c r="V1661" s="53">
        <v>5.2949999999999999</v>
      </c>
      <c r="W1661" s="75">
        <f>STOCK[[#This Row],[Precio Final]]-STOCK[[#This Row],[Costo total]]</f>
        <v>4.7655000000000003</v>
      </c>
      <c r="X1661" s="75">
        <f>STOCK[[#This Row],[Ganancia Unitaria]]*STOCK[[#This Row],[Salidas]]</f>
        <v>9.5310000000000006</v>
      </c>
      <c r="Y1661" s="75">
        <v>0</v>
      </c>
      <c r="Z1661" s="88"/>
      <c r="AA1661" s="54">
        <f>STOCK[[#This Row],[Costo total]]*STOCK[[#This Row],[Entradas]]</f>
        <v>1.0589999999999999</v>
      </c>
      <c r="AB1661" s="54">
        <f>STOCK[[#This Row],[Stock Actual]]*STOCK[[#This Row],[Costo total]]</f>
        <v>0</v>
      </c>
      <c r="AC1661" s="75">
        <v>7.06</v>
      </c>
      <c r="AD1661" s="75"/>
    </row>
    <row r="1662" spans="1:30" s="53" customFormat="1" ht="50" customHeight="1">
      <c r="A1662" s="53" t="s">
        <v>3295</v>
      </c>
      <c r="B1662" s="83"/>
      <c r="C1662" s="53" t="s">
        <v>32</v>
      </c>
      <c r="D1662" s="84" t="s">
        <v>3279</v>
      </c>
      <c r="E1662" s="85" t="s">
        <v>3296</v>
      </c>
      <c r="F1662" s="86" t="s">
        <v>62</v>
      </c>
      <c r="G1662" s="75"/>
      <c r="H1662" s="75">
        <f>STOCK[[#This Row],[Precio Final]]</f>
        <v>17.7</v>
      </c>
      <c r="I1662" s="80">
        <f>STOCK[[#This Row],[Precio Venta Ideal (x1.5)]]</f>
        <v>2.6550000000000002</v>
      </c>
      <c r="J1662" s="87">
        <v>2</v>
      </c>
      <c r="K1662" s="78">
        <f>SUMIFS(VENTAS[Cantidad],VENTAS[Código del producto Vendido],STOCK[[#This Row],[Code]])</f>
        <v>2</v>
      </c>
      <c r="L1662" s="78">
        <f>STOCK[[#This Row],[Entradas]]-STOCK[[#This Row],[Salidas]]</f>
        <v>0</v>
      </c>
      <c r="M1662" s="75">
        <f>STOCK[[#This Row],[Precio Final]]*10%</f>
        <v>1.77</v>
      </c>
      <c r="N1662" s="54">
        <v>0</v>
      </c>
      <c r="O1662" s="75">
        <v>0</v>
      </c>
      <c r="P1662" s="75"/>
      <c r="Q1662" s="75">
        <v>8.5500000000000007</v>
      </c>
      <c r="R1662" s="78"/>
      <c r="S1662" s="75"/>
      <c r="T1662" s="75">
        <f>STOCK[[#This Row],[Costo Unitario (USD)]]+STOCK[[#This Row],[Costo Envío (USD)]]+STOCK[[#This Row],[Comisión 10%]]</f>
        <v>1.77</v>
      </c>
      <c r="U1662" s="53">
        <f>STOCK[[#This Row],[Costo total]]*1.5</f>
        <v>2.6550000000000002</v>
      </c>
      <c r="V1662" s="53">
        <v>17.7</v>
      </c>
      <c r="W1662" s="75">
        <f>STOCK[[#This Row],[Precio Final]]-STOCK[[#This Row],[Costo total]]</f>
        <v>15.93</v>
      </c>
      <c r="X1662" s="75">
        <f>STOCK[[#This Row],[Ganancia Unitaria]]*STOCK[[#This Row],[Salidas]]</f>
        <v>31.86</v>
      </c>
      <c r="Y1662" s="75">
        <v>10.199999999999999</v>
      </c>
      <c r="Z1662" s="88"/>
      <c r="AA1662" s="54">
        <f>STOCK[[#This Row],[Costo total]]*STOCK[[#This Row],[Entradas]]</f>
        <v>3.54</v>
      </c>
      <c r="AB1662" s="54">
        <f>STOCK[[#This Row],[Stock Actual]]*STOCK[[#This Row],[Costo total]]</f>
        <v>0</v>
      </c>
      <c r="AC1662" s="75">
        <v>11.8</v>
      </c>
      <c r="AD1662" s="75"/>
    </row>
    <row r="1663" spans="1:30" s="53" customFormat="1" ht="50" customHeight="1">
      <c r="A1663" s="53" t="s">
        <v>3297</v>
      </c>
      <c r="B1663" s="83"/>
      <c r="C1663" s="53" t="s">
        <v>32</v>
      </c>
      <c r="D1663" s="84" t="s">
        <v>3279</v>
      </c>
      <c r="E1663" s="85" t="s">
        <v>3298</v>
      </c>
      <c r="F1663" s="86" t="s">
        <v>525</v>
      </c>
      <c r="G1663" s="75"/>
      <c r="H1663" s="75">
        <f>STOCK[[#This Row],[Precio Final]]</f>
        <v>4.83</v>
      </c>
      <c r="I1663" s="80">
        <f>STOCK[[#This Row],[Precio Venta Ideal (x1.5)]]</f>
        <v>0.72450000000000003</v>
      </c>
      <c r="J1663" s="87">
        <v>5</v>
      </c>
      <c r="K1663" s="78">
        <f>SUMIFS(VENTAS[Cantidad],VENTAS[Código del producto Vendido],STOCK[[#This Row],[Code]])</f>
        <v>5</v>
      </c>
      <c r="L1663" s="78">
        <f>STOCK[[#This Row],[Entradas]]-STOCK[[#This Row],[Salidas]]</f>
        <v>0</v>
      </c>
      <c r="M1663" s="75">
        <f>STOCK[[#This Row],[Precio Final]]*10%</f>
        <v>0.48300000000000004</v>
      </c>
      <c r="N1663" s="54">
        <v>0</v>
      </c>
      <c r="O1663" s="75">
        <v>0</v>
      </c>
      <c r="P1663" s="75"/>
      <c r="Q1663" s="75">
        <v>1.67</v>
      </c>
      <c r="R1663" s="78"/>
      <c r="S1663" s="75"/>
      <c r="T1663" s="75">
        <f>STOCK[[#This Row],[Costo Unitario (USD)]]+STOCK[[#This Row],[Costo Envío (USD)]]+STOCK[[#This Row],[Comisión 10%]]</f>
        <v>0.48300000000000004</v>
      </c>
      <c r="U1663" s="53">
        <f>STOCK[[#This Row],[Costo total]]*1.5</f>
        <v>0.72450000000000003</v>
      </c>
      <c r="V1663" s="53">
        <v>4.83</v>
      </c>
      <c r="W1663" s="75">
        <f>STOCK[[#This Row],[Precio Final]]-STOCK[[#This Row],[Costo total]]</f>
        <v>4.3470000000000004</v>
      </c>
      <c r="X1663" s="75">
        <f>STOCK[[#This Row],[Ganancia Unitaria]]*STOCK[[#This Row],[Salidas]]</f>
        <v>21.735000000000003</v>
      </c>
      <c r="Y1663" s="75">
        <v>0</v>
      </c>
      <c r="Z1663" s="88"/>
      <c r="AA1663" s="54">
        <f>STOCK[[#This Row],[Costo total]]*STOCK[[#This Row],[Entradas]]</f>
        <v>2.415</v>
      </c>
      <c r="AB1663" s="54">
        <f>STOCK[[#This Row],[Stock Actual]]*STOCK[[#This Row],[Costo total]]</f>
        <v>0</v>
      </c>
      <c r="AC1663" s="75">
        <v>16.100000000000001</v>
      </c>
      <c r="AD1663" s="75"/>
    </row>
    <row r="1664" spans="1:30" s="53" customFormat="1" ht="50" customHeight="1">
      <c r="A1664" s="53" t="s">
        <v>3299</v>
      </c>
      <c r="B1664" s="83"/>
      <c r="C1664" s="53" t="s">
        <v>32</v>
      </c>
      <c r="D1664" s="84" t="s">
        <v>3279</v>
      </c>
      <c r="E1664" s="85" t="s">
        <v>3300</v>
      </c>
      <c r="F1664" s="86" t="s">
        <v>525</v>
      </c>
      <c r="G1664" s="75"/>
      <c r="H1664" s="75">
        <f>STOCK[[#This Row],[Precio Final]]</f>
        <v>2.97</v>
      </c>
      <c r="I1664" s="80">
        <f>STOCK[[#This Row],[Precio Venta Ideal (x1.5)]]</f>
        <v>0.44550000000000006</v>
      </c>
      <c r="J1664" s="87">
        <v>8</v>
      </c>
      <c r="K1664" s="78">
        <f>SUMIFS(VENTAS[Cantidad],VENTAS[Código del producto Vendido],STOCK[[#This Row],[Code]])</f>
        <v>5</v>
      </c>
      <c r="L1664" s="78">
        <f>STOCK[[#This Row],[Entradas]]-STOCK[[#This Row],[Salidas]]</f>
        <v>3</v>
      </c>
      <c r="M1664" s="75">
        <f>STOCK[[#This Row],[Precio Final]]*10%</f>
        <v>0.29700000000000004</v>
      </c>
      <c r="N1664" s="54">
        <v>0</v>
      </c>
      <c r="O1664" s="75">
        <v>0</v>
      </c>
      <c r="P1664" s="75"/>
      <c r="Q1664" s="75">
        <v>0.63</v>
      </c>
      <c r="R1664" s="78"/>
      <c r="S1664" s="75"/>
      <c r="T1664" s="75">
        <f>STOCK[[#This Row],[Costo Unitario (USD)]]+STOCK[[#This Row],[Costo Envío (USD)]]+STOCK[[#This Row],[Comisión 10%]]</f>
        <v>0.29700000000000004</v>
      </c>
      <c r="U1664" s="53">
        <f>STOCK[[#This Row],[Costo total]]*1.5</f>
        <v>0.44550000000000006</v>
      </c>
      <c r="V1664" s="53">
        <v>2.97</v>
      </c>
      <c r="W1664" s="75">
        <f>STOCK[[#This Row],[Precio Final]]-STOCK[[#This Row],[Costo total]]</f>
        <v>2.673</v>
      </c>
      <c r="X1664" s="75">
        <f>STOCK[[#This Row],[Ganancia Unitaria]]*STOCK[[#This Row],[Salidas]]</f>
        <v>13.365</v>
      </c>
      <c r="Y1664" s="75">
        <v>0</v>
      </c>
      <c r="Z1664" s="88"/>
      <c r="AA1664" s="54">
        <f>STOCK[[#This Row],[Costo total]]*STOCK[[#This Row],[Entradas]]</f>
        <v>2.3760000000000003</v>
      </c>
      <c r="AB1664" s="54">
        <f>STOCK[[#This Row],[Stock Actual]]*STOCK[[#This Row],[Costo total]]</f>
        <v>0.89100000000000013</v>
      </c>
      <c r="AC1664" s="75">
        <v>15.84</v>
      </c>
      <c r="AD1664" s="75"/>
    </row>
    <row r="1665" spans="1:30" s="53" customFormat="1" ht="50" customHeight="1">
      <c r="A1665" s="53" t="s">
        <v>3301</v>
      </c>
      <c r="B1665" s="83"/>
      <c r="C1665" s="53" t="s">
        <v>32</v>
      </c>
      <c r="D1665" s="84" t="s">
        <v>3279</v>
      </c>
      <c r="E1665" s="85" t="s">
        <v>3302</v>
      </c>
      <c r="F1665" s="86" t="s">
        <v>49</v>
      </c>
      <c r="G1665" s="75"/>
      <c r="H1665" s="75">
        <f>STOCK[[#This Row],[Precio Final]]</f>
        <v>18.149999999999999</v>
      </c>
      <c r="I1665" s="80">
        <f>STOCK[[#This Row],[Precio Venta Ideal (x1.5)]]</f>
        <v>2.7225000000000001</v>
      </c>
      <c r="J1665" s="87">
        <v>3</v>
      </c>
      <c r="K1665" s="78">
        <f>SUMIFS(VENTAS[Cantidad],VENTAS[Código del producto Vendido],STOCK[[#This Row],[Code]])</f>
        <v>3</v>
      </c>
      <c r="L1665" s="78">
        <f>STOCK[[#This Row],[Entradas]]-STOCK[[#This Row],[Salidas]]</f>
        <v>0</v>
      </c>
      <c r="M1665" s="75">
        <f>STOCK[[#This Row],[Precio Final]]*10%</f>
        <v>1.8149999999999999</v>
      </c>
      <c r="N1665" s="54">
        <v>0</v>
      </c>
      <c r="O1665" s="75">
        <v>0</v>
      </c>
      <c r="P1665" s="75"/>
      <c r="Q1665" s="75">
        <v>8.5500000000000007</v>
      </c>
      <c r="R1665" s="78"/>
      <c r="S1665" s="75"/>
      <c r="T1665" s="75">
        <f>STOCK[[#This Row],[Costo Unitario (USD)]]+STOCK[[#This Row],[Costo Envío (USD)]]+STOCK[[#This Row],[Comisión 10%]]</f>
        <v>1.8149999999999999</v>
      </c>
      <c r="U1665" s="53">
        <f>STOCK[[#This Row],[Costo total]]*1.5</f>
        <v>2.7225000000000001</v>
      </c>
      <c r="V1665" s="53">
        <v>18.149999999999999</v>
      </c>
      <c r="W1665" s="75">
        <f>STOCK[[#This Row],[Precio Final]]-STOCK[[#This Row],[Costo total]]</f>
        <v>16.334999999999997</v>
      </c>
      <c r="X1665" s="75">
        <f>STOCK[[#This Row],[Ganancia Unitaria]]*STOCK[[#This Row],[Salidas]]</f>
        <v>49.004999999999995</v>
      </c>
      <c r="Y1665" s="75">
        <v>0</v>
      </c>
      <c r="Z1665" s="88"/>
      <c r="AA1665" s="54">
        <f>STOCK[[#This Row],[Costo total]]*STOCK[[#This Row],[Entradas]]</f>
        <v>5.4450000000000003</v>
      </c>
      <c r="AB1665" s="54">
        <f>STOCK[[#This Row],[Stock Actual]]*STOCK[[#This Row],[Costo total]]</f>
        <v>0</v>
      </c>
      <c r="AC1665" s="75">
        <v>36.299999999999997</v>
      </c>
      <c r="AD1665" s="75"/>
    </row>
    <row r="1666" spans="1:30" s="53" customFormat="1" ht="50" customHeight="1">
      <c r="A1666" s="53" t="s">
        <v>3303</v>
      </c>
      <c r="B1666" s="83"/>
      <c r="C1666" s="53" t="s">
        <v>32</v>
      </c>
      <c r="D1666" s="84" t="s">
        <v>3279</v>
      </c>
      <c r="E1666" s="85" t="s">
        <v>3304</v>
      </c>
      <c r="F1666" s="86" t="s">
        <v>525</v>
      </c>
      <c r="G1666" s="75"/>
      <c r="H1666" s="75">
        <f>STOCK[[#This Row],[Precio Final]]</f>
        <v>7.2149999999999999</v>
      </c>
      <c r="I1666" s="80">
        <f>STOCK[[#This Row],[Precio Venta Ideal (x1.5)]]</f>
        <v>1.0822500000000002</v>
      </c>
      <c r="J1666" s="87">
        <v>4</v>
      </c>
      <c r="K1666" s="78">
        <f>SUMIFS(VENTAS[Cantidad],VENTAS[Código del producto Vendido],STOCK[[#This Row],[Code]])</f>
        <v>4</v>
      </c>
      <c r="L1666" s="78">
        <f>STOCK[[#This Row],[Entradas]]-STOCK[[#This Row],[Salidas]]</f>
        <v>0</v>
      </c>
      <c r="M1666" s="75">
        <f>STOCK[[#This Row],[Precio Final]]*10%</f>
        <v>0.72150000000000003</v>
      </c>
      <c r="N1666" s="54">
        <v>0</v>
      </c>
      <c r="O1666" s="75">
        <v>0</v>
      </c>
      <c r="P1666" s="75"/>
      <c r="Q1666" s="75">
        <v>2.56</v>
      </c>
      <c r="R1666" s="78"/>
      <c r="S1666" s="75"/>
      <c r="T1666" s="75">
        <f>STOCK[[#This Row],[Costo Unitario (USD)]]+STOCK[[#This Row],[Costo Envío (USD)]]+STOCK[[#This Row],[Comisión 10%]]</f>
        <v>0.72150000000000003</v>
      </c>
      <c r="U1666" s="53">
        <f>STOCK[[#This Row],[Costo total]]*1.5</f>
        <v>1.0822500000000002</v>
      </c>
      <c r="V1666" s="53">
        <v>7.2149999999999999</v>
      </c>
      <c r="W1666" s="75">
        <f>STOCK[[#This Row],[Precio Final]]-STOCK[[#This Row],[Costo total]]</f>
        <v>6.4935</v>
      </c>
      <c r="X1666" s="75">
        <f>STOCK[[#This Row],[Ganancia Unitaria]]*STOCK[[#This Row],[Salidas]]</f>
        <v>25.974</v>
      </c>
      <c r="Y1666" s="75">
        <v>0</v>
      </c>
      <c r="Z1666" s="88"/>
      <c r="AA1666" s="54">
        <f>STOCK[[#This Row],[Costo total]]*STOCK[[#This Row],[Entradas]]</f>
        <v>2.8860000000000001</v>
      </c>
      <c r="AB1666" s="54">
        <f>STOCK[[#This Row],[Stock Actual]]*STOCK[[#This Row],[Costo total]]</f>
        <v>0</v>
      </c>
      <c r="AC1666" s="75">
        <v>19.239999999999998</v>
      </c>
      <c r="AD1666" s="75"/>
    </row>
    <row r="1667" spans="1:30" s="53" customFormat="1" ht="50" customHeight="1">
      <c r="A1667" s="53" t="s">
        <v>3305</v>
      </c>
      <c r="B1667" s="83"/>
      <c r="C1667" s="53" t="s">
        <v>32</v>
      </c>
      <c r="D1667" s="84" t="s">
        <v>3279</v>
      </c>
      <c r="E1667" s="85" t="s">
        <v>3306</v>
      </c>
      <c r="F1667" s="86" t="s">
        <v>525</v>
      </c>
      <c r="G1667" s="75"/>
      <c r="H1667" s="75">
        <f>STOCK[[#This Row],[Precio Final]]</f>
        <v>6.2249999999999996</v>
      </c>
      <c r="I1667" s="80">
        <f>STOCK[[#This Row],[Precio Venta Ideal (x1.5)]]</f>
        <v>0.93375000000000008</v>
      </c>
      <c r="J1667" s="87">
        <v>4</v>
      </c>
      <c r="K1667" s="78">
        <f>SUMIFS(VENTAS[Cantidad],VENTAS[Código del producto Vendido],STOCK[[#This Row],[Code]])</f>
        <v>1</v>
      </c>
      <c r="L1667" s="78">
        <f>STOCK[[#This Row],[Entradas]]-STOCK[[#This Row],[Salidas]]</f>
        <v>3</v>
      </c>
      <c r="M1667" s="75">
        <f>STOCK[[#This Row],[Precio Final]]*10%</f>
        <v>0.62250000000000005</v>
      </c>
      <c r="N1667" s="54">
        <v>0</v>
      </c>
      <c r="O1667" s="75">
        <v>0</v>
      </c>
      <c r="P1667" s="75"/>
      <c r="Q1667" s="75">
        <v>2.2999999999999998</v>
      </c>
      <c r="R1667" s="78"/>
      <c r="S1667" s="75"/>
      <c r="T1667" s="75">
        <f>STOCK[[#This Row],[Costo Unitario (USD)]]+STOCK[[#This Row],[Costo Envío (USD)]]+STOCK[[#This Row],[Comisión 10%]]</f>
        <v>0.62250000000000005</v>
      </c>
      <c r="U1667" s="53">
        <f>STOCK[[#This Row],[Costo total]]*1.5</f>
        <v>0.93375000000000008</v>
      </c>
      <c r="V1667" s="53">
        <v>6.2249999999999996</v>
      </c>
      <c r="W1667" s="75">
        <f>STOCK[[#This Row],[Precio Final]]-STOCK[[#This Row],[Costo total]]</f>
        <v>5.6024999999999991</v>
      </c>
      <c r="X1667" s="75">
        <f>STOCK[[#This Row],[Ganancia Unitaria]]*STOCK[[#This Row],[Salidas]]</f>
        <v>5.6024999999999991</v>
      </c>
      <c r="Y1667" s="75">
        <v>0</v>
      </c>
      <c r="Z1667" s="88"/>
      <c r="AA1667" s="54">
        <f>STOCK[[#This Row],[Costo total]]*STOCK[[#This Row],[Entradas]]</f>
        <v>2.4900000000000002</v>
      </c>
      <c r="AB1667" s="54">
        <f>STOCK[[#This Row],[Stock Actual]]*STOCK[[#This Row],[Costo total]]</f>
        <v>1.8675000000000002</v>
      </c>
      <c r="AC1667" s="75">
        <v>16.600000000000001</v>
      </c>
      <c r="AD1667" s="75"/>
    </row>
    <row r="1668" spans="1:30" s="53" customFormat="1" ht="50" customHeight="1">
      <c r="A1668" s="53" t="s">
        <v>3307</v>
      </c>
      <c r="B1668" s="83"/>
      <c r="C1668" s="53" t="s">
        <v>32</v>
      </c>
      <c r="D1668" s="84" t="s">
        <v>3279</v>
      </c>
      <c r="E1668" s="85" t="s">
        <v>3308</v>
      </c>
      <c r="F1668" s="86" t="s">
        <v>525</v>
      </c>
      <c r="G1668" s="75"/>
      <c r="H1668" s="75">
        <f>STOCK[[#This Row],[Precio Final]]</f>
        <v>9.2249999999999996</v>
      </c>
      <c r="I1668" s="80">
        <f>STOCK[[#This Row],[Precio Venta Ideal (x1.5)]]</f>
        <v>1.38375</v>
      </c>
      <c r="J1668" s="87">
        <v>6</v>
      </c>
      <c r="K1668" s="78">
        <f>SUMIFS(VENTAS[Cantidad],VENTAS[Código del producto Vendido],STOCK[[#This Row],[Code]])</f>
        <v>6</v>
      </c>
      <c r="L1668" s="78">
        <f>STOCK[[#This Row],[Entradas]]-STOCK[[#This Row],[Salidas]]</f>
        <v>0</v>
      </c>
      <c r="M1668" s="75">
        <f>STOCK[[#This Row],[Precio Final]]*10%</f>
        <v>0.92249999999999999</v>
      </c>
      <c r="N1668" s="54">
        <v>0</v>
      </c>
      <c r="O1668" s="75">
        <v>0</v>
      </c>
      <c r="P1668" s="75"/>
      <c r="Q1668" s="75">
        <v>3.6</v>
      </c>
      <c r="R1668" s="78"/>
      <c r="S1668" s="75"/>
      <c r="T1668" s="75">
        <f>STOCK[[#This Row],[Costo Unitario (USD)]]+STOCK[[#This Row],[Costo Envío (USD)]]+STOCK[[#This Row],[Comisión 10%]]</f>
        <v>0.92249999999999999</v>
      </c>
      <c r="U1668" s="53">
        <f>STOCK[[#This Row],[Costo total]]*1.5</f>
        <v>1.38375</v>
      </c>
      <c r="V1668" s="53">
        <v>9.2249999999999996</v>
      </c>
      <c r="W1668" s="75">
        <f>STOCK[[#This Row],[Precio Final]]-STOCK[[#This Row],[Costo total]]</f>
        <v>8.3025000000000002</v>
      </c>
      <c r="X1668" s="75">
        <f>STOCK[[#This Row],[Ganancia Unitaria]]*STOCK[[#This Row],[Salidas]]</f>
        <v>49.814999999999998</v>
      </c>
      <c r="Y1668" s="75">
        <v>0</v>
      </c>
      <c r="Z1668" s="88"/>
      <c r="AA1668" s="54">
        <f>STOCK[[#This Row],[Costo total]]*STOCK[[#This Row],[Entradas]]</f>
        <v>5.5350000000000001</v>
      </c>
      <c r="AB1668" s="54">
        <f>STOCK[[#This Row],[Stock Actual]]*STOCK[[#This Row],[Costo total]]</f>
        <v>0</v>
      </c>
      <c r="AC1668" s="75">
        <v>36.9</v>
      </c>
      <c r="AD1668" s="75"/>
    </row>
    <row r="1669" spans="1:30" s="53" customFormat="1" ht="50" customHeight="1">
      <c r="A1669" s="53" t="s">
        <v>3309</v>
      </c>
      <c r="B1669" s="83"/>
      <c r="C1669" s="53" t="s">
        <v>32</v>
      </c>
      <c r="D1669" s="84" t="s">
        <v>3279</v>
      </c>
      <c r="E1669" s="85" t="s">
        <v>3310</v>
      </c>
      <c r="F1669" s="86" t="s">
        <v>525</v>
      </c>
      <c r="G1669" s="75"/>
      <c r="H1669" s="75">
        <f>STOCK[[#This Row],[Precio Final]]</f>
        <v>2.6850000000000001</v>
      </c>
      <c r="I1669" s="80">
        <f>STOCK[[#This Row],[Precio Venta Ideal (x1.5)]]</f>
        <v>0.40275000000000005</v>
      </c>
      <c r="J1669" s="87">
        <v>0</v>
      </c>
      <c r="K1669" s="78">
        <f>SUMIFS(VENTAS[Cantidad],VENTAS[Código del producto Vendido],STOCK[[#This Row],[Code]])</f>
        <v>0</v>
      </c>
      <c r="L1669" s="78">
        <f>STOCK[[#This Row],[Entradas]]-STOCK[[#This Row],[Salidas]]</f>
        <v>0</v>
      </c>
      <c r="M1669" s="75">
        <f>STOCK[[#This Row],[Precio Final]]*10%</f>
        <v>0.26850000000000002</v>
      </c>
      <c r="N1669" s="54">
        <v>0</v>
      </c>
      <c r="O1669" s="75">
        <v>0</v>
      </c>
      <c r="P1669" s="75"/>
      <c r="Q1669" s="75">
        <v>0.74</v>
      </c>
      <c r="R1669" s="78"/>
      <c r="S1669" s="75"/>
      <c r="T1669" s="75">
        <f>STOCK[[#This Row],[Costo Unitario (USD)]]+STOCK[[#This Row],[Costo Envío (USD)]]+STOCK[[#This Row],[Comisión 10%]]</f>
        <v>0.26850000000000002</v>
      </c>
      <c r="U1669" s="53">
        <f>STOCK[[#This Row],[Costo total]]*1.5</f>
        <v>0.40275000000000005</v>
      </c>
      <c r="V1669" s="53">
        <v>2.6850000000000001</v>
      </c>
      <c r="W1669" s="75">
        <f>STOCK[[#This Row],[Precio Final]]-STOCK[[#This Row],[Costo total]]</f>
        <v>2.4165000000000001</v>
      </c>
      <c r="X1669" s="75">
        <f>STOCK[[#This Row],[Ganancia Unitaria]]*STOCK[[#This Row],[Salidas]]</f>
        <v>0</v>
      </c>
      <c r="Y1669" s="75">
        <v>0</v>
      </c>
      <c r="Z1669" s="88"/>
      <c r="AA1669" s="54">
        <f>STOCK[[#This Row],[Costo total]]*STOCK[[#This Row],[Entradas]]</f>
        <v>0</v>
      </c>
      <c r="AB1669" s="54">
        <f>STOCK[[#This Row],[Stock Actual]]*STOCK[[#This Row],[Costo total]]</f>
        <v>0</v>
      </c>
      <c r="AC1669" s="75">
        <v>0</v>
      </c>
      <c r="AD1669" s="75"/>
    </row>
    <row r="1670" spans="1:30" s="53" customFormat="1" ht="50" customHeight="1">
      <c r="A1670" s="53" t="s">
        <v>3311</v>
      </c>
      <c r="B1670" s="83"/>
      <c r="C1670" s="53" t="s">
        <v>32</v>
      </c>
      <c r="D1670" s="84" t="s">
        <v>3279</v>
      </c>
      <c r="E1670" s="85" t="s">
        <v>3312</v>
      </c>
      <c r="F1670" s="86" t="s">
        <v>46</v>
      </c>
      <c r="G1670" s="75"/>
      <c r="H1670" s="75">
        <f>STOCK[[#This Row],[Precio Final]]</f>
        <v>8.7449999999999992</v>
      </c>
      <c r="I1670" s="80">
        <f>STOCK[[#This Row],[Precio Venta Ideal (x1.5)]]</f>
        <v>1.31175</v>
      </c>
      <c r="J1670" s="87">
        <v>2</v>
      </c>
      <c r="K1670" s="78">
        <f>SUMIFS(VENTAS[Cantidad],VENTAS[Código del producto Vendido],STOCK[[#This Row],[Code]])</f>
        <v>2</v>
      </c>
      <c r="L1670" s="78">
        <f>STOCK[[#This Row],[Entradas]]-STOCK[[#This Row],[Salidas]]</f>
        <v>0</v>
      </c>
      <c r="M1670" s="75">
        <f>STOCK[[#This Row],[Precio Final]]*10%</f>
        <v>0.87449999999999994</v>
      </c>
      <c r="N1670" s="54">
        <v>0</v>
      </c>
      <c r="O1670" s="75">
        <v>0</v>
      </c>
      <c r="P1670" s="75"/>
      <c r="Q1670" s="75">
        <v>3.58</v>
      </c>
      <c r="R1670" s="78"/>
      <c r="S1670" s="75"/>
      <c r="T1670" s="75">
        <f>STOCK[[#This Row],[Costo Unitario (USD)]]+STOCK[[#This Row],[Costo Envío (USD)]]+STOCK[[#This Row],[Comisión 10%]]</f>
        <v>0.87449999999999994</v>
      </c>
      <c r="U1670" s="53">
        <f>STOCK[[#This Row],[Costo total]]*1.5</f>
        <v>1.31175</v>
      </c>
      <c r="V1670" s="53">
        <v>8.7449999999999992</v>
      </c>
      <c r="W1670" s="75">
        <f>STOCK[[#This Row],[Precio Final]]-STOCK[[#This Row],[Costo total]]</f>
        <v>7.8704999999999989</v>
      </c>
      <c r="X1670" s="75">
        <f>STOCK[[#This Row],[Ganancia Unitaria]]*STOCK[[#This Row],[Salidas]]</f>
        <v>15.740999999999998</v>
      </c>
      <c r="Y1670" s="75">
        <v>0</v>
      </c>
      <c r="Z1670" s="88"/>
      <c r="AA1670" s="54">
        <f>STOCK[[#This Row],[Costo total]]*STOCK[[#This Row],[Entradas]]</f>
        <v>1.7489999999999999</v>
      </c>
      <c r="AB1670" s="54">
        <f>STOCK[[#This Row],[Stock Actual]]*STOCK[[#This Row],[Costo total]]</f>
        <v>0</v>
      </c>
      <c r="AC1670" s="75">
        <v>11.66</v>
      </c>
      <c r="AD1670" s="75"/>
    </row>
    <row r="1671" spans="1:30" s="53" customFormat="1" ht="50" customHeight="1">
      <c r="A1671" s="53" t="s">
        <v>3313</v>
      </c>
      <c r="B1671" s="83"/>
      <c r="C1671" s="53" t="s">
        <v>32</v>
      </c>
      <c r="D1671" s="84" t="s">
        <v>3279</v>
      </c>
      <c r="E1671" s="85" t="s">
        <v>3312</v>
      </c>
      <c r="F1671" s="86" t="s">
        <v>49</v>
      </c>
      <c r="G1671" s="75"/>
      <c r="H1671" s="75">
        <f>STOCK[[#This Row],[Precio Final]]</f>
        <v>8.7449999999999992</v>
      </c>
      <c r="I1671" s="80">
        <f>STOCK[[#This Row],[Precio Venta Ideal (x1.5)]]</f>
        <v>1.31175</v>
      </c>
      <c r="J1671" s="87">
        <v>2</v>
      </c>
      <c r="K1671" s="78">
        <f>SUMIFS(VENTAS[Cantidad],VENTAS[Código del producto Vendido],STOCK[[#This Row],[Code]])</f>
        <v>2</v>
      </c>
      <c r="L1671" s="78">
        <f>STOCK[[#This Row],[Entradas]]-STOCK[[#This Row],[Salidas]]</f>
        <v>0</v>
      </c>
      <c r="M1671" s="75">
        <f>STOCK[[#This Row],[Precio Final]]*10%</f>
        <v>0.87449999999999994</v>
      </c>
      <c r="N1671" s="54">
        <v>0</v>
      </c>
      <c r="O1671" s="75">
        <v>0</v>
      </c>
      <c r="P1671" s="75"/>
      <c r="Q1671" s="75">
        <v>3.58</v>
      </c>
      <c r="R1671" s="78"/>
      <c r="S1671" s="75"/>
      <c r="T1671" s="75">
        <f>STOCK[[#This Row],[Costo Unitario (USD)]]+STOCK[[#This Row],[Costo Envío (USD)]]+STOCK[[#This Row],[Comisión 10%]]</f>
        <v>0.87449999999999994</v>
      </c>
      <c r="U1671" s="53">
        <f>STOCK[[#This Row],[Costo total]]*1.5</f>
        <v>1.31175</v>
      </c>
      <c r="V1671" s="53">
        <v>8.7449999999999992</v>
      </c>
      <c r="W1671" s="75">
        <f>STOCK[[#This Row],[Precio Final]]-STOCK[[#This Row],[Costo total]]</f>
        <v>7.8704999999999989</v>
      </c>
      <c r="X1671" s="75">
        <f>STOCK[[#This Row],[Ganancia Unitaria]]*STOCK[[#This Row],[Salidas]]</f>
        <v>15.740999999999998</v>
      </c>
      <c r="Y1671" s="75">
        <v>0</v>
      </c>
      <c r="Z1671" s="88"/>
      <c r="AA1671" s="54">
        <f>STOCK[[#This Row],[Costo total]]*STOCK[[#This Row],[Entradas]]</f>
        <v>1.7489999999999999</v>
      </c>
      <c r="AB1671" s="54">
        <f>STOCK[[#This Row],[Stock Actual]]*STOCK[[#This Row],[Costo total]]</f>
        <v>0</v>
      </c>
      <c r="AC1671" s="75">
        <v>11.66</v>
      </c>
      <c r="AD1671" s="75"/>
    </row>
    <row r="1672" spans="1:30" s="53" customFormat="1" ht="50" customHeight="1">
      <c r="A1672" s="53" t="s">
        <v>3314</v>
      </c>
      <c r="B1672" s="83"/>
      <c r="C1672" s="53" t="s">
        <v>32</v>
      </c>
      <c r="D1672" s="84" t="s">
        <v>3279</v>
      </c>
      <c r="E1672" s="85" t="s">
        <v>3312</v>
      </c>
      <c r="F1672" s="86" t="s">
        <v>62</v>
      </c>
      <c r="G1672" s="75"/>
      <c r="H1672" s="75">
        <f>STOCK[[#This Row],[Precio Final]]</f>
        <v>8.7449999999999992</v>
      </c>
      <c r="I1672" s="80">
        <f>STOCK[[#This Row],[Precio Venta Ideal (x1.5)]]</f>
        <v>1.31175</v>
      </c>
      <c r="J1672" s="87">
        <v>2</v>
      </c>
      <c r="K1672" s="78">
        <f>SUMIFS(VENTAS[Cantidad],VENTAS[Código del producto Vendido],STOCK[[#This Row],[Code]])</f>
        <v>2</v>
      </c>
      <c r="L1672" s="78">
        <f>STOCK[[#This Row],[Entradas]]-STOCK[[#This Row],[Salidas]]</f>
        <v>0</v>
      </c>
      <c r="M1672" s="75">
        <f>STOCK[[#This Row],[Precio Final]]*10%</f>
        <v>0.87449999999999994</v>
      </c>
      <c r="N1672" s="54">
        <v>0</v>
      </c>
      <c r="O1672" s="75">
        <v>0</v>
      </c>
      <c r="P1672" s="75"/>
      <c r="Q1672" s="75">
        <v>3.58</v>
      </c>
      <c r="R1672" s="78"/>
      <c r="S1672" s="75"/>
      <c r="T1672" s="75">
        <f>STOCK[[#This Row],[Costo Unitario (USD)]]+STOCK[[#This Row],[Costo Envío (USD)]]+STOCK[[#This Row],[Comisión 10%]]</f>
        <v>0.87449999999999994</v>
      </c>
      <c r="U1672" s="53">
        <f>STOCK[[#This Row],[Costo total]]*1.5</f>
        <v>1.31175</v>
      </c>
      <c r="V1672" s="53">
        <v>8.7449999999999992</v>
      </c>
      <c r="W1672" s="75">
        <f>STOCK[[#This Row],[Precio Final]]-STOCK[[#This Row],[Costo total]]</f>
        <v>7.8704999999999989</v>
      </c>
      <c r="X1672" s="75">
        <f>STOCK[[#This Row],[Ganancia Unitaria]]*STOCK[[#This Row],[Salidas]]</f>
        <v>15.740999999999998</v>
      </c>
      <c r="Y1672" s="75">
        <v>0</v>
      </c>
      <c r="Z1672" s="88"/>
      <c r="AA1672" s="54">
        <f>STOCK[[#This Row],[Costo total]]*STOCK[[#This Row],[Entradas]]</f>
        <v>1.7489999999999999</v>
      </c>
      <c r="AB1672" s="54">
        <f>STOCK[[#This Row],[Stock Actual]]*STOCK[[#This Row],[Costo total]]</f>
        <v>0</v>
      </c>
      <c r="AC1672" s="75">
        <v>11.66</v>
      </c>
      <c r="AD1672" s="75"/>
    </row>
    <row r="1673" spans="1:30" s="53" customFormat="1" ht="50" customHeight="1">
      <c r="A1673" s="53" t="s">
        <v>3315</v>
      </c>
      <c r="B1673" s="83"/>
      <c r="C1673" s="53" t="s">
        <v>32</v>
      </c>
      <c r="D1673" s="84" t="s">
        <v>3279</v>
      </c>
      <c r="E1673" s="85" t="s">
        <v>3316</v>
      </c>
      <c r="F1673" s="86" t="s">
        <v>40</v>
      </c>
      <c r="G1673" s="75"/>
      <c r="H1673" s="75">
        <f>STOCK[[#This Row],[Precio Final]]</f>
        <v>15.555</v>
      </c>
      <c r="I1673" s="80">
        <f>STOCK[[#This Row],[Precio Venta Ideal (x1.5)]]</f>
        <v>2.33325</v>
      </c>
      <c r="J1673" s="87">
        <v>2</v>
      </c>
      <c r="K1673" s="78">
        <f>SUMIFS(VENTAS[Cantidad],VENTAS[Código del producto Vendido],STOCK[[#This Row],[Code]])</f>
        <v>2</v>
      </c>
      <c r="L1673" s="78">
        <f>STOCK[[#This Row],[Entradas]]-STOCK[[#This Row],[Salidas]]</f>
        <v>0</v>
      </c>
      <c r="M1673" s="75">
        <f>STOCK[[#This Row],[Precio Final]]*10%</f>
        <v>1.5555000000000001</v>
      </c>
      <c r="N1673" s="54">
        <v>0</v>
      </c>
      <c r="O1673" s="75">
        <v>0</v>
      </c>
      <c r="P1673" s="75"/>
      <c r="Q1673" s="75">
        <v>7.32</v>
      </c>
      <c r="R1673" s="78"/>
      <c r="S1673" s="75"/>
      <c r="T1673" s="75">
        <f>STOCK[[#This Row],[Costo Unitario (USD)]]+STOCK[[#This Row],[Costo Envío (USD)]]+STOCK[[#This Row],[Comisión 10%]]</f>
        <v>1.5555000000000001</v>
      </c>
      <c r="U1673" s="53">
        <f>STOCK[[#This Row],[Costo total]]*1.5</f>
        <v>2.33325</v>
      </c>
      <c r="V1673" s="53">
        <v>15.555</v>
      </c>
      <c r="W1673" s="75">
        <f>STOCK[[#This Row],[Precio Final]]-STOCK[[#This Row],[Costo total]]</f>
        <v>13.999499999999999</v>
      </c>
      <c r="X1673" s="75">
        <f>STOCK[[#This Row],[Ganancia Unitaria]]*STOCK[[#This Row],[Salidas]]</f>
        <v>27.998999999999999</v>
      </c>
      <c r="Y1673" s="75">
        <v>0</v>
      </c>
      <c r="Z1673" s="88"/>
      <c r="AA1673" s="54">
        <f>STOCK[[#This Row],[Costo total]]*STOCK[[#This Row],[Entradas]]</f>
        <v>3.1110000000000002</v>
      </c>
      <c r="AB1673" s="54">
        <f>STOCK[[#This Row],[Stock Actual]]*STOCK[[#This Row],[Costo total]]</f>
        <v>0</v>
      </c>
      <c r="AC1673" s="75">
        <v>20.74</v>
      </c>
      <c r="AD1673" s="75"/>
    </row>
    <row r="1674" spans="1:30" s="53" customFormat="1" ht="50" customHeight="1">
      <c r="A1674" s="53" t="s">
        <v>3317</v>
      </c>
      <c r="B1674" s="83"/>
      <c r="C1674" s="53" t="s">
        <v>32</v>
      </c>
      <c r="D1674" s="84" t="s">
        <v>3279</v>
      </c>
      <c r="E1674" s="85" t="s">
        <v>3318</v>
      </c>
      <c r="F1674" s="86" t="s">
        <v>62</v>
      </c>
      <c r="G1674" s="75"/>
      <c r="H1674" s="75">
        <f>STOCK[[#This Row],[Precio Final]]</f>
        <v>17.445</v>
      </c>
      <c r="I1674" s="80">
        <f>STOCK[[#This Row],[Precio Venta Ideal (x1.5)]]</f>
        <v>2.6167500000000001</v>
      </c>
      <c r="J1674" s="87">
        <v>2</v>
      </c>
      <c r="K1674" s="78">
        <f>SUMIFS(VENTAS[Cantidad],VENTAS[Código del producto Vendido],STOCK[[#This Row],[Code]])</f>
        <v>0</v>
      </c>
      <c r="L1674" s="78">
        <f>STOCK[[#This Row],[Entradas]]-STOCK[[#This Row],[Salidas]]</f>
        <v>2</v>
      </c>
      <c r="M1674" s="75">
        <f>STOCK[[#This Row],[Precio Final]]*10%</f>
        <v>1.7445000000000002</v>
      </c>
      <c r="N1674" s="54">
        <v>0</v>
      </c>
      <c r="O1674" s="75">
        <v>0</v>
      </c>
      <c r="P1674" s="75"/>
      <c r="Q1674" s="75">
        <v>8.3800000000000008</v>
      </c>
      <c r="R1674" s="78"/>
      <c r="S1674" s="75"/>
      <c r="T1674" s="75">
        <f>STOCK[[#This Row],[Costo Unitario (USD)]]+STOCK[[#This Row],[Costo Envío (USD)]]+STOCK[[#This Row],[Comisión 10%]]</f>
        <v>1.7445000000000002</v>
      </c>
      <c r="U1674" s="53">
        <f>STOCK[[#This Row],[Costo total]]*1.5</f>
        <v>2.6167500000000001</v>
      </c>
      <c r="V1674" s="53">
        <v>17.445</v>
      </c>
      <c r="W1674" s="75">
        <f>STOCK[[#This Row],[Precio Final]]-STOCK[[#This Row],[Costo total]]</f>
        <v>15.7005</v>
      </c>
      <c r="X1674" s="75">
        <f>STOCK[[#This Row],[Ganancia Unitaria]]*STOCK[[#This Row],[Salidas]]</f>
        <v>0</v>
      </c>
      <c r="Y1674" s="75">
        <v>0</v>
      </c>
      <c r="Z1674" s="88"/>
      <c r="AA1674" s="54">
        <f>STOCK[[#This Row],[Costo total]]*STOCK[[#This Row],[Entradas]]</f>
        <v>3.4890000000000003</v>
      </c>
      <c r="AB1674" s="54">
        <f>STOCK[[#This Row],[Stock Actual]]*STOCK[[#This Row],[Costo total]]</f>
        <v>3.4890000000000003</v>
      </c>
      <c r="AC1674" s="75">
        <v>23.26</v>
      </c>
      <c r="AD1674" s="75"/>
    </row>
    <row r="1675" spans="1:30" s="53" customFormat="1" ht="50" customHeight="1">
      <c r="A1675" s="53" t="s">
        <v>3319</v>
      </c>
      <c r="B1675" s="83"/>
      <c r="C1675" s="53" t="s">
        <v>32</v>
      </c>
      <c r="D1675" s="84" t="s">
        <v>3279</v>
      </c>
      <c r="E1675" s="85" t="s">
        <v>3318</v>
      </c>
      <c r="F1675" s="89" t="s">
        <v>49</v>
      </c>
      <c r="H1675" s="75">
        <f>STOCK[[#This Row],[Precio Final]]</f>
        <v>17.445</v>
      </c>
      <c r="I1675" s="80">
        <f>STOCK[[#This Row],[Precio Venta Ideal (x1.5)]]</f>
        <v>2.6167500000000001</v>
      </c>
      <c r="J1675" s="90">
        <v>2</v>
      </c>
      <c r="K1675" s="78">
        <f>SUMIFS(VENTAS[Cantidad],VENTAS[Código del producto Vendido],STOCK[[#This Row],[Code]])</f>
        <v>1</v>
      </c>
      <c r="L1675" s="78">
        <f>STOCK[[#This Row],[Entradas]]-STOCK[[#This Row],[Salidas]]</f>
        <v>1</v>
      </c>
      <c r="M1675" s="75">
        <f>STOCK[[#This Row],[Precio Final]]*10%</f>
        <v>1.7445000000000002</v>
      </c>
      <c r="N1675" s="54">
        <v>0</v>
      </c>
      <c r="O1675" s="75">
        <v>0</v>
      </c>
      <c r="P1675" s="75"/>
      <c r="Q1675" s="75">
        <v>8.3800000000000008</v>
      </c>
      <c r="R1675" s="69"/>
      <c r="T1675" s="75">
        <f>STOCK[[#This Row],[Costo Unitario (USD)]]+STOCK[[#This Row],[Costo Envío (USD)]]+STOCK[[#This Row],[Comisión 10%]]</f>
        <v>1.7445000000000002</v>
      </c>
      <c r="U1675" s="53">
        <f>STOCK[[#This Row],[Costo total]]*1.5</f>
        <v>2.6167500000000001</v>
      </c>
      <c r="V1675" s="53">
        <v>17.445</v>
      </c>
      <c r="W1675" s="75">
        <f>STOCK[[#This Row],[Precio Final]]-STOCK[[#This Row],[Costo total]]</f>
        <v>15.7005</v>
      </c>
      <c r="X1675" s="75">
        <f>STOCK[[#This Row],[Ganancia Unitaria]]*STOCK[[#This Row],[Salidas]]</f>
        <v>15.7005</v>
      </c>
      <c r="Y1675" s="53">
        <v>0</v>
      </c>
      <c r="Z1675" s="91"/>
      <c r="AA1675" s="54">
        <f>STOCK[[#This Row],[Costo total]]*STOCK[[#This Row],[Entradas]]</f>
        <v>3.4890000000000003</v>
      </c>
      <c r="AB1675" s="54">
        <f>STOCK[[#This Row],[Stock Actual]]*STOCK[[#This Row],[Costo total]]</f>
        <v>1.7445000000000002</v>
      </c>
      <c r="AC1675" s="53">
        <v>23.26</v>
      </c>
    </row>
    <row r="1676" spans="1:30" s="53" customFormat="1" ht="50" customHeight="1">
      <c r="A1676" s="53" t="s">
        <v>3320</v>
      </c>
      <c r="B1676" s="83"/>
      <c r="C1676" s="53" t="s">
        <v>32</v>
      </c>
      <c r="D1676" s="84" t="s">
        <v>3279</v>
      </c>
      <c r="E1676" s="85" t="s">
        <v>3318</v>
      </c>
      <c r="F1676" s="86" t="s">
        <v>46</v>
      </c>
      <c r="G1676" s="75"/>
      <c r="H1676" s="75">
        <f>STOCK[[#This Row],[Precio Final]]</f>
        <v>17.445</v>
      </c>
      <c r="I1676" s="80">
        <f>STOCK[[#This Row],[Precio Venta Ideal (x1.5)]]</f>
        <v>2.6167500000000001</v>
      </c>
      <c r="J1676" s="87">
        <v>2</v>
      </c>
      <c r="K1676" s="78">
        <f>SUMIFS(VENTAS[Cantidad],VENTAS[Código del producto Vendido],STOCK[[#This Row],[Code]])</f>
        <v>0</v>
      </c>
      <c r="L1676" s="78">
        <f>STOCK[[#This Row],[Entradas]]-STOCK[[#This Row],[Salidas]]</f>
        <v>2</v>
      </c>
      <c r="M1676" s="75">
        <f>STOCK[[#This Row],[Precio Final]]*10%</f>
        <v>1.7445000000000002</v>
      </c>
      <c r="N1676" s="54">
        <v>0</v>
      </c>
      <c r="O1676" s="75">
        <v>0</v>
      </c>
      <c r="P1676" s="75"/>
      <c r="Q1676" s="75">
        <v>8.3800000000000008</v>
      </c>
      <c r="R1676" s="78"/>
      <c r="S1676" s="75"/>
      <c r="T1676" s="75">
        <f>STOCK[[#This Row],[Costo Unitario (USD)]]+STOCK[[#This Row],[Costo Envío (USD)]]+STOCK[[#This Row],[Comisión 10%]]</f>
        <v>1.7445000000000002</v>
      </c>
      <c r="U1676" s="53">
        <f>STOCK[[#This Row],[Costo total]]*1.5</f>
        <v>2.6167500000000001</v>
      </c>
      <c r="V1676" s="53">
        <v>17.445</v>
      </c>
      <c r="W1676" s="75">
        <f>STOCK[[#This Row],[Precio Final]]-STOCK[[#This Row],[Costo total]]</f>
        <v>15.7005</v>
      </c>
      <c r="X1676" s="75">
        <f>STOCK[[#This Row],[Ganancia Unitaria]]*STOCK[[#This Row],[Salidas]]</f>
        <v>0</v>
      </c>
      <c r="Y1676" s="75">
        <v>0</v>
      </c>
      <c r="Z1676" s="88"/>
      <c r="AA1676" s="54">
        <f>STOCK[[#This Row],[Costo total]]*STOCK[[#This Row],[Entradas]]</f>
        <v>3.4890000000000003</v>
      </c>
      <c r="AB1676" s="54">
        <f>STOCK[[#This Row],[Stock Actual]]*STOCK[[#This Row],[Costo total]]</f>
        <v>3.4890000000000003</v>
      </c>
      <c r="AC1676" s="75">
        <v>23.26</v>
      </c>
      <c r="AD1676" s="75"/>
    </row>
    <row r="1677" spans="1:30" s="53" customFormat="1" ht="50" customHeight="1">
      <c r="A1677" s="53" t="s">
        <v>3321</v>
      </c>
      <c r="B1677" s="83"/>
      <c r="C1677" s="53" t="s">
        <v>32</v>
      </c>
      <c r="D1677" s="84" t="s">
        <v>3279</v>
      </c>
      <c r="E1677" s="85" t="s">
        <v>3322</v>
      </c>
      <c r="F1677" s="86" t="s">
        <v>3323</v>
      </c>
      <c r="G1677" s="75"/>
      <c r="H1677" s="75">
        <f>STOCK[[#This Row],[Precio Final]]</f>
        <v>17.655000000000001</v>
      </c>
      <c r="I1677" s="80">
        <f>STOCK[[#This Row],[Precio Venta Ideal (x1.5)]]</f>
        <v>2.6482500000000004</v>
      </c>
      <c r="J1677" s="87">
        <v>2</v>
      </c>
      <c r="K1677" s="78">
        <f>SUMIFS(VENTAS[Cantidad],VENTAS[Código del producto Vendido],STOCK[[#This Row],[Code]])</f>
        <v>0</v>
      </c>
      <c r="L1677" s="78">
        <f>STOCK[[#This Row],[Entradas]]-STOCK[[#This Row],[Salidas]]</f>
        <v>2</v>
      </c>
      <c r="M1677" s="75">
        <f>STOCK[[#This Row],[Precio Final]]*10%</f>
        <v>1.7655000000000003</v>
      </c>
      <c r="N1677" s="54">
        <v>0</v>
      </c>
      <c r="O1677" s="75">
        <v>0</v>
      </c>
      <c r="P1677" s="75"/>
      <c r="Q1677" s="75">
        <v>8.52</v>
      </c>
      <c r="R1677" s="78"/>
      <c r="S1677" s="75"/>
      <c r="T1677" s="75">
        <f>STOCK[[#This Row],[Costo Unitario (USD)]]+STOCK[[#This Row],[Costo Envío (USD)]]+STOCK[[#This Row],[Comisión 10%]]</f>
        <v>1.7655000000000003</v>
      </c>
      <c r="U1677" s="53">
        <f>STOCK[[#This Row],[Costo total]]*1.5</f>
        <v>2.6482500000000004</v>
      </c>
      <c r="V1677" s="53">
        <v>17.655000000000001</v>
      </c>
      <c r="W1677" s="75">
        <f>STOCK[[#This Row],[Precio Final]]-STOCK[[#This Row],[Costo total]]</f>
        <v>15.889500000000002</v>
      </c>
      <c r="X1677" s="75">
        <f>STOCK[[#This Row],[Ganancia Unitaria]]*STOCK[[#This Row],[Salidas]]</f>
        <v>0</v>
      </c>
      <c r="Y1677" s="75">
        <v>0</v>
      </c>
      <c r="Z1677" s="88"/>
      <c r="AA1677" s="54">
        <f>STOCK[[#This Row],[Costo total]]*STOCK[[#This Row],[Entradas]]</f>
        <v>3.5310000000000006</v>
      </c>
      <c r="AB1677" s="54">
        <f>STOCK[[#This Row],[Stock Actual]]*STOCK[[#This Row],[Costo total]]</f>
        <v>3.5310000000000006</v>
      </c>
      <c r="AC1677" s="75">
        <v>23.54</v>
      </c>
      <c r="AD1677" s="75"/>
    </row>
    <row r="1678" spans="1:30" s="53" customFormat="1" ht="50" customHeight="1">
      <c r="A1678" s="53" t="s">
        <v>3324</v>
      </c>
      <c r="B1678" s="83"/>
      <c r="C1678" s="53" t="s">
        <v>32</v>
      </c>
      <c r="D1678" s="84" t="s">
        <v>3279</v>
      </c>
      <c r="E1678" s="85" t="s">
        <v>3325</v>
      </c>
      <c r="F1678" s="86" t="s">
        <v>525</v>
      </c>
      <c r="G1678" s="75"/>
      <c r="H1678" s="75">
        <f>STOCK[[#This Row],[Precio Final]]</f>
        <v>8.4600000000000009</v>
      </c>
      <c r="I1678" s="80">
        <f>STOCK[[#This Row],[Precio Venta Ideal (x1.5)]]</f>
        <v>1.2690000000000001</v>
      </c>
      <c r="J1678" s="87">
        <v>7</v>
      </c>
      <c r="K1678" s="78">
        <f>SUMIFS(VENTAS[Cantidad],VENTAS[Código del producto Vendido],STOCK[[#This Row],[Code]])</f>
        <v>3</v>
      </c>
      <c r="L1678" s="78">
        <f>STOCK[[#This Row],[Entradas]]-STOCK[[#This Row],[Salidas]]</f>
        <v>4</v>
      </c>
      <c r="M1678" s="75">
        <f>STOCK[[#This Row],[Precio Final]]*10%</f>
        <v>0.84600000000000009</v>
      </c>
      <c r="N1678" s="54">
        <v>0</v>
      </c>
      <c r="O1678" s="75">
        <v>0</v>
      </c>
      <c r="P1678" s="75"/>
      <c r="Q1678" s="75">
        <v>3.69</v>
      </c>
      <c r="R1678" s="78"/>
      <c r="S1678" s="75"/>
      <c r="T1678" s="75">
        <f>STOCK[[#This Row],[Costo Unitario (USD)]]+STOCK[[#This Row],[Costo Envío (USD)]]+STOCK[[#This Row],[Comisión 10%]]</f>
        <v>0.84600000000000009</v>
      </c>
      <c r="U1678" s="53">
        <f>STOCK[[#This Row],[Costo total]]*1.5</f>
        <v>1.2690000000000001</v>
      </c>
      <c r="V1678" s="53">
        <v>8.4600000000000009</v>
      </c>
      <c r="W1678" s="75">
        <f>STOCK[[#This Row],[Precio Final]]-STOCK[[#This Row],[Costo total]]</f>
        <v>7.6140000000000008</v>
      </c>
      <c r="X1678" s="75">
        <f>STOCK[[#This Row],[Ganancia Unitaria]]*STOCK[[#This Row],[Salidas]]</f>
        <v>22.842000000000002</v>
      </c>
      <c r="Y1678" s="75">
        <v>0</v>
      </c>
      <c r="Z1678" s="88"/>
      <c r="AA1678" s="54">
        <f>STOCK[[#This Row],[Costo total]]*STOCK[[#This Row],[Entradas]]</f>
        <v>5.9220000000000006</v>
      </c>
      <c r="AB1678" s="54">
        <f>STOCK[[#This Row],[Stock Actual]]*STOCK[[#This Row],[Costo total]]</f>
        <v>3.3840000000000003</v>
      </c>
      <c r="AC1678" s="75">
        <v>39.479999999999997</v>
      </c>
      <c r="AD1678" s="75"/>
    </row>
    <row r="1679" spans="1:30" s="53" customFormat="1" ht="50" customHeight="1">
      <c r="A1679" s="53" t="s">
        <v>3326</v>
      </c>
      <c r="B1679" s="83"/>
      <c r="C1679" s="53" t="s">
        <v>32</v>
      </c>
      <c r="D1679" s="84" t="s">
        <v>3279</v>
      </c>
      <c r="E1679" s="85" t="s">
        <v>3327</v>
      </c>
      <c r="F1679" s="86" t="s">
        <v>525</v>
      </c>
      <c r="G1679" s="75"/>
      <c r="H1679" s="75">
        <f>STOCK[[#This Row],[Precio Final]]</f>
        <v>14.58</v>
      </c>
      <c r="I1679" s="80">
        <f>STOCK[[#This Row],[Precio Venta Ideal (x1.5)]]</f>
        <v>2.1870000000000003</v>
      </c>
      <c r="J1679" s="87">
        <v>3</v>
      </c>
      <c r="K1679" s="78">
        <f>SUMIFS(VENTAS[Cantidad],VENTAS[Código del producto Vendido],STOCK[[#This Row],[Code]])</f>
        <v>5</v>
      </c>
      <c r="L1679" s="78">
        <f>STOCK[[#This Row],[Entradas]]-STOCK[[#This Row],[Salidas]]</f>
        <v>-2</v>
      </c>
      <c r="M1679" s="75">
        <f>STOCK[[#This Row],[Precio Final]]*10%</f>
        <v>1.4580000000000002</v>
      </c>
      <c r="N1679" s="54">
        <v>0</v>
      </c>
      <c r="O1679" s="75">
        <v>0</v>
      </c>
      <c r="P1679" s="75"/>
      <c r="Q1679" s="75">
        <v>6.67</v>
      </c>
      <c r="R1679" s="78"/>
      <c r="S1679" s="75"/>
      <c r="T1679" s="75">
        <f>STOCK[[#This Row],[Costo Unitario (USD)]]+STOCK[[#This Row],[Costo Envío (USD)]]+STOCK[[#This Row],[Comisión 10%]]</f>
        <v>1.4580000000000002</v>
      </c>
      <c r="U1679" s="53">
        <f>STOCK[[#This Row],[Costo total]]*1.5</f>
        <v>2.1870000000000003</v>
      </c>
      <c r="V1679" s="53">
        <v>14.58</v>
      </c>
      <c r="W1679" s="75">
        <f>STOCK[[#This Row],[Precio Final]]-STOCK[[#This Row],[Costo total]]</f>
        <v>13.122</v>
      </c>
      <c r="X1679" s="75">
        <f>STOCK[[#This Row],[Ganancia Unitaria]]*STOCK[[#This Row],[Salidas]]</f>
        <v>65.61</v>
      </c>
      <c r="Y1679" s="75">
        <v>0</v>
      </c>
      <c r="Z1679" s="88"/>
      <c r="AA1679" s="54">
        <f>STOCK[[#This Row],[Costo total]]*STOCK[[#This Row],[Entradas]]</f>
        <v>4.3740000000000006</v>
      </c>
      <c r="AB1679" s="54">
        <f>STOCK[[#This Row],[Stock Actual]]*STOCK[[#This Row],[Costo total]]</f>
        <v>-2.9160000000000004</v>
      </c>
      <c r="AC1679" s="75">
        <v>29.16</v>
      </c>
      <c r="AD1679" s="75"/>
    </row>
    <row r="1680" spans="1:30" s="53" customFormat="1" ht="50" customHeight="1">
      <c r="A1680" s="53" t="s">
        <v>3328</v>
      </c>
      <c r="B1680" s="83"/>
      <c r="C1680" s="53" t="s">
        <v>32</v>
      </c>
      <c r="D1680" s="84" t="s">
        <v>3279</v>
      </c>
      <c r="E1680" s="85" t="s">
        <v>3329</v>
      </c>
      <c r="F1680" s="86" t="s">
        <v>525</v>
      </c>
      <c r="G1680" s="75"/>
      <c r="H1680" s="75">
        <f>STOCK[[#This Row],[Precio Final]]</f>
        <v>4.5</v>
      </c>
      <c r="I1680" s="80">
        <f>STOCK[[#This Row],[Precio Venta Ideal (x1.5)]]</f>
        <v>0.67500000000000004</v>
      </c>
      <c r="J1680" s="87">
        <v>8</v>
      </c>
      <c r="K1680" s="78">
        <f>SUMIFS(VENTAS[Cantidad],VENTAS[Código del producto Vendido],STOCK[[#This Row],[Code]])</f>
        <v>11</v>
      </c>
      <c r="L1680" s="78">
        <f>STOCK[[#This Row],[Entradas]]-STOCK[[#This Row],[Salidas]]</f>
        <v>-3</v>
      </c>
      <c r="M1680" s="75">
        <f>STOCK[[#This Row],[Precio Final]]*10%</f>
        <v>0.45</v>
      </c>
      <c r="N1680" s="54">
        <v>0</v>
      </c>
      <c r="O1680" s="75">
        <v>0</v>
      </c>
      <c r="P1680" s="75"/>
      <c r="Q1680" s="75">
        <v>1.25</v>
      </c>
      <c r="R1680" s="78"/>
      <c r="S1680" s="75"/>
      <c r="T1680" s="75">
        <f>STOCK[[#This Row],[Costo Unitario (USD)]]+STOCK[[#This Row],[Costo Envío (USD)]]+STOCK[[#This Row],[Comisión 10%]]</f>
        <v>0.45</v>
      </c>
      <c r="U1680" s="53">
        <f>STOCK[[#This Row],[Costo total]]*1.5</f>
        <v>0.67500000000000004</v>
      </c>
      <c r="V1680" s="53">
        <v>4.5</v>
      </c>
      <c r="W1680" s="75">
        <f>STOCK[[#This Row],[Precio Final]]-STOCK[[#This Row],[Costo total]]</f>
        <v>4.05</v>
      </c>
      <c r="X1680" s="75">
        <f>STOCK[[#This Row],[Ganancia Unitaria]]*STOCK[[#This Row],[Salidas]]</f>
        <v>44.55</v>
      </c>
      <c r="Y1680" s="75">
        <v>0</v>
      </c>
      <c r="Z1680" s="88"/>
      <c r="AA1680" s="54">
        <f>STOCK[[#This Row],[Costo total]]*STOCK[[#This Row],[Entradas]]</f>
        <v>3.6</v>
      </c>
      <c r="AB1680" s="54">
        <f>STOCK[[#This Row],[Stock Actual]]*STOCK[[#This Row],[Costo total]]</f>
        <v>-1.35</v>
      </c>
      <c r="AC1680" s="75">
        <v>24</v>
      </c>
      <c r="AD1680" s="75"/>
    </row>
    <row r="1681" spans="1:30" s="53" customFormat="1" ht="50" customHeight="1">
      <c r="A1681" s="53" t="s">
        <v>3330</v>
      </c>
      <c r="B1681" s="83"/>
      <c r="C1681" s="53" t="s">
        <v>32</v>
      </c>
      <c r="D1681" s="84" t="s">
        <v>3279</v>
      </c>
      <c r="E1681" s="85" t="s">
        <v>3331</v>
      </c>
      <c r="F1681" s="86" t="s">
        <v>2109</v>
      </c>
      <c r="G1681" s="75"/>
      <c r="H1681" s="75">
        <f>STOCK[[#This Row],[Precio Final]]</f>
        <v>6.4050000000000002</v>
      </c>
      <c r="I1681" s="80">
        <f>STOCK[[#This Row],[Precio Venta Ideal (x1.5)]]</f>
        <v>0.9607500000000001</v>
      </c>
      <c r="J1681" s="87">
        <v>0</v>
      </c>
      <c r="K1681" s="78">
        <f>SUMIFS(VENTAS[Cantidad],VENTAS[Código del producto Vendido],STOCK[[#This Row],[Code]])</f>
        <v>0</v>
      </c>
      <c r="L1681" s="78">
        <f>STOCK[[#This Row],[Entradas]]-STOCK[[#This Row],[Salidas]]</f>
        <v>0</v>
      </c>
      <c r="M1681" s="75">
        <f>STOCK[[#This Row],[Precio Final]]*10%</f>
        <v>0.64050000000000007</v>
      </c>
      <c r="N1681" s="54">
        <v>0</v>
      </c>
      <c r="O1681" s="75">
        <v>0</v>
      </c>
      <c r="P1681" s="75"/>
      <c r="Q1681" s="75">
        <v>3.22</v>
      </c>
      <c r="R1681" s="78"/>
      <c r="S1681" s="75"/>
      <c r="T1681" s="75">
        <f>STOCK[[#This Row],[Costo Unitario (USD)]]+STOCK[[#This Row],[Costo Envío (USD)]]+STOCK[[#This Row],[Comisión 10%]]</f>
        <v>0.64050000000000007</v>
      </c>
      <c r="U1681" s="53">
        <f>STOCK[[#This Row],[Costo total]]*1.5</f>
        <v>0.9607500000000001</v>
      </c>
      <c r="V1681" s="53">
        <v>6.4050000000000002</v>
      </c>
      <c r="W1681" s="75">
        <f>STOCK[[#This Row],[Precio Final]]-STOCK[[#This Row],[Costo total]]</f>
        <v>5.7645</v>
      </c>
      <c r="X1681" s="75">
        <f>STOCK[[#This Row],[Ganancia Unitaria]]*STOCK[[#This Row],[Salidas]]</f>
        <v>0</v>
      </c>
      <c r="Y1681" s="75">
        <v>0</v>
      </c>
      <c r="Z1681" s="88"/>
      <c r="AA1681" s="54">
        <f>STOCK[[#This Row],[Costo total]]*STOCK[[#This Row],[Entradas]]</f>
        <v>0</v>
      </c>
      <c r="AB1681" s="54">
        <f>STOCK[[#This Row],[Stock Actual]]*STOCK[[#This Row],[Costo total]]</f>
        <v>0</v>
      </c>
      <c r="AC1681" s="75">
        <v>0</v>
      </c>
      <c r="AD1681" s="75"/>
    </row>
    <row r="1682" spans="1:30" s="53" customFormat="1" ht="50" customHeight="1">
      <c r="A1682" s="53" t="s">
        <v>3332</v>
      </c>
      <c r="B1682" s="83"/>
      <c r="C1682" s="53" t="s">
        <v>32</v>
      </c>
      <c r="D1682" s="84" t="s">
        <v>3279</v>
      </c>
      <c r="E1682" s="85" t="s">
        <v>3333</v>
      </c>
      <c r="F1682" s="86" t="s">
        <v>3334</v>
      </c>
      <c r="G1682" s="75"/>
      <c r="H1682" s="75">
        <f>STOCK[[#This Row],[Precio Final]]</f>
        <v>4.74</v>
      </c>
      <c r="I1682" s="80">
        <f>STOCK[[#This Row],[Precio Venta Ideal (x1.5)]]</f>
        <v>0.71100000000000008</v>
      </c>
      <c r="J1682" s="87">
        <v>8</v>
      </c>
      <c r="K1682" s="78">
        <f>SUMIFS(VENTAS[Cantidad],VENTAS[Código del producto Vendido],STOCK[[#This Row],[Code]])</f>
        <v>0</v>
      </c>
      <c r="L1682" s="78">
        <f>STOCK[[#This Row],[Entradas]]-STOCK[[#This Row],[Salidas]]</f>
        <v>8</v>
      </c>
      <c r="M1682" s="75">
        <f>STOCK[[#This Row],[Precio Final]]*10%</f>
        <v>0.47400000000000003</v>
      </c>
      <c r="N1682" s="54">
        <v>0</v>
      </c>
      <c r="O1682" s="75">
        <v>0</v>
      </c>
      <c r="P1682" s="75"/>
      <c r="Q1682" s="75">
        <v>1.61</v>
      </c>
      <c r="R1682" s="78"/>
      <c r="S1682" s="75"/>
      <c r="T1682" s="75">
        <f>STOCK[[#This Row],[Costo Unitario (USD)]]+STOCK[[#This Row],[Costo Envío (USD)]]+STOCK[[#This Row],[Comisión 10%]]</f>
        <v>0.47400000000000003</v>
      </c>
      <c r="U1682" s="53">
        <f>STOCK[[#This Row],[Costo total]]*1.5</f>
        <v>0.71100000000000008</v>
      </c>
      <c r="V1682" s="53">
        <v>4.74</v>
      </c>
      <c r="W1682" s="75">
        <f>STOCK[[#This Row],[Precio Final]]-STOCK[[#This Row],[Costo total]]</f>
        <v>4.266</v>
      </c>
      <c r="X1682" s="75">
        <f>STOCK[[#This Row],[Ganancia Unitaria]]*STOCK[[#This Row],[Salidas]]</f>
        <v>0</v>
      </c>
      <c r="Y1682" s="75">
        <v>0</v>
      </c>
      <c r="Z1682" s="88"/>
      <c r="AA1682" s="54">
        <f>STOCK[[#This Row],[Costo total]]*STOCK[[#This Row],[Entradas]]</f>
        <v>3.7920000000000003</v>
      </c>
      <c r="AB1682" s="54">
        <f>STOCK[[#This Row],[Stock Actual]]*STOCK[[#This Row],[Costo total]]</f>
        <v>3.7920000000000003</v>
      </c>
      <c r="AC1682" s="75">
        <v>25.28</v>
      </c>
      <c r="AD1682" s="75"/>
    </row>
    <row r="1683" spans="1:30" s="53" customFormat="1" ht="50" customHeight="1">
      <c r="A1683" s="53" t="s">
        <v>3335</v>
      </c>
      <c r="B1683" s="83"/>
      <c r="C1683" s="53" t="s">
        <v>32</v>
      </c>
      <c r="D1683" s="84" t="s">
        <v>3279</v>
      </c>
      <c r="E1683" s="85" t="s">
        <v>3336</v>
      </c>
      <c r="F1683" s="86" t="s">
        <v>3337</v>
      </c>
      <c r="G1683" s="75"/>
      <c r="H1683" s="75">
        <f>STOCK[[#This Row],[Precio Final]]</f>
        <v>3.6</v>
      </c>
      <c r="I1683" s="80">
        <f>STOCK[[#This Row],[Precio Venta Ideal (x1.5)]]</f>
        <v>0.54</v>
      </c>
      <c r="J1683" s="87">
        <v>5</v>
      </c>
      <c r="K1683" s="78">
        <f>SUMIFS(VENTAS[Cantidad],VENTAS[Código del producto Vendido],STOCK[[#This Row],[Code]])</f>
        <v>5</v>
      </c>
      <c r="L1683" s="78">
        <f>STOCK[[#This Row],[Entradas]]-STOCK[[#This Row],[Salidas]]</f>
        <v>0</v>
      </c>
      <c r="M1683" s="75">
        <f>STOCK[[#This Row],[Precio Final]]*10%</f>
        <v>0.36000000000000004</v>
      </c>
      <c r="N1683" s="54">
        <v>0</v>
      </c>
      <c r="O1683" s="75">
        <v>0</v>
      </c>
      <c r="P1683" s="75"/>
      <c r="Q1683" s="75">
        <v>0.85</v>
      </c>
      <c r="R1683" s="78"/>
      <c r="S1683" s="75"/>
      <c r="T1683" s="75">
        <f>STOCK[[#This Row],[Costo Unitario (USD)]]+STOCK[[#This Row],[Costo Envío (USD)]]+STOCK[[#This Row],[Comisión 10%]]</f>
        <v>0.36000000000000004</v>
      </c>
      <c r="U1683" s="53">
        <f>STOCK[[#This Row],[Costo total]]*1.5</f>
        <v>0.54</v>
      </c>
      <c r="V1683" s="53">
        <v>3.6</v>
      </c>
      <c r="W1683" s="75">
        <f>STOCK[[#This Row],[Precio Final]]-STOCK[[#This Row],[Costo total]]</f>
        <v>3.24</v>
      </c>
      <c r="X1683" s="75">
        <f>STOCK[[#This Row],[Ganancia Unitaria]]*STOCK[[#This Row],[Salidas]]</f>
        <v>16.200000000000003</v>
      </c>
      <c r="Y1683" s="75">
        <v>0</v>
      </c>
      <c r="Z1683" s="88"/>
      <c r="AA1683" s="54">
        <f>STOCK[[#This Row],[Costo total]]*STOCK[[#This Row],[Entradas]]</f>
        <v>1.8000000000000003</v>
      </c>
      <c r="AB1683" s="54">
        <f>STOCK[[#This Row],[Stock Actual]]*STOCK[[#This Row],[Costo total]]</f>
        <v>0</v>
      </c>
      <c r="AC1683" s="75">
        <v>12</v>
      </c>
      <c r="AD1683" s="75"/>
    </row>
    <row r="1684" spans="1:30" s="53" customFormat="1" ht="50" customHeight="1">
      <c r="A1684" s="53" t="s">
        <v>3338</v>
      </c>
      <c r="B1684" s="83"/>
      <c r="C1684" s="53" t="s">
        <v>32</v>
      </c>
      <c r="D1684" s="84" t="s">
        <v>3279</v>
      </c>
      <c r="E1684" s="85" t="s">
        <v>3339</v>
      </c>
      <c r="F1684" s="86" t="s">
        <v>3340</v>
      </c>
      <c r="G1684" s="75"/>
      <c r="H1684" s="75">
        <f>STOCK[[#This Row],[Precio Final]]</f>
        <v>8.67</v>
      </c>
      <c r="I1684" s="80">
        <f>STOCK[[#This Row],[Precio Venta Ideal (x1.5)]]</f>
        <v>1.3005</v>
      </c>
      <c r="J1684" s="87">
        <v>0</v>
      </c>
      <c r="K1684" s="78">
        <f>SUMIFS(VENTAS[Cantidad],VENTAS[Código del producto Vendido],STOCK[[#This Row],[Code]])</f>
        <v>0</v>
      </c>
      <c r="L1684" s="78">
        <f>STOCK[[#This Row],[Entradas]]-STOCK[[#This Row],[Salidas]]</f>
        <v>0</v>
      </c>
      <c r="M1684" s="75">
        <f>STOCK[[#This Row],[Precio Final]]*10%</f>
        <v>0.86699999999999999</v>
      </c>
      <c r="N1684" s="54">
        <v>0</v>
      </c>
      <c r="O1684" s="75">
        <v>0</v>
      </c>
      <c r="P1684" s="75"/>
      <c r="Q1684" s="75">
        <v>4.7300000000000004</v>
      </c>
      <c r="R1684" s="78"/>
      <c r="S1684" s="75"/>
      <c r="T1684" s="75">
        <f>STOCK[[#This Row],[Costo Unitario (USD)]]+STOCK[[#This Row],[Costo Envío (USD)]]+STOCK[[#This Row],[Comisión 10%]]</f>
        <v>0.86699999999999999</v>
      </c>
      <c r="U1684" s="53">
        <f>STOCK[[#This Row],[Costo total]]*1.5</f>
        <v>1.3005</v>
      </c>
      <c r="V1684" s="53">
        <v>8.67</v>
      </c>
      <c r="W1684" s="75">
        <f>STOCK[[#This Row],[Precio Final]]-STOCK[[#This Row],[Costo total]]</f>
        <v>7.8029999999999999</v>
      </c>
      <c r="X1684" s="75">
        <f>STOCK[[#This Row],[Ganancia Unitaria]]*STOCK[[#This Row],[Salidas]]</f>
        <v>0</v>
      </c>
      <c r="Y1684" s="75">
        <v>0</v>
      </c>
      <c r="Z1684" s="88"/>
      <c r="AA1684" s="54">
        <f>STOCK[[#This Row],[Costo total]]*STOCK[[#This Row],[Entradas]]</f>
        <v>0</v>
      </c>
      <c r="AB1684" s="54">
        <f>STOCK[[#This Row],[Stock Actual]]*STOCK[[#This Row],[Costo total]]</f>
        <v>0</v>
      </c>
      <c r="AC1684" s="75">
        <v>0</v>
      </c>
      <c r="AD1684" s="75"/>
    </row>
    <row r="1685" spans="1:30" s="53" customFormat="1" ht="50" customHeight="1">
      <c r="A1685" s="53" t="s">
        <v>3341</v>
      </c>
      <c r="B1685" s="83"/>
      <c r="C1685" s="53" t="s">
        <v>32</v>
      </c>
      <c r="D1685" s="84" t="s">
        <v>3279</v>
      </c>
      <c r="E1685" s="85" t="s">
        <v>3342</v>
      </c>
      <c r="F1685" s="86" t="s">
        <v>62</v>
      </c>
      <c r="G1685" s="75"/>
      <c r="H1685" s="75">
        <f>STOCK[[#This Row],[Precio Final]]</f>
        <v>19.754999999999999</v>
      </c>
      <c r="I1685" s="80">
        <f>STOCK[[#This Row],[Precio Venta Ideal (x1.5)]]</f>
        <v>2.9632499999999999</v>
      </c>
      <c r="J1685" s="87">
        <v>1</v>
      </c>
      <c r="K1685" s="78">
        <f>SUMIFS(VENTAS[Cantidad],VENTAS[Código del producto Vendido],STOCK[[#This Row],[Code]])</f>
        <v>1</v>
      </c>
      <c r="L1685" s="78">
        <f>STOCK[[#This Row],[Entradas]]-STOCK[[#This Row],[Salidas]]</f>
        <v>0</v>
      </c>
      <c r="M1685" s="75">
        <f>STOCK[[#This Row],[Precio Final]]*10%</f>
        <v>1.9755</v>
      </c>
      <c r="N1685" s="54">
        <v>0</v>
      </c>
      <c r="O1685" s="75">
        <v>0</v>
      </c>
      <c r="P1685" s="75"/>
      <c r="Q1685" s="75">
        <v>9.6199999999999992</v>
      </c>
      <c r="R1685" s="78"/>
      <c r="S1685" s="75"/>
      <c r="T1685" s="75">
        <f>STOCK[[#This Row],[Costo Unitario (USD)]]+STOCK[[#This Row],[Costo Envío (USD)]]+STOCK[[#This Row],[Comisión 10%]]</f>
        <v>1.9755</v>
      </c>
      <c r="U1685" s="53">
        <f>STOCK[[#This Row],[Costo total]]*1.5</f>
        <v>2.9632499999999999</v>
      </c>
      <c r="V1685" s="53">
        <v>19.754999999999999</v>
      </c>
      <c r="W1685" s="75">
        <f>STOCK[[#This Row],[Precio Final]]-STOCK[[#This Row],[Costo total]]</f>
        <v>17.779499999999999</v>
      </c>
      <c r="X1685" s="75">
        <f>STOCK[[#This Row],[Ganancia Unitaria]]*STOCK[[#This Row],[Salidas]]</f>
        <v>17.779499999999999</v>
      </c>
      <c r="Y1685" s="75">
        <v>0</v>
      </c>
      <c r="Z1685" s="88"/>
      <c r="AA1685" s="54">
        <f>STOCK[[#This Row],[Costo total]]*STOCK[[#This Row],[Entradas]]</f>
        <v>1.9755</v>
      </c>
      <c r="AB1685" s="54">
        <f>STOCK[[#This Row],[Stock Actual]]*STOCK[[#This Row],[Costo total]]</f>
        <v>0</v>
      </c>
      <c r="AC1685" s="75">
        <v>13.17</v>
      </c>
      <c r="AD1685" s="75"/>
    </row>
    <row r="1686" spans="1:30" s="53" customFormat="1" ht="50" customHeight="1">
      <c r="A1686" s="53" t="s">
        <v>3343</v>
      </c>
      <c r="B1686" s="83"/>
      <c r="C1686" s="53" t="s">
        <v>32</v>
      </c>
      <c r="D1686" s="84" t="s">
        <v>3279</v>
      </c>
      <c r="E1686" s="85" t="s">
        <v>3342</v>
      </c>
      <c r="F1686" s="86" t="s">
        <v>49</v>
      </c>
      <c r="G1686" s="75"/>
      <c r="H1686" s="75">
        <f>STOCK[[#This Row],[Precio Final]]</f>
        <v>19.754999999999999</v>
      </c>
      <c r="I1686" s="80">
        <f>STOCK[[#This Row],[Precio Venta Ideal (x1.5)]]</f>
        <v>2.9632499999999999</v>
      </c>
      <c r="J1686" s="87">
        <v>1</v>
      </c>
      <c r="K1686" s="78">
        <f>SUMIFS(VENTAS[Cantidad],VENTAS[Código del producto Vendido],STOCK[[#This Row],[Code]])</f>
        <v>1</v>
      </c>
      <c r="L1686" s="78">
        <f>STOCK[[#This Row],[Entradas]]-STOCK[[#This Row],[Salidas]]</f>
        <v>0</v>
      </c>
      <c r="M1686" s="75">
        <f>STOCK[[#This Row],[Precio Final]]*10%</f>
        <v>1.9755</v>
      </c>
      <c r="N1686" s="54">
        <v>0</v>
      </c>
      <c r="O1686" s="75">
        <v>0</v>
      </c>
      <c r="P1686" s="75"/>
      <c r="Q1686" s="75">
        <v>9.6199999999999992</v>
      </c>
      <c r="R1686" s="78"/>
      <c r="S1686" s="75"/>
      <c r="T1686" s="75">
        <f>STOCK[[#This Row],[Costo Unitario (USD)]]+STOCK[[#This Row],[Costo Envío (USD)]]+STOCK[[#This Row],[Comisión 10%]]</f>
        <v>1.9755</v>
      </c>
      <c r="U1686" s="53">
        <f>STOCK[[#This Row],[Costo total]]*1.5</f>
        <v>2.9632499999999999</v>
      </c>
      <c r="V1686" s="53">
        <v>19.754999999999999</v>
      </c>
      <c r="W1686" s="75">
        <f>STOCK[[#This Row],[Precio Final]]-STOCK[[#This Row],[Costo total]]</f>
        <v>17.779499999999999</v>
      </c>
      <c r="X1686" s="75">
        <f>STOCK[[#This Row],[Ganancia Unitaria]]*STOCK[[#This Row],[Salidas]]</f>
        <v>17.779499999999999</v>
      </c>
      <c r="Y1686" s="75">
        <v>0</v>
      </c>
      <c r="Z1686" s="88"/>
      <c r="AA1686" s="54">
        <f>STOCK[[#This Row],[Costo total]]*STOCK[[#This Row],[Entradas]]</f>
        <v>1.9755</v>
      </c>
      <c r="AB1686" s="54">
        <f>STOCK[[#This Row],[Stock Actual]]*STOCK[[#This Row],[Costo total]]</f>
        <v>0</v>
      </c>
      <c r="AC1686" s="75">
        <v>13.17</v>
      </c>
      <c r="AD1686" s="75"/>
    </row>
    <row r="1687" spans="1:30" s="53" customFormat="1" ht="50" customHeight="1">
      <c r="A1687" s="53" t="s">
        <v>3344</v>
      </c>
      <c r="B1687" s="83"/>
      <c r="C1687" s="53" t="s">
        <v>32</v>
      </c>
      <c r="D1687" s="84" t="s">
        <v>3279</v>
      </c>
      <c r="E1687" s="85" t="s">
        <v>3345</v>
      </c>
      <c r="F1687" s="86" t="s">
        <v>49</v>
      </c>
      <c r="G1687" s="75"/>
      <c r="H1687" s="75">
        <f>STOCK[[#This Row],[Precio Final]]</f>
        <v>17.91</v>
      </c>
      <c r="I1687" s="80">
        <f>STOCK[[#This Row],[Precio Venta Ideal (x1.5)]]</f>
        <v>2.6865000000000001</v>
      </c>
      <c r="J1687" s="87">
        <v>2</v>
      </c>
      <c r="K1687" s="78">
        <f>SUMIFS(VENTAS[Cantidad],VENTAS[Código del producto Vendido],STOCK[[#This Row],[Code]])</f>
        <v>2</v>
      </c>
      <c r="L1687" s="78">
        <f>STOCK[[#This Row],[Entradas]]-STOCK[[#This Row],[Salidas]]</f>
        <v>0</v>
      </c>
      <c r="M1687" s="75">
        <f>STOCK[[#This Row],[Precio Final]]*10%</f>
        <v>1.7910000000000001</v>
      </c>
      <c r="N1687" s="54">
        <v>0</v>
      </c>
      <c r="O1687" s="75">
        <v>0</v>
      </c>
      <c r="P1687" s="75"/>
      <c r="Q1687" s="75">
        <v>8.39</v>
      </c>
      <c r="R1687" s="78"/>
      <c r="S1687" s="75"/>
      <c r="T1687" s="75">
        <f>STOCK[[#This Row],[Costo Unitario (USD)]]+STOCK[[#This Row],[Costo Envío (USD)]]+STOCK[[#This Row],[Comisión 10%]]</f>
        <v>1.7910000000000001</v>
      </c>
      <c r="U1687" s="53">
        <f>STOCK[[#This Row],[Costo total]]*1.5</f>
        <v>2.6865000000000001</v>
      </c>
      <c r="V1687" s="53">
        <v>17.91</v>
      </c>
      <c r="W1687" s="75">
        <f>STOCK[[#This Row],[Precio Final]]-STOCK[[#This Row],[Costo total]]</f>
        <v>16.119</v>
      </c>
      <c r="X1687" s="75">
        <f>STOCK[[#This Row],[Ganancia Unitaria]]*STOCK[[#This Row],[Salidas]]</f>
        <v>32.238</v>
      </c>
      <c r="Y1687" s="75">
        <v>0</v>
      </c>
      <c r="Z1687" s="88"/>
      <c r="AA1687" s="54">
        <f>STOCK[[#This Row],[Costo total]]*STOCK[[#This Row],[Entradas]]</f>
        <v>3.5820000000000003</v>
      </c>
      <c r="AB1687" s="54">
        <f>STOCK[[#This Row],[Stock Actual]]*STOCK[[#This Row],[Costo total]]</f>
        <v>0</v>
      </c>
      <c r="AC1687" s="75">
        <v>23.88</v>
      </c>
      <c r="AD1687" s="75"/>
    </row>
    <row r="1688" spans="1:30" s="53" customFormat="1" ht="50" customHeight="1">
      <c r="A1688" s="53" t="s">
        <v>3346</v>
      </c>
      <c r="B1688" s="83"/>
      <c r="C1688" s="53" t="s">
        <v>32</v>
      </c>
      <c r="D1688" s="84" t="s">
        <v>3279</v>
      </c>
      <c r="E1688" s="85" t="s">
        <v>3345</v>
      </c>
      <c r="F1688" s="86" t="s">
        <v>46</v>
      </c>
      <c r="G1688" s="75"/>
      <c r="H1688" s="75">
        <f>STOCK[[#This Row],[Precio Final]]</f>
        <v>17.91</v>
      </c>
      <c r="I1688" s="80">
        <f>STOCK[[#This Row],[Precio Venta Ideal (x1.5)]]</f>
        <v>2.6865000000000001</v>
      </c>
      <c r="J1688" s="87">
        <v>1</v>
      </c>
      <c r="K1688" s="78">
        <f>SUMIFS(VENTAS[Cantidad],VENTAS[Código del producto Vendido],STOCK[[#This Row],[Code]])</f>
        <v>0</v>
      </c>
      <c r="L1688" s="78">
        <f>STOCK[[#This Row],[Entradas]]-STOCK[[#This Row],[Salidas]]</f>
        <v>1</v>
      </c>
      <c r="M1688" s="75">
        <f>STOCK[[#This Row],[Precio Final]]*10%</f>
        <v>1.7910000000000001</v>
      </c>
      <c r="N1688" s="54">
        <v>0</v>
      </c>
      <c r="O1688" s="75">
        <v>0</v>
      </c>
      <c r="P1688" s="75"/>
      <c r="Q1688" s="75">
        <v>8.39</v>
      </c>
      <c r="R1688" s="78"/>
      <c r="S1688" s="75"/>
      <c r="T1688" s="75">
        <f>STOCK[[#This Row],[Costo Unitario (USD)]]+STOCK[[#This Row],[Costo Envío (USD)]]+STOCK[[#This Row],[Comisión 10%]]</f>
        <v>1.7910000000000001</v>
      </c>
      <c r="U1688" s="53">
        <f>STOCK[[#This Row],[Costo total]]*1.5</f>
        <v>2.6865000000000001</v>
      </c>
      <c r="V1688" s="53">
        <v>17.91</v>
      </c>
      <c r="W1688" s="75">
        <f>STOCK[[#This Row],[Precio Final]]-STOCK[[#This Row],[Costo total]]</f>
        <v>16.119</v>
      </c>
      <c r="X1688" s="75">
        <f>STOCK[[#This Row],[Ganancia Unitaria]]*STOCK[[#This Row],[Salidas]]</f>
        <v>0</v>
      </c>
      <c r="Y1688" s="75">
        <v>0</v>
      </c>
      <c r="Z1688" s="88"/>
      <c r="AA1688" s="54">
        <f>STOCK[[#This Row],[Costo total]]*STOCK[[#This Row],[Entradas]]</f>
        <v>1.7910000000000001</v>
      </c>
      <c r="AB1688" s="54">
        <f>STOCK[[#This Row],[Stock Actual]]*STOCK[[#This Row],[Costo total]]</f>
        <v>1.7910000000000001</v>
      </c>
      <c r="AC1688" s="75">
        <v>11.94</v>
      </c>
      <c r="AD1688" s="75"/>
    </row>
    <row r="1689" spans="1:30" s="53" customFormat="1" ht="50" customHeight="1">
      <c r="A1689" s="53" t="s">
        <v>3347</v>
      </c>
      <c r="B1689" s="83"/>
      <c r="C1689" s="53" t="s">
        <v>32</v>
      </c>
      <c r="D1689" s="84" t="s">
        <v>3279</v>
      </c>
      <c r="E1689" s="85" t="s">
        <v>3348</v>
      </c>
      <c r="F1689" s="86" t="s">
        <v>62</v>
      </c>
      <c r="G1689" s="75"/>
      <c r="H1689" s="75">
        <f>STOCK[[#This Row],[Precio Final]]</f>
        <v>20.204999999999998</v>
      </c>
      <c r="I1689" s="80">
        <f>STOCK[[#This Row],[Precio Venta Ideal (x1.5)]]</f>
        <v>3.0307499999999994</v>
      </c>
      <c r="J1689" s="87">
        <v>2</v>
      </c>
      <c r="K1689" s="78">
        <f>SUMIFS(VENTAS[Cantidad],VENTAS[Código del producto Vendido],STOCK[[#This Row],[Code]])</f>
        <v>2</v>
      </c>
      <c r="L1689" s="78">
        <f>STOCK[[#This Row],[Entradas]]-STOCK[[#This Row],[Salidas]]</f>
        <v>0</v>
      </c>
      <c r="M1689" s="75">
        <f>STOCK[[#This Row],[Precio Final]]*10%</f>
        <v>2.0204999999999997</v>
      </c>
      <c r="N1689" s="54">
        <v>0</v>
      </c>
      <c r="O1689" s="75">
        <v>0</v>
      </c>
      <c r="P1689" s="75"/>
      <c r="Q1689" s="75">
        <v>9.92</v>
      </c>
      <c r="R1689" s="78"/>
      <c r="S1689" s="75"/>
      <c r="T1689" s="75">
        <f>STOCK[[#This Row],[Costo Unitario (USD)]]+STOCK[[#This Row],[Costo Envío (USD)]]+STOCK[[#This Row],[Comisión 10%]]</f>
        <v>2.0204999999999997</v>
      </c>
      <c r="U1689" s="53">
        <f>STOCK[[#This Row],[Costo total]]*1.5</f>
        <v>3.0307499999999994</v>
      </c>
      <c r="V1689" s="53">
        <v>20.204999999999998</v>
      </c>
      <c r="W1689" s="75">
        <f>STOCK[[#This Row],[Precio Final]]-STOCK[[#This Row],[Costo total]]</f>
        <v>18.1845</v>
      </c>
      <c r="X1689" s="75">
        <f>STOCK[[#This Row],[Ganancia Unitaria]]*STOCK[[#This Row],[Salidas]]</f>
        <v>36.369</v>
      </c>
      <c r="Y1689" s="75">
        <v>0</v>
      </c>
      <c r="Z1689" s="88"/>
      <c r="AA1689" s="54">
        <f>STOCK[[#This Row],[Costo total]]*STOCK[[#This Row],[Entradas]]</f>
        <v>4.0409999999999995</v>
      </c>
      <c r="AB1689" s="54">
        <f>STOCK[[#This Row],[Stock Actual]]*STOCK[[#This Row],[Costo total]]</f>
        <v>0</v>
      </c>
      <c r="AC1689" s="75">
        <v>26.94</v>
      </c>
      <c r="AD1689" s="75"/>
    </row>
    <row r="1690" spans="1:30" s="53" customFormat="1" ht="50" customHeight="1">
      <c r="A1690" s="53" t="s">
        <v>3349</v>
      </c>
      <c r="B1690" s="83"/>
      <c r="C1690" s="53" t="s">
        <v>32</v>
      </c>
      <c r="D1690" s="84" t="s">
        <v>3279</v>
      </c>
      <c r="E1690" s="85" t="s">
        <v>3348</v>
      </c>
      <c r="F1690" s="86" t="s">
        <v>49</v>
      </c>
      <c r="G1690" s="75"/>
      <c r="H1690" s="75">
        <f>STOCK[[#This Row],[Precio Final]]</f>
        <v>20.204999999999998</v>
      </c>
      <c r="I1690" s="80">
        <f>STOCK[[#This Row],[Precio Venta Ideal (x1.5)]]</f>
        <v>3.0307499999999994</v>
      </c>
      <c r="J1690" s="87">
        <v>2</v>
      </c>
      <c r="K1690" s="78">
        <f>SUMIFS(VENTAS[Cantidad],VENTAS[Código del producto Vendido],STOCK[[#This Row],[Code]])</f>
        <v>2</v>
      </c>
      <c r="L1690" s="78">
        <f>STOCK[[#This Row],[Entradas]]-STOCK[[#This Row],[Salidas]]</f>
        <v>0</v>
      </c>
      <c r="M1690" s="75">
        <f>STOCK[[#This Row],[Precio Final]]*10%</f>
        <v>2.0204999999999997</v>
      </c>
      <c r="N1690" s="54">
        <v>0</v>
      </c>
      <c r="O1690" s="75">
        <v>0</v>
      </c>
      <c r="P1690" s="75"/>
      <c r="Q1690" s="75">
        <v>9.92</v>
      </c>
      <c r="R1690" s="78"/>
      <c r="S1690" s="75"/>
      <c r="T1690" s="75">
        <f>STOCK[[#This Row],[Costo Unitario (USD)]]+STOCK[[#This Row],[Costo Envío (USD)]]+STOCK[[#This Row],[Comisión 10%]]</f>
        <v>2.0204999999999997</v>
      </c>
      <c r="U1690" s="53">
        <f>STOCK[[#This Row],[Costo total]]*1.5</f>
        <v>3.0307499999999994</v>
      </c>
      <c r="V1690" s="53">
        <v>20.204999999999998</v>
      </c>
      <c r="W1690" s="75">
        <f>STOCK[[#This Row],[Precio Final]]-STOCK[[#This Row],[Costo total]]</f>
        <v>18.1845</v>
      </c>
      <c r="X1690" s="75">
        <f>STOCK[[#This Row],[Ganancia Unitaria]]*STOCK[[#This Row],[Salidas]]</f>
        <v>36.369</v>
      </c>
      <c r="Y1690" s="75">
        <v>0</v>
      </c>
      <c r="Z1690" s="88"/>
      <c r="AA1690" s="54">
        <f>STOCK[[#This Row],[Costo total]]*STOCK[[#This Row],[Entradas]]</f>
        <v>4.0409999999999995</v>
      </c>
      <c r="AB1690" s="54">
        <f>STOCK[[#This Row],[Stock Actual]]*STOCK[[#This Row],[Costo total]]</f>
        <v>0</v>
      </c>
      <c r="AC1690" s="75">
        <v>26.94</v>
      </c>
      <c r="AD1690" s="75"/>
    </row>
    <row r="1691" spans="1:30" s="53" customFormat="1" ht="50" customHeight="1">
      <c r="A1691" s="53" t="s">
        <v>3350</v>
      </c>
      <c r="B1691" s="83"/>
      <c r="C1691" s="53" t="s">
        <v>32</v>
      </c>
      <c r="D1691" s="84" t="s">
        <v>3279</v>
      </c>
      <c r="E1691" s="85" t="s">
        <v>3351</v>
      </c>
      <c r="F1691" s="86" t="s">
        <v>49</v>
      </c>
      <c r="G1691" s="75"/>
      <c r="H1691" s="75">
        <f>STOCK[[#This Row],[Precio Final]]</f>
        <v>19.905000000000001</v>
      </c>
      <c r="I1691" s="80">
        <f>STOCK[[#This Row],[Precio Venta Ideal (x1.5)]]</f>
        <v>2.9857500000000003</v>
      </c>
      <c r="J1691" s="87">
        <v>2</v>
      </c>
      <c r="K1691" s="78">
        <f>SUMIFS(VENTAS[Cantidad],VENTAS[Código del producto Vendido],STOCK[[#This Row],[Code]])</f>
        <v>2</v>
      </c>
      <c r="L1691" s="78">
        <f>STOCK[[#This Row],[Entradas]]-STOCK[[#This Row],[Salidas]]</f>
        <v>0</v>
      </c>
      <c r="M1691" s="75">
        <f>STOCK[[#This Row],[Precio Final]]*10%</f>
        <v>1.9905000000000002</v>
      </c>
      <c r="N1691" s="54">
        <v>0</v>
      </c>
      <c r="O1691" s="75">
        <v>0</v>
      </c>
      <c r="P1691" s="75"/>
      <c r="Q1691" s="75">
        <v>9.7200000000000006</v>
      </c>
      <c r="R1691" s="78"/>
      <c r="S1691" s="75"/>
      <c r="T1691" s="75">
        <f>STOCK[[#This Row],[Costo Unitario (USD)]]+STOCK[[#This Row],[Costo Envío (USD)]]+STOCK[[#This Row],[Comisión 10%]]</f>
        <v>1.9905000000000002</v>
      </c>
      <c r="U1691" s="53">
        <f>STOCK[[#This Row],[Costo total]]*1.5</f>
        <v>2.9857500000000003</v>
      </c>
      <c r="V1691" s="53">
        <v>19.905000000000001</v>
      </c>
      <c r="W1691" s="75">
        <f>STOCK[[#This Row],[Precio Final]]-STOCK[[#This Row],[Costo total]]</f>
        <v>17.9145</v>
      </c>
      <c r="X1691" s="75">
        <f>STOCK[[#This Row],[Ganancia Unitaria]]*STOCK[[#This Row],[Salidas]]</f>
        <v>35.829000000000001</v>
      </c>
      <c r="Y1691" s="75">
        <v>0</v>
      </c>
      <c r="Z1691" s="88"/>
      <c r="AA1691" s="54">
        <f>STOCK[[#This Row],[Costo total]]*STOCK[[#This Row],[Entradas]]</f>
        <v>3.9810000000000003</v>
      </c>
      <c r="AB1691" s="54">
        <f>STOCK[[#This Row],[Stock Actual]]*STOCK[[#This Row],[Costo total]]</f>
        <v>0</v>
      </c>
      <c r="AC1691" s="75">
        <v>26.54</v>
      </c>
      <c r="AD1691" s="75"/>
    </row>
    <row r="1692" spans="1:30" s="53" customFormat="1" ht="50" customHeight="1">
      <c r="A1692" s="53" t="s">
        <v>3352</v>
      </c>
      <c r="B1692" s="83"/>
      <c r="C1692" s="53" t="s">
        <v>32</v>
      </c>
      <c r="D1692" s="84" t="s">
        <v>3279</v>
      </c>
      <c r="E1692" s="85" t="s">
        <v>3351</v>
      </c>
      <c r="F1692" s="86" t="s">
        <v>46</v>
      </c>
      <c r="G1692" s="75"/>
      <c r="H1692" s="75">
        <f>STOCK[[#This Row],[Precio Final]]</f>
        <v>19.905000000000001</v>
      </c>
      <c r="I1692" s="80">
        <f>STOCK[[#This Row],[Precio Venta Ideal (x1.5)]]</f>
        <v>2.9857500000000003</v>
      </c>
      <c r="J1692" s="87">
        <v>1</v>
      </c>
      <c r="K1692" s="78">
        <f>SUMIFS(VENTAS[Cantidad],VENTAS[Código del producto Vendido],STOCK[[#This Row],[Code]])</f>
        <v>1</v>
      </c>
      <c r="L1692" s="78">
        <f>STOCK[[#This Row],[Entradas]]-STOCK[[#This Row],[Salidas]]</f>
        <v>0</v>
      </c>
      <c r="M1692" s="75">
        <f>STOCK[[#This Row],[Precio Final]]*10%</f>
        <v>1.9905000000000002</v>
      </c>
      <c r="N1692" s="54">
        <v>0</v>
      </c>
      <c r="O1692" s="75">
        <v>0</v>
      </c>
      <c r="P1692" s="75"/>
      <c r="Q1692" s="75">
        <v>9.7200000000000006</v>
      </c>
      <c r="R1692" s="78"/>
      <c r="S1692" s="75"/>
      <c r="T1692" s="75">
        <f>STOCK[[#This Row],[Costo Unitario (USD)]]+STOCK[[#This Row],[Costo Envío (USD)]]+STOCK[[#This Row],[Comisión 10%]]</f>
        <v>1.9905000000000002</v>
      </c>
      <c r="U1692" s="53">
        <f>STOCK[[#This Row],[Costo total]]*1.5</f>
        <v>2.9857500000000003</v>
      </c>
      <c r="V1692" s="53">
        <v>19.905000000000001</v>
      </c>
      <c r="W1692" s="75">
        <f>STOCK[[#This Row],[Precio Final]]-STOCK[[#This Row],[Costo total]]</f>
        <v>17.9145</v>
      </c>
      <c r="X1692" s="75">
        <f>STOCK[[#This Row],[Ganancia Unitaria]]*STOCK[[#This Row],[Salidas]]</f>
        <v>17.9145</v>
      </c>
      <c r="Y1692" s="75">
        <v>0</v>
      </c>
      <c r="Z1692" s="88"/>
      <c r="AA1692" s="54">
        <f>STOCK[[#This Row],[Costo total]]*STOCK[[#This Row],[Entradas]]</f>
        <v>1.9905000000000002</v>
      </c>
      <c r="AB1692" s="54">
        <f>STOCK[[#This Row],[Stock Actual]]*STOCK[[#This Row],[Costo total]]</f>
        <v>0</v>
      </c>
      <c r="AC1692" s="75">
        <v>13.27</v>
      </c>
      <c r="AD1692" s="75"/>
    </row>
    <row r="1693" spans="1:30" s="53" customFormat="1" ht="50" customHeight="1">
      <c r="A1693" s="53" t="s">
        <v>3353</v>
      </c>
      <c r="B1693" s="83"/>
      <c r="C1693" s="53" t="s">
        <v>32</v>
      </c>
      <c r="D1693" s="84" t="s">
        <v>3279</v>
      </c>
      <c r="E1693" s="85" t="s">
        <v>3354</v>
      </c>
      <c r="F1693" s="86" t="s">
        <v>525</v>
      </c>
      <c r="G1693" s="75"/>
      <c r="H1693" s="75">
        <f>STOCK[[#This Row],[Precio Final]]</f>
        <v>14.58</v>
      </c>
      <c r="I1693" s="80">
        <f>STOCK[[#This Row],[Precio Venta Ideal (x1.5)]]</f>
        <v>2.1870000000000003</v>
      </c>
      <c r="J1693" s="87">
        <v>3</v>
      </c>
      <c r="K1693" s="78">
        <f>SUMIFS(VENTAS[Cantidad],VENTAS[Código del producto Vendido],STOCK[[#This Row],[Code]])</f>
        <v>1</v>
      </c>
      <c r="L1693" s="78">
        <f>STOCK[[#This Row],[Entradas]]-STOCK[[#This Row],[Salidas]]</f>
        <v>2</v>
      </c>
      <c r="M1693" s="75">
        <f>STOCK[[#This Row],[Precio Final]]*10%</f>
        <v>1.4580000000000002</v>
      </c>
      <c r="N1693" s="54">
        <v>0</v>
      </c>
      <c r="O1693" s="75">
        <v>0</v>
      </c>
      <c r="P1693" s="75"/>
      <c r="Q1693" s="75">
        <v>6.67</v>
      </c>
      <c r="R1693" s="78"/>
      <c r="S1693" s="75"/>
      <c r="T1693" s="75">
        <f>STOCK[[#This Row],[Costo Unitario (USD)]]+STOCK[[#This Row],[Costo Envío (USD)]]+STOCK[[#This Row],[Comisión 10%]]</f>
        <v>1.4580000000000002</v>
      </c>
      <c r="U1693" s="53">
        <f>STOCK[[#This Row],[Costo total]]*1.5</f>
        <v>2.1870000000000003</v>
      </c>
      <c r="V1693" s="53">
        <v>14.58</v>
      </c>
      <c r="W1693" s="75">
        <f>STOCK[[#This Row],[Precio Final]]-STOCK[[#This Row],[Costo total]]</f>
        <v>13.122</v>
      </c>
      <c r="X1693" s="75">
        <f>STOCK[[#This Row],[Ganancia Unitaria]]*STOCK[[#This Row],[Salidas]]</f>
        <v>13.122</v>
      </c>
      <c r="Y1693" s="75">
        <v>0</v>
      </c>
      <c r="Z1693" s="88"/>
      <c r="AA1693" s="54">
        <f>STOCK[[#This Row],[Costo total]]*STOCK[[#This Row],[Entradas]]</f>
        <v>4.3740000000000006</v>
      </c>
      <c r="AB1693" s="54">
        <f>STOCK[[#This Row],[Stock Actual]]*STOCK[[#This Row],[Costo total]]</f>
        <v>2.9160000000000004</v>
      </c>
      <c r="AC1693" s="75">
        <v>29.16</v>
      </c>
      <c r="AD1693" s="75"/>
    </row>
    <row r="1694" spans="1:30" s="53" customFormat="1" ht="50" customHeight="1">
      <c r="A1694" s="53" t="s">
        <v>3355</v>
      </c>
      <c r="B1694" s="83"/>
      <c r="C1694" s="53" t="s">
        <v>32</v>
      </c>
      <c r="D1694" s="84" t="s">
        <v>3279</v>
      </c>
      <c r="E1694" s="85" t="s">
        <v>3356</v>
      </c>
      <c r="F1694" s="86" t="s">
        <v>49</v>
      </c>
      <c r="G1694" s="75"/>
      <c r="H1694" s="75">
        <f>STOCK[[#This Row],[Precio Final]]</f>
        <v>21.87</v>
      </c>
      <c r="I1694" s="80">
        <f>STOCK[[#This Row],[Precio Venta Ideal (x1.5)]]</f>
        <v>3.2805000000000004</v>
      </c>
      <c r="J1694" s="87">
        <v>2</v>
      </c>
      <c r="K1694" s="78">
        <f>SUMIFS(VENTAS[Cantidad],VENTAS[Código del producto Vendido],STOCK[[#This Row],[Code]])</f>
        <v>2</v>
      </c>
      <c r="L1694" s="78">
        <f>STOCK[[#This Row],[Entradas]]-STOCK[[#This Row],[Salidas]]</f>
        <v>0</v>
      </c>
      <c r="M1694" s="75">
        <f>STOCK[[#This Row],[Precio Final]]*10%</f>
        <v>2.1870000000000003</v>
      </c>
      <c r="N1694" s="54">
        <v>0</v>
      </c>
      <c r="O1694" s="75">
        <v>0</v>
      </c>
      <c r="P1694" s="75"/>
      <c r="Q1694" s="75">
        <v>11.03</v>
      </c>
      <c r="R1694" s="78"/>
      <c r="S1694" s="75"/>
      <c r="T1694" s="75">
        <f>STOCK[[#This Row],[Costo Unitario (USD)]]+STOCK[[#This Row],[Costo Envío (USD)]]+STOCK[[#This Row],[Comisión 10%]]</f>
        <v>2.1870000000000003</v>
      </c>
      <c r="U1694" s="53">
        <f>STOCK[[#This Row],[Costo total]]*1.5</f>
        <v>3.2805000000000004</v>
      </c>
      <c r="V1694" s="53">
        <v>21.87</v>
      </c>
      <c r="W1694" s="75">
        <f>STOCK[[#This Row],[Precio Final]]-STOCK[[#This Row],[Costo total]]</f>
        <v>19.683</v>
      </c>
      <c r="X1694" s="75">
        <f>STOCK[[#This Row],[Ganancia Unitaria]]*STOCK[[#This Row],[Salidas]]</f>
        <v>39.366</v>
      </c>
      <c r="Y1694" s="75">
        <v>0</v>
      </c>
      <c r="Z1694" s="88"/>
      <c r="AA1694" s="54">
        <f>STOCK[[#This Row],[Costo total]]*STOCK[[#This Row],[Entradas]]</f>
        <v>4.3740000000000006</v>
      </c>
      <c r="AB1694" s="54">
        <f>STOCK[[#This Row],[Stock Actual]]*STOCK[[#This Row],[Costo total]]</f>
        <v>0</v>
      </c>
      <c r="AC1694" s="75">
        <v>29.16</v>
      </c>
      <c r="AD1694" s="75"/>
    </row>
    <row r="1695" spans="1:30" s="53" customFormat="1" ht="50" customHeight="1">
      <c r="A1695" s="53" t="s">
        <v>3357</v>
      </c>
      <c r="B1695" s="83"/>
      <c r="C1695" s="53" t="s">
        <v>32</v>
      </c>
      <c r="D1695" s="84" t="s">
        <v>3279</v>
      </c>
      <c r="E1695" s="85" t="s">
        <v>3356</v>
      </c>
      <c r="F1695" s="86" t="s">
        <v>46</v>
      </c>
      <c r="G1695" s="75"/>
      <c r="H1695" s="75">
        <f>STOCK[[#This Row],[Precio Final]]</f>
        <v>21.87</v>
      </c>
      <c r="I1695" s="80">
        <f>STOCK[[#This Row],[Precio Venta Ideal (x1.5)]]</f>
        <v>3.2805000000000004</v>
      </c>
      <c r="J1695" s="87">
        <v>1</v>
      </c>
      <c r="K1695" s="78">
        <f>SUMIFS(VENTAS[Cantidad],VENTAS[Código del producto Vendido],STOCK[[#This Row],[Code]])</f>
        <v>1</v>
      </c>
      <c r="L1695" s="78">
        <f>STOCK[[#This Row],[Entradas]]-STOCK[[#This Row],[Salidas]]</f>
        <v>0</v>
      </c>
      <c r="M1695" s="75">
        <f>STOCK[[#This Row],[Precio Final]]*10%</f>
        <v>2.1870000000000003</v>
      </c>
      <c r="N1695" s="54">
        <v>0</v>
      </c>
      <c r="O1695" s="75">
        <v>0</v>
      </c>
      <c r="P1695" s="75"/>
      <c r="Q1695" s="75">
        <v>11.03</v>
      </c>
      <c r="R1695" s="78"/>
      <c r="S1695" s="75"/>
      <c r="T1695" s="75">
        <f>STOCK[[#This Row],[Costo Unitario (USD)]]+STOCK[[#This Row],[Costo Envío (USD)]]+STOCK[[#This Row],[Comisión 10%]]</f>
        <v>2.1870000000000003</v>
      </c>
      <c r="U1695" s="53">
        <f>STOCK[[#This Row],[Costo total]]*1.5</f>
        <v>3.2805000000000004</v>
      </c>
      <c r="V1695" s="53">
        <v>21.87</v>
      </c>
      <c r="W1695" s="75">
        <f>STOCK[[#This Row],[Precio Final]]-STOCK[[#This Row],[Costo total]]</f>
        <v>19.683</v>
      </c>
      <c r="X1695" s="75">
        <f>STOCK[[#This Row],[Ganancia Unitaria]]*STOCK[[#This Row],[Salidas]]</f>
        <v>19.683</v>
      </c>
      <c r="Y1695" s="75">
        <v>0</v>
      </c>
      <c r="Z1695" s="88"/>
      <c r="AA1695" s="54">
        <f>STOCK[[#This Row],[Costo total]]*STOCK[[#This Row],[Entradas]]</f>
        <v>2.1870000000000003</v>
      </c>
      <c r="AB1695" s="54">
        <f>STOCK[[#This Row],[Stock Actual]]*STOCK[[#This Row],[Costo total]]</f>
        <v>0</v>
      </c>
      <c r="AC1695" s="75">
        <v>14.58</v>
      </c>
      <c r="AD1695" s="75"/>
    </row>
    <row r="1696" spans="1:30" s="53" customFormat="1" ht="50" customHeight="1">
      <c r="A1696" s="53" t="s">
        <v>3358</v>
      </c>
      <c r="B1696" s="83"/>
      <c r="C1696" s="53" t="s">
        <v>32</v>
      </c>
      <c r="D1696" s="84" t="s">
        <v>3279</v>
      </c>
      <c r="E1696" s="85" t="s">
        <v>3359</v>
      </c>
      <c r="F1696" s="86" t="s">
        <v>525</v>
      </c>
      <c r="G1696" s="75"/>
      <c r="H1696" s="75">
        <f>STOCK[[#This Row],[Precio Final]]</f>
        <v>10.695</v>
      </c>
      <c r="I1696" s="80">
        <f>STOCK[[#This Row],[Precio Venta Ideal (x1.5)]]</f>
        <v>1.6042500000000002</v>
      </c>
      <c r="J1696" s="87">
        <v>4</v>
      </c>
      <c r="K1696" s="78">
        <f>SUMIFS(VENTAS[Cantidad],VENTAS[Código del producto Vendido],STOCK[[#This Row],[Code]])</f>
        <v>3</v>
      </c>
      <c r="L1696" s="78">
        <f>STOCK[[#This Row],[Entradas]]-STOCK[[#This Row],[Salidas]]</f>
        <v>1</v>
      </c>
      <c r="M1696" s="75">
        <f>STOCK[[#This Row],[Precio Final]]*10%</f>
        <v>1.0695000000000001</v>
      </c>
      <c r="N1696" s="54">
        <v>0</v>
      </c>
      <c r="O1696" s="75">
        <v>0</v>
      </c>
      <c r="P1696" s="75"/>
      <c r="Q1696" s="75">
        <v>4.58</v>
      </c>
      <c r="R1696" s="78"/>
      <c r="S1696" s="75"/>
      <c r="T1696" s="75">
        <f>STOCK[[#This Row],[Costo Unitario (USD)]]+STOCK[[#This Row],[Costo Envío (USD)]]+STOCK[[#This Row],[Comisión 10%]]</f>
        <v>1.0695000000000001</v>
      </c>
      <c r="U1696" s="53">
        <f>STOCK[[#This Row],[Costo total]]*1.5</f>
        <v>1.6042500000000002</v>
      </c>
      <c r="V1696" s="53">
        <v>10.695</v>
      </c>
      <c r="W1696" s="75">
        <f>STOCK[[#This Row],[Precio Final]]-STOCK[[#This Row],[Costo total]]</f>
        <v>9.6255000000000006</v>
      </c>
      <c r="X1696" s="75">
        <f>STOCK[[#This Row],[Ganancia Unitaria]]*STOCK[[#This Row],[Salidas]]</f>
        <v>28.8765</v>
      </c>
      <c r="Y1696" s="75">
        <v>0</v>
      </c>
      <c r="Z1696" s="88"/>
      <c r="AA1696" s="54">
        <f>STOCK[[#This Row],[Costo total]]*STOCK[[#This Row],[Entradas]]</f>
        <v>4.2780000000000005</v>
      </c>
      <c r="AB1696" s="54">
        <f>STOCK[[#This Row],[Stock Actual]]*STOCK[[#This Row],[Costo total]]</f>
        <v>1.0695000000000001</v>
      </c>
      <c r="AC1696" s="75">
        <v>28.52</v>
      </c>
      <c r="AD1696" s="75"/>
    </row>
    <row r="1697" spans="1:30" s="53" customFormat="1" ht="50" customHeight="1">
      <c r="A1697" s="53" t="s">
        <v>3360</v>
      </c>
      <c r="B1697" s="83"/>
      <c r="C1697" s="53" t="s">
        <v>32</v>
      </c>
      <c r="D1697" s="84" t="s">
        <v>3279</v>
      </c>
      <c r="E1697" s="85" t="s">
        <v>3361</v>
      </c>
      <c r="F1697" s="86" t="s">
        <v>3362</v>
      </c>
      <c r="G1697" s="75"/>
      <c r="H1697" s="75">
        <f>STOCK[[#This Row],[Precio Final]]</f>
        <v>15.375</v>
      </c>
      <c r="I1697" s="80">
        <f>STOCK[[#This Row],[Precio Venta Ideal (x1.5)]]</f>
        <v>2.3062500000000004</v>
      </c>
      <c r="J1697" s="87">
        <v>4</v>
      </c>
      <c r="K1697" s="78">
        <f>SUMIFS(VENTAS[Cantidad],VENTAS[Código del producto Vendido],STOCK[[#This Row],[Code]])</f>
        <v>4</v>
      </c>
      <c r="L1697" s="78">
        <f>STOCK[[#This Row],[Entradas]]-STOCK[[#This Row],[Salidas]]</f>
        <v>0</v>
      </c>
      <c r="M1697" s="75">
        <f>STOCK[[#This Row],[Precio Final]]*10%</f>
        <v>1.5375000000000001</v>
      </c>
      <c r="N1697" s="54">
        <v>0</v>
      </c>
      <c r="O1697" s="75">
        <v>0</v>
      </c>
      <c r="P1697" s="75"/>
      <c r="Q1697" s="75">
        <v>7.2</v>
      </c>
      <c r="R1697" s="78"/>
      <c r="S1697" s="75"/>
      <c r="T1697" s="75">
        <f>STOCK[[#This Row],[Costo Unitario (USD)]]+STOCK[[#This Row],[Costo Envío (USD)]]+STOCK[[#This Row],[Comisión 10%]]</f>
        <v>1.5375000000000001</v>
      </c>
      <c r="U1697" s="53">
        <f>STOCK[[#This Row],[Costo total]]*1.5</f>
        <v>2.3062500000000004</v>
      </c>
      <c r="V1697" s="53">
        <v>15.375</v>
      </c>
      <c r="W1697" s="75">
        <f>STOCK[[#This Row],[Precio Final]]-STOCK[[#This Row],[Costo total]]</f>
        <v>13.8375</v>
      </c>
      <c r="X1697" s="75">
        <f>STOCK[[#This Row],[Ganancia Unitaria]]*STOCK[[#This Row],[Salidas]]</f>
        <v>55.35</v>
      </c>
      <c r="Y1697" s="75">
        <v>0</v>
      </c>
      <c r="Z1697" s="88"/>
      <c r="AA1697" s="54">
        <f>STOCK[[#This Row],[Costo total]]*STOCK[[#This Row],[Entradas]]</f>
        <v>6.15</v>
      </c>
      <c r="AB1697" s="54">
        <f>STOCK[[#This Row],[Stock Actual]]*STOCK[[#This Row],[Costo total]]</f>
        <v>0</v>
      </c>
      <c r="AC1697" s="75">
        <v>41</v>
      </c>
      <c r="AD1697" s="75"/>
    </row>
    <row r="1698" spans="1:30" s="53" customFormat="1" ht="50" customHeight="1">
      <c r="A1698" s="53" t="s">
        <v>3363</v>
      </c>
      <c r="B1698" s="83"/>
      <c r="C1698" s="53" t="s">
        <v>32</v>
      </c>
      <c r="D1698" s="84" t="s">
        <v>3279</v>
      </c>
      <c r="E1698" s="85" t="s">
        <v>3364</v>
      </c>
      <c r="F1698" s="86" t="s">
        <v>525</v>
      </c>
      <c r="G1698" s="75"/>
      <c r="H1698" s="75">
        <f>STOCK[[#This Row],[Precio Final]]</f>
        <v>13.68</v>
      </c>
      <c r="I1698" s="80">
        <f>STOCK[[#This Row],[Precio Venta Ideal (x1.5)]]</f>
        <v>2.052</v>
      </c>
      <c r="J1698" s="87">
        <v>5</v>
      </c>
      <c r="K1698" s="78">
        <f>SUMIFS(VENTAS[Cantidad],VENTAS[Código del producto Vendido],STOCK[[#This Row],[Code]])</f>
        <v>5</v>
      </c>
      <c r="L1698" s="78">
        <f>STOCK[[#This Row],[Entradas]]-STOCK[[#This Row],[Salidas]]</f>
        <v>0</v>
      </c>
      <c r="M1698" s="75">
        <f>STOCK[[#This Row],[Precio Final]]*10%</f>
        <v>1.3680000000000001</v>
      </c>
      <c r="N1698" s="54">
        <v>0</v>
      </c>
      <c r="O1698" s="75">
        <v>0</v>
      </c>
      <c r="P1698" s="75"/>
      <c r="Q1698" s="75">
        <v>6.07</v>
      </c>
      <c r="R1698" s="78"/>
      <c r="S1698" s="75"/>
      <c r="T1698" s="75">
        <f>STOCK[[#This Row],[Costo Unitario (USD)]]+STOCK[[#This Row],[Costo Envío (USD)]]+STOCK[[#This Row],[Comisión 10%]]</f>
        <v>1.3680000000000001</v>
      </c>
      <c r="U1698" s="53">
        <f>STOCK[[#This Row],[Costo total]]*1.5</f>
        <v>2.052</v>
      </c>
      <c r="V1698" s="53">
        <v>13.68</v>
      </c>
      <c r="W1698" s="75">
        <f>STOCK[[#This Row],[Precio Final]]-STOCK[[#This Row],[Costo total]]</f>
        <v>12.311999999999999</v>
      </c>
      <c r="X1698" s="75">
        <f>STOCK[[#This Row],[Ganancia Unitaria]]*STOCK[[#This Row],[Salidas]]</f>
        <v>61.559999999999995</v>
      </c>
      <c r="Y1698" s="75">
        <v>0</v>
      </c>
      <c r="Z1698" s="88"/>
      <c r="AA1698" s="54">
        <f>STOCK[[#This Row],[Costo total]]*STOCK[[#This Row],[Entradas]]</f>
        <v>6.8400000000000007</v>
      </c>
      <c r="AB1698" s="54">
        <f>STOCK[[#This Row],[Stock Actual]]*STOCK[[#This Row],[Costo total]]</f>
        <v>0</v>
      </c>
      <c r="AC1698" s="75">
        <v>45.6</v>
      </c>
      <c r="AD1698" s="75"/>
    </row>
    <row r="1699" spans="1:30" s="53" customFormat="1" ht="50" customHeight="1">
      <c r="A1699" s="53" t="s">
        <v>3365</v>
      </c>
      <c r="B1699" s="83"/>
      <c r="C1699" s="53" t="s">
        <v>32</v>
      </c>
      <c r="D1699" s="84" t="s">
        <v>3279</v>
      </c>
      <c r="E1699" s="85" t="s">
        <v>3366</v>
      </c>
      <c r="F1699" s="86" t="s">
        <v>525</v>
      </c>
      <c r="G1699" s="75"/>
      <c r="H1699" s="75">
        <f>STOCK[[#This Row],[Precio Final]]</f>
        <v>7.5750000000000002</v>
      </c>
      <c r="I1699" s="80">
        <f>STOCK[[#This Row],[Precio Venta Ideal (x1.5)]]</f>
        <v>1.13625</v>
      </c>
      <c r="J1699" s="87">
        <v>7</v>
      </c>
      <c r="K1699" s="78">
        <f>SUMIFS(VENTAS[Cantidad],VENTAS[Código del producto Vendido],STOCK[[#This Row],[Code]])</f>
        <v>7</v>
      </c>
      <c r="L1699" s="78">
        <f>STOCK[[#This Row],[Entradas]]-STOCK[[#This Row],[Salidas]]</f>
        <v>0</v>
      </c>
      <c r="M1699" s="75">
        <f>STOCK[[#This Row],[Precio Final]]*10%</f>
        <v>0.75750000000000006</v>
      </c>
      <c r="N1699" s="54">
        <v>0</v>
      </c>
      <c r="O1699" s="75">
        <v>0</v>
      </c>
      <c r="P1699" s="75"/>
      <c r="Q1699" s="75">
        <v>3.2</v>
      </c>
      <c r="R1699" s="78"/>
      <c r="S1699" s="75"/>
      <c r="T1699" s="75">
        <f>STOCK[[#This Row],[Costo Unitario (USD)]]+STOCK[[#This Row],[Costo Envío (USD)]]+STOCK[[#This Row],[Comisión 10%]]</f>
        <v>0.75750000000000006</v>
      </c>
      <c r="U1699" s="53">
        <f>STOCK[[#This Row],[Costo total]]*1.5</f>
        <v>1.13625</v>
      </c>
      <c r="V1699" s="53">
        <v>7.5750000000000002</v>
      </c>
      <c r="W1699" s="75">
        <f>STOCK[[#This Row],[Precio Final]]-STOCK[[#This Row],[Costo total]]</f>
        <v>6.8174999999999999</v>
      </c>
      <c r="X1699" s="75">
        <f>STOCK[[#This Row],[Ganancia Unitaria]]*STOCK[[#This Row],[Salidas]]</f>
        <v>47.722499999999997</v>
      </c>
      <c r="Y1699" s="75">
        <v>2.95</v>
      </c>
      <c r="Z1699" s="88"/>
      <c r="AA1699" s="54">
        <f>STOCK[[#This Row],[Costo total]]*STOCK[[#This Row],[Entradas]]</f>
        <v>5.3025000000000002</v>
      </c>
      <c r="AB1699" s="54">
        <f>STOCK[[#This Row],[Stock Actual]]*STOCK[[#This Row],[Costo total]]</f>
        <v>0</v>
      </c>
      <c r="AC1699" s="75">
        <v>25.25</v>
      </c>
      <c r="AD1699" s="75"/>
    </row>
    <row r="1700" spans="1:30" s="53" customFormat="1" ht="50" customHeight="1">
      <c r="A1700" s="53" t="s">
        <v>3367</v>
      </c>
      <c r="B1700" s="83"/>
      <c r="C1700" s="53" t="s">
        <v>32</v>
      </c>
      <c r="D1700" s="84" t="s">
        <v>3279</v>
      </c>
      <c r="E1700" s="85" t="s">
        <v>3368</v>
      </c>
      <c r="F1700" s="86" t="s">
        <v>525</v>
      </c>
      <c r="G1700" s="75"/>
      <c r="H1700" s="75">
        <f>STOCK[[#This Row],[Precio Final]]</f>
        <v>10.8</v>
      </c>
      <c r="I1700" s="80">
        <f>STOCK[[#This Row],[Precio Venta Ideal (x1.5)]]</f>
        <v>1.62</v>
      </c>
      <c r="J1700" s="87">
        <v>5</v>
      </c>
      <c r="K1700" s="78">
        <f>SUMIFS(VENTAS[Cantidad],VENTAS[Código del producto Vendido],STOCK[[#This Row],[Code]])</f>
        <v>0</v>
      </c>
      <c r="L1700" s="78">
        <f>STOCK[[#This Row],[Entradas]]-STOCK[[#This Row],[Salidas]]</f>
        <v>5</v>
      </c>
      <c r="M1700" s="75">
        <f>STOCK[[#This Row],[Precio Final]]*10%</f>
        <v>1.08</v>
      </c>
      <c r="N1700" s="54">
        <v>0</v>
      </c>
      <c r="O1700" s="75">
        <v>0</v>
      </c>
      <c r="P1700" s="75"/>
      <c r="Q1700" s="75">
        <v>4.3499999999999996</v>
      </c>
      <c r="R1700" s="78"/>
      <c r="S1700" s="75"/>
      <c r="T1700" s="75">
        <f>STOCK[[#This Row],[Costo Unitario (USD)]]+STOCK[[#This Row],[Costo Envío (USD)]]+STOCK[[#This Row],[Comisión 10%]]</f>
        <v>1.08</v>
      </c>
      <c r="U1700" s="53">
        <f>STOCK[[#This Row],[Costo total]]*1.5</f>
        <v>1.62</v>
      </c>
      <c r="V1700" s="53">
        <v>10.8</v>
      </c>
      <c r="W1700" s="75">
        <f>STOCK[[#This Row],[Precio Final]]-STOCK[[#This Row],[Costo total]]</f>
        <v>9.7200000000000006</v>
      </c>
      <c r="X1700" s="75">
        <f>STOCK[[#This Row],[Ganancia Unitaria]]*STOCK[[#This Row],[Salidas]]</f>
        <v>0</v>
      </c>
      <c r="Y1700" s="75">
        <v>0</v>
      </c>
      <c r="Z1700" s="88"/>
      <c r="AA1700" s="54">
        <f>STOCK[[#This Row],[Costo total]]*STOCK[[#This Row],[Entradas]]</f>
        <v>5.4</v>
      </c>
      <c r="AB1700" s="54">
        <f>STOCK[[#This Row],[Stock Actual]]*STOCK[[#This Row],[Costo total]]</f>
        <v>5.4</v>
      </c>
      <c r="AC1700" s="75">
        <v>36</v>
      </c>
      <c r="AD1700" s="75"/>
    </row>
    <row r="1701" spans="1:30" s="53" customFormat="1" ht="50" customHeight="1">
      <c r="A1701" s="53" t="s">
        <v>3369</v>
      </c>
      <c r="B1701" s="83"/>
      <c r="C1701" s="53" t="s">
        <v>32</v>
      </c>
      <c r="D1701" s="84" t="s">
        <v>3279</v>
      </c>
      <c r="E1701" s="85" t="s">
        <v>3370</v>
      </c>
      <c r="F1701" s="86" t="s">
        <v>525</v>
      </c>
      <c r="G1701" s="75"/>
      <c r="H1701" s="75">
        <f>STOCK[[#This Row],[Precio Final]]</f>
        <v>14.295</v>
      </c>
      <c r="I1701" s="80">
        <f>STOCK[[#This Row],[Precio Venta Ideal (x1.5)]]</f>
        <v>2.14425</v>
      </c>
      <c r="J1701" s="87">
        <v>5</v>
      </c>
      <c r="K1701" s="78">
        <f>SUMIFS(VENTAS[Cantidad],VENTAS[Código del producto Vendido],STOCK[[#This Row],[Code]])</f>
        <v>0</v>
      </c>
      <c r="L1701" s="78">
        <f>STOCK[[#This Row],[Entradas]]-STOCK[[#This Row],[Salidas]]</f>
        <v>5</v>
      </c>
      <c r="M1701" s="75">
        <f>STOCK[[#This Row],[Precio Final]]*10%</f>
        <v>1.4295</v>
      </c>
      <c r="N1701" s="54">
        <v>0</v>
      </c>
      <c r="O1701" s="75">
        <v>0</v>
      </c>
      <c r="P1701" s="75"/>
      <c r="Q1701" s="75">
        <v>6.48</v>
      </c>
      <c r="R1701" s="78"/>
      <c r="S1701" s="75"/>
      <c r="T1701" s="75">
        <f>STOCK[[#This Row],[Costo Unitario (USD)]]+STOCK[[#This Row],[Costo Envío (USD)]]+STOCK[[#This Row],[Comisión 10%]]</f>
        <v>1.4295</v>
      </c>
      <c r="U1701" s="53">
        <f>STOCK[[#This Row],[Costo total]]*1.5</f>
        <v>2.14425</v>
      </c>
      <c r="V1701" s="53">
        <v>14.295</v>
      </c>
      <c r="W1701" s="75">
        <f>STOCK[[#This Row],[Precio Final]]-STOCK[[#This Row],[Costo total]]</f>
        <v>12.865500000000001</v>
      </c>
      <c r="X1701" s="75">
        <f>STOCK[[#This Row],[Ganancia Unitaria]]*STOCK[[#This Row],[Salidas]]</f>
        <v>0</v>
      </c>
      <c r="Y1701" s="75">
        <v>0</v>
      </c>
      <c r="Z1701" s="88"/>
      <c r="AA1701" s="54">
        <f>STOCK[[#This Row],[Costo total]]*STOCK[[#This Row],[Entradas]]</f>
        <v>7.1475</v>
      </c>
      <c r="AB1701" s="54">
        <f>STOCK[[#This Row],[Stock Actual]]*STOCK[[#This Row],[Costo total]]</f>
        <v>7.1475</v>
      </c>
      <c r="AC1701" s="75">
        <v>47.65</v>
      </c>
      <c r="AD1701" s="75"/>
    </row>
    <row r="1702" spans="1:30" s="53" customFormat="1" ht="50" customHeight="1">
      <c r="A1702" s="53" t="s">
        <v>3371</v>
      </c>
      <c r="B1702" s="83"/>
      <c r="C1702" s="53" t="s">
        <v>32</v>
      </c>
      <c r="D1702" s="84" t="s">
        <v>3279</v>
      </c>
      <c r="E1702" s="85" t="s">
        <v>3356</v>
      </c>
      <c r="F1702" s="86" t="s">
        <v>62</v>
      </c>
      <c r="G1702" s="75"/>
      <c r="H1702" s="75">
        <f>STOCK[[#This Row],[Precio Final]]</f>
        <v>21.87</v>
      </c>
      <c r="I1702" s="80">
        <f>STOCK[[#This Row],[Precio Venta Ideal (x1.5)]]</f>
        <v>3.2805000000000004</v>
      </c>
      <c r="J1702" s="87">
        <v>2</v>
      </c>
      <c r="K1702" s="78">
        <f>SUMIFS(VENTAS[Cantidad],VENTAS[Código del producto Vendido],STOCK[[#This Row],[Code]])</f>
        <v>2</v>
      </c>
      <c r="L1702" s="78">
        <f>STOCK[[#This Row],[Entradas]]-STOCK[[#This Row],[Salidas]]</f>
        <v>0</v>
      </c>
      <c r="M1702" s="75">
        <f>STOCK[[#This Row],[Precio Final]]*10%</f>
        <v>2.1870000000000003</v>
      </c>
      <c r="N1702" s="54">
        <v>0</v>
      </c>
      <c r="O1702" s="75">
        <v>0</v>
      </c>
      <c r="P1702" s="75"/>
      <c r="Q1702" s="75">
        <v>11.03</v>
      </c>
      <c r="R1702" s="78"/>
      <c r="S1702" s="75"/>
      <c r="T1702" s="75">
        <f>STOCK[[#This Row],[Costo Unitario (USD)]]+STOCK[[#This Row],[Costo Envío (USD)]]+STOCK[[#This Row],[Comisión 10%]]</f>
        <v>2.1870000000000003</v>
      </c>
      <c r="U1702" s="53">
        <f>STOCK[[#This Row],[Costo total]]*1.5</f>
        <v>3.2805000000000004</v>
      </c>
      <c r="V1702" s="53">
        <v>21.87</v>
      </c>
      <c r="W1702" s="75">
        <f>STOCK[[#This Row],[Precio Final]]-STOCK[[#This Row],[Costo total]]</f>
        <v>19.683</v>
      </c>
      <c r="X1702" s="75">
        <f>STOCK[[#This Row],[Ganancia Unitaria]]*STOCK[[#This Row],[Salidas]]</f>
        <v>39.366</v>
      </c>
      <c r="Y1702" s="75">
        <v>0</v>
      </c>
      <c r="Z1702" s="88"/>
      <c r="AA1702" s="54">
        <f>STOCK[[#This Row],[Costo total]]*STOCK[[#This Row],[Entradas]]</f>
        <v>4.3740000000000006</v>
      </c>
      <c r="AB1702" s="54">
        <f>STOCK[[#This Row],[Stock Actual]]*STOCK[[#This Row],[Costo total]]</f>
        <v>0</v>
      </c>
      <c r="AC1702" s="75">
        <v>29.16</v>
      </c>
      <c r="AD1702" s="75"/>
    </row>
    <row r="1703" spans="1:30" s="53" customFormat="1" ht="50" customHeight="1">
      <c r="A1703" s="53" t="s">
        <v>3372</v>
      </c>
      <c r="B1703" s="83"/>
      <c r="C1703" s="53" t="s">
        <v>32</v>
      </c>
      <c r="D1703" s="84" t="s">
        <v>3279</v>
      </c>
      <c r="E1703" s="85" t="s">
        <v>3336</v>
      </c>
      <c r="F1703" s="86" t="s">
        <v>3373</v>
      </c>
      <c r="G1703" s="75"/>
      <c r="H1703" s="75">
        <f>STOCK[[#This Row],[Precio Final]]</f>
        <v>3.6</v>
      </c>
      <c r="I1703" s="80">
        <f>STOCK[[#This Row],[Precio Venta Ideal (x1.5)]]</f>
        <v>0.54</v>
      </c>
      <c r="J1703" s="87">
        <v>5</v>
      </c>
      <c r="K1703" s="78">
        <f>SUMIFS(VENTAS[Cantidad],VENTAS[Código del producto Vendido],STOCK[[#This Row],[Code]])</f>
        <v>3</v>
      </c>
      <c r="L1703" s="78">
        <f>STOCK[[#This Row],[Entradas]]-STOCK[[#This Row],[Salidas]]</f>
        <v>2</v>
      </c>
      <c r="M1703" s="75">
        <f>STOCK[[#This Row],[Precio Final]]*10%</f>
        <v>0.36000000000000004</v>
      </c>
      <c r="N1703" s="54">
        <v>0</v>
      </c>
      <c r="O1703" s="75">
        <v>0</v>
      </c>
      <c r="P1703" s="75"/>
      <c r="Q1703" s="75">
        <v>0.85</v>
      </c>
      <c r="R1703" s="78"/>
      <c r="S1703" s="75"/>
      <c r="T1703" s="75">
        <f>STOCK[[#This Row],[Costo Unitario (USD)]]+STOCK[[#This Row],[Costo Envío (USD)]]+STOCK[[#This Row],[Comisión 10%]]</f>
        <v>0.36000000000000004</v>
      </c>
      <c r="U1703" s="53">
        <f>STOCK[[#This Row],[Costo total]]*1.5</f>
        <v>0.54</v>
      </c>
      <c r="V1703" s="53">
        <v>3.6</v>
      </c>
      <c r="W1703" s="75">
        <f>STOCK[[#This Row],[Precio Final]]-STOCK[[#This Row],[Costo total]]</f>
        <v>3.24</v>
      </c>
      <c r="X1703" s="75">
        <f>STOCK[[#This Row],[Ganancia Unitaria]]*STOCK[[#This Row],[Salidas]]</f>
        <v>9.7200000000000006</v>
      </c>
      <c r="Y1703" s="75">
        <v>0</v>
      </c>
      <c r="Z1703" s="88"/>
      <c r="AA1703" s="54">
        <f>STOCK[[#This Row],[Costo total]]*STOCK[[#This Row],[Entradas]]</f>
        <v>1.8000000000000003</v>
      </c>
      <c r="AB1703" s="54">
        <f>STOCK[[#This Row],[Stock Actual]]*STOCK[[#This Row],[Costo total]]</f>
        <v>0.72000000000000008</v>
      </c>
      <c r="AC1703" s="75">
        <v>12</v>
      </c>
      <c r="AD1703" s="75"/>
    </row>
    <row r="1704" spans="1:30" s="53" customFormat="1" ht="50" customHeight="1">
      <c r="A1704" s="53" t="s">
        <v>3374</v>
      </c>
      <c r="B1704" s="83"/>
      <c r="C1704" s="53" t="s">
        <v>32</v>
      </c>
      <c r="D1704" s="84" t="s">
        <v>3279</v>
      </c>
      <c r="E1704" s="85" t="s">
        <v>3375</v>
      </c>
      <c r="F1704" s="86" t="s">
        <v>3376</v>
      </c>
      <c r="G1704" s="86" t="s">
        <v>3376</v>
      </c>
      <c r="H1704" s="75">
        <f>STOCK[[#This Row],[Precio Final]]</f>
        <v>8.8949999999999996</v>
      </c>
      <c r="I1704" s="80">
        <f>STOCK[[#This Row],[Precio Venta Ideal (x1.5)]]</f>
        <v>1.3342499999999999</v>
      </c>
      <c r="J1704" s="87">
        <v>3</v>
      </c>
      <c r="K1704" s="78">
        <f>SUMIFS(VENTAS[Cantidad],VENTAS[Código del producto Vendido],STOCK[[#This Row],[Code]])</f>
        <v>0</v>
      </c>
      <c r="L1704" s="78">
        <f>STOCK[[#This Row],[Entradas]]-STOCK[[#This Row],[Salidas]]</f>
        <v>3</v>
      </c>
      <c r="M1704" s="75">
        <f>STOCK[[#This Row],[Precio Final]]*10%</f>
        <v>0.88949999999999996</v>
      </c>
      <c r="N1704" s="54">
        <v>0</v>
      </c>
      <c r="O1704" s="75">
        <v>0</v>
      </c>
      <c r="P1704" s="75"/>
      <c r="Q1704" s="75">
        <v>3.68</v>
      </c>
      <c r="R1704" s="78"/>
      <c r="S1704" s="75"/>
      <c r="T1704" s="75">
        <f>STOCK[[#This Row],[Costo Unitario (USD)]]+STOCK[[#This Row],[Costo Envío (USD)]]+STOCK[[#This Row],[Comisión 10%]]</f>
        <v>0.88949999999999996</v>
      </c>
      <c r="U1704" s="53">
        <f>STOCK[[#This Row],[Costo total]]*1.5</f>
        <v>1.3342499999999999</v>
      </c>
      <c r="V1704" s="53">
        <v>8.8949999999999996</v>
      </c>
      <c r="W1704" s="75">
        <f>STOCK[[#This Row],[Precio Final]]-STOCK[[#This Row],[Costo total]]</f>
        <v>8.0054999999999996</v>
      </c>
      <c r="X1704" s="75">
        <f>STOCK[[#This Row],[Ganancia Unitaria]]*STOCK[[#This Row],[Salidas]]</f>
        <v>0</v>
      </c>
      <c r="Y1704" s="75">
        <v>0</v>
      </c>
      <c r="Z1704" s="88"/>
      <c r="AA1704" s="54">
        <f>STOCK[[#This Row],[Costo total]]*STOCK[[#This Row],[Entradas]]</f>
        <v>2.6684999999999999</v>
      </c>
      <c r="AB1704" s="54">
        <f>STOCK[[#This Row],[Stock Actual]]*STOCK[[#This Row],[Costo total]]</f>
        <v>2.6684999999999999</v>
      </c>
      <c r="AC1704" s="75">
        <v>17.79</v>
      </c>
      <c r="AD1704" s="75"/>
    </row>
    <row r="1705" spans="1:30" s="53" customFormat="1" ht="50" customHeight="1">
      <c r="A1705" s="53" t="s">
        <v>3377</v>
      </c>
      <c r="B1705" s="83"/>
      <c r="C1705" s="53" t="s">
        <v>32</v>
      </c>
      <c r="D1705" s="84" t="s">
        <v>3279</v>
      </c>
      <c r="E1705" s="85" t="s">
        <v>3378</v>
      </c>
      <c r="F1705" s="86" t="s">
        <v>3376</v>
      </c>
      <c r="G1705" s="75"/>
      <c r="H1705" s="75">
        <f>STOCK[[#This Row],[Precio Final]]</f>
        <v>13.05</v>
      </c>
      <c r="I1705" s="80">
        <f>STOCK[[#This Row],[Precio Venta Ideal (x1.5)]]</f>
        <v>1.9575000000000002</v>
      </c>
      <c r="J1705" s="87">
        <v>3</v>
      </c>
      <c r="K1705" s="78">
        <f>SUMIFS(VENTAS[Cantidad],VENTAS[Código del producto Vendido],STOCK[[#This Row],[Code]])</f>
        <v>3</v>
      </c>
      <c r="L1705" s="78">
        <f>STOCK[[#This Row],[Entradas]]-STOCK[[#This Row],[Salidas]]</f>
        <v>0</v>
      </c>
      <c r="M1705" s="75">
        <f>STOCK[[#This Row],[Precio Final]]*10%</f>
        <v>1.3050000000000002</v>
      </c>
      <c r="N1705" s="54">
        <v>0</v>
      </c>
      <c r="O1705" s="75">
        <v>0</v>
      </c>
      <c r="P1705" s="75"/>
      <c r="Q1705" s="75">
        <v>5.85</v>
      </c>
      <c r="R1705" s="78"/>
      <c r="S1705" s="75"/>
      <c r="T1705" s="75">
        <f>STOCK[[#This Row],[Costo Unitario (USD)]]+STOCK[[#This Row],[Costo Envío (USD)]]+STOCK[[#This Row],[Comisión 10%]]</f>
        <v>1.3050000000000002</v>
      </c>
      <c r="U1705" s="53">
        <f>STOCK[[#This Row],[Costo total]]*1.5</f>
        <v>1.9575000000000002</v>
      </c>
      <c r="V1705" s="53">
        <v>13.05</v>
      </c>
      <c r="W1705" s="75">
        <f>STOCK[[#This Row],[Precio Final]]-STOCK[[#This Row],[Costo total]]</f>
        <v>11.745000000000001</v>
      </c>
      <c r="X1705" s="75">
        <f>STOCK[[#This Row],[Ganancia Unitaria]]*STOCK[[#This Row],[Salidas]]</f>
        <v>35.234999999999999</v>
      </c>
      <c r="Y1705" s="75">
        <v>0</v>
      </c>
      <c r="Z1705" s="88"/>
      <c r="AA1705" s="54">
        <f>STOCK[[#This Row],[Costo total]]*STOCK[[#This Row],[Entradas]]</f>
        <v>3.9150000000000005</v>
      </c>
      <c r="AB1705" s="54">
        <f>STOCK[[#This Row],[Stock Actual]]*STOCK[[#This Row],[Costo total]]</f>
        <v>0</v>
      </c>
      <c r="AC1705" s="75">
        <v>26.1</v>
      </c>
      <c r="AD1705" s="75"/>
    </row>
    <row r="1706" spans="1:30" s="53" customFormat="1" ht="50" customHeight="1">
      <c r="A1706" s="75" t="s">
        <v>3379</v>
      </c>
      <c r="B1706" s="83"/>
      <c r="C1706" s="75"/>
      <c r="D1706" s="84" t="s">
        <v>3279</v>
      </c>
      <c r="E1706" s="85" t="s">
        <v>3380</v>
      </c>
      <c r="F1706" s="86" t="s">
        <v>3376</v>
      </c>
      <c r="G1706" s="75"/>
      <c r="H1706" s="75">
        <f>STOCK[[#This Row],[Precio Final]]</f>
        <v>12</v>
      </c>
      <c r="I1706" s="80">
        <f>STOCK[[#This Row],[Precio Venta Ideal (x1.5)]]</f>
        <v>1.8000000000000003</v>
      </c>
      <c r="J1706" s="87">
        <v>1</v>
      </c>
      <c r="K1706" s="78">
        <f>SUMIFS(VENTAS[Cantidad],VENTAS[Código del producto Vendido],STOCK[[#This Row],[Code]])</f>
        <v>1</v>
      </c>
      <c r="L1706" s="78">
        <f>STOCK[[#This Row],[Entradas]]-STOCK[[#This Row],[Salidas]]</f>
        <v>0</v>
      </c>
      <c r="M1706" s="75">
        <f>STOCK[[#This Row],[Precio Final]]*10%</f>
        <v>1.2000000000000002</v>
      </c>
      <c r="N1706" s="54">
        <v>0</v>
      </c>
      <c r="O1706" s="75">
        <v>0</v>
      </c>
      <c r="P1706" s="75"/>
      <c r="Q1706" s="75">
        <v>6.65</v>
      </c>
      <c r="R1706" s="78"/>
      <c r="S1706" s="75"/>
      <c r="T1706" s="75">
        <f>STOCK[[#This Row],[Costo Unitario (USD)]]+STOCK[[#This Row],[Costo Envío (USD)]]+STOCK[[#This Row],[Comisión 10%]]</f>
        <v>1.2000000000000002</v>
      </c>
      <c r="U1706" s="53">
        <f>STOCK[[#This Row],[Costo total]]*1.5</f>
        <v>1.8000000000000003</v>
      </c>
      <c r="V1706" s="75">
        <v>12</v>
      </c>
      <c r="W1706" s="75">
        <f>STOCK[[#This Row],[Precio Final]]-STOCK[[#This Row],[Costo total]]</f>
        <v>10.8</v>
      </c>
      <c r="X1706" s="75">
        <f>STOCK[[#This Row],[Ganancia Unitaria]]*STOCK[[#This Row],[Salidas]]</f>
        <v>10.8</v>
      </c>
      <c r="Y1706" s="75">
        <v>0</v>
      </c>
      <c r="Z1706" s="88"/>
      <c r="AA1706" s="54">
        <f>STOCK[[#This Row],[Costo total]]*STOCK[[#This Row],[Entradas]]</f>
        <v>1.2000000000000002</v>
      </c>
      <c r="AB1706" s="54">
        <f>STOCK[[#This Row],[Stock Actual]]*STOCK[[#This Row],[Costo total]]</f>
        <v>0</v>
      </c>
      <c r="AC1706" s="75">
        <v>11.45</v>
      </c>
      <c r="AD1706" s="75"/>
    </row>
    <row r="1707" spans="1:30" s="53" customFormat="1" ht="50" customHeight="1">
      <c r="A1707" s="75" t="s">
        <v>3381</v>
      </c>
      <c r="B1707" s="83"/>
      <c r="C1707" s="75"/>
      <c r="D1707" s="84" t="s">
        <v>3279</v>
      </c>
      <c r="E1707" s="85" t="s">
        <v>3382</v>
      </c>
      <c r="F1707" s="86" t="s">
        <v>525</v>
      </c>
      <c r="G1707" s="75"/>
      <c r="H1707" s="75">
        <f>STOCK[[#This Row],[Precio Final]]</f>
        <v>9</v>
      </c>
      <c r="I1707" s="80">
        <f>STOCK[[#This Row],[Precio Venta Ideal (x1.5)]]</f>
        <v>1.35</v>
      </c>
      <c r="J1707" s="87">
        <v>3</v>
      </c>
      <c r="K1707" s="78">
        <f>SUMIFS(VENTAS[Cantidad],VENTAS[Código del producto Vendido],STOCK[[#This Row],[Code]])</f>
        <v>3</v>
      </c>
      <c r="L1707" s="78">
        <f>STOCK[[#This Row],[Entradas]]-STOCK[[#This Row],[Salidas]]</f>
        <v>0</v>
      </c>
      <c r="M1707" s="75">
        <f>STOCK[[#This Row],[Precio Final]]*10%</f>
        <v>0.9</v>
      </c>
      <c r="N1707" s="54">
        <v>0</v>
      </c>
      <c r="O1707" s="75">
        <v>0</v>
      </c>
      <c r="P1707" s="75"/>
      <c r="Q1707" s="75">
        <v>5</v>
      </c>
      <c r="R1707" s="78"/>
      <c r="S1707" s="75"/>
      <c r="T1707" s="75">
        <f>STOCK[[#This Row],[Costo Unitario (USD)]]+STOCK[[#This Row],[Costo Envío (USD)]]+STOCK[[#This Row],[Comisión 10%]]</f>
        <v>0.9</v>
      </c>
      <c r="U1707" s="53">
        <f>STOCK[[#This Row],[Costo total]]*1.5</f>
        <v>1.35</v>
      </c>
      <c r="V1707" s="75">
        <v>9</v>
      </c>
      <c r="W1707" s="75">
        <f>STOCK[[#This Row],[Precio Final]]-STOCK[[#This Row],[Costo total]]</f>
        <v>8.1</v>
      </c>
      <c r="X1707" s="75">
        <f>STOCK[[#This Row],[Ganancia Unitaria]]*STOCK[[#This Row],[Salidas]]</f>
        <v>24.299999999999997</v>
      </c>
      <c r="Y1707" s="75">
        <v>0</v>
      </c>
      <c r="Z1707" s="88"/>
      <c r="AA1707" s="54">
        <f>STOCK[[#This Row],[Costo total]]*STOCK[[#This Row],[Entradas]]</f>
        <v>2.7</v>
      </c>
      <c r="AB1707" s="54">
        <f>STOCK[[#This Row],[Stock Actual]]*STOCK[[#This Row],[Costo total]]</f>
        <v>0</v>
      </c>
      <c r="AC1707" s="75">
        <v>25.5</v>
      </c>
      <c r="AD1707" s="75"/>
    </row>
    <row r="1708" spans="1:30" s="53" customFormat="1" ht="50" customHeight="1">
      <c r="A1708" s="75" t="s">
        <v>3383</v>
      </c>
      <c r="B1708" s="83"/>
      <c r="C1708" s="75"/>
      <c r="D1708" s="84" t="s">
        <v>3279</v>
      </c>
      <c r="E1708" s="85" t="s">
        <v>3384</v>
      </c>
      <c r="F1708" s="86" t="s">
        <v>525</v>
      </c>
      <c r="G1708" s="75"/>
      <c r="H1708" s="75">
        <f>STOCK[[#This Row],[Precio Final]]</f>
        <v>4</v>
      </c>
      <c r="I1708" s="80">
        <f>STOCK[[#This Row],[Precio Venta Ideal (x1.5)]]</f>
        <v>0.60000000000000009</v>
      </c>
      <c r="J1708" s="87">
        <v>3</v>
      </c>
      <c r="K1708" s="78">
        <f>SUMIFS(VENTAS[Cantidad],VENTAS[Código del producto Vendido],STOCK[[#This Row],[Code]])</f>
        <v>0</v>
      </c>
      <c r="L1708" s="78">
        <f>STOCK[[#This Row],[Entradas]]-STOCK[[#This Row],[Salidas]]</f>
        <v>3</v>
      </c>
      <c r="M1708" s="75">
        <f>STOCK[[#This Row],[Precio Final]]*10%</f>
        <v>0.4</v>
      </c>
      <c r="N1708" s="54">
        <v>0</v>
      </c>
      <c r="O1708" s="75">
        <v>0</v>
      </c>
      <c r="P1708" s="75"/>
      <c r="Q1708" s="75">
        <v>2</v>
      </c>
      <c r="R1708" s="78"/>
      <c r="S1708" s="75"/>
      <c r="T1708" s="75">
        <f>STOCK[[#This Row],[Costo Unitario (USD)]]+STOCK[[#This Row],[Costo Envío (USD)]]+STOCK[[#This Row],[Comisión 10%]]</f>
        <v>0.4</v>
      </c>
      <c r="U1708" s="53">
        <f>STOCK[[#This Row],[Costo total]]*1.5</f>
        <v>0.60000000000000009</v>
      </c>
      <c r="V1708" s="75">
        <v>4</v>
      </c>
      <c r="W1708" s="75">
        <f>STOCK[[#This Row],[Precio Final]]-STOCK[[#This Row],[Costo total]]</f>
        <v>3.6</v>
      </c>
      <c r="X1708" s="75">
        <f>STOCK[[#This Row],[Ganancia Unitaria]]*STOCK[[#This Row],[Salidas]]</f>
        <v>0</v>
      </c>
      <c r="Y1708" s="75">
        <v>0</v>
      </c>
      <c r="Z1708" s="88"/>
      <c r="AA1708" s="54">
        <f>STOCK[[#This Row],[Costo total]]*STOCK[[#This Row],[Entradas]]</f>
        <v>1.2000000000000002</v>
      </c>
      <c r="AB1708" s="54">
        <f>STOCK[[#This Row],[Stock Actual]]*STOCK[[#This Row],[Costo total]]</f>
        <v>1.2000000000000002</v>
      </c>
      <c r="AC1708" s="75">
        <v>10.8</v>
      </c>
      <c r="AD1708" s="75"/>
    </row>
    <row r="1709" spans="1:30" s="53" customFormat="1" ht="50" customHeight="1">
      <c r="A1709" s="75" t="s">
        <v>3385</v>
      </c>
      <c r="B1709" s="83"/>
      <c r="C1709" s="75"/>
      <c r="D1709" s="84" t="s">
        <v>3279</v>
      </c>
      <c r="E1709" s="85" t="s">
        <v>3386</v>
      </c>
      <c r="F1709" s="86" t="s">
        <v>525</v>
      </c>
      <c r="G1709" s="75"/>
      <c r="H1709" s="75" t="e">
        <f>STOCK[[#This Row],[Precio Final]]</f>
        <v>#DIV/0!</v>
      </c>
      <c r="I1709" s="80" t="e">
        <f>STOCK[[#This Row],[Precio Venta Ideal (x1.5)]]</f>
        <v>#DIV/0!</v>
      </c>
      <c r="J1709" s="87"/>
      <c r="K1709" s="78">
        <f>SUMIFS(VENTAS[Cantidad],VENTAS[Código del producto Vendido],STOCK[[#This Row],[Code]])</f>
        <v>0</v>
      </c>
      <c r="L1709" s="78">
        <f>STOCK[[#This Row],[Entradas]]-STOCK[[#This Row],[Salidas]]</f>
        <v>0</v>
      </c>
      <c r="M1709" s="75" t="e">
        <f>STOCK[[#This Row],[Precio Final]]*10%</f>
        <v>#DIV/0!</v>
      </c>
      <c r="N1709" s="54">
        <v>0</v>
      </c>
      <c r="O1709" s="75">
        <v>0</v>
      </c>
      <c r="P1709" s="75"/>
      <c r="Q1709" s="75" t="e">
        <v>#DIV/0!</v>
      </c>
      <c r="R1709" s="78"/>
      <c r="S1709" s="75"/>
      <c r="T1709" s="75" t="e">
        <f>STOCK[[#This Row],[Costo Unitario (USD)]]+STOCK[[#This Row],[Costo Envío (USD)]]+STOCK[[#This Row],[Comisión 10%]]</f>
        <v>#DIV/0!</v>
      </c>
      <c r="U1709" s="53" t="e">
        <f>STOCK[[#This Row],[Costo total]]*1.5</f>
        <v>#DIV/0!</v>
      </c>
      <c r="V1709" s="75" t="e">
        <v>#DIV/0!</v>
      </c>
      <c r="W1709" s="75" t="e">
        <f>STOCK[[#This Row],[Precio Final]]-STOCK[[#This Row],[Costo total]]</f>
        <v>#DIV/0!</v>
      </c>
      <c r="X1709" s="75" t="e">
        <f>STOCK[[#This Row],[Ganancia Unitaria]]*STOCK[[#This Row],[Salidas]]</f>
        <v>#DIV/0!</v>
      </c>
      <c r="Y1709" s="75" t="e">
        <v>#DIV/0!</v>
      </c>
      <c r="Z1709" s="88"/>
      <c r="AA1709" s="54" t="e">
        <f>STOCK[[#This Row],[Costo total]]*STOCK[[#This Row],[Entradas]]</f>
        <v>#DIV/0!</v>
      </c>
      <c r="AB1709" s="54" t="e">
        <f>STOCK[[#This Row],[Stock Actual]]*STOCK[[#This Row],[Costo total]]</f>
        <v>#DIV/0!</v>
      </c>
      <c r="AC1709" s="75" t="e">
        <v>#DIV/0!</v>
      </c>
      <c r="AD1709" s="75"/>
    </row>
    <row r="1710" spans="1:30" s="53" customFormat="1" ht="50" customHeight="1">
      <c r="A1710" s="75" t="s">
        <v>3387</v>
      </c>
      <c r="B1710" s="83"/>
      <c r="C1710" s="75"/>
      <c r="D1710" s="84" t="s">
        <v>3279</v>
      </c>
      <c r="E1710" s="85" t="s">
        <v>3388</v>
      </c>
      <c r="F1710" s="86" t="s">
        <v>525</v>
      </c>
      <c r="G1710" s="75"/>
      <c r="H1710" s="75">
        <f>STOCK[[#This Row],[Precio Final]]</f>
        <v>4</v>
      </c>
      <c r="I1710" s="80">
        <f>STOCK[[#This Row],[Precio Venta Ideal (x1.5)]]</f>
        <v>0.60000000000000009</v>
      </c>
      <c r="J1710" s="87">
        <v>1</v>
      </c>
      <c r="K1710" s="78">
        <f>SUMIFS(VENTAS[Cantidad],VENTAS[Código del producto Vendido],STOCK[[#This Row],[Code]])</f>
        <v>1</v>
      </c>
      <c r="L1710" s="78">
        <f>STOCK[[#This Row],[Entradas]]-STOCK[[#This Row],[Salidas]]</f>
        <v>0</v>
      </c>
      <c r="M1710" s="75">
        <f>STOCK[[#This Row],[Precio Final]]*10%</f>
        <v>0.4</v>
      </c>
      <c r="N1710" s="54">
        <v>0</v>
      </c>
      <c r="O1710" s="75">
        <v>0</v>
      </c>
      <c r="P1710" s="75"/>
      <c r="Q1710" s="75">
        <v>2.1</v>
      </c>
      <c r="R1710" s="78"/>
      <c r="S1710" s="75"/>
      <c r="T1710" s="75">
        <f>STOCK[[#This Row],[Costo Unitario (USD)]]+STOCK[[#This Row],[Costo Envío (USD)]]+STOCK[[#This Row],[Comisión 10%]]</f>
        <v>0.4</v>
      </c>
      <c r="U1710" s="53">
        <f>STOCK[[#This Row],[Costo total]]*1.5</f>
        <v>0.60000000000000009</v>
      </c>
      <c r="V1710" s="75">
        <v>4</v>
      </c>
      <c r="W1710" s="75">
        <f>STOCK[[#This Row],[Precio Final]]-STOCK[[#This Row],[Costo total]]</f>
        <v>3.6</v>
      </c>
      <c r="X1710" s="75">
        <f>STOCK[[#This Row],[Ganancia Unitaria]]*STOCK[[#This Row],[Salidas]]</f>
        <v>3.6</v>
      </c>
      <c r="Y1710" s="75">
        <v>0</v>
      </c>
      <c r="Z1710" s="88"/>
      <c r="AA1710" s="54">
        <f>STOCK[[#This Row],[Costo total]]*STOCK[[#This Row],[Entradas]]</f>
        <v>0.4</v>
      </c>
      <c r="AB1710" s="54">
        <f>STOCK[[#This Row],[Stock Actual]]*STOCK[[#This Row],[Costo total]]</f>
        <v>0</v>
      </c>
      <c r="AC1710" s="75">
        <v>3.5</v>
      </c>
      <c r="AD1710" s="75"/>
    </row>
    <row r="1711" spans="1:30" s="53" customFormat="1" ht="50" customHeight="1">
      <c r="A1711" s="75" t="s">
        <v>3389</v>
      </c>
      <c r="B1711" s="83"/>
      <c r="C1711" s="75"/>
      <c r="D1711" s="84" t="s">
        <v>3279</v>
      </c>
      <c r="E1711" s="85" t="s">
        <v>3390</v>
      </c>
      <c r="F1711" s="86" t="s">
        <v>525</v>
      </c>
      <c r="G1711" s="75"/>
      <c r="H1711" s="75">
        <f>STOCK[[#This Row],[Precio Final]]</f>
        <v>14</v>
      </c>
      <c r="I1711" s="80">
        <f>STOCK[[#This Row],[Precio Venta Ideal (x1.5)]]</f>
        <v>2.1</v>
      </c>
      <c r="J1711" s="87">
        <v>1</v>
      </c>
      <c r="K1711" s="78">
        <f>SUMIFS(VENTAS[Cantidad],VENTAS[Código del producto Vendido],STOCK[[#This Row],[Code]])</f>
        <v>1</v>
      </c>
      <c r="L1711" s="78">
        <f>STOCK[[#This Row],[Entradas]]-STOCK[[#This Row],[Salidas]]</f>
        <v>0</v>
      </c>
      <c r="M1711" s="75">
        <f>STOCK[[#This Row],[Precio Final]]*10%</f>
        <v>1.4000000000000001</v>
      </c>
      <c r="N1711" s="54">
        <v>0</v>
      </c>
      <c r="O1711" s="75">
        <v>0</v>
      </c>
      <c r="P1711" s="75"/>
      <c r="Q1711" s="75">
        <v>11</v>
      </c>
      <c r="R1711" s="78"/>
      <c r="S1711" s="75"/>
      <c r="T1711" s="75">
        <f>STOCK[[#This Row],[Costo Unitario (USD)]]+STOCK[[#This Row],[Costo Envío (USD)]]+STOCK[[#This Row],[Comisión 10%]]</f>
        <v>1.4000000000000001</v>
      </c>
      <c r="U1711" s="53">
        <f>STOCK[[#This Row],[Costo total]]*1.5</f>
        <v>2.1</v>
      </c>
      <c r="V1711" s="75">
        <v>14</v>
      </c>
      <c r="W1711" s="75">
        <f>STOCK[[#This Row],[Precio Final]]-STOCK[[#This Row],[Costo total]]</f>
        <v>12.6</v>
      </c>
      <c r="X1711" s="75">
        <f>STOCK[[#This Row],[Ganancia Unitaria]]*STOCK[[#This Row],[Salidas]]</f>
        <v>12.6</v>
      </c>
      <c r="Y1711" s="75">
        <v>0</v>
      </c>
      <c r="Z1711" s="88"/>
      <c r="AA1711" s="54">
        <f>STOCK[[#This Row],[Costo total]]*STOCK[[#This Row],[Entradas]]</f>
        <v>1.4000000000000001</v>
      </c>
      <c r="AB1711" s="54">
        <f>STOCK[[#This Row],[Stock Actual]]*STOCK[[#This Row],[Costo total]]</f>
        <v>0</v>
      </c>
      <c r="AC1711" s="75">
        <v>14</v>
      </c>
      <c r="AD1711" s="75"/>
    </row>
    <row r="1712" spans="1:30" s="53" customFormat="1" ht="50" customHeight="1">
      <c r="A1712" s="75" t="s">
        <v>3391</v>
      </c>
      <c r="B1712" s="83"/>
      <c r="C1712" s="75"/>
      <c r="D1712" s="84" t="s">
        <v>3279</v>
      </c>
      <c r="E1712" s="85" t="s">
        <v>3392</v>
      </c>
      <c r="F1712" s="86" t="s">
        <v>525</v>
      </c>
      <c r="G1712" s="75"/>
      <c r="H1712" s="75">
        <f>STOCK[[#This Row],[Precio Final]]</f>
        <v>5</v>
      </c>
      <c r="I1712" s="80">
        <f>STOCK[[#This Row],[Precio Venta Ideal (x1.5)]]</f>
        <v>0.75</v>
      </c>
      <c r="J1712" s="87">
        <v>1</v>
      </c>
      <c r="K1712" s="78">
        <f>SUMIFS(VENTAS[Cantidad],VENTAS[Código del producto Vendido],STOCK[[#This Row],[Code]])</f>
        <v>0</v>
      </c>
      <c r="L1712" s="78">
        <f>STOCK[[#This Row],[Entradas]]-STOCK[[#This Row],[Salidas]]</f>
        <v>1</v>
      </c>
      <c r="M1712" s="75">
        <f>STOCK[[#This Row],[Precio Final]]*10%</f>
        <v>0.5</v>
      </c>
      <c r="N1712" s="54">
        <v>0</v>
      </c>
      <c r="O1712" s="75">
        <v>0</v>
      </c>
      <c r="P1712" s="75"/>
      <c r="Q1712" s="75">
        <v>2.99</v>
      </c>
      <c r="R1712" s="78"/>
      <c r="S1712" s="75"/>
      <c r="T1712" s="75">
        <f>STOCK[[#This Row],[Costo Unitario (USD)]]+STOCK[[#This Row],[Costo Envío (USD)]]+STOCK[[#This Row],[Comisión 10%]]</f>
        <v>0.5</v>
      </c>
      <c r="U1712" s="53">
        <f>STOCK[[#This Row],[Costo total]]*1.5</f>
        <v>0.75</v>
      </c>
      <c r="V1712" s="75">
        <v>5</v>
      </c>
      <c r="W1712" s="75">
        <f>STOCK[[#This Row],[Precio Final]]-STOCK[[#This Row],[Costo total]]</f>
        <v>4.5</v>
      </c>
      <c r="X1712" s="75">
        <f>STOCK[[#This Row],[Ganancia Unitaria]]*STOCK[[#This Row],[Salidas]]</f>
        <v>0</v>
      </c>
      <c r="Y1712" s="75">
        <v>0</v>
      </c>
      <c r="Z1712" s="88"/>
      <c r="AA1712" s="54">
        <f>STOCK[[#This Row],[Costo total]]*STOCK[[#This Row],[Entradas]]</f>
        <v>0.5</v>
      </c>
      <c r="AB1712" s="54">
        <f>STOCK[[#This Row],[Stock Actual]]*STOCK[[#This Row],[Costo total]]</f>
        <v>0.5</v>
      </c>
      <c r="AC1712" s="75">
        <v>4.79</v>
      </c>
      <c r="AD1712" s="75"/>
    </row>
    <row r="1713" spans="1:30" s="53" customFormat="1" ht="50" customHeight="1">
      <c r="A1713" s="75" t="s">
        <v>3393</v>
      </c>
      <c r="B1713" s="83"/>
      <c r="C1713" s="75"/>
      <c r="D1713" s="84" t="s">
        <v>3279</v>
      </c>
      <c r="E1713" s="85" t="s">
        <v>3394</v>
      </c>
      <c r="F1713" s="86" t="s">
        <v>3395</v>
      </c>
      <c r="G1713" s="75"/>
      <c r="H1713" s="75">
        <f>STOCK[[#This Row],[Precio Final]]</f>
        <v>18</v>
      </c>
      <c r="I1713" s="80">
        <f>STOCK[[#This Row],[Precio Venta Ideal (x1.5)]]</f>
        <v>2.7</v>
      </c>
      <c r="J1713" s="87">
        <v>2</v>
      </c>
      <c r="K1713" s="78">
        <f>SUMIFS(VENTAS[Cantidad],VENTAS[Código del producto Vendido],STOCK[[#This Row],[Code]])</f>
        <v>2</v>
      </c>
      <c r="L1713" s="78">
        <f>STOCK[[#This Row],[Entradas]]-STOCK[[#This Row],[Salidas]]</f>
        <v>0</v>
      </c>
      <c r="M1713" s="75">
        <f>STOCK[[#This Row],[Precio Final]]*10%</f>
        <v>1.8</v>
      </c>
      <c r="N1713" s="54">
        <v>0</v>
      </c>
      <c r="O1713" s="75">
        <v>0</v>
      </c>
      <c r="P1713" s="75"/>
      <c r="Q1713" s="75">
        <v>13.91</v>
      </c>
      <c r="R1713" s="78"/>
      <c r="S1713" s="75"/>
      <c r="T1713" s="75">
        <f>STOCK[[#This Row],[Costo Unitario (USD)]]+STOCK[[#This Row],[Costo Envío (USD)]]+STOCK[[#This Row],[Comisión 10%]]</f>
        <v>1.8</v>
      </c>
      <c r="U1713" s="53">
        <f>STOCK[[#This Row],[Costo total]]*1.5</f>
        <v>2.7</v>
      </c>
      <c r="V1713" s="75">
        <v>18</v>
      </c>
      <c r="W1713" s="75">
        <f>STOCK[[#This Row],[Precio Final]]-STOCK[[#This Row],[Costo total]]</f>
        <v>16.2</v>
      </c>
      <c r="X1713" s="75">
        <f>STOCK[[#This Row],[Ganancia Unitaria]]*STOCK[[#This Row],[Salidas]]</f>
        <v>32.4</v>
      </c>
      <c r="Y1713" s="75">
        <v>0</v>
      </c>
      <c r="Z1713" s="88"/>
      <c r="AA1713" s="54">
        <f>STOCK[[#This Row],[Costo total]]*STOCK[[#This Row],[Entradas]]</f>
        <v>3.6</v>
      </c>
      <c r="AB1713" s="54">
        <f>STOCK[[#This Row],[Stock Actual]]*STOCK[[#This Row],[Costo total]]</f>
        <v>0</v>
      </c>
      <c r="AC1713" s="75">
        <v>17.41</v>
      </c>
      <c r="AD1713" s="75"/>
    </row>
    <row r="1714" spans="1:30" s="53" customFormat="1" ht="50" customHeight="1">
      <c r="A1714" s="75" t="s">
        <v>3396</v>
      </c>
      <c r="B1714" s="83"/>
      <c r="C1714" s="75"/>
      <c r="D1714" s="84" t="s">
        <v>3279</v>
      </c>
      <c r="E1714" s="85" t="s">
        <v>3397</v>
      </c>
      <c r="F1714" s="86" t="s">
        <v>525</v>
      </c>
      <c r="G1714" s="75"/>
      <c r="H1714" s="75">
        <f>STOCK[[#This Row],[Precio Final]]</f>
        <v>7</v>
      </c>
      <c r="I1714" s="80">
        <f>STOCK[[#This Row],[Precio Venta Ideal (x1.5)]]</f>
        <v>1.05</v>
      </c>
      <c r="J1714" s="87">
        <v>1</v>
      </c>
      <c r="K1714" s="78">
        <f>SUMIFS(VENTAS[Cantidad],VENTAS[Código del producto Vendido],STOCK[[#This Row],[Code]])</f>
        <v>1</v>
      </c>
      <c r="L1714" s="78">
        <f>STOCK[[#This Row],[Entradas]]-STOCK[[#This Row],[Salidas]]</f>
        <v>0</v>
      </c>
      <c r="M1714" s="75">
        <f>STOCK[[#This Row],[Precio Final]]*10%</f>
        <v>0.70000000000000007</v>
      </c>
      <c r="N1714" s="54">
        <v>0</v>
      </c>
      <c r="O1714" s="75">
        <v>0</v>
      </c>
      <c r="P1714" s="75"/>
      <c r="Q1714" s="75">
        <v>4.8099999999999996</v>
      </c>
      <c r="R1714" s="78"/>
      <c r="S1714" s="75"/>
      <c r="T1714" s="75">
        <f>STOCK[[#This Row],[Costo Unitario (USD)]]+STOCK[[#This Row],[Costo Envío (USD)]]+STOCK[[#This Row],[Comisión 10%]]</f>
        <v>0.70000000000000007</v>
      </c>
      <c r="U1714" s="53">
        <f>STOCK[[#This Row],[Costo total]]*1.5</f>
        <v>1.05</v>
      </c>
      <c r="V1714" s="75">
        <v>7</v>
      </c>
      <c r="W1714" s="75">
        <f>STOCK[[#This Row],[Precio Final]]-STOCK[[#This Row],[Costo total]]</f>
        <v>6.3</v>
      </c>
      <c r="X1714" s="75">
        <f>STOCK[[#This Row],[Ganancia Unitaria]]*STOCK[[#This Row],[Salidas]]</f>
        <v>6.3</v>
      </c>
      <c r="Y1714" s="75">
        <v>0</v>
      </c>
      <c r="Z1714" s="88"/>
      <c r="AA1714" s="54">
        <f>STOCK[[#This Row],[Costo total]]*STOCK[[#This Row],[Entradas]]</f>
        <v>0.70000000000000007</v>
      </c>
      <c r="AB1714" s="54">
        <f>STOCK[[#This Row],[Stock Actual]]*STOCK[[#This Row],[Costo total]]</f>
        <v>0</v>
      </c>
      <c r="AC1714" s="75">
        <v>6.71</v>
      </c>
      <c r="AD1714" s="75"/>
    </row>
    <row r="1715" spans="1:30" s="53" customFormat="1" ht="50" customHeight="1">
      <c r="A1715" s="75" t="s">
        <v>3398</v>
      </c>
      <c r="B1715" s="83"/>
      <c r="C1715" s="75"/>
      <c r="D1715" s="84" t="s">
        <v>3279</v>
      </c>
      <c r="E1715" s="85" t="s">
        <v>3399</v>
      </c>
      <c r="F1715" s="86" t="s">
        <v>525</v>
      </c>
      <c r="G1715" s="75"/>
      <c r="H1715" s="75">
        <f>STOCK[[#This Row],[Precio Final]]</f>
        <v>3</v>
      </c>
      <c r="I1715" s="80">
        <f>STOCK[[#This Row],[Precio Venta Ideal (x1.5)]]</f>
        <v>0.45000000000000007</v>
      </c>
      <c r="J1715" s="87">
        <v>1</v>
      </c>
      <c r="K1715" s="78">
        <f>SUMIFS(VENTAS[Cantidad],VENTAS[Código del producto Vendido],STOCK[[#This Row],[Code]])</f>
        <v>1</v>
      </c>
      <c r="L1715" s="78">
        <f>STOCK[[#This Row],[Entradas]]-STOCK[[#This Row],[Salidas]]</f>
        <v>0</v>
      </c>
      <c r="M1715" s="75">
        <f>STOCK[[#This Row],[Precio Final]]*10%</f>
        <v>0.30000000000000004</v>
      </c>
      <c r="N1715" s="54">
        <v>0</v>
      </c>
      <c r="O1715" s="75">
        <v>0</v>
      </c>
      <c r="P1715" s="75"/>
      <c r="Q1715" s="75">
        <v>1.46</v>
      </c>
      <c r="R1715" s="78"/>
      <c r="S1715" s="75"/>
      <c r="T1715" s="75">
        <f>STOCK[[#This Row],[Costo Unitario (USD)]]+STOCK[[#This Row],[Costo Envío (USD)]]+STOCK[[#This Row],[Comisión 10%]]</f>
        <v>0.30000000000000004</v>
      </c>
      <c r="U1715" s="53">
        <f>STOCK[[#This Row],[Costo total]]*1.5</f>
        <v>0.45000000000000007</v>
      </c>
      <c r="V1715" s="75">
        <v>3</v>
      </c>
      <c r="W1715" s="75">
        <f>STOCK[[#This Row],[Precio Final]]-STOCK[[#This Row],[Costo total]]</f>
        <v>2.7</v>
      </c>
      <c r="X1715" s="75">
        <f>STOCK[[#This Row],[Ganancia Unitaria]]*STOCK[[#This Row],[Salidas]]</f>
        <v>2.7</v>
      </c>
      <c r="Y1715" s="75">
        <v>0</v>
      </c>
      <c r="Z1715" s="88"/>
      <c r="AA1715" s="54">
        <f>STOCK[[#This Row],[Costo total]]*STOCK[[#This Row],[Entradas]]</f>
        <v>0.30000000000000004</v>
      </c>
      <c r="AB1715" s="54">
        <f>STOCK[[#This Row],[Stock Actual]]*STOCK[[#This Row],[Costo total]]</f>
        <v>0</v>
      </c>
      <c r="AC1715" s="75">
        <v>2.86</v>
      </c>
      <c r="AD1715" s="75"/>
    </row>
    <row r="1716" spans="1:30" s="53" customFormat="1" ht="50" customHeight="1">
      <c r="A1716" s="75" t="s">
        <v>3400</v>
      </c>
      <c r="B1716" s="83"/>
      <c r="C1716" s="75"/>
      <c r="D1716" s="84" t="s">
        <v>3279</v>
      </c>
      <c r="E1716" s="85" t="s">
        <v>3401</v>
      </c>
      <c r="F1716" s="86" t="s">
        <v>2109</v>
      </c>
      <c r="G1716" s="75"/>
      <c r="H1716" s="75">
        <f>STOCK[[#This Row],[Precio Final]]</f>
        <v>14</v>
      </c>
      <c r="I1716" s="80">
        <f>STOCK[[#This Row],[Precio Venta Ideal (x1.5)]]</f>
        <v>2.1</v>
      </c>
      <c r="J1716" s="87">
        <v>1</v>
      </c>
      <c r="K1716" s="78">
        <f>SUMIFS(VENTAS[Cantidad],VENTAS[Código del producto Vendido],STOCK[[#This Row],[Code]])</f>
        <v>1</v>
      </c>
      <c r="L1716" s="78">
        <f>STOCK[[#This Row],[Entradas]]-STOCK[[#This Row],[Salidas]]</f>
        <v>0</v>
      </c>
      <c r="M1716" s="75">
        <f>STOCK[[#This Row],[Precio Final]]*10%</f>
        <v>1.4000000000000001</v>
      </c>
      <c r="N1716" s="54">
        <v>0</v>
      </c>
      <c r="O1716" s="75">
        <v>0</v>
      </c>
      <c r="P1716" s="75"/>
      <c r="Q1716" s="75">
        <v>10.69</v>
      </c>
      <c r="R1716" s="78"/>
      <c r="S1716" s="75"/>
      <c r="T1716" s="75">
        <f>STOCK[[#This Row],[Costo Unitario (USD)]]+STOCK[[#This Row],[Costo Envío (USD)]]+STOCK[[#This Row],[Comisión 10%]]</f>
        <v>1.4000000000000001</v>
      </c>
      <c r="U1716" s="53">
        <f>STOCK[[#This Row],[Costo total]]*1.5</f>
        <v>2.1</v>
      </c>
      <c r="V1716" s="75">
        <v>14</v>
      </c>
      <c r="W1716" s="75">
        <f>STOCK[[#This Row],[Precio Final]]-STOCK[[#This Row],[Costo total]]</f>
        <v>12.6</v>
      </c>
      <c r="X1716" s="75">
        <f>STOCK[[#This Row],[Ganancia Unitaria]]*STOCK[[#This Row],[Salidas]]</f>
        <v>12.6</v>
      </c>
      <c r="Y1716" s="75">
        <v>0</v>
      </c>
      <c r="Z1716" s="88"/>
      <c r="AA1716" s="54">
        <f>STOCK[[#This Row],[Costo total]]*STOCK[[#This Row],[Entradas]]</f>
        <v>1.4000000000000001</v>
      </c>
      <c r="AB1716" s="54">
        <f>STOCK[[#This Row],[Stock Actual]]*STOCK[[#This Row],[Costo total]]</f>
        <v>0</v>
      </c>
      <c r="AC1716" s="75">
        <v>13.39</v>
      </c>
      <c r="AD1716" s="75"/>
    </row>
    <row r="1717" spans="1:30" s="53" customFormat="1" ht="50" customHeight="1">
      <c r="A1717" s="75" t="s">
        <v>3402</v>
      </c>
      <c r="B1717" s="83"/>
      <c r="C1717" s="75"/>
      <c r="D1717" s="84" t="s">
        <v>3279</v>
      </c>
      <c r="E1717" s="85" t="s">
        <v>3401</v>
      </c>
      <c r="F1717" s="86" t="s">
        <v>3403</v>
      </c>
      <c r="G1717" s="75"/>
      <c r="H1717" s="75">
        <f>STOCK[[#This Row],[Precio Final]]</f>
        <v>14</v>
      </c>
      <c r="I1717" s="80">
        <f>STOCK[[#This Row],[Precio Venta Ideal (x1.5)]]</f>
        <v>2.1</v>
      </c>
      <c r="J1717" s="87">
        <v>1</v>
      </c>
      <c r="K1717" s="78">
        <f>SUMIFS(VENTAS[Cantidad],VENTAS[Código del producto Vendido],STOCK[[#This Row],[Code]])</f>
        <v>1</v>
      </c>
      <c r="L1717" s="78">
        <f>STOCK[[#This Row],[Entradas]]-STOCK[[#This Row],[Salidas]]</f>
        <v>0</v>
      </c>
      <c r="M1717" s="75">
        <f>STOCK[[#This Row],[Precio Final]]*10%</f>
        <v>1.4000000000000001</v>
      </c>
      <c r="N1717" s="54">
        <v>0</v>
      </c>
      <c r="O1717" s="75">
        <v>0</v>
      </c>
      <c r="P1717" s="75"/>
      <c r="Q1717" s="75">
        <v>10.69</v>
      </c>
      <c r="R1717" s="78"/>
      <c r="S1717" s="75"/>
      <c r="T1717" s="75">
        <f>STOCK[[#This Row],[Costo Unitario (USD)]]+STOCK[[#This Row],[Costo Envío (USD)]]+STOCK[[#This Row],[Comisión 10%]]</f>
        <v>1.4000000000000001</v>
      </c>
      <c r="U1717" s="53">
        <f>STOCK[[#This Row],[Costo total]]*1.5</f>
        <v>2.1</v>
      </c>
      <c r="V1717" s="75">
        <v>14</v>
      </c>
      <c r="W1717" s="75">
        <f>STOCK[[#This Row],[Precio Final]]-STOCK[[#This Row],[Costo total]]</f>
        <v>12.6</v>
      </c>
      <c r="X1717" s="75">
        <f>STOCK[[#This Row],[Ganancia Unitaria]]*STOCK[[#This Row],[Salidas]]</f>
        <v>12.6</v>
      </c>
      <c r="Y1717" s="75">
        <v>0</v>
      </c>
      <c r="Z1717" s="88"/>
      <c r="AA1717" s="54">
        <f>STOCK[[#This Row],[Costo total]]*STOCK[[#This Row],[Entradas]]</f>
        <v>1.4000000000000001</v>
      </c>
      <c r="AB1717" s="54">
        <f>STOCK[[#This Row],[Stock Actual]]*STOCK[[#This Row],[Costo total]]</f>
        <v>0</v>
      </c>
      <c r="AC1717" s="75">
        <v>13.39</v>
      </c>
      <c r="AD1717" s="75"/>
    </row>
    <row r="1718" spans="1:30" s="53" customFormat="1" ht="50" customHeight="1">
      <c r="A1718" s="75" t="s">
        <v>3404</v>
      </c>
      <c r="B1718" s="83"/>
      <c r="C1718" s="75"/>
      <c r="D1718" s="84" t="s">
        <v>3279</v>
      </c>
      <c r="E1718" s="85" t="s">
        <v>3405</v>
      </c>
      <c r="F1718" s="86" t="s">
        <v>62</v>
      </c>
      <c r="G1718" s="75"/>
      <c r="H1718" s="75">
        <f>STOCK[[#This Row],[Precio Final]]</f>
        <v>12</v>
      </c>
      <c r="I1718" s="80">
        <f>STOCK[[#This Row],[Precio Venta Ideal (x1.5)]]</f>
        <v>1.8000000000000003</v>
      </c>
      <c r="J1718" s="87">
        <v>1</v>
      </c>
      <c r="K1718" s="78">
        <f>SUMIFS(VENTAS[Cantidad],VENTAS[Código del producto Vendido],STOCK[[#This Row],[Code]])</f>
        <v>0</v>
      </c>
      <c r="L1718" s="78">
        <f>STOCK[[#This Row],[Entradas]]-STOCK[[#This Row],[Salidas]]</f>
        <v>1</v>
      </c>
      <c r="M1718" s="75">
        <f>STOCK[[#This Row],[Precio Final]]*10%</f>
        <v>1.2000000000000002</v>
      </c>
      <c r="N1718" s="54">
        <v>0</v>
      </c>
      <c r="O1718" s="75">
        <v>0</v>
      </c>
      <c r="P1718" s="75"/>
      <c r="Q1718" s="75">
        <v>8.14</v>
      </c>
      <c r="R1718" s="78"/>
      <c r="S1718" s="75"/>
      <c r="T1718" s="75">
        <f>STOCK[[#This Row],[Costo Unitario (USD)]]+STOCK[[#This Row],[Costo Envío (USD)]]+STOCK[[#This Row],[Comisión 10%]]</f>
        <v>1.2000000000000002</v>
      </c>
      <c r="U1718" s="53">
        <f>STOCK[[#This Row],[Costo total]]*1.5</f>
        <v>1.8000000000000003</v>
      </c>
      <c r="V1718" s="75">
        <v>12</v>
      </c>
      <c r="W1718" s="75">
        <f>STOCK[[#This Row],[Precio Final]]-STOCK[[#This Row],[Costo total]]</f>
        <v>10.8</v>
      </c>
      <c r="X1718" s="75">
        <f>STOCK[[#This Row],[Ganancia Unitaria]]*STOCK[[#This Row],[Salidas]]</f>
        <v>0</v>
      </c>
      <c r="Y1718" s="75">
        <v>0</v>
      </c>
      <c r="Z1718" s="88"/>
      <c r="AA1718" s="54">
        <f>STOCK[[#This Row],[Costo total]]*STOCK[[#This Row],[Entradas]]</f>
        <v>1.2000000000000002</v>
      </c>
      <c r="AB1718" s="54">
        <f>STOCK[[#This Row],[Stock Actual]]*STOCK[[#This Row],[Costo total]]</f>
        <v>1.2000000000000002</v>
      </c>
      <c r="AC1718" s="75">
        <v>11.14</v>
      </c>
      <c r="AD1718" s="75"/>
    </row>
    <row r="1719" spans="1:30" s="53" customFormat="1" ht="50" customHeight="1">
      <c r="A1719" s="75" t="s">
        <v>3406</v>
      </c>
      <c r="B1719" s="83"/>
      <c r="C1719" s="75"/>
      <c r="D1719" s="84" t="s">
        <v>3279</v>
      </c>
      <c r="E1719" s="85" t="s">
        <v>3407</v>
      </c>
      <c r="F1719" s="86" t="s">
        <v>525</v>
      </c>
      <c r="G1719" s="75"/>
      <c r="H1719" s="75">
        <f>STOCK[[#This Row],[Precio Final]]</f>
        <v>5</v>
      </c>
      <c r="I1719" s="80">
        <f>STOCK[[#This Row],[Precio Venta Ideal (x1.5)]]</f>
        <v>0.75</v>
      </c>
      <c r="J1719" s="87">
        <v>1</v>
      </c>
      <c r="K1719" s="78">
        <f>SUMIFS(VENTAS[Cantidad],VENTAS[Código del producto Vendido],STOCK[[#This Row],[Code]])</f>
        <v>0</v>
      </c>
      <c r="L1719" s="78">
        <f>STOCK[[#This Row],[Entradas]]-STOCK[[#This Row],[Salidas]]</f>
        <v>1</v>
      </c>
      <c r="M1719" s="75">
        <f>STOCK[[#This Row],[Precio Final]]*10%</f>
        <v>0.5</v>
      </c>
      <c r="N1719" s="54">
        <v>0</v>
      </c>
      <c r="O1719" s="75">
        <v>0</v>
      </c>
      <c r="P1719" s="75"/>
      <c r="Q1719" s="75">
        <v>3</v>
      </c>
      <c r="R1719" s="78"/>
      <c r="S1719" s="75"/>
      <c r="T1719" s="75">
        <f>STOCK[[#This Row],[Costo Unitario (USD)]]+STOCK[[#This Row],[Costo Envío (USD)]]+STOCK[[#This Row],[Comisión 10%]]</f>
        <v>0.5</v>
      </c>
      <c r="U1719" s="53">
        <f>STOCK[[#This Row],[Costo total]]*1.5</f>
        <v>0.75</v>
      </c>
      <c r="V1719" s="75">
        <v>5</v>
      </c>
      <c r="W1719" s="75">
        <f>STOCK[[#This Row],[Precio Final]]-STOCK[[#This Row],[Costo total]]</f>
        <v>4.5</v>
      </c>
      <c r="X1719" s="75">
        <f>STOCK[[#This Row],[Ganancia Unitaria]]*STOCK[[#This Row],[Salidas]]</f>
        <v>0</v>
      </c>
      <c r="Y1719" s="75">
        <v>0</v>
      </c>
      <c r="Z1719" s="88"/>
      <c r="AA1719" s="54">
        <f>STOCK[[#This Row],[Costo total]]*STOCK[[#This Row],[Entradas]]</f>
        <v>0.5</v>
      </c>
      <c r="AB1719" s="54">
        <f>STOCK[[#This Row],[Stock Actual]]*STOCK[[#This Row],[Costo total]]</f>
        <v>0.5</v>
      </c>
      <c r="AC1719" s="75">
        <v>4.8</v>
      </c>
      <c r="AD1719" s="75"/>
    </row>
    <row r="1720" spans="1:30" s="53" customFormat="1" ht="50" customHeight="1">
      <c r="A1720" s="75" t="s">
        <v>3408</v>
      </c>
      <c r="B1720" s="83"/>
      <c r="C1720" s="75"/>
      <c r="D1720" s="84" t="s">
        <v>3279</v>
      </c>
      <c r="E1720" s="85" t="s">
        <v>3409</v>
      </c>
      <c r="F1720" s="86" t="s">
        <v>3403</v>
      </c>
      <c r="G1720" s="75"/>
      <c r="H1720" s="75">
        <f>STOCK[[#This Row],[Precio Final]]</f>
        <v>15</v>
      </c>
      <c r="I1720" s="80">
        <f>STOCK[[#This Row],[Precio Venta Ideal (x1.5)]]</f>
        <v>2.25</v>
      </c>
      <c r="J1720" s="87">
        <v>1</v>
      </c>
      <c r="K1720" s="78">
        <f>SUMIFS(VENTAS[Cantidad],VENTAS[Código del producto Vendido],STOCK[[#This Row],[Code]])</f>
        <v>1</v>
      </c>
      <c r="L1720" s="78">
        <f>STOCK[[#This Row],[Entradas]]-STOCK[[#This Row],[Salidas]]</f>
        <v>0</v>
      </c>
      <c r="M1720" s="75">
        <f>STOCK[[#This Row],[Precio Final]]*10%</f>
        <v>1.5</v>
      </c>
      <c r="N1720" s="54">
        <v>0</v>
      </c>
      <c r="O1720" s="75">
        <v>0</v>
      </c>
      <c r="P1720" s="75"/>
      <c r="Q1720" s="75">
        <v>11.2</v>
      </c>
      <c r="R1720" s="78"/>
      <c r="S1720" s="75"/>
      <c r="T1720" s="75">
        <f>STOCK[[#This Row],[Costo Unitario (USD)]]+STOCK[[#This Row],[Costo Envío (USD)]]+STOCK[[#This Row],[Comisión 10%]]</f>
        <v>1.5</v>
      </c>
      <c r="U1720" s="53">
        <f>STOCK[[#This Row],[Costo total]]*1.5</f>
        <v>2.25</v>
      </c>
      <c r="V1720" s="75">
        <v>15</v>
      </c>
      <c r="W1720" s="75">
        <f>STOCK[[#This Row],[Precio Final]]-STOCK[[#This Row],[Costo total]]</f>
        <v>13.5</v>
      </c>
      <c r="X1720" s="75">
        <f>STOCK[[#This Row],[Ganancia Unitaria]]*STOCK[[#This Row],[Salidas]]</f>
        <v>13.5</v>
      </c>
      <c r="Y1720" s="75">
        <v>0</v>
      </c>
      <c r="Z1720" s="88"/>
      <c r="AA1720" s="54">
        <f>STOCK[[#This Row],[Costo total]]*STOCK[[#This Row],[Entradas]]</f>
        <v>1.5</v>
      </c>
      <c r="AB1720" s="54">
        <f>STOCK[[#This Row],[Stock Actual]]*STOCK[[#This Row],[Costo total]]</f>
        <v>0</v>
      </c>
      <c r="AC1720" s="75">
        <v>14.2</v>
      </c>
      <c r="AD1720" s="75"/>
    </row>
    <row r="1721" spans="1:30" s="53" customFormat="1" ht="50" customHeight="1">
      <c r="A1721" s="75" t="s">
        <v>3410</v>
      </c>
      <c r="B1721" s="83"/>
      <c r="C1721" s="75"/>
      <c r="D1721" s="84" t="s">
        <v>3279</v>
      </c>
      <c r="E1721" s="85" t="s">
        <v>3409</v>
      </c>
      <c r="F1721" s="86" t="s">
        <v>3411</v>
      </c>
      <c r="G1721" s="75"/>
      <c r="H1721" s="75">
        <f>STOCK[[#This Row],[Precio Final]]</f>
        <v>15</v>
      </c>
      <c r="I1721" s="80">
        <f>STOCK[[#This Row],[Precio Venta Ideal (x1.5)]]</f>
        <v>2.25</v>
      </c>
      <c r="J1721" s="87">
        <v>1</v>
      </c>
      <c r="K1721" s="78">
        <f>SUMIFS(VENTAS[Cantidad],VENTAS[Código del producto Vendido],STOCK[[#This Row],[Code]])</f>
        <v>1</v>
      </c>
      <c r="L1721" s="78">
        <f>STOCK[[#This Row],[Entradas]]-STOCK[[#This Row],[Salidas]]</f>
        <v>0</v>
      </c>
      <c r="M1721" s="75">
        <f>STOCK[[#This Row],[Precio Final]]*10%</f>
        <v>1.5</v>
      </c>
      <c r="N1721" s="54">
        <v>0</v>
      </c>
      <c r="O1721" s="75">
        <v>0</v>
      </c>
      <c r="P1721" s="75"/>
      <c r="Q1721" s="75">
        <v>11.2</v>
      </c>
      <c r="R1721" s="78"/>
      <c r="S1721" s="75"/>
      <c r="T1721" s="75">
        <f>STOCK[[#This Row],[Costo Unitario (USD)]]+STOCK[[#This Row],[Costo Envío (USD)]]+STOCK[[#This Row],[Comisión 10%]]</f>
        <v>1.5</v>
      </c>
      <c r="U1721" s="53">
        <f>STOCK[[#This Row],[Costo total]]*1.5</f>
        <v>2.25</v>
      </c>
      <c r="V1721" s="75">
        <v>15</v>
      </c>
      <c r="W1721" s="75">
        <f>STOCK[[#This Row],[Precio Final]]-STOCK[[#This Row],[Costo total]]</f>
        <v>13.5</v>
      </c>
      <c r="X1721" s="75">
        <f>STOCK[[#This Row],[Ganancia Unitaria]]*STOCK[[#This Row],[Salidas]]</f>
        <v>13.5</v>
      </c>
      <c r="Y1721" s="75">
        <v>0</v>
      </c>
      <c r="Z1721" s="88"/>
      <c r="AA1721" s="54">
        <f>STOCK[[#This Row],[Costo total]]*STOCK[[#This Row],[Entradas]]</f>
        <v>1.5</v>
      </c>
      <c r="AB1721" s="54">
        <f>STOCK[[#This Row],[Stock Actual]]*STOCK[[#This Row],[Costo total]]</f>
        <v>0</v>
      </c>
      <c r="AC1721" s="75">
        <v>14.2</v>
      </c>
      <c r="AD1721" s="75"/>
    </row>
    <row r="1722" spans="1:30" s="53" customFormat="1" ht="50" customHeight="1">
      <c r="A1722" s="75" t="s">
        <v>3412</v>
      </c>
      <c r="B1722" s="83"/>
      <c r="C1722" s="75"/>
      <c r="D1722" s="84" t="s">
        <v>3279</v>
      </c>
      <c r="E1722" s="85" t="s">
        <v>3413</v>
      </c>
      <c r="F1722" s="86" t="s">
        <v>525</v>
      </c>
      <c r="G1722" s="75"/>
      <c r="H1722" s="75">
        <f>STOCK[[#This Row],[Precio Final]]</f>
        <v>13</v>
      </c>
      <c r="I1722" s="80">
        <f>STOCK[[#This Row],[Precio Venta Ideal (x1.5)]]</f>
        <v>1.9500000000000002</v>
      </c>
      <c r="J1722" s="87">
        <v>1</v>
      </c>
      <c r="K1722" s="78">
        <f>SUMIFS(VENTAS[Cantidad],VENTAS[Código del producto Vendido],STOCK[[#This Row],[Code]])</f>
        <v>2</v>
      </c>
      <c r="L1722" s="78">
        <f>STOCK[[#This Row],[Entradas]]-STOCK[[#This Row],[Salidas]]</f>
        <v>-1</v>
      </c>
      <c r="M1722" s="75">
        <f>STOCK[[#This Row],[Precio Final]]*10%</f>
        <v>1.3</v>
      </c>
      <c r="N1722" s="54">
        <v>0</v>
      </c>
      <c r="O1722" s="75">
        <v>0</v>
      </c>
      <c r="P1722" s="75"/>
      <c r="Q1722" s="75">
        <v>10</v>
      </c>
      <c r="R1722" s="78"/>
      <c r="S1722" s="75"/>
      <c r="T1722" s="75">
        <f>STOCK[[#This Row],[Costo Unitario (USD)]]+STOCK[[#This Row],[Costo Envío (USD)]]+STOCK[[#This Row],[Comisión 10%]]</f>
        <v>1.3</v>
      </c>
      <c r="U1722" s="53">
        <f>STOCK[[#This Row],[Costo total]]*1.5</f>
        <v>1.9500000000000002</v>
      </c>
      <c r="V1722" s="75">
        <v>13</v>
      </c>
      <c r="W1722" s="75">
        <f>STOCK[[#This Row],[Precio Final]]-STOCK[[#This Row],[Costo total]]</f>
        <v>11.7</v>
      </c>
      <c r="X1722" s="75">
        <f>STOCK[[#This Row],[Ganancia Unitaria]]*STOCK[[#This Row],[Salidas]]</f>
        <v>23.4</v>
      </c>
      <c r="Y1722" s="75">
        <v>0</v>
      </c>
      <c r="Z1722" s="88"/>
      <c r="AA1722" s="54">
        <f>STOCK[[#This Row],[Costo total]]*STOCK[[#This Row],[Entradas]]</f>
        <v>1.3</v>
      </c>
      <c r="AB1722" s="54">
        <f>STOCK[[#This Row],[Stock Actual]]*STOCK[[#This Row],[Costo total]]</f>
        <v>-1.3</v>
      </c>
      <c r="AC1722" s="75">
        <v>12.8</v>
      </c>
      <c r="AD1722" s="75"/>
    </row>
    <row r="1723" spans="1:30" s="53" customFormat="1" ht="50" customHeight="1">
      <c r="A1723" s="75" t="s">
        <v>3414</v>
      </c>
      <c r="B1723" s="83"/>
      <c r="C1723" s="75"/>
      <c r="D1723" s="84" t="s">
        <v>3279</v>
      </c>
      <c r="E1723" s="85" t="s">
        <v>3415</v>
      </c>
      <c r="F1723" s="86" t="s">
        <v>525</v>
      </c>
      <c r="G1723" s="75"/>
      <c r="H1723" s="75">
        <f>STOCK[[#This Row],[Precio Final]]</f>
        <v>1</v>
      </c>
      <c r="I1723" s="80">
        <f>STOCK[[#This Row],[Precio Venta Ideal (x1.5)]]</f>
        <v>0.15000000000000002</v>
      </c>
      <c r="J1723" s="87">
        <v>12</v>
      </c>
      <c r="K1723" s="78">
        <f>SUMIFS(VENTAS[Cantidad],VENTAS[Código del producto Vendido],STOCK[[#This Row],[Code]])</f>
        <v>12</v>
      </c>
      <c r="L1723" s="78">
        <f>STOCK[[#This Row],[Entradas]]-STOCK[[#This Row],[Salidas]]</f>
        <v>0</v>
      </c>
      <c r="M1723" s="75">
        <f>STOCK[[#This Row],[Precio Final]]*10%</f>
        <v>0.1</v>
      </c>
      <c r="N1723" s="54">
        <v>0</v>
      </c>
      <c r="O1723" s="75">
        <v>0</v>
      </c>
      <c r="P1723" s="75"/>
      <c r="Q1723" s="75">
        <v>0</v>
      </c>
      <c r="R1723" s="78"/>
      <c r="S1723" s="75"/>
      <c r="T1723" s="75">
        <f>STOCK[[#This Row],[Costo Unitario (USD)]]+STOCK[[#This Row],[Costo Envío (USD)]]+STOCK[[#This Row],[Comisión 10%]]</f>
        <v>0.1</v>
      </c>
      <c r="U1723" s="53">
        <f>STOCK[[#This Row],[Costo total]]*1.5</f>
        <v>0.15000000000000002</v>
      </c>
      <c r="V1723" s="75">
        <v>1</v>
      </c>
      <c r="W1723" s="75">
        <f>STOCK[[#This Row],[Precio Final]]-STOCK[[#This Row],[Costo total]]</f>
        <v>0.9</v>
      </c>
      <c r="X1723" s="75">
        <f>STOCK[[#This Row],[Ganancia Unitaria]]*STOCK[[#This Row],[Salidas]]</f>
        <v>10.8</v>
      </c>
      <c r="Y1723" s="75">
        <v>0</v>
      </c>
      <c r="Z1723" s="88"/>
      <c r="AA1723" s="54">
        <f>STOCK[[#This Row],[Costo total]]*STOCK[[#This Row],[Entradas]]</f>
        <v>1.2000000000000002</v>
      </c>
      <c r="AB1723" s="54">
        <f>STOCK[[#This Row],[Stock Actual]]*STOCK[[#This Row],[Costo total]]</f>
        <v>0</v>
      </c>
      <c r="AC1723" s="75">
        <v>1.8</v>
      </c>
      <c r="AD1723" s="75"/>
    </row>
    <row r="1724" spans="1:30" s="53" customFormat="1" ht="50" customHeight="1">
      <c r="A1724" s="75" t="s">
        <v>3416</v>
      </c>
      <c r="B1724" s="83"/>
      <c r="C1724" s="75"/>
      <c r="D1724" s="84" t="s">
        <v>3279</v>
      </c>
      <c r="E1724" s="85" t="s">
        <v>3417</v>
      </c>
      <c r="F1724" s="86" t="s">
        <v>525</v>
      </c>
      <c r="G1724" s="75"/>
      <c r="H1724" s="75">
        <f>STOCK[[#This Row],[Precio Final]]</f>
        <v>4</v>
      </c>
      <c r="I1724" s="80">
        <f>STOCK[[#This Row],[Precio Venta Ideal (x1.5)]]</f>
        <v>0.60000000000000009</v>
      </c>
      <c r="J1724" s="87">
        <v>2</v>
      </c>
      <c r="K1724" s="78">
        <f>SUMIFS(VENTAS[Cantidad],VENTAS[Código del producto Vendido],STOCK[[#This Row],[Code]])</f>
        <v>0</v>
      </c>
      <c r="L1724" s="78">
        <f>STOCK[[#This Row],[Entradas]]-STOCK[[#This Row],[Salidas]]</f>
        <v>2</v>
      </c>
      <c r="M1724" s="75">
        <f>STOCK[[#This Row],[Precio Final]]*10%</f>
        <v>0.4</v>
      </c>
      <c r="N1724" s="54">
        <v>0</v>
      </c>
      <c r="O1724" s="75">
        <v>0</v>
      </c>
      <c r="P1724" s="75"/>
      <c r="Q1724" s="75">
        <v>1.92</v>
      </c>
      <c r="R1724" s="78"/>
      <c r="S1724" s="75"/>
      <c r="T1724" s="75">
        <f>STOCK[[#This Row],[Costo Unitario (USD)]]+STOCK[[#This Row],[Costo Envío (USD)]]+STOCK[[#This Row],[Comisión 10%]]</f>
        <v>0.4</v>
      </c>
      <c r="U1724" s="53">
        <f>STOCK[[#This Row],[Costo total]]*1.5</f>
        <v>0.60000000000000009</v>
      </c>
      <c r="V1724" s="75">
        <v>4</v>
      </c>
      <c r="W1724" s="75">
        <f>STOCK[[#This Row],[Precio Final]]-STOCK[[#This Row],[Costo total]]</f>
        <v>3.6</v>
      </c>
      <c r="X1724" s="75">
        <f>STOCK[[#This Row],[Ganancia Unitaria]]*STOCK[[#This Row],[Salidas]]</f>
        <v>0</v>
      </c>
      <c r="Y1724" s="75">
        <v>0</v>
      </c>
      <c r="Z1724" s="88"/>
      <c r="AA1724" s="54">
        <f>STOCK[[#This Row],[Costo total]]*STOCK[[#This Row],[Entradas]]</f>
        <v>0.8</v>
      </c>
      <c r="AB1724" s="54">
        <f>STOCK[[#This Row],[Stock Actual]]*STOCK[[#This Row],[Costo total]]</f>
        <v>0.8</v>
      </c>
      <c r="AC1724" s="75">
        <v>6.64</v>
      </c>
      <c r="AD1724" s="75"/>
    </row>
    <row r="1725" spans="1:30" s="53" customFormat="1" ht="50" customHeight="1">
      <c r="A1725" s="75" t="s">
        <v>3418</v>
      </c>
      <c r="B1725" s="83"/>
      <c r="C1725" s="75"/>
      <c r="D1725" s="84" t="s">
        <v>3279</v>
      </c>
      <c r="E1725" s="85" t="s">
        <v>3419</v>
      </c>
      <c r="F1725" s="86" t="s">
        <v>525</v>
      </c>
      <c r="G1725" s="75"/>
      <c r="H1725" s="75">
        <f>STOCK[[#This Row],[Precio Final]]</f>
        <v>4</v>
      </c>
      <c r="I1725" s="80">
        <f>STOCK[[#This Row],[Precio Venta Ideal (x1.5)]]</f>
        <v>0.60000000000000009</v>
      </c>
      <c r="J1725" s="87">
        <v>5</v>
      </c>
      <c r="K1725" s="78">
        <f>SUMIFS(VENTAS[Cantidad],VENTAS[Código del producto Vendido],STOCK[[#This Row],[Code]])</f>
        <v>1</v>
      </c>
      <c r="L1725" s="78">
        <f>STOCK[[#This Row],[Entradas]]-STOCK[[#This Row],[Salidas]]</f>
        <v>4</v>
      </c>
      <c r="M1725" s="75">
        <f>STOCK[[#This Row],[Precio Final]]*10%</f>
        <v>0.4</v>
      </c>
      <c r="N1725" s="54">
        <v>0</v>
      </c>
      <c r="O1725" s="75">
        <v>0</v>
      </c>
      <c r="P1725" s="75"/>
      <c r="Q1725" s="75">
        <v>1.92</v>
      </c>
      <c r="R1725" s="78"/>
      <c r="S1725" s="75"/>
      <c r="T1725" s="75">
        <f>STOCK[[#This Row],[Costo Unitario (USD)]]+STOCK[[#This Row],[Costo Envío (USD)]]+STOCK[[#This Row],[Comisión 10%]]</f>
        <v>0.4</v>
      </c>
      <c r="U1725" s="53">
        <f>STOCK[[#This Row],[Costo total]]*1.5</f>
        <v>0.60000000000000009</v>
      </c>
      <c r="V1725" s="75">
        <v>4</v>
      </c>
      <c r="W1725" s="75">
        <f>STOCK[[#This Row],[Precio Final]]-STOCK[[#This Row],[Costo total]]</f>
        <v>3.6</v>
      </c>
      <c r="X1725" s="75">
        <f>STOCK[[#This Row],[Ganancia Unitaria]]*STOCK[[#This Row],[Salidas]]</f>
        <v>3.6</v>
      </c>
      <c r="Y1725" s="75">
        <v>0</v>
      </c>
      <c r="Z1725" s="88"/>
      <c r="AA1725" s="54">
        <f>STOCK[[#This Row],[Costo total]]*STOCK[[#This Row],[Entradas]]</f>
        <v>2</v>
      </c>
      <c r="AB1725" s="54">
        <f>STOCK[[#This Row],[Stock Actual]]*STOCK[[#This Row],[Costo total]]</f>
        <v>1.6</v>
      </c>
      <c r="AC1725" s="75">
        <v>16.600000000000001</v>
      </c>
      <c r="AD1725" s="75"/>
    </row>
    <row r="1726" spans="1:30" s="53" customFormat="1" ht="50" customHeight="1">
      <c r="A1726" s="75" t="s">
        <v>3420</v>
      </c>
      <c r="B1726" s="83"/>
      <c r="C1726" s="75"/>
      <c r="D1726" s="84" t="s">
        <v>3279</v>
      </c>
      <c r="E1726" s="85" t="s">
        <v>3421</v>
      </c>
      <c r="F1726" s="86" t="s">
        <v>525</v>
      </c>
      <c r="G1726" s="75"/>
      <c r="H1726" s="75">
        <f>STOCK[[#This Row],[Precio Final]]</f>
        <v>1</v>
      </c>
      <c r="I1726" s="80">
        <f>STOCK[[#This Row],[Precio Venta Ideal (x1.5)]]</f>
        <v>0.15000000000000002</v>
      </c>
      <c r="J1726" s="87">
        <v>2</v>
      </c>
      <c r="K1726" s="78">
        <f>SUMIFS(VENTAS[Cantidad],VENTAS[Código del producto Vendido],STOCK[[#This Row],[Code]])</f>
        <v>0</v>
      </c>
      <c r="L1726" s="78">
        <f>STOCK[[#This Row],[Entradas]]-STOCK[[#This Row],[Salidas]]</f>
        <v>2</v>
      </c>
      <c r="M1726" s="75">
        <f>STOCK[[#This Row],[Precio Final]]*10%</f>
        <v>0.1</v>
      </c>
      <c r="N1726" s="54">
        <v>0</v>
      </c>
      <c r="O1726" s="75">
        <v>0</v>
      </c>
      <c r="P1726" s="75"/>
      <c r="Q1726" s="75">
        <v>0.25</v>
      </c>
      <c r="R1726" s="78"/>
      <c r="S1726" s="75"/>
      <c r="T1726" s="75">
        <f>STOCK[[#This Row],[Costo Unitario (USD)]]+STOCK[[#This Row],[Costo Envío (USD)]]+STOCK[[#This Row],[Comisión 10%]]</f>
        <v>0.1</v>
      </c>
      <c r="U1726" s="53">
        <f>STOCK[[#This Row],[Costo total]]*1.5</f>
        <v>0.15000000000000002</v>
      </c>
      <c r="V1726" s="75">
        <v>1</v>
      </c>
      <c r="W1726" s="75">
        <f>STOCK[[#This Row],[Precio Final]]-STOCK[[#This Row],[Costo total]]</f>
        <v>0.9</v>
      </c>
      <c r="X1726" s="75">
        <f>STOCK[[#This Row],[Ganancia Unitaria]]*STOCK[[#This Row],[Salidas]]</f>
        <v>0</v>
      </c>
      <c r="Y1726" s="75">
        <v>0</v>
      </c>
      <c r="Z1726" s="88"/>
      <c r="AA1726" s="54">
        <f>STOCK[[#This Row],[Costo total]]*STOCK[[#This Row],[Entradas]]</f>
        <v>0.2</v>
      </c>
      <c r="AB1726" s="54">
        <f>STOCK[[#This Row],[Stock Actual]]*STOCK[[#This Row],[Costo total]]</f>
        <v>0.2</v>
      </c>
      <c r="AC1726" s="75">
        <v>1.1000000000000001</v>
      </c>
      <c r="AD1726" s="75"/>
    </row>
    <row r="1727" spans="1:30" s="53" customFormat="1" ht="50" customHeight="1">
      <c r="A1727" s="75" t="s">
        <v>3422</v>
      </c>
      <c r="B1727" s="83"/>
      <c r="C1727" s="75"/>
      <c r="D1727" s="84" t="s">
        <v>3279</v>
      </c>
      <c r="E1727" s="85" t="s">
        <v>3423</v>
      </c>
      <c r="F1727" s="86" t="s">
        <v>525</v>
      </c>
      <c r="G1727" s="75"/>
      <c r="H1727" s="75">
        <f>STOCK[[#This Row],[Precio Final]]</f>
        <v>2</v>
      </c>
      <c r="I1727" s="80">
        <f>STOCK[[#This Row],[Precio Venta Ideal (x1.5)]]</f>
        <v>0.30000000000000004</v>
      </c>
      <c r="J1727" s="87">
        <v>1</v>
      </c>
      <c r="K1727" s="78">
        <f>SUMIFS(VENTAS[Cantidad],VENTAS[Código del producto Vendido],STOCK[[#This Row],[Code]])</f>
        <v>0</v>
      </c>
      <c r="L1727" s="78">
        <f>STOCK[[#This Row],[Entradas]]-STOCK[[#This Row],[Salidas]]</f>
        <v>1</v>
      </c>
      <c r="M1727" s="75">
        <f>STOCK[[#This Row],[Precio Final]]*10%</f>
        <v>0.2</v>
      </c>
      <c r="N1727" s="54">
        <v>0</v>
      </c>
      <c r="O1727" s="75">
        <v>0</v>
      </c>
      <c r="P1727" s="75"/>
      <c r="Q1727" s="75">
        <v>1</v>
      </c>
      <c r="R1727" s="78"/>
      <c r="S1727" s="75"/>
      <c r="T1727" s="75">
        <f>STOCK[[#This Row],[Costo Unitario (USD)]]+STOCK[[#This Row],[Costo Envío (USD)]]+STOCK[[#This Row],[Comisión 10%]]</f>
        <v>0.2</v>
      </c>
      <c r="U1727" s="53">
        <f>STOCK[[#This Row],[Costo total]]*1.5</f>
        <v>0.30000000000000004</v>
      </c>
      <c r="V1727" s="75">
        <v>2</v>
      </c>
      <c r="W1727" s="75">
        <f>STOCK[[#This Row],[Precio Final]]-STOCK[[#This Row],[Costo total]]</f>
        <v>1.8</v>
      </c>
      <c r="X1727" s="75">
        <f>STOCK[[#This Row],[Ganancia Unitaria]]*STOCK[[#This Row],[Salidas]]</f>
        <v>0</v>
      </c>
      <c r="Y1727" s="75">
        <v>0</v>
      </c>
      <c r="Z1727" s="88"/>
      <c r="AA1727" s="54">
        <f>STOCK[[#This Row],[Costo total]]*STOCK[[#This Row],[Entradas]]</f>
        <v>0.2</v>
      </c>
      <c r="AB1727" s="54">
        <f>STOCK[[#This Row],[Stock Actual]]*STOCK[[#This Row],[Costo total]]</f>
        <v>0.2</v>
      </c>
      <c r="AC1727" s="75">
        <v>1.8</v>
      </c>
      <c r="AD1727" s="75"/>
    </row>
    <row r="1728" spans="1:30" s="53" customFormat="1" ht="50" customHeight="1">
      <c r="A1728" s="75" t="s">
        <v>3424</v>
      </c>
      <c r="B1728" s="83"/>
      <c r="C1728" s="75"/>
      <c r="D1728" s="84" t="s">
        <v>3279</v>
      </c>
      <c r="E1728" s="85" t="s">
        <v>3425</v>
      </c>
      <c r="F1728" s="86" t="s">
        <v>525</v>
      </c>
      <c r="G1728" s="75"/>
      <c r="H1728" s="75">
        <f>STOCK[[#This Row],[Precio Final]]</f>
        <v>1</v>
      </c>
      <c r="I1728" s="80">
        <f>STOCK[[#This Row],[Precio Venta Ideal (x1.5)]]</f>
        <v>0.15000000000000002</v>
      </c>
      <c r="J1728" s="87">
        <v>4</v>
      </c>
      <c r="K1728" s="78">
        <f>SUMIFS(VENTAS[Cantidad],VENTAS[Código del producto Vendido],STOCK[[#This Row],[Code]])</f>
        <v>4</v>
      </c>
      <c r="L1728" s="78">
        <f>STOCK[[#This Row],[Entradas]]-STOCK[[#This Row],[Salidas]]</f>
        <v>0</v>
      </c>
      <c r="M1728" s="75">
        <f>STOCK[[#This Row],[Precio Final]]*10%</f>
        <v>0.1</v>
      </c>
      <c r="N1728" s="54">
        <v>0</v>
      </c>
      <c r="O1728" s="75">
        <v>0</v>
      </c>
      <c r="P1728" s="75"/>
      <c r="Q1728" s="75">
        <v>0.2</v>
      </c>
      <c r="R1728" s="78"/>
      <c r="S1728" s="75"/>
      <c r="T1728" s="75">
        <f>STOCK[[#This Row],[Costo Unitario (USD)]]+STOCK[[#This Row],[Costo Envío (USD)]]+STOCK[[#This Row],[Comisión 10%]]</f>
        <v>0.1</v>
      </c>
      <c r="U1728" s="53">
        <f>STOCK[[#This Row],[Costo total]]*1.5</f>
        <v>0.15000000000000002</v>
      </c>
      <c r="V1728" s="75">
        <v>1</v>
      </c>
      <c r="W1728" s="75">
        <f>STOCK[[#This Row],[Precio Final]]-STOCK[[#This Row],[Costo total]]</f>
        <v>0.9</v>
      </c>
      <c r="X1728" s="75">
        <f>STOCK[[#This Row],[Ganancia Unitaria]]*STOCK[[#This Row],[Salidas]]</f>
        <v>3.6</v>
      </c>
      <c r="Y1728" s="75">
        <v>0</v>
      </c>
      <c r="Z1728" s="88"/>
      <c r="AA1728" s="54">
        <f>STOCK[[#This Row],[Costo total]]*STOCK[[#This Row],[Entradas]]</f>
        <v>0.4</v>
      </c>
      <c r="AB1728" s="54">
        <f>STOCK[[#This Row],[Stock Actual]]*STOCK[[#This Row],[Costo total]]</f>
        <v>0</v>
      </c>
      <c r="AC1728" s="75">
        <v>2.6</v>
      </c>
      <c r="AD1728" s="75"/>
    </row>
    <row r="1729" spans="1:30" s="53" customFormat="1" ht="50" customHeight="1">
      <c r="A1729" s="75" t="s">
        <v>3426</v>
      </c>
      <c r="B1729" s="83"/>
      <c r="C1729" s="75"/>
      <c r="D1729" s="84" t="s">
        <v>3279</v>
      </c>
      <c r="E1729" s="85" t="s">
        <v>3427</v>
      </c>
      <c r="F1729" s="86" t="s">
        <v>525</v>
      </c>
      <c r="G1729" s="75"/>
      <c r="H1729" s="75">
        <f>STOCK[[#This Row],[Precio Final]]</f>
        <v>1</v>
      </c>
      <c r="I1729" s="80">
        <f>STOCK[[#This Row],[Precio Venta Ideal (x1.5)]]</f>
        <v>0.15000000000000002</v>
      </c>
      <c r="J1729" s="87">
        <v>2</v>
      </c>
      <c r="K1729" s="78">
        <f>SUMIFS(VENTAS[Cantidad],VENTAS[Código del producto Vendido],STOCK[[#This Row],[Code]])</f>
        <v>0</v>
      </c>
      <c r="L1729" s="78">
        <f>STOCK[[#This Row],[Entradas]]-STOCK[[#This Row],[Salidas]]</f>
        <v>2</v>
      </c>
      <c r="M1729" s="75">
        <f>STOCK[[#This Row],[Precio Final]]*10%</f>
        <v>0.1</v>
      </c>
      <c r="N1729" s="54">
        <v>0</v>
      </c>
      <c r="O1729" s="75">
        <v>0</v>
      </c>
      <c r="P1729" s="75"/>
      <c r="Q1729" s="75">
        <v>0.2</v>
      </c>
      <c r="R1729" s="78"/>
      <c r="S1729" s="75"/>
      <c r="T1729" s="75">
        <f>STOCK[[#This Row],[Costo Unitario (USD)]]+STOCK[[#This Row],[Costo Envío (USD)]]+STOCK[[#This Row],[Comisión 10%]]</f>
        <v>0.1</v>
      </c>
      <c r="U1729" s="53">
        <f>STOCK[[#This Row],[Costo total]]*1.5</f>
        <v>0.15000000000000002</v>
      </c>
      <c r="V1729" s="75">
        <v>1</v>
      </c>
      <c r="W1729" s="75">
        <f>STOCK[[#This Row],[Precio Final]]-STOCK[[#This Row],[Costo total]]</f>
        <v>0.9</v>
      </c>
      <c r="X1729" s="75">
        <f>STOCK[[#This Row],[Ganancia Unitaria]]*STOCK[[#This Row],[Salidas]]</f>
        <v>0</v>
      </c>
      <c r="Y1729" s="75">
        <v>0</v>
      </c>
      <c r="Z1729" s="88"/>
      <c r="AA1729" s="54">
        <f>STOCK[[#This Row],[Costo total]]*STOCK[[#This Row],[Entradas]]</f>
        <v>0.2</v>
      </c>
      <c r="AB1729" s="54">
        <f>STOCK[[#This Row],[Stock Actual]]*STOCK[[#This Row],[Costo total]]</f>
        <v>0.2</v>
      </c>
      <c r="AC1729" s="75">
        <v>1.3</v>
      </c>
      <c r="AD1729" s="75"/>
    </row>
    <row r="1730" spans="1:30" s="53" customFormat="1" ht="50" customHeight="1">
      <c r="A1730" s="75" t="s">
        <v>3428</v>
      </c>
      <c r="B1730" s="83"/>
      <c r="C1730" s="75"/>
      <c r="D1730" s="84" t="s">
        <v>3279</v>
      </c>
      <c r="E1730" s="85" t="s">
        <v>3429</v>
      </c>
      <c r="F1730" s="86" t="s">
        <v>525</v>
      </c>
      <c r="G1730" s="75"/>
      <c r="H1730" s="75">
        <f>STOCK[[#This Row],[Precio Final]]</f>
        <v>1</v>
      </c>
      <c r="I1730" s="80">
        <f>STOCK[[#This Row],[Precio Venta Ideal (x1.5)]]</f>
        <v>0.15000000000000002</v>
      </c>
      <c r="J1730" s="87">
        <v>1</v>
      </c>
      <c r="K1730" s="78">
        <f>SUMIFS(VENTAS[Cantidad],VENTAS[Código del producto Vendido],STOCK[[#This Row],[Code]])</f>
        <v>1</v>
      </c>
      <c r="L1730" s="78">
        <f>STOCK[[#This Row],[Entradas]]-STOCK[[#This Row],[Salidas]]</f>
        <v>0</v>
      </c>
      <c r="M1730" s="75">
        <f>STOCK[[#This Row],[Precio Final]]*10%</f>
        <v>0.1</v>
      </c>
      <c r="N1730" s="54">
        <v>0</v>
      </c>
      <c r="O1730" s="75">
        <v>0</v>
      </c>
      <c r="P1730" s="75"/>
      <c r="Q1730" s="75">
        <v>0.2</v>
      </c>
      <c r="R1730" s="78"/>
      <c r="S1730" s="75"/>
      <c r="T1730" s="75">
        <f>STOCK[[#This Row],[Costo Unitario (USD)]]+STOCK[[#This Row],[Costo Envío (USD)]]+STOCK[[#This Row],[Comisión 10%]]</f>
        <v>0.1</v>
      </c>
      <c r="U1730" s="53">
        <f>STOCK[[#This Row],[Costo total]]*1.5</f>
        <v>0.15000000000000002</v>
      </c>
      <c r="V1730" s="75">
        <v>1</v>
      </c>
      <c r="W1730" s="75">
        <f>STOCK[[#This Row],[Precio Final]]-STOCK[[#This Row],[Costo total]]</f>
        <v>0.9</v>
      </c>
      <c r="X1730" s="75">
        <f>STOCK[[#This Row],[Ganancia Unitaria]]*STOCK[[#This Row],[Salidas]]</f>
        <v>0.9</v>
      </c>
      <c r="Y1730" s="75">
        <v>0</v>
      </c>
      <c r="Z1730" s="88"/>
      <c r="AA1730" s="54">
        <f>STOCK[[#This Row],[Costo total]]*STOCK[[#This Row],[Entradas]]</f>
        <v>0.1</v>
      </c>
      <c r="AB1730" s="54">
        <f>STOCK[[#This Row],[Stock Actual]]*STOCK[[#This Row],[Costo total]]</f>
        <v>0</v>
      </c>
      <c r="AC1730" s="75">
        <v>0.65</v>
      </c>
      <c r="AD1730" s="75"/>
    </row>
    <row r="1731" spans="1:30" s="53" customFormat="1" ht="50" customHeight="1">
      <c r="A1731" s="75" t="s">
        <v>3430</v>
      </c>
      <c r="B1731" s="83"/>
      <c r="C1731" s="75"/>
      <c r="D1731" s="84" t="s">
        <v>3279</v>
      </c>
      <c r="E1731" s="85" t="s">
        <v>3431</v>
      </c>
      <c r="F1731" s="86" t="s">
        <v>3411</v>
      </c>
      <c r="G1731" s="75"/>
      <c r="H1731" s="75">
        <f>STOCK[[#This Row],[Precio Final]]</f>
        <v>9</v>
      </c>
      <c r="I1731" s="80">
        <f>STOCK[[#This Row],[Precio Venta Ideal (x1.5)]]</f>
        <v>1.35</v>
      </c>
      <c r="J1731" s="87">
        <v>1</v>
      </c>
      <c r="K1731" s="78">
        <f>SUMIFS(VENTAS[Cantidad],VENTAS[Código del producto Vendido],STOCK[[#This Row],[Code]])</f>
        <v>1</v>
      </c>
      <c r="L1731" s="78">
        <f>STOCK[[#This Row],[Entradas]]-STOCK[[#This Row],[Salidas]]</f>
        <v>0</v>
      </c>
      <c r="M1731" s="75">
        <f>STOCK[[#This Row],[Precio Final]]*10%</f>
        <v>0.9</v>
      </c>
      <c r="N1731" s="54">
        <v>0</v>
      </c>
      <c r="O1731" s="75">
        <v>0</v>
      </c>
      <c r="P1731" s="75"/>
      <c r="Q1731" s="75">
        <v>5.5</v>
      </c>
      <c r="R1731" s="78"/>
      <c r="S1731" s="75"/>
      <c r="T1731" s="75">
        <f>STOCK[[#This Row],[Costo Unitario (USD)]]+STOCK[[#This Row],[Costo Envío (USD)]]+STOCK[[#This Row],[Comisión 10%]]</f>
        <v>0.9</v>
      </c>
      <c r="U1731" s="53">
        <f>STOCK[[#This Row],[Costo total]]*1.5</f>
        <v>1.35</v>
      </c>
      <c r="V1731" s="75">
        <v>9</v>
      </c>
      <c r="W1731" s="75">
        <f>STOCK[[#This Row],[Precio Final]]-STOCK[[#This Row],[Costo total]]</f>
        <v>8.1</v>
      </c>
      <c r="X1731" s="75">
        <f>STOCK[[#This Row],[Ganancia Unitaria]]*STOCK[[#This Row],[Salidas]]</f>
        <v>8.1</v>
      </c>
      <c r="Y1731" s="75">
        <v>0</v>
      </c>
      <c r="Z1731" s="88"/>
      <c r="AA1731" s="54">
        <f>STOCK[[#This Row],[Costo total]]*STOCK[[#This Row],[Entradas]]</f>
        <v>0.9</v>
      </c>
      <c r="AB1731" s="54">
        <f>STOCK[[#This Row],[Stock Actual]]*STOCK[[#This Row],[Costo total]]</f>
        <v>0</v>
      </c>
      <c r="AC1731" s="75">
        <v>8.6999999999999993</v>
      </c>
      <c r="AD1731" s="75"/>
    </row>
    <row r="1732" spans="1:30" s="53" customFormat="1" ht="50" customHeight="1">
      <c r="A1732" s="75" t="s">
        <v>3432</v>
      </c>
      <c r="B1732" s="83"/>
      <c r="C1732" s="75"/>
      <c r="D1732" s="84" t="s">
        <v>3279</v>
      </c>
      <c r="E1732" s="85" t="s">
        <v>3433</v>
      </c>
      <c r="F1732" s="86" t="s">
        <v>3411</v>
      </c>
      <c r="G1732" s="75"/>
      <c r="H1732" s="75">
        <f>STOCK[[#This Row],[Precio Final]]</f>
        <v>9</v>
      </c>
      <c r="I1732" s="80">
        <f>STOCK[[#This Row],[Precio Venta Ideal (x1.5)]]</f>
        <v>1.35</v>
      </c>
      <c r="J1732" s="87">
        <v>2</v>
      </c>
      <c r="K1732" s="78">
        <f>SUMIFS(VENTAS[Cantidad],VENTAS[Código del producto Vendido],STOCK[[#This Row],[Code]])</f>
        <v>0</v>
      </c>
      <c r="L1732" s="78">
        <f>STOCK[[#This Row],[Entradas]]-STOCK[[#This Row],[Salidas]]</f>
        <v>2</v>
      </c>
      <c r="M1732" s="75">
        <f>STOCK[[#This Row],[Precio Final]]*10%</f>
        <v>0.9</v>
      </c>
      <c r="N1732" s="54">
        <v>0</v>
      </c>
      <c r="O1732" s="75">
        <v>0</v>
      </c>
      <c r="P1732" s="75"/>
      <c r="Q1732" s="75">
        <v>5.5</v>
      </c>
      <c r="R1732" s="78"/>
      <c r="S1732" s="75"/>
      <c r="T1732" s="75">
        <f>STOCK[[#This Row],[Costo Unitario (USD)]]+STOCK[[#This Row],[Costo Envío (USD)]]+STOCK[[#This Row],[Comisión 10%]]</f>
        <v>0.9</v>
      </c>
      <c r="U1732" s="53">
        <f>STOCK[[#This Row],[Costo total]]*1.5</f>
        <v>1.35</v>
      </c>
      <c r="V1732" s="75">
        <v>9</v>
      </c>
      <c r="W1732" s="75">
        <f>STOCK[[#This Row],[Precio Final]]-STOCK[[#This Row],[Costo total]]</f>
        <v>8.1</v>
      </c>
      <c r="X1732" s="75">
        <f>STOCK[[#This Row],[Ganancia Unitaria]]*STOCK[[#This Row],[Salidas]]</f>
        <v>0</v>
      </c>
      <c r="Y1732" s="75">
        <v>0</v>
      </c>
      <c r="Z1732" s="88"/>
      <c r="AA1732" s="54">
        <f>STOCK[[#This Row],[Costo total]]*STOCK[[#This Row],[Entradas]]</f>
        <v>1.8</v>
      </c>
      <c r="AB1732" s="54">
        <f>STOCK[[#This Row],[Stock Actual]]*STOCK[[#This Row],[Costo total]]</f>
        <v>1.8</v>
      </c>
      <c r="AC1732" s="75">
        <v>17.399999999999999</v>
      </c>
      <c r="AD1732" s="75"/>
    </row>
    <row r="1733" spans="1:30" s="53" customFormat="1" ht="50" customHeight="1">
      <c r="A1733" s="75" t="s">
        <v>3434</v>
      </c>
      <c r="B1733" s="83"/>
      <c r="C1733" s="75"/>
      <c r="D1733" s="84" t="s">
        <v>3279</v>
      </c>
      <c r="E1733" s="85" t="s">
        <v>3433</v>
      </c>
      <c r="F1733" s="86" t="s">
        <v>2109</v>
      </c>
      <c r="G1733" s="75"/>
      <c r="H1733" s="75">
        <f>STOCK[[#This Row],[Precio Final]]</f>
        <v>9</v>
      </c>
      <c r="I1733" s="80">
        <f>STOCK[[#This Row],[Precio Venta Ideal (x1.5)]]</f>
        <v>1.35</v>
      </c>
      <c r="J1733" s="87">
        <v>2</v>
      </c>
      <c r="K1733" s="78">
        <f>SUMIFS(VENTAS[Cantidad],VENTAS[Código del producto Vendido],STOCK[[#This Row],[Code]])</f>
        <v>1</v>
      </c>
      <c r="L1733" s="78">
        <f>STOCK[[#This Row],[Entradas]]-STOCK[[#This Row],[Salidas]]</f>
        <v>1</v>
      </c>
      <c r="M1733" s="75">
        <f>STOCK[[#This Row],[Precio Final]]*10%</f>
        <v>0.9</v>
      </c>
      <c r="N1733" s="54">
        <v>0</v>
      </c>
      <c r="O1733" s="75">
        <v>0</v>
      </c>
      <c r="P1733" s="75"/>
      <c r="Q1733" s="75">
        <v>5.5</v>
      </c>
      <c r="R1733" s="78"/>
      <c r="S1733" s="75"/>
      <c r="T1733" s="75">
        <f>STOCK[[#This Row],[Costo Unitario (USD)]]+STOCK[[#This Row],[Costo Envío (USD)]]+STOCK[[#This Row],[Comisión 10%]]</f>
        <v>0.9</v>
      </c>
      <c r="U1733" s="53">
        <f>STOCK[[#This Row],[Costo total]]*1.5</f>
        <v>1.35</v>
      </c>
      <c r="V1733" s="75">
        <v>9</v>
      </c>
      <c r="W1733" s="75">
        <f>STOCK[[#This Row],[Precio Final]]-STOCK[[#This Row],[Costo total]]</f>
        <v>8.1</v>
      </c>
      <c r="X1733" s="75">
        <f>STOCK[[#This Row],[Ganancia Unitaria]]*STOCK[[#This Row],[Salidas]]</f>
        <v>8.1</v>
      </c>
      <c r="Y1733" s="75">
        <v>0</v>
      </c>
      <c r="Z1733" s="88"/>
      <c r="AA1733" s="54">
        <f>STOCK[[#This Row],[Costo total]]*STOCK[[#This Row],[Entradas]]</f>
        <v>1.8</v>
      </c>
      <c r="AB1733" s="54">
        <f>STOCK[[#This Row],[Stock Actual]]*STOCK[[#This Row],[Costo total]]</f>
        <v>0.9</v>
      </c>
      <c r="AC1733" s="75">
        <v>17.399999999999999</v>
      </c>
      <c r="AD1733" s="75"/>
    </row>
    <row r="1734" spans="1:30" s="53" customFormat="1" ht="50" customHeight="1">
      <c r="A1734" s="75" t="s">
        <v>3435</v>
      </c>
      <c r="B1734" s="83"/>
      <c r="C1734" s="75"/>
      <c r="D1734" s="84" t="s">
        <v>3279</v>
      </c>
      <c r="E1734" s="85" t="s">
        <v>3436</v>
      </c>
      <c r="F1734" s="86" t="s">
        <v>2109</v>
      </c>
      <c r="G1734" s="75"/>
      <c r="H1734" s="75">
        <f>STOCK[[#This Row],[Precio Final]]</f>
        <v>9</v>
      </c>
      <c r="I1734" s="80">
        <f>STOCK[[#This Row],[Precio Venta Ideal (x1.5)]]</f>
        <v>1.35</v>
      </c>
      <c r="J1734" s="87">
        <v>1</v>
      </c>
      <c r="K1734" s="78">
        <f>SUMIFS(VENTAS[Cantidad],VENTAS[Código del producto Vendido],STOCK[[#This Row],[Code]])</f>
        <v>1</v>
      </c>
      <c r="L1734" s="78">
        <f>STOCK[[#This Row],[Entradas]]-STOCK[[#This Row],[Salidas]]</f>
        <v>0</v>
      </c>
      <c r="M1734" s="75">
        <f>STOCK[[#This Row],[Precio Final]]*10%</f>
        <v>0.9</v>
      </c>
      <c r="N1734" s="54">
        <v>0</v>
      </c>
      <c r="O1734" s="75">
        <v>0</v>
      </c>
      <c r="P1734" s="75"/>
      <c r="Q1734" s="75">
        <v>5.5</v>
      </c>
      <c r="R1734" s="78"/>
      <c r="S1734" s="75"/>
      <c r="T1734" s="75">
        <f>STOCK[[#This Row],[Costo Unitario (USD)]]+STOCK[[#This Row],[Costo Envío (USD)]]+STOCK[[#This Row],[Comisión 10%]]</f>
        <v>0.9</v>
      </c>
      <c r="U1734" s="53">
        <f>STOCK[[#This Row],[Costo total]]*1.5</f>
        <v>1.35</v>
      </c>
      <c r="V1734" s="75">
        <v>9</v>
      </c>
      <c r="W1734" s="75">
        <f>STOCK[[#This Row],[Precio Final]]-STOCK[[#This Row],[Costo total]]</f>
        <v>8.1</v>
      </c>
      <c r="X1734" s="75">
        <f>STOCK[[#This Row],[Ganancia Unitaria]]*STOCK[[#This Row],[Salidas]]</f>
        <v>8.1</v>
      </c>
      <c r="Y1734" s="75">
        <v>3.3</v>
      </c>
      <c r="Z1734" s="88"/>
      <c r="AA1734" s="54">
        <f>STOCK[[#This Row],[Costo total]]*STOCK[[#This Row],[Entradas]]</f>
        <v>0.9</v>
      </c>
      <c r="AB1734" s="54">
        <f>STOCK[[#This Row],[Stock Actual]]*STOCK[[#This Row],[Costo total]]</f>
        <v>0</v>
      </c>
      <c r="AC1734" s="75">
        <v>0</v>
      </c>
      <c r="AD1734" s="75"/>
    </row>
    <row r="1735" spans="1:30" s="53" customFormat="1" ht="50" customHeight="1">
      <c r="A1735" s="75" t="s">
        <v>3437</v>
      </c>
      <c r="B1735" s="83"/>
      <c r="C1735" s="75"/>
      <c r="D1735" s="84" t="s">
        <v>3279</v>
      </c>
      <c r="E1735" s="85" t="s">
        <v>3436</v>
      </c>
      <c r="F1735" s="86" t="s">
        <v>3411</v>
      </c>
      <c r="G1735" s="75"/>
      <c r="H1735" s="75">
        <f>STOCK[[#This Row],[Precio Final]]</f>
        <v>9</v>
      </c>
      <c r="I1735" s="80">
        <f>STOCK[[#This Row],[Precio Venta Ideal (x1.5)]]</f>
        <v>1.35</v>
      </c>
      <c r="J1735" s="87">
        <v>2</v>
      </c>
      <c r="K1735" s="78">
        <f>SUMIFS(VENTAS[Cantidad],VENTAS[Código del producto Vendido],STOCK[[#This Row],[Code]])</f>
        <v>2</v>
      </c>
      <c r="L1735" s="78">
        <f>STOCK[[#This Row],[Entradas]]-STOCK[[#This Row],[Salidas]]</f>
        <v>0</v>
      </c>
      <c r="M1735" s="75">
        <f>STOCK[[#This Row],[Precio Final]]*10%</f>
        <v>0.9</v>
      </c>
      <c r="N1735" s="54">
        <v>0</v>
      </c>
      <c r="O1735" s="75">
        <v>0</v>
      </c>
      <c r="P1735" s="75"/>
      <c r="Q1735" s="75">
        <v>5.5</v>
      </c>
      <c r="R1735" s="78"/>
      <c r="S1735" s="75"/>
      <c r="T1735" s="75">
        <f>STOCK[[#This Row],[Costo Unitario (USD)]]+STOCK[[#This Row],[Costo Envío (USD)]]+STOCK[[#This Row],[Comisión 10%]]</f>
        <v>0.9</v>
      </c>
      <c r="U1735" s="53">
        <f>STOCK[[#This Row],[Costo total]]*1.5</f>
        <v>1.35</v>
      </c>
      <c r="V1735" s="75">
        <v>9</v>
      </c>
      <c r="W1735" s="75">
        <f>STOCK[[#This Row],[Precio Final]]-STOCK[[#This Row],[Costo total]]</f>
        <v>8.1</v>
      </c>
      <c r="X1735" s="75">
        <f>STOCK[[#This Row],[Ganancia Unitaria]]*STOCK[[#This Row],[Salidas]]</f>
        <v>16.2</v>
      </c>
      <c r="Y1735" s="75">
        <v>0</v>
      </c>
      <c r="Z1735" s="88"/>
      <c r="AA1735" s="54">
        <f>STOCK[[#This Row],[Costo total]]*STOCK[[#This Row],[Entradas]]</f>
        <v>1.8</v>
      </c>
      <c r="AB1735" s="54">
        <f>STOCK[[#This Row],[Stock Actual]]*STOCK[[#This Row],[Costo total]]</f>
        <v>0</v>
      </c>
      <c r="AC1735" s="75">
        <v>17.399999999999999</v>
      </c>
      <c r="AD1735" s="75"/>
    </row>
    <row r="1736" spans="1:30" s="53" customFormat="1" ht="50" customHeight="1">
      <c r="A1736" s="53" t="s">
        <v>3438</v>
      </c>
      <c r="B1736" s="83"/>
      <c r="C1736" s="53" t="s">
        <v>32</v>
      </c>
      <c r="D1736" s="84" t="s">
        <v>3279</v>
      </c>
      <c r="E1736" s="85" t="s">
        <v>3439</v>
      </c>
      <c r="F1736" s="86" t="s">
        <v>525</v>
      </c>
      <c r="G1736" s="75"/>
      <c r="H1736" s="75">
        <f>STOCK[[#This Row],[Precio Final]]</f>
        <v>9.4350000000000005</v>
      </c>
      <c r="I1736" s="80">
        <f>STOCK[[#This Row],[Precio Venta Ideal (x1.5)]]</f>
        <v>1.4152500000000001</v>
      </c>
      <c r="J1736" s="87">
        <v>3</v>
      </c>
      <c r="K1736" s="78">
        <f>SUMIFS(VENTAS[Cantidad],VENTAS[Código del producto Vendido],STOCK[[#This Row],[Code]])</f>
        <v>6</v>
      </c>
      <c r="L1736" s="78">
        <f>STOCK[[#This Row],[Entradas]]-STOCK[[#This Row],[Salidas]]</f>
        <v>-3</v>
      </c>
      <c r="M1736" s="75">
        <f>STOCK[[#This Row],[Precio Final]]*10%</f>
        <v>0.94350000000000012</v>
      </c>
      <c r="N1736" s="54">
        <v>0</v>
      </c>
      <c r="O1736" s="75">
        <v>0</v>
      </c>
      <c r="P1736" s="75"/>
      <c r="Q1736" s="75">
        <v>4.04</v>
      </c>
      <c r="R1736" s="78"/>
      <c r="S1736" s="75"/>
      <c r="T1736" s="75">
        <f>STOCK[[#This Row],[Costo Unitario (USD)]]+STOCK[[#This Row],[Costo Envío (USD)]]+STOCK[[#This Row],[Comisión 10%]]</f>
        <v>0.94350000000000012</v>
      </c>
      <c r="U1736" s="53">
        <f>STOCK[[#This Row],[Costo total]]*1.5</f>
        <v>1.4152500000000001</v>
      </c>
      <c r="V1736" s="53">
        <v>9.4350000000000005</v>
      </c>
      <c r="W1736" s="75">
        <f>STOCK[[#This Row],[Precio Final]]-STOCK[[#This Row],[Costo total]]</f>
        <v>8.4915000000000003</v>
      </c>
      <c r="X1736" s="75">
        <f>STOCK[[#This Row],[Ganancia Unitaria]]*STOCK[[#This Row],[Salidas]]</f>
        <v>50.948999999999998</v>
      </c>
      <c r="Y1736" s="75">
        <v>0</v>
      </c>
      <c r="Z1736" s="88"/>
      <c r="AA1736" s="54">
        <f>STOCK[[#This Row],[Costo total]]*STOCK[[#This Row],[Entradas]]</f>
        <v>2.8305000000000002</v>
      </c>
      <c r="AB1736" s="54">
        <f>STOCK[[#This Row],[Stock Actual]]*STOCK[[#This Row],[Costo total]]</f>
        <v>-2.8305000000000002</v>
      </c>
      <c r="AC1736" s="75">
        <v>18.87</v>
      </c>
      <c r="AD1736" s="75"/>
    </row>
    <row r="1737" spans="1:30" s="53" customFormat="1" ht="50" customHeight="1">
      <c r="A1737" s="53" t="s">
        <v>3440</v>
      </c>
      <c r="B1737" s="83"/>
      <c r="C1737" s="53" t="s">
        <v>32</v>
      </c>
      <c r="D1737" s="84" t="s">
        <v>3279</v>
      </c>
      <c r="E1737" s="85" t="s">
        <v>3441</v>
      </c>
      <c r="F1737" s="86" t="s">
        <v>525</v>
      </c>
      <c r="G1737" s="75"/>
      <c r="H1737" s="75">
        <f>STOCK[[#This Row],[Precio Final]]</f>
        <v>13.574999999999999</v>
      </c>
      <c r="I1737" s="80">
        <f>STOCK[[#This Row],[Precio Venta Ideal (x1.5)]]</f>
        <v>2.0362499999999999</v>
      </c>
      <c r="J1737" s="87">
        <v>3</v>
      </c>
      <c r="K1737" s="78">
        <f>SUMIFS(VENTAS[Cantidad],VENTAS[Código del producto Vendido],STOCK[[#This Row],[Code]])</f>
        <v>0</v>
      </c>
      <c r="L1737" s="78">
        <f>STOCK[[#This Row],[Entradas]]-STOCK[[#This Row],[Salidas]]</f>
        <v>3</v>
      </c>
      <c r="M1737" s="75">
        <f>STOCK[[#This Row],[Precio Final]]*10%</f>
        <v>1.3574999999999999</v>
      </c>
      <c r="N1737" s="54">
        <v>0</v>
      </c>
      <c r="O1737" s="75">
        <v>0</v>
      </c>
      <c r="P1737" s="75"/>
      <c r="Q1737" s="75">
        <v>5.5</v>
      </c>
      <c r="R1737" s="78"/>
      <c r="S1737" s="75"/>
      <c r="T1737" s="75">
        <f>STOCK[[#This Row],[Costo Unitario (USD)]]+STOCK[[#This Row],[Costo Envío (USD)]]+STOCK[[#This Row],[Comisión 10%]]</f>
        <v>1.3574999999999999</v>
      </c>
      <c r="U1737" s="53">
        <f>STOCK[[#This Row],[Costo total]]*1.5</f>
        <v>2.0362499999999999</v>
      </c>
      <c r="V1737" s="53">
        <v>13.574999999999999</v>
      </c>
      <c r="W1737" s="75">
        <f>STOCK[[#This Row],[Precio Final]]-STOCK[[#This Row],[Costo total]]</f>
        <v>12.217499999999999</v>
      </c>
      <c r="X1737" s="75">
        <f>STOCK[[#This Row],[Ganancia Unitaria]]*STOCK[[#This Row],[Salidas]]</f>
        <v>0</v>
      </c>
      <c r="Y1737" s="75">
        <v>0</v>
      </c>
      <c r="Z1737" s="88"/>
      <c r="AA1737" s="54">
        <f>STOCK[[#This Row],[Costo total]]*STOCK[[#This Row],[Entradas]]</f>
        <v>4.0724999999999998</v>
      </c>
      <c r="AB1737" s="54">
        <f>STOCK[[#This Row],[Stock Actual]]*STOCK[[#This Row],[Costo total]]</f>
        <v>4.0724999999999998</v>
      </c>
      <c r="AC1737" s="75">
        <v>27.15</v>
      </c>
      <c r="AD1737" s="75"/>
    </row>
    <row r="1738" spans="1:30" s="53" customFormat="1" ht="50" customHeight="1">
      <c r="A1738" s="53" t="s">
        <v>3442</v>
      </c>
      <c r="B1738" s="83"/>
      <c r="C1738" s="53" t="s">
        <v>32</v>
      </c>
      <c r="D1738" s="84" t="s">
        <v>3279</v>
      </c>
      <c r="E1738" s="85" t="s">
        <v>3443</v>
      </c>
      <c r="F1738" s="86" t="s">
        <v>49</v>
      </c>
      <c r="G1738" s="75"/>
      <c r="H1738" s="75">
        <f>STOCK[[#This Row],[Precio Final]]</f>
        <v>17.265000000000001</v>
      </c>
      <c r="I1738" s="80">
        <f>STOCK[[#This Row],[Precio Venta Ideal (x1.5)]]</f>
        <v>2.5897500000000004</v>
      </c>
      <c r="J1738" s="87">
        <v>5</v>
      </c>
      <c r="K1738" s="78">
        <f>SUMIFS(VENTAS[Cantidad],VENTAS[Código del producto Vendido],STOCK[[#This Row],[Code]])</f>
        <v>3</v>
      </c>
      <c r="L1738" s="78">
        <f>STOCK[[#This Row],[Entradas]]-STOCK[[#This Row],[Salidas]]</f>
        <v>2</v>
      </c>
      <c r="M1738" s="75">
        <f>STOCK[[#This Row],[Precio Final]]*10%</f>
        <v>1.7265000000000001</v>
      </c>
      <c r="N1738" s="54">
        <v>0</v>
      </c>
      <c r="O1738" s="75">
        <v>0</v>
      </c>
      <c r="P1738" s="75"/>
      <c r="Q1738" s="75">
        <v>8.4600000000000009</v>
      </c>
      <c r="R1738" s="78"/>
      <c r="S1738" s="75"/>
      <c r="T1738" s="75">
        <f>STOCK[[#This Row],[Costo Unitario (USD)]]+STOCK[[#This Row],[Costo Envío (USD)]]+STOCK[[#This Row],[Comisión 10%]]</f>
        <v>1.7265000000000001</v>
      </c>
      <c r="U1738" s="53">
        <f>STOCK[[#This Row],[Costo total]]*1.5</f>
        <v>2.5897500000000004</v>
      </c>
      <c r="V1738" s="53">
        <v>17.265000000000001</v>
      </c>
      <c r="W1738" s="75">
        <f>STOCK[[#This Row],[Precio Final]]-STOCK[[#This Row],[Costo total]]</f>
        <v>15.538500000000001</v>
      </c>
      <c r="X1738" s="75">
        <f>STOCK[[#This Row],[Ganancia Unitaria]]*STOCK[[#This Row],[Salidas]]</f>
        <v>46.615500000000004</v>
      </c>
      <c r="Y1738" s="75">
        <v>0</v>
      </c>
      <c r="Z1738" s="88"/>
      <c r="AA1738" s="54">
        <f>STOCK[[#This Row],[Costo total]]*STOCK[[#This Row],[Entradas]]</f>
        <v>8.6325000000000003</v>
      </c>
      <c r="AB1738" s="54">
        <f>STOCK[[#This Row],[Stock Actual]]*STOCK[[#This Row],[Costo total]]</f>
        <v>3.4530000000000003</v>
      </c>
      <c r="AC1738" s="75">
        <v>57.55</v>
      </c>
      <c r="AD1738" s="75"/>
    </row>
    <row r="1739" spans="1:30" s="53" customFormat="1" ht="50" customHeight="1">
      <c r="A1739" s="53" t="s">
        <v>3444</v>
      </c>
      <c r="B1739" s="83"/>
      <c r="C1739" s="53" t="s">
        <v>32</v>
      </c>
      <c r="D1739" s="84" t="s">
        <v>3279</v>
      </c>
      <c r="E1739" s="85" t="s">
        <v>3445</v>
      </c>
      <c r="F1739" s="86" t="s">
        <v>525</v>
      </c>
      <c r="G1739" s="75"/>
      <c r="H1739" s="75">
        <f>STOCK[[#This Row],[Precio Final]]</f>
        <v>5.04</v>
      </c>
      <c r="I1739" s="80">
        <f>STOCK[[#This Row],[Precio Venta Ideal (x1.5)]]</f>
        <v>0.75600000000000001</v>
      </c>
      <c r="J1739" s="87">
        <v>5</v>
      </c>
      <c r="K1739" s="78">
        <f>SUMIFS(VENTAS[Cantidad],VENTAS[Código del producto Vendido],STOCK[[#This Row],[Code]])</f>
        <v>1</v>
      </c>
      <c r="L1739" s="78">
        <f>STOCK[[#This Row],[Entradas]]-STOCK[[#This Row],[Salidas]]</f>
        <v>4</v>
      </c>
      <c r="M1739" s="75">
        <f>STOCK[[#This Row],[Precio Final]]*10%</f>
        <v>0.504</v>
      </c>
      <c r="N1739" s="54">
        <v>0</v>
      </c>
      <c r="O1739" s="75">
        <v>0</v>
      </c>
      <c r="P1739" s="75"/>
      <c r="Q1739" s="75">
        <v>1.31</v>
      </c>
      <c r="R1739" s="78"/>
      <c r="S1739" s="75"/>
      <c r="T1739" s="75">
        <f>STOCK[[#This Row],[Costo Unitario (USD)]]+STOCK[[#This Row],[Costo Envío (USD)]]+STOCK[[#This Row],[Comisión 10%]]</f>
        <v>0.504</v>
      </c>
      <c r="U1739" s="53">
        <f>STOCK[[#This Row],[Costo total]]*1.5</f>
        <v>0.75600000000000001</v>
      </c>
      <c r="V1739" s="53">
        <v>5.04</v>
      </c>
      <c r="W1739" s="75">
        <f>STOCK[[#This Row],[Precio Final]]-STOCK[[#This Row],[Costo total]]</f>
        <v>4.5359999999999996</v>
      </c>
      <c r="X1739" s="75">
        <f>STOCK[[#This Row],[Ganancia Unitaria]]*STOCK[[#This Row],[Salidas]]</f>
        <v>4.5359999999999996</v>
      </c>
      <c r="Y1739" s="75">
        <v>0</v>
      </c>
      <c r="Z1739" s="88"/>
      <c r="AA1739" s="54">
        <f>STOCK[[#This Row],[Costo total]]*STOCK[[#This Row],[Entradas]]</f>
        <v>2.52</v>
      </c>
      <c r="AB1739" s="54">
        <f>STOCK[[#This Row],[Stock Actual]]*STOCK[[#This Row],[Costo total]]</f>
        <v>2.016</v>
      </c>
      <c r="AC1739" s="75">
        <v>16.8</v>
      </c>
      <c r="AD1739" s="75"/>
    </row>
    <row r="1740" spans="1:30" s="53" customFormat="1" ht="50" customHeight="1">
      <c r="A1740" s="53" t="s">
        <v>3446</v>
      </c>
      <c r="B1740" s="83"/>
      <c r="C1740" s="53" t="s">
        <v>32</v>
      </c>
      <c r="D1740" s="84" t="s">
        <v>3279</v>
      </c>
      <c r="E1740" s="85" t="s">
        <v>3447</v>
      </c>
      <c r="F1740" s="86" t="s">
        <v>62</v>
      </c>
      <c r="G1740" s="75"/>
      <c r="H1740" s="75">
        <f>STOCK[[#This Row],[Precio Final]]</f>
        <v>14.775</v>
      </c>
      <c r="I1740" s="80">
        <f>STOCK[[#This Row],[Precio Venta Ideal (x1.5)]]</f>
        <v>2.2162500000000001</v>
      </c>
      <c r="J1740" s="87">
        <v>1</v>
      </c>
      <c r="K1740" s="78">
        <f>SUMIFS(VENTAS[Cantidad],VENTAS[Código del producto Vendido],STOCK[[#This Row],[Code]])</f>
        <v>1</v>
      </c>
      <c r="L1740" s="78">
        <f>STOCK[[#This Row],[Entradas]]-STOCK[[#This Row],[Salidas]]</f>
        <v>0</v>
      </c>
      <c r="M1740" s="75">
        <f>STOCK[[#This Row],[Precio Final]]*10%</f>
        <v>1.4775</v>
      </c>
      <c r="N1740" s="54">
        <v>0</v>
      </c>
      <c r="O1740" s="75">
        <v>0</v>
      </c>
      <c r="P1740" s="75"/>
      <c r="Q1740" s="75">
        <v>7</v>
      </c>
      <c r="R1740" s="78"/>
      <c r="S1740" s="75"/>
      <c r="T1740" s="75">
        <f>STOCK[[#This Row],[Costo Unitario (USD)]]+STOCK[[#This Row],[Costo Envío (USD)]]+STOCK[[#This Row],[Comisión 10%]]</f>
        <v>1.4775</v>
      </c>
      <c r="U1740" s="53">
        <f>STOCK[[#This Row],[Costo total]]*1.5</f>
        <v>2.2162500000000001</v>
      </c>
      <c r="V1740" s="53">
        <v>14.775</v>
      </c>
      <c r="W1740" s="75">
        <f>STOCK[[#This Row],[Precio Final]]-STOCK[[#This Row],[Costo total]]</f>
        <v>13.297499999999999</v>
      </c>
      <c r="X1740" s="75">
        <f>STOCK[[#This Row],[Ganancia Unitaria]]*STOCK[[#This Row],[Salidas]]</f>
        <v>13.297499999999999</v>
      </c>
      <c r="Y1740" s="75">
        <v>0</v>
      </c>
      <c r="Z1740" s="88"/>
      <c r="AA1740" s="54">
        <f>STOCK[[#This Row],[Costo total]]*STOCK[[#This Row],[Entradas]]</f>
        <v>1.4775</v>
      </c>
      <c r="AB1740" s="54">
        <f>STOCK[[#This Row],[Stock Actual]]*STOCK[[#This Row],[Costo total]]</f>
        <v>0</v>
      </c>
      <c r="AC1740" s="75">
        <v>9.85</v>
      </c>
      <c r="AD1740" s="75"/>
    </row>
    <row r="1741" spans="1:30" s="53" customFormat="1" ht="50" customHeight="1">
      <c r="A1741" s="53" t="s">
        <v>3448</v>
      </c>
      <c r="B1741" s="83"/>
      <c r="C1741" s="53" t="s">
        <v>32</v>
      </c>
      <c r="D1741" s="84" t="s">
        <v>3279</v>
      </c>
      <c r="E1741" s="85" t="s">
        <v>3449</v>
      </c>
      <c r="F1741" s="86" t="s">
        <v>3362</v>
      </c>
      <c r="G1741" s="75"/>
      <c r="H1741" s="75">
        <f>STOCK[[#This Row],[Precio Final]]</f>
        <v>3.15</v>
      </c>
      <c r="I1741" s="80">
        <f>STOCK[[#This Row],[Precio Venta Ideal (x1.5)]]</f>
        <v>0.47250000000000003</v>
      </c>
      <c r="J1741" s="87">
        <v>10</v>
      </c>
      <c r="K1741" s="78">
        <f>SUMIFS(VENTAS[Cantidad],VENTAS[Código del producto Vendido],STOCK[[#This Row],[Code]])</f>
        <v>11</v>
      </c>
      <c r="L1741" s="78">
        <f>STOCK[[#This Row],[Entradas]]-STOCK[[#This Row],[Salidas]]</f>
        <v>-1</v>
      </c>
      <c r="M1741" s="75">
        <f>STOCK[[#This Row],[Precio Final]]*10%</f>
        <v>0.315</v>
      </c>
      <c r="N1741" s="54">
        <v>0</v>
      </c>
      <c r="O1741" s="75">
        <v>0</v>
      </c>
      <c r="P1741" s="75"/>
      <c r="Q1741" s="75">
        <v>0.65</v>
      </c>
      <c r="R1741" s="78"/>
      <c r="S1741" s="75"/>
      <c r="T1741" s="75">
        <f>STOCK[[#This Row],[Costo Unitario (USD)]]+STOCK[[#This Row],[Costo Envío (USD)]]+STOCK[[#This Row],[Comisión 10%]]</f>
        <v>0.315</v>
      </c>
      <c r="U1741" s="53">
        <f>STOCK[[#This Row],[Costo total]]*1.5</f>
        <v>0.47250000000000003</v>
      </c>
      <c r="V1741" s="53">
        <v>3.15</v>
      </c>
      <c r="W1741" s="75">
        <f>STOCK[[#This Row],[Precio Final]]-STOCK[[#This Row],[Costo total]]</f>
        <v>2.835</v>
      </c>
      <c r="X1741" s="75">
        <f>STOCK[[#This Row],[Ganancia Unitaria]]*STOCK[[#This Row],[Salidas]]</f>
        <v>31.184999999999999</v>
      </c>
      <c r="Y1741" s="75">
        <v>0</v>
      </c>
      <c r="Z1741" s="88"/>
      <c r="AA1741" s="54">
        <f>STOCK[[#This Row],[Costo total]]*STOCK[[#This Row],[Entradas]]</f>
        <v>3.15</v>
      </c>
      <c r="AB1741" s="54">
        <f>STOCK[[#This Row],[Stock Actual]]*STOCK[[#This Row],[Costo total]]</f>
        <v>-0.315</v>
      </c>
      <c r="AC1741" s="75">
        <v>21</v>
      </c>
      <c r="AD1741" s="75"/>
    </row>
    <row r="1742" spans="1:30" s="53" customFormat="1" ht="50" customHeight="1">
      <c r="A1742" s="53" t="s">
        <v>3450</v>
      </c>
      <c r="B1742" s="83"/>
      <c r="C1742" s="53" t="s">
        <v>32</v>
      </c>
      <c r="D1742" s="84" t="s">
        <v>3279</v>
      </c>
      <c r="E1742" s="85" t="s">
        <v>3451</v>
      </c>
      <c r="F1742" s="86" t="s">
        <v>3340</v>
      </c>
      <c r="G1742" s="75"/>
      <c r="H1742" s="75">
        <f>STOCK[[#This Row],[Precio Final]]</f>
        <v>3.51</v>
      </c>
      <c r="I1742" s="80">
        <f>STOCK[[#This Row],[Precio Venta Ideal (x1.5)]]</f>
        <v>0.52649999999999997</v>
      </c>
      <c r="J1742" s="87">
        <v>6</v>
      </c>
      <c r="K1742" s="78">
        <f>SUMIFS(VENTAS[Cantidad],VENTAS[Código del producto Vendido],STOCK[[#This Row],[Code]])</f>
        <v>8</v>
      </c>
      <c r="L1742" s="78">
        <f>STOCK[[#This Row],[Entradas]]-STOCK[[#This Row],[Salidas]]</f>
        <v>-2</v>
      </c>
      <c r="M1742" s="75">
        <f>STOCK[[#This Row],[Precio Final]]*10%</f>
        <v>0.35099999999999998</v>
      </c>
      <c r="N1742" s="54">
        <v>0</v>
      </c>
      <c r="O1742" s="75">
        <v>0</v>
      </c>
      <c r="P1742" s="75"/>
      <c r="Q1742" s="75">
        <v>0.79</v>
      </c>
      <c r="R1742" s="78"/>
      <c r="S1742" s="75"/>
      <c r="T1742" s="75">
        <f>STOCK[[#This Row],[Costo Unitario (USD)]]+STOCK[[#This Row],[Costo Envío (USD)]]+STOCK[[#This Row],[Comisión 10%]]</f>
        <v>0.35099999999999998</v>
      </c>
      <c r="U1742" s="53">
        <f>STOCK[[#This Row],[Costo total]]*1.5</f>
        <v>0.52649999999999997</v>
      </c>
      <c r="V1742" s="53">
        <v>3.51</v>
      </c>
      <c r="W1742" s="75">
        <f>STOCK[[#This Row],[Precio Final]]-STOCK[[#This Row],[Costo total]]</f>
        <v>3.1589999999999998</v>
      </c>
      <c r="X1742" s="75">
        <f>STOCK[[#This Row],[Ganancia Unitaria]]*STOCK[[#This Row],[Salidas]]</f>
        <v>25.271999999999998</v>
      </c>
      <c r="Y1742" s="75">
        <v>0</v>
      </c>
      <c r="Z1742" s="88"/>
      <c r="AA1742" s="54">
        <f>STOCK[[#This Row],[Costo total]]*STOCK[[#This Row],[Entradas]]</f>
        <v>2.1059999999999999</v>
      </c>
      <c r="AB1742" s="54">
        <f>STOCK[[#This Row],[Stock Actual]]*STOCK[[#This Row],[Costo total]]</f>
        <v>-0.70199999999999996</v>
      </c>
      <c r="AC1742" s="75">
        <v>14.04</v>
      </c>
      <c r="AD1742" s="75"/>
    </row>
    <row r="1743" spans="1:30" s="53" customFormat="1" ht="50" customHeight="1">
      <c r="A1743" s="53" t="s">
        <v>3452</v>
      </c>
      <c r="B1743" s="83"/>
      <c r="C1743" s="53" t="s">
        <v>32</v>
      </c>
      <c r="D1743" s="84" t="s">
        <v>3279</v>
      </c>
      <c r="E1743" s="85" t="s">
        <v>3453</v>
      </c>
      <c r="F1743" s="86" t="s">
        <v>525</v>
      </c>
      <c r="G1743" s="75"/>
      <c r="H1743" s="75">
        <f>STOCK[[#This Row],[Precio Final]]</f>
        <v>11.505000000000001</v>
      </c>
      <c r="I1743" s="80">
        <f>STOCK[[#This Row],[Precio Venta Ideal (x1.5)]]</f>
        <v>1.7257500000000001</v>
      </c>
      <c r="J1743" s="87">
        <v>5</v>
      </c>
      <c r="K1743" s="78">
        <f>SUMIFS(VENTAS[Cantidad],VENTAS[Código del producto Vendido],STOCK[[#This Row],[Code]])</f>
        <v>1</v>
      </c>
      <c r="L1743" s="78">
        <f>STOCK[[#This Row],[Entradas]]-STOCK[[#This Row],[Salidas]]</f>
        <v>4</v>
      </c>
      <c r="M1743" s="75">
        <f>STOCK[[#This Row],[Precio Final]]*10%</f>
        <v>1.1505000000000001</v>
      </c>
      <c r="N1743" s="54">
        <v>0</v>
      </c>
      <c r="O1743" s="75">
        <v>0</v>
      </c>
      <c r="P1743" s="75"/>
      <c r="Q1743" s="75">
        <v>3.31</v>
      </c>
      <c r="R1743" s="78"/>
      <c r="S1743" s="75"/>
      <c r="T1743" s="75">
        <f>STOCK[[#This Row],[Costo Unitario (USD)]]+STOCK[[#This Row],[Costo Envío (USD)]]+STOCK[[#This Row],[Comisión 10%]]</f>
        <v>1.1505000000000001</v>
      </c>
      <c r="U1743" s="53">
        <f>STOCK[[#This Row],[Costo total]]*1.5</f>
        <v>1.7257500000000001</v>
      </c>
      <c r="V1743" s="53">
        <v>11.505000000000001</v>
      </c>
      <c r="W1743" s="75">
        <f>STOCK[[#This Row],[Precio Final]]-STOCK[[#This Row],[Costo total]]</f>
        <v>10.354500000000002</v>
      </c>
      <c r="X1743" s="75">
        <f>STOCK[[#This Row],[Ganancia Unitaria]]*STOCK[[#This Row],[Salidas]]</f>
        <v>10.354500000000002</v>
      </c>
      <c r="Y1743" s="75">
        <v>0</v>
      </c>
      <c r="Z1743" s="88"/>
      <c r="AA1743" s="54">
        <f>STOCK[[#This Row],[Costo total]]*STOCK[[#This Row],[Entradas]]</f>
        <v>5.7525000000000004</v>
      </c>
      <c r="AB1743" s="54">
        <f>STOCK[[#This Row],[Stock Actual]]*STOCK[[#This Row],[Costo total]]</f>
        <v>4.6020000000000003</v>
      </c>
      <c r="AC1743" s="75">
        <v>38.35</v>
      </c>
      <c r="AD1743" s="75"/>
    </row>
    <row r="1744" spans="1:30" s="53" customFormat="1" ht="50" customHeight="1">
      <c r="A1744" s="53" t="s">
        <v>3454</v>
      </c>
      <c r="B1744" s="92"/>
      <c r="C1744" s="53" t="s">
        <v>32</v>
      </c>
      <c r="D1744" s="84" t="s">
        <v>3279</v>
      </c>
      <c r="E1744" s="94" t="s">
        <v>3285</v>
      </c>
      <c r="F1744" s="89" t="s">
        <v>49</v>
      </c>
      <c r="H1744" s="75">
        <f>STOCK[[#This Row],[Precio Final]]</f>
        <v>21.824999999999999</v>
      </c>
      <c r="I1744" s="80">
        <f>STOCK[[#This Row],[Precio Venta Ideal (x1.5)]]</f>
        <v>3.2737500000000002</v>
      </c>
      <c r="J1744" s="90">
        <v>3</v>
      </c>
      <c r="K1744" s="78">
        <f>SUMIFS(VENTAS[Cantidad],VENTAS[Código del producto Vendido],STOCK[[#This Row],[Code]])</f>
        <v>0</v>
      </c>
      <c r="L1744" s="78">
        <f>STOCK[[#This Row],[Entradas]]-STOCK[[#This Row],[Salidas]]</f>
        <v>3</v>
      </c>
      <c r="M1744" s="75">
        <f>STOCK[[#This Row],[Precio Final]]*10%</f>
        <v>2.1825000000000001</v>
      </c>
      <c r="N1744" s="54">
        <v>0</v>
      </c>
      <c r="O1744" s="75">
        <v>0</v>
      </c>
      <c r="Q1744" s="53">
        <v>11</v>
      </c>
      <c r="R1744" s="69"/>
      <c r="T1744" s="75">
        <f>STOCK[[#This Row],[Costo Unitario (USD)]]+STOCK[[#This Row],[Costo Envío (USD)]]+STOCK[[#This Row],[Comisión 10%]]</f>
        <v>2.1825000000000001</v>
      </c>
      <c r="U1744" s="53">
        <f>STOCK[[#This Row],[Costo total]]*1.5</f>
        <v>3.2737500000000002</v>
      </c>
      <c r="V1744" s="53">
        <v>21.824999999999999</v>
      </c>
      <c r="W1744" s="75">
        <f>STOCK[[#This Row],[Precio Final]]-STOCK[[#This Row],[Costo total]]</f>
        <v>19.642499999999998</v>
      </c>
      <c r="X1744" s="75">
        <f>STOCK[[#This Row],[Ganancia Unitaria]]*STOCK[[#This Row],[Salidas]]</f>
        <v>0</v>
      </c>
      <c r="Y1744" s="53">
        <v>0</v>
      </c>
      <c r="Z1744" s="91"/>
      <c r="AA1744" s="54">
        <f>STOCK[[#This Row],[Costo total]]*STOCK[[#This Row],[Entradas]]</f>
        <v>6.5475000000000003</v>
      </c>
      <c r="AB1744" s="54">
        <f>STOCK[[#This Row],[Stock Actual]]*STOCK[[#This Row],[Costo total]]</f>
        <v>6.5475000000000003</v>
      </c>
      <c r="AC1744" s="53">
        <v>43.65</v>
      </c>
    </row>
    <row r="1745" spans="1:30" s="53" customFormat="1" ht="50" customHeight="1">
      <c r="A1745" s="53" t="s">
        <v>3455</v>
      </c>
      <c r="B1745" s="83"/>
      <c r="C1745" s="53" t="s">
        <v>32</v>
      </c>
      <c r="D1745" s="84" t="s">
        <v>3279</v>
      </c>
      <c r="E1745" s="85" t="s">
        <v>3456</v>
      </c>
      <c r="F1745" s="86" t="s">
        <v>540</v>
      </c>
      <c r="G1745" s="75"/>
      <c r="H1745" s="75">
        <f>STOCK[[#This Row],[Precio Final]]</f>
        <v>32.700000000000003</v>
      </c>
      <c r="I1745" s="80">
        <f>STOCK[[#This Row],[Precio Venta Ideal (x1.5)]]</f>
        <v>4.9050000000000011</v>
      </c>
      <c r="J1745" s="87">
        <v>1</v>
      </c>
      <c r="K1745" s="78">
        <f>SUMIFS(VENTAS[Cantidad],VENTAS[Código del producto Vendido],STOCK[[#This Row],[Code]])</f>
        <v>1</v>
      </c>
      <c r="L1745" s="78">
        <f>STOCK[[#This Row],[Entradas]]-STOCK[[#This Row],[Salidas]]</f>
        <v>0</v>
      </c>
      <c r="M1745" s="75">
        <f>STOCK[[#This Row],[Precio Final]]*10%</f>
        <v>3.2700000000000005</v>
      </c>
      <c r="N1745" s="54">
        <v>0</v>
      </c>
      <c r="O1745" s="75">
        <v>0</v>
      </c>
      <c r="P1745" s="75"/>
      <c r="Q1745" s="75">
        <v>15.75</v>
      </c>
      <c r="R1745" s="78"/>
      <c r="S1745" s="75"/>
      <c r="T1745" s="75">
        <f>STOCK[[#This Row],[Costo Unitario (USD)]]+STOCK[[#This Row],[Costo Envío (USD)]]+STOCK[[#This Row],[Comisión 10%]]</f>
        <v>3.2700000000000005</v>
      </c>
      <c r="U1745" s="53">
        <f>STOCK[[#This Row],[Costo total]]*1.5</f>
        <v>4.9050000000000011</v>
      </c>
      <c r="V1745" s="53">
        <v>32.700000000000003</v>
      </c>
      <c r="W1745" s="75">
        <f>STOCK[[#This Row],[Precio Final]]-STOCK[[#This Row],[Costo total]]</f>
        <v>29.430000000000003</v>
      </c>
      <c r="X1745" s="75">
        <f>STOCK[[#This Row],[Ganancia Unitaria]]*STOCK[[#This Row],[Salidas]]</f>
        <v>29.430000000000003</v>
      </c>
      <c r="Y1745" s="75">
        <v>0</v>
      </c>
      <c r="Z1745" s="88"/>
      <c r="AA1745" s="54">
        <f>STOCK[[#This Row],[Costo total]]*STOCK[[#This Row],[Entradas]]</f>
        <v>3.2700000000000005</v>
      </c>
      <c r="AB1745" s="54">
        <f>STOCK[[#This Row],[Stock Actual]]*STOCK[[#This Row],[Costo total]]</f>
        <v>0</v>
      </c>
      <c r="AC1745" s="75">
        <v>21.8</v>
      </c>
      <c r="AD1745" s="75"/>
    </row>
    <row r="1746" spans="1:30" s="53" customFormat="1" ht="50" customHeight="1">
      <c r="A1746" s="53" t="s">
        <v>3457</v>
      </c>
      <c r="B1746" s="83"/>
      <c r="C1746" s="53" t="s">
        <v>32</v>
      </c>
      <c r="D1746" s="84" t="s">
        <v>3279</v>
      </c>
      <c r="E1746" s="85" t="s">
        <v>3280</v>
      </c>
      <c r="F1746" s="86" t="s">
        <v>62</v>
      </c>
      <c r="G1746" s="75"/>
      <c r="H1746" s="75">
        <f>STOCK[[#This Row],[Precio Final]]</f>
        <v>19.574999999999999</v>
      </c>
      <c r="I1746" s="80">
        <f>STOCK[[#This Row],[Precio Venta Ideal (x1.5)]]</f>
        <v>2.9362500000000002</v>
      </c>
      <c r="J1746" s="87">
        <v>1</v>
      </c>
      <c r="K1746" s="78">
        <f>SUMIFS(VENTAS[Cantidad],VENTAS[Código del producto Vendido],STOCK[[#This Row],[Code]])</f>
        <v>0</v>
      </c>
      <c r="L1746" s="78">
        <f>STOCK[[#This Row],[Entradas]]-STOCK[[#This Row],[Salidas]]</f>
        <v>1</v>
      </c>
      <c r="M1746" s="75">
        <f>STOCK[[#This Row],[Precio Final]]*10%</f>
        <v>1.9575</v>
      </c>
      <c r="N1746" s="54">
        <v>0</v>
      </c>
      <c r="O1746" s="75">
        <v>0</v>
      </c>
      <c r="P1746" s="75"/>
      <c r="Q1746" s="75">
        <v>9.5</v>
      </c>
      <c r="R1746" s="78"/>
      <c r="S1746" s="75"/>
      <c r="T1746" s="75">
        <f>STOCK[[#This Row],[Costo Unitario (USD)]]+STOCK[[#This Row],[Costo Envío (USD)]]+STOCK[[#This Row],[Comisión 10%]]</f>
        <v>1.9575</v>
      </c>
      <c r="U1746" s="53">
        <f>STOCK[[#This Row],[Costo total]]*1.5</f>
        <v>2.9362500000000002</v>
      </c>
      <c r="V1746" s="53">
        <v>19.574999999999999</v>
      </c>
      <c r="W1746" s="75">
        <f>STOCK[[#This Row],[Precio Final]]-STOCK[[#This Row],[Costo total]]</f>
        <v>17.6175</v>
      </c>
      <c r="X1746" s="75">
        <f>STOCK[[#This Row],[Ganancia Unitaria]]*STOCK[[#This Row],[Salidas]]</f>
        <v>0</v>
      </c>
      <c r="Y1746" s="75">
        <v>0</v>
      </c>
      <c r="Z1746" s="88"/>
      <c r="AA1746" s="54">
        <f>STOCK[[#This Row],[Costo total]]*STOCK[[#This Row],[Entradas]]</f>
        <v>1.9575</v>
      </c>
      <c r="AB1746" s="54">
        <f>STOCK[[#This Row],[Stock Actual]]*STOCK[[#This Row],[Costo total]]</f>
        <v>1.9575</v>
      </c>
      <c r="AC1746" s="75">
        <v>13.05</v>
      </c>
      <c r="AD1746" s="75"/>
    </row>
    <row r="1747" spans="1:30" s="53" customFormat="1" ht="50" customHeight="1">
      <c r="A1747" s="53" t="s">
        <v>3458</v>
      </c>
      <c r="B1747" s="83"/>
      <c r="C1747" s="53" t="s">
        <v>32</v>
      </c>
      <c r="D1747" s="84" t="s">
        <v>3279</v>
      </c>
      <c r="E1747" s="85" t="s">
        <v>3348</v>
      </c>
      <c r="F1747" s="86" t="s">
        <v>46</v>
      </c>
      <c r="G1747" s="75"/>
      <c r="H1747" s="75">
        <f>STOCK[[#This Row],[Precio Final]]</f>
        <v>20.204999999999998</v>
      </c>
      <c r="I1747" s="80">
        <f>STOCK[[#This Row],[Precio Venta Ideal (x1.5)]]</f>
        <v>3.0307499999999994</v>
      </c>
      <c r="J1747" s="87">
        <v>1</v>
      </c>
      <c r="K1747" s="78">
        <f>SUMIFS(VENTAS[Cantidad],VENTAS[Código del producto Vendido],STOCK[[#This Row],[Code]])</f>
        <v>1</v>
      </c>
      <c r="L1747" s="78">
        <f>STOCK[[#This Row],[Entradas]]-STOCK[[#This Row],[Salidas]]</f>
        <v>0</v>
      </c>
      <c r="M1747" s="75">
        <f>STOCK[[#This Row],[Precio Final]]*10%</f>
        <v>2.0204999999999997</v>
      </c>
      <c r="N1747" s="54">
        <v>0</v>
      </c>
      <c r="O1747" s="75">
        <v>0</v>
      </c>
      <c r="P1747" s="75"/>
      <c r="Q1747" s="75">
        <v>9.92</v>
      </c>
      <c r="R1747" s="78"/>
      <c r="S1747" s="75"/>
      <c r="T1747" s="75">
        <f>STOCK[[#This Row],[Costo Unitario (USD)]]+STOCK[[#This Row],[Costo Envío (USD)]]+STOCK[[#This Row],[Comisión 10%]]</f>
        <v>2.0204999999999997</v>
      </c>
      <c r="U1747" s="53">
        <f>STOCK[[#This Row],[Costo total]]*1.5</f>
        <v>3.0307499999999994</v>
      </c>
      <c r="V1747" s="53">
        <v>20.204999999999998</v>
      </c>
      <c r="W1747" s="75">
        <f>STOCK[[#This Row],[Precio Final]]-STOCK[[#This Row],[Costo total]]</f>
        <v>18.1845</v>
      </c>
      <c r="X1747" s="75">
        <f>STOCK[[#This Row],[Ganancia Unitaria]]*STOCK[[#This Row],[Salidas]]</f>
        <v>18.1845</v>
      </c>
      <c r="Y1747" s="75">
        <v>0</v>
      </c>
      <c r="Z1747" s="88"/>
      <c r="AA1747" s="54">
        <f>STOCK[[#This Row],[Costo total]]*STOCK[[#This Row],[Entradas]]</f>
        <v>2.0204999999999997</v>
      </c>
      <c r="AB1747" s="54">
        <f>STOCK[[#This Row],[Stock Actual]]*STOCK[[#This Row],[Costo total]]</f>
        <v>0</v>
      </c>
      <c r="AC1747" s="75">
        <v>13.47</v>
      </c>
      <c r="AD1747" s="75"/>
    </row>
    <row r="1748" spans="1:30" s="53" customFormat="1" ht="50" customHeight="1">
      <c r="A1748" s="53" t="s">
        <v>3459</v>
      </c>
      <c r="B1748" s="83"/>
      <c r="C1748" s="53" t="s">
        <v>32</v>
      </c>
      <c r="D1748" s="84" t="s">
        <v>3279</v>
      </c>
      <c r="E1748" s="85" t="s">
        <v>3351</v>
      </c>
      <c r="F1748" s="86" t="s">
        <v>62</v>
      </c>
      <c r="G1748" s="75"/>
      <c r="H1748" s="75">
        <f>STOCK[[#This Row],[Precio Final]]</f>
        <v>19.905000000000001</v>
      </c>
      <c r="I1748" s="80">
        <f>STOCK[[#This Row],[Precio Venta Ideal (x1.5)]]</f>
        <v>2.9857500000000003</v>
      </c>
      <c r="J1748" s="87">
        <v>2</v>
      </c>
      <c r="K1748" s="78">
        <f>SUMIFS(VENTAS[Cantidad],VENTAS[Código del producto Vendido],STOCK[[#This Row],[Code]])</f>
        <v>2</v>
      </c>
      <c r="L1748" s="78">
        <f>STOCK[[#This Row],[Entradas]]-STOCK[[#This Row],[Salidas]]</f>
        <v>0</v>
      </c>
      <c r="M1748" s="75">
        <f>STOCK[[#This Row],[Precio Final]]*10%</f>
        <v>1.9905000000000002</v>
      </c>
      <c r="N1748" s="54">
        <v>0</v>
      </c>
      <c r="O1748" s="75">
        <v>0</v>
      </c>
      <c r="P1748" s="75"/>
      <c r="Q1748" s="75">
        <v>9.7200000000000006</v>
      </c>
      <c r="R1748" s="78"/>
      <c r="S1748" s="75"/>
      <c r="T1748" s="75">
        <f>STOCK[[#This Row],[Costo Unitario (USD)]]+STOCK[[#This Row],[Costo Envío (USD)]]+STOCK[[#This Row],[Comisión 10%]]</f>
        <v>1.9905000000000002</v>
      </c>
      <c r="U1748" s="53">
        <f>STOCK[[#This Row],[Costo total]]*1.5</f>
        <v>2.9857500000000003</v>
      </c>
      <c r="V1748" s="53">
        <v>19.905000000000001</v>
      </c>
      <c r="W1748" s="75">
        <f>STOCK[[#This Row],[Precio Final]]-STOCK[[#This Row],[Costo total]]</f>
        <v>17.9145</v>
      </c>
      <c r="X1748" s="75">
        <f>STOCK[[#This Row],[Ganancia Unitaria]]*STOCK[[#This Row],[Salidas]]</f>
        <v>35.829000000000001</v>
      </c>
      <c r="Y1748" s="75">
        <v>0</v>
      </c>
      <c r="Z1748" s="88"/>
      <c r="AA1748" s="54">
        <f>STOCK[[#This Row],[Costo total]]*STOCK[[#This Row],[Entradas]]</f>
        <v>3.9810000000000003</v>
      </c>
      <c r="AB1748" s="54">
        <f>STOCK[[#This Row],[Stock Actual]]*STOCK[[#This Row],[Costo total]]</f>
        <v>0</v>
      </c>
      <c r="AC1748" s="75">
        <v>26.54</v>
      </c>
      <c r="AD1748" s="75"/>
    </row>
    <row r="1749" spans="1:30" s="53" customFormat="1" ht="50" customHeight="1">
      <c r="A1749" s="53" t="s">
        <v>3460</v>
      </c>
      <c r="B1749" s="83"/>
      <c r="C1749" s="53" t="s">
        <v>32</v>
      </c>
      <c r="D1749" s="84" t="s">
        <v>3279</v>
      </c>
      <c r="E1749" s="85" t="s">
        <v>3461</v>
      </c>
      <c r="F1749" s="86" t="s">
        <v>525</v>
      </c>
      <c r="G1749" s="75"/>
      <c r="H1749" s="75">
        <f>STOCK[[#This Row],[Precio Final]]</f>
        <v>5.835</v>
      </c>
      <c r="I1749" s="80">
        <f>STOCK[[#This Row],[Precio Venta Ideal (x1.5)]]</f>
        <v>0.87525000000000008</v>
      </c>
      <c r="J1749" s="87">
        <v>5</v>
      </c>
      <c r="K1749" s="78">
        <f>SUMIFS(VENTAS[Cantidad],VENTAS[Código del producto Vendido],STOCK[[#This Row],[Code]])</f>
        <v>5</v>
      </c>
      <c r="L1749" s="78">
        <f>STOCK[[#This Row],[Entradas]]-STOCK[[#This Row],[Salidas]]</f>
        <v>0</v>
      </c>
      <c r="M1749" s="75">
        <f>STOCK[[#This Row],[Precio Final]]*10%</f>
        <v>0.58350000000000002</v>
      </c>
      <c r="N1749" s="54">
        <v>0</v>
      </c>
      <c r="O1749" s="75">
        <v>0</v>
      </c>
      <c r="P1749" s="75"/>
      <c r="Q1749" s="75">
        <v>2.04</v>
      </c>
      <c r="R1749" s="78"/>
      <c r="S1749" s="75"/>
      <c r="T1749" s="75">
        <f>STOCK[[#This Row],[Costo Unitario (USD)]]+STOCK[[#This Row],[Costo Envío (USD)]]+STOCK[[#This Row],[Comisión 10%]]</f>
        <v>0.58350000000000002</v>
      </c>
      <c r="U1749" s="53">
        <f>STOCK[[#This Row],[Costo total]]*1.5</f>
        <v>0.87525000000000008</v>
      </c>
      <c r="V1749" s="53">
        <v>5.835</v>
      </c>
      <c r="W1749" s="75">
        <f>STOCK[[#This Row],[Precio Final]]-STOCK[[#This Row],[Costo total]]</f>
        <v>5.2515000000000001</v>
      </c>
      <c r="X1749" s="75">
        <f>STOCK[[#This Row],[Ganancia Unitaria]]*STOCK[[#This Row],[Salidas]]</f>
        <v>26.2575</v>
      </c>
      <c r="Y1749" s="75">
        <v>0</v>
      </c>
      <c r="Z1749" s="88"/>
      <c r="AA1749" s="54">
        <f>STOCK[[#This Row],[Costo total]]*STOCK[[#This Row],[Entradas]]</f>
        <v>2.9175</v>
      </c>
      <c r="AB1749" s="54">
        <f>STOCK[[#This Row],[Stock Actual]]*STOCK[[#This Row],[Costo total]]</f>
        <v>0</v>
      </c>
      <c r="AC1749" s="75">
        <v>19.45</v>
      </c>
      <c r="AD1749" s="75"/>
    </row>
    <row r="1750" spans="1:30" s="53" customFormat="1" ht="50" customHeight="1">
      <c r="A1750" s="53" t="s">
        <v>3462</v>
      </c>
      <c r="B1750" s="83"/>
      <c r="C1750" s="53" t="s">
        <v>32</v>
      </c>
      <c r="D1750" s="84" t="s">
        <v>3279</v>
      </c>
      <c r="E1750" s="85" t="s">
        <v>3463</v>
      </c>
      <c r="F1750" s="86" t="s">
        <v>525</v>
      </c>
      <c r="G1750" s="75"/>
      <c r="H1750" s="75">
        <f>STOCK[[#This Row],[Precio Final]]</f>
        <v>6.18</v>
      </c>
      <c r="I1750" s="80">
        <f>STOCK[[#This Row],[Precio Venta Ideal (x1.5)]]</f>
        <v>0.92700000000000005</v>
      </c>
      <c r="J1750" s="87">
        <v>3</v>
      </c>
      <c r="K1750" s="78">
        <f>SUMIFS(VENTAS[Cantidad],VENTAS[Código del producto Vendido],STOCK[[#This Row],[Code]])</f>
        <v>4</v>
      </c>
      <c r="L1750" s="78">
        <f>STOCK[[#This Row],[Entradas]]-STOCK[[#This Row],[Salidas]]</f>
        <v>-1</v>
      </c>
      <c r="M1750" s="75">
        <f>STOCK[[#This Row],[Precio Final]]*10%</f>
        <v>0.61799999999999999</v>
      </c>
      <c r="N1750" s="54">
        <v>0</v>
      </c>
      <c r="O1750" s="75">
        <v>0</v>
      </c>
      <c r="P1750" s="75"/>
      <c r="Q1750" s="75">
        <v>2.27</v>
      </c>
      <c r="R1750" s="78"/>
      <c r="S1750" s="75"/>
      <c r="T1750" s="75">
        <f>STOCK[[#This Row],[Costo Unitario (USD)]]+STOCK[[#This Row],[Costo Envío (USD)]]+STOCK[[#This Row],[Comisión 10%]]</f>
        <v>0.61799999999999999</v>
      </c>
      <c r="U1750" s="53">
        <f>STOCK[[#This Row],[Costo total]]*1.5</f>
        <v>0.92700000000000005</v>
      </c>
      <c r="V1750" s="53">
        <v>6.18</v>
      </c>
      <c r="W1750" s="75">
        <f>STOCK[[#This Row],[Precio Final]]-STOCK[[#This Row],[Costo total]]</f>
        <v>5.5619999999999994</v>
      </c>
      <c r="X1750" s="75">
        <f>STOCK[[#This Row],[Ganancia Unitaria]]*STOCK[[#This Row],[Salidas]]</f>
        <v>22.247999999999998</v>
      </c>
      <c r="Y1750" s="75">
        <v>0</v>
      </c>
      <c r="Z1750" s="88"/>
      <c r="AA1750" s="54">
        <f>STOCK[[#This Row],[Costo total]]*STOCK[[#This Row],[Entradas]]</f>
        <v>1.8540000000000001</v>
      </c>
      <c r="AB1750" s="54">
        <f>STOCK[[#This Row],[Stock Actual]]*STOCK[[#This Row],[Costo total]]</f>
        <v>-0.61799999999999999</v>
      </c>
      <c r="AC1750" s="75">
        <v>12.36</v>
      </c>
      <c r="AD1750" s="75"/>
    </row>
    <row r="1751" spans="1:30" s="53" customFormat="1" ht="50" customHeight="1">
      <c r="A1751" s="53" t="s">
        <v>3464</v>
      </c>
      <c r="B1751" s="83"/>
      <c r="C1751" s="53" t="s">
        <v>32</v>
      </c>
      <c r="D1751" s="84" t="s">
        <v>3279</v>
      </c>
      <c r="E1751" s="85" t="s">
        <v>3465</v>
      </c>
      <c r="F1751" s="86" t="s">
        <v>2823</v>
      </c>
      <c r="G1751" s="75"/>
      <c r="H1751" s="75">
        <f>STOCK[[#This Row],[Precio Final]]</f>
        <v>13.065</v>
      </c>
      <c r="I1751" s="80">
        <f>STOCK[[#This Row],[Precio Venta Ideal (x1.5)]]</f>
        <v>1.9597500000000001</v>
      </c>
      <c r="J1751" s="87">
        <v>4</v>
      </c>
      <c r="K1751" s="78">
        <f>SUMIFS(VENTAS[Cantidad],VENTAS[Código del producto Vendido],STOCK[[#This Row],[Code]])</f>
        <v>0</v>
      </c>
      <c r="L1751" s="78">
        <f>STOCK[[#This Row],[Entradas]]-STOCK[[#This Row],[Salidas]]</f>
        <v>4</v>
      </c>
      <c r="M1751" s="75">
        <f>STOCK[[#This Row],[Precio Final]]*10%</f>
        <v>1.3065</v>
      </c>
      <c r="N1751" s="54">
        <v>0</v>
      </c>
      <c r="O1751" s="75">
        <v>0</v>
      </c>
      <c r="P1751" s="75"/>
      <c r="Q1751" s="75">
        <v>5.86</v>
      </c>
      <c r="R1751" s="78"/>
      <c r="S1751" s="75"/>
      <c r="T1751" s="75">
        <f>STOCK[[#This Row],[Costo Unitario (USD)]]+STOCK[[#This Row],[Costo Envío (USD)]]+STOCK[[#This Row],[Comisión 10%]]</f>
        <v>1.3065</v>
      </c>
      <c r="U1751" s="53">
        <f>STOCK[[#This Row],[Costo total]]*1.5</f>
        <v>1.9597500000000001</v>
      </c>
      <c r="V1751" s="53">
        <v>13.065</v>
      </c>
      <c r="W1751" s="75">
        <f>STOCK[[#This Row],[Precio Final]]-STOCK[[#This Row],[Costo total]]</f>
        <v>11.7585</v>
      </c>
      <c r="X1751" s="75">
        <f>STOCK[[#This Row],[Ganancia Unitaria]]*STOCK[[#This Row],[Salidas]]</f>
        <v>0</v>
      </c>
      <c r="Y1751" s="75">
        <v>0</v>
      </c>
      <c r="Z1751" s="88"/>
      <c r="AA1751" s="54">
        <f>STOCK[[#This Row],[Costo total]]*STOCK[[#This Row],[Entradas]]</f>
        <v>5.226</v>
      </c>
      <c r="AB1751" s="54">
        <f>STOCK[[#This Row],[Stock Actual]]*STOCK[[#This Row],[Costo total]]</f>
        <v>5.226</v>
      </c>
      <c r="AC1751" s="75">
        <v>34.840000000000003</v>
      </c>
      <c r="AD1751" s="75"/>
    </row>
    <row r="1752" spans="1:30" s="53" customFormat="1" ht="50" customHeight="1">
      <c r="A1752" s="53" t="s">
        <v>3466</v>
      </c>
      <c r="B1752" s="64"/>
      <c r="C1752" s="53" t="s">
        <v>32</v>
      </c>
      <c r="D1752" s="84" t="s">
        <v>3279</v>
      </c>
      <c r="E1752" s="65" t="s">
        <v>3467</v>
      </c>
      <c r="F1752" s="53" t="s">
        <v>525</v>
      </c>
      <c r="G1752" s="53" t="s">
        <v>36</v>
      </c>
      <c r="H1752" s="75">
        <f>STOCK[[#This Row],[Precio Final]]</f>
        <v>9.6</v>
      </c>
      <c r="I1752" s="80">
        <f>STOCK[[#This Row],[Precio Venta Ideal (x1.5)]]</f>
        <v>26.94</v>
      </c>
      <c r="J1752" s="69">
        <v>10</v>
      </c>
      <c r="K1752" s="78">
        <f>SUMIFS(VENTAS[Cantidad],VENTAS[Código del producto Vendido],STOCK[[#This Row],[Code]])</f>
        <v>2</v>
      </c>
      <c r="L1752" s="78">
        <f>STOCK[[#This Row],[Entradas]]-STOCK[[#This Row],[Salidas]]</f>
        <v>8</v>
      </c>
      <c r="M1752" s="75">
        <f>STOCK[[#This Row],[Precio Final]]*10%</f>
        <v>0.96</v>
      </c>
      <c r="N1752" s="54">
        <v>0</v>
      </c>
      <c r="O1752" s="75">
        <v>0</v>
      </c>
      <c r="Q1752" s="53">
        <v>4.5</v>
      </c>
      <c r="R1752" s="69">
        <v>0</v>
      </c>
      <c r="S1752" s="53">
        <v>17</v>
      </c>
      <c r="T1752" s="75">
        <f>STOCK[[#This Row],[Costo Unitario (USD)]]+STOCK[[#This Row],[Costo Envío (USD)]]+STOCK[[#This Row],[Comisión 10%]]</f>
        <v>17.96</v>
      </c>
      <c r="U1752" s="53">
        <f>STOCK[[#This Row],[Costo total]]*1.5</f>
        <v>26.94</v>
      </c>
      <c r="V1752" s="53">
        <v>9.6</v>
      </c>
      <c r="W1752" s="75">
        <f>STOCK[[#This Row],[Precio Final]]-STOCK[[#This Row],[Costo total]]</f>
        <v>-8.3600000000000012</v>
      </c>
      <c r="X1752" s="75">
        <f>STOCK[[#This Row],[Ganancia Unitaria]]*STOCK[[#This Row],[Salidas]]</f>
        <v>-16.720000000000002</v>
      </c>
      <c r="Y1752" s="53">
        <v>0</v>
      </c>
      <c r="AA1752" s="54">
        <f>STOCK[[#This Row],[Costo total]]*STOCK[[#This Row],[Entradas]]</f>
        <v>179.60000000000002</v>
      </c>
      <c r="AB1752" s="54">
        <f>STOCK[[#This Row],[Stock Actual]]*STOCK[[#This Row],[Costo total]]</f>
        <v>143.68</v>
      </c>
      <c r="AC1752" s="53">
        <v>64</v>
      </c>
    </row>
    <row r="1753" spans="1:30" s="53" customFormat="1" ht="50" customHeight="1">
      <c r="A1753" s="53" t="s">
        <v>3468</v>
      </c>
      <c r="B1753" s="92"/>
      <c r="C1753" s="53" t="s">
        <v>32</v>
      </c>
      <c r="D1753" s="84" t="s">
        <v>3279</v>
      </c>
      <c r="E1753" s="94" t="s">
        <v>3469</v>
      </c>
      <c r="F1753" s="89" t="s">
        <v>540</v>
      </c>
      <c r="H1753" s="75">
        <f>STOCK[[#This Row],[Precio Final]]</f>
        <v>76.724999999999994</v>
      </c>
      <c r="I1753" s="80">
        <f>STOCK[[#This Row],[Precio Venta Ideal (x1.5)]]</f>
        <v>11.508749999999999</v>
      </c>
      <c r="J1753" s="90">
        <v>1</v>
      </c>
      <c r="K1753" s="78">
        <f>SUMIFS(VENTAS[Cantidad],VENTAS[Código del producto Vendido],STOCK[[#This Row],[Code]])</f>
        <v>1</v>
      </c>
      <c r="L1753" s="78">
        <f>STOCK[[#This Row],[Entradas]]-STOCK[[#This Row],[Salidas]]</f>
        <v>0</v>
      </c>
      <c r="M1753" s="75">
        <f>STOCK[[#This Row],[Precio Final]]*10%</f>
        <v>7.6724999999999994</v>
      </c>
      <c r="N1753" s="54">
        <v>0</v>
      </c>
      <c r="O1753" s="75">
        <v>0</v>
      </c>
      <c r="Q1753" s="53">
        <v>42.5</v>
      </c>
      <c r="R1753" s="69"/>
      <c r="T1753" s="75">
        <f>STOCK[[#This Row],[Costo Unitario (USD)]]+STOCK[[#This Row],[Costo Envío (USD)]]+STOCK[[#This Row],[Comisión 10%]]</f>
        <v>7.6724999999999994</v>
      </c>
      <c r="U1753" s="53">
        <f>STOCK[[#This Row],[Costo total]]*1.5</f>
        <v>11.508749999999999</v>
      </c>
      <c r="V1753" s="53">
        <v>76.724999999999994</v>
      </c>
      <c r="W1753" s="75">
        <f>STOCK[[#This Row],[Precio Final]]-STOCK[[#This Row],[Costo total]]</f>
        <v>69.052499999999995</v>
      </c>
      <c r="X1753" s="75">
        <f>STOCK[[#This Row],[Ganancia Unitaria]]*STOCK[[#This Row],[Salidas]]</f>
        <v>69.052499999999995</v>
      </c>
      <c r="Y1753" s="53">
        <v>0</v>
      </c>
      <c r="Z1753" s="91"/>
      <c r="AA1753" s="54">
        <f>STOCK[[#This Row],[Costo total]]*STOCK[[#This Row],[Entradas]]</f>
        <v>7.6724999999999994</v>
      </c>
      <c r="AB1753" s="54">
        <f>STOCK[[#This Row],[Stock Actual]]*STOCK[[#This Row],[Costo total]]</f>
        <v>0</v>
      </c>
      <c r="AC1753" s="53">
        <v>51.15</v>
      </c>
    </row>
    <row r="1754" spans="1:30" s="53" customFormat="1" ht="50" customHeight="1">
      <c r="A1754" s="53" t="s">
        <v>3470</v>
      </c>
      <c r="B1754" s="83"/>
      <c r="C1754" s="53" t="s">
        <v>32</v>
      </c>
      <c r="D1754" s="84" t="s">
        <v>3279</v>
      </c>
      <c r="E1754" s="85" t="s">
        <v>3471</v>
      </c>
      <c r="F1754" s="86" t="s">
        <v>3472</v>
      </c>
      <c r="G1754" s="75"/>
      <c r="H1754" s="75">
        <f>STOCK[[#This Row],[Precio Final]]</f>
        <v>8.4600000000000009</v>
      </c>
      <c r="I1754" s="80">
        <f>STOCK[[#This Row],[Precio Venta Ideal (x1.5)]]</f>
        <v>1.2690000000000001</v>
      </c>
      <c r="J1754" s="87">
        <v>2</v>
      </c>
      <c r="K1754" s="78">
        <f>SUMIFS(VENTAS[Cantidad],VENTAS[Código del producto Vendido],STOCK[[#This Row],[Code]])</f>
        <v>2</v>
      </c>
      <c r="L1754" s="78">
        <f>STOCK[[#This Row],[Entradas]]-STOCK[[#This Row],[Salidas]]</f>
        <v>0</v>
      </c>
      <c r="M1754" s="75">
        <f>STOCK[[#This Row],[Precio Final]]*10%</f>
        <v>0.84600000000000009</v>
      </c>
      <c r="N1754" s="54">
        <v>0</v>
      </c>
      <c r="O1754" s="75">
        <v>0</v>
      </c>
      <c r="P1754" s="75"/>
      <c r="Q1754" s="75">
        <v>3.59</v>
      </c>
      <c r="R1754" s="78"/>
      <c r="S1754" s="75"/>
      <c r="T1754" s="75">
        <f>STOCK[[#This Row],[Costo Unitario (USD)]]+STOCK[[#This Row],[Costo Envío (USD)]]+STOCK[[#This Row],[Comisión 10%]]</f>
        <v>0.84600000000000009</v>
      </c>
      <c r="U1754" s="53">
        <f>STOCK[[#This Row],[Costo total]]*1.5</f>
        <v>1.2690000000000001</v>
      </c>
      <c r="V1754" s="53">
        <v>8.4600000000000009</v>
      </c>
      <c r="W1754" s="75">
        <f>STOCK[[#This Row],[Precio Final]]-STOCK[[#This Row],[Costo total]]</f>
        <v>7.6140000000000008</v>
      </c>
      <c r="X1754" s="75">
        <f>STOCK[[#This Row],[Ganancia Unitaria]]*STOCK[[#This Row],[Salidas]]</f>
        <v>15.228000000000002</v>
      </c>
      <c r="Y1754" s="75">
        <v>0</v>
      </c>
      <c r="Z1754" s="88"/>
      <c r="AA1754" s="54">
        <f>STOCK[[#This Row],[Costo total]]*STOCK[[#This Row],[Entradas]]</f>
        <v>1.6920000000000002</v>
      </c>
      <c r="AB1754" s="54">
        <f>STOCK[[#This Row],[Stock Actual]]*STOCK[[#This Row],[Costo total]]</f>
        <v>0</v>
      </c>
      <c r="AC1754" s="75">
        <v>11.28</v>
      </c>
      <c r="AD1754" s="75"/>
    </row>
    <row r="1755" spans="1:30" s="53" customFormat="1" ht="50" customHeight="1">
      <c r="A1755" s="53" t="s">
        <v>3473</v>
      </c>
      <c r="B1755" s="83"/>
      <c r="C1755" s="53" t="s">
        <v>32</v>
      </c>
      <c r="D1755" s="84" t="s">
        <v>3279</v>
      </c>
      <c r="E1755" s="85" t="s">
        <v>3474</v>
      </c>
      <c r="F1755" s="86" t="s">
        <v>525</v>
      </c>
      <c r="G1755" s="75"/>
      <c r="H1755" s="75">
        <f>STOCK[[#This Row],[Precio Final]]</f>
        <v>8.4749999999999996</v>
      </c>
      <c r="I1755" s="80">
        <f>STOCK[[#This Row],[Precio Venta Ideal (x1.5)]]</f>
        <v>1.27125</v>
      </c>
      <c r="J1755" s="87">
        <v>4</v>
      </c>
      <c r="K1755" s="78">
        <f>SUMIFS(VENTAS[Cantidad],VENTAS[Código del producto Vendido],STOCK[[#This Row],[Code]])</f>
        <v>4</v>
      </c>
      <c r="L1755" s="78">
        <f>STOCK[[#This Row],[Entradas]]-STOCK[[#This Row],[Salidas]]</f>
        <v>0</v>
      </c>
      <c r="M1755" s="75">
        <f>STOCK[[#This Row],[Precio Final]]*10%</f>
        <v>0.84750000000000003</v>
      </c>
      <c r="N1755" s="54">
        <v>0</v>
      </c>
      <c r="O1755" s="75">
        <v>0</v>
      </c>
      <c r="P1755" s="75"/>
      <c r="Q1755" s="75">
        <v>3.6</v>
      </c>
      <c r="R1755" s="78"/>
      <c r="S1755" s="75"/>
      <c r="T1755" s="75">
        <f>STOCK[[#This Row],[Costo Unitario (USD)]]+STOCK[[#This Row],[Costo Envío (USD)]]+STOCK[[#This Row],[Comisión 10%]]</f>
        <v>0.84750000000000003</v>
      </c>
      <c r="U1755" s="53">
        <f>STOCK[[#This Row],[Costo total]]*1.5</f>
        <v>1.27125</v>
      </c>
      <c r="V1755" s="53">
        <v>8.4749999999999996</v>
      </c>
      <c r="W1755" s="75">
        <f>STOCK[[#This Row],[Precio Final]]-STOCK[[#This Row],[Costo total]]</f>
        <v>7.6274999999999995</v>
      </c>
      <c r="X1755" s="75">
        <f>STOCK[[#This Row],[Ganancia Unitaria]]*STOCK[[#This Row],[Salidas]]</f>
        <v>30.509999999999998</v>
      </c>
      <c r="Y1755" s="75">
        <v>0</v>
      </c>
      <c r="Z1755" s="88"/>
      <c r="AA1755" s="54">
        <f>STOCK[[#This Row],[Costo total]]*STOCK[[#This Row],[Entradas]]</f>
        <v>3.39</v>
      </c>
      <c r="AB1755" s="54">
        <f>STOCK[[#This Row],[Stock Actual]]*STOCK[[#This Row],[Costo total]]</f>
        <v>0</v>
      </c>
      <c r="AC1755" s="75">
        <v>22.6</v>
      </c>
      <c r="AD1755" s="75"/>
    </row>
    <row r="1756" spans="1:30" s="53" customFormat="1" ht="50" customHeight="1">
      <c r="A1756" s="53" t="s">
        <v>3475</v>
      </c>
      <c r="B1756" s="83"/>
      <c r="C1756" s="53" t="s">
        <v>32</v>
      </c>
      <c r="D1756" s="84" t="s">
        <v>3279</v>
      </c>
      <c r="E1756" s="85" t="s">
        <v>3476</v>
      </c>
      <c r="F1756" s="86" t="s">
        <v>1534</v>
      </c>
      <c r="G1756" s="75"/>
      <c r="H1756" s="75">
        <f>STOCK[[#This Row],[Precio Final]]</f>
        <v>4.92</v>
      </c>
      <c r="I1756" s="80">
        <f>STOCK[[#This Row],[Precio Venta Ideal (x1.5)]]</f>
        <v>0.73799999999999999</v>
      </c>
      <c r="J1756" s="87">
        <v>10</v>
      </c>
      <c r="K1756" s="78">
        <f>SUMIFS(VENTAS[Cantidad],VENTAS[Código del producto Vendido],STOCK[[#This Row],[Code]])</f>
        <v>0</v>
      </c>
      <c r="L1756" s="78">
        <f>STOCK[[#This Row],[Entradas]]-STOCK[[#This Row],[Salidas]]</f>
        <v>10</v>
      </c>
      <c r="M1756" s="75">
        <f>STOCK[[#This Row],[Precio Final]]*10%</f>
        <v>0.49199999999999999</v>
      </c>
      <c r="N1756" s="54">
        <v>0</v>
      </c>
      <c r="O1756" s="75">
        <v>0</v>
      </c>
      <c r="P1756" s="75"/>
      <c r="Q1756" s="75">
        <v>1.23</v>
      </c>
      <c r="R1756" s="78"/>
      <c r="S1756" s="75"/>
      <c r="T1756" s="75">
        <f>STOCK[[#This Row],[Costo Unitario (USD)]]+STOCK[[#This Row],[Costo Envío (USD)]]+STOCK[[#This Row],[Comisión 10%]]</f>
        <v>0.49199999999999999</v>
      </c>
      <c r="U1756" s="53">
        <f>STOCK[[#This Row],[Costo total]]*1.5</f>
        <v>0.73799999999999999</v>
      </c>
      <c r="V1756" s="53">
        <v>4.92</v>
      </c>
      <c r="W1756" s="75">
        <f>STOCK[[#This Row],[Precio Final]]-STOCK[[#This Row],[Costo total]]</f>
        <v>4.4279999999999999</v>
      </c>
      <c r="X1756" s="75">
        <f>STOCK[[#This Row],[Ganancia Unitaria]]*STOCK[[#This Row],[Salidas]]</f>
        <v>0</v>
      </c>
      <c r="Y1756" s="75">
        <v>0</v>
      </c>
      <c r="Z1756" s="88"/>
      <c r="AA1756" s="54">
        <f>STOCK[[#This Row],[Costo total]]*STOCK[[#This Row],[Entradas]]</f>
        <v>4.92</v>
      </c>
      <c r="AB1756" s="54">
        <f>STOCK[[#This Row],[Stock Actual]]*STOCK[[#This Row],[Costo total]]</f>
        <v>4.92</v>
      </c>
      <c r="AC1756" s="75">
        <v>32.799999999999997</v>
      </c>
      <c r="AD1756" s="75"/>
    </row>
    <row r="1757" spans="1:30" s="53" customFormat="1" ht="50" customHeight="1">
      <c r="A1757" s="53" t="s">
        <v>3477</v>
      </c>
      <c r="B1757" s="83"/>
      <c r="C1757" s="53" t="s">
        <v>32</v>
      </c>
      <c r="D1757" s="84" t="s">
        <v>3279</v>
      </c>
      <c r="E1757" s="85" t="s">
        <v>3342</v>
      </c>
      <c r="F1757" s="86" t="s">
        <v>46</v>
      </c>
      <c r="G1757" s="75"/>
      <c r="H1757" s="75">
        <f>STOCK[[#This Row],[Precio Final]]</f>
        <v>19.754999999999999</v>
      </c>
      <c r="I1757" s="80">
        <f>STOCK[[#This Row],[Precio Venta Ideal (x1.5)]]</f>
        <v>2.9632499999999999</v>
      </c>
      <c r="J1757" s="87">
        <v>1</v>
      </c>
      <c r="K1757" s="78">
        <f>SUMIFS(VENTAS[Cantidad],VENTAS[Código del producto Vendido],STOCK[[#This Row],[Code]])</f>
        <v>1</v>
      </c>
      <c r="L1757" s="78">
        <f>STOCK[[#This Row],[Entradas]]-STOCK[[#This Row],[Salidas]]</f>
        <v>0</v>
      </c>
      <c r="M1757" s="75">
        <f>STOCK[[#This Row],[Precio Final]]*10%</f>
        <v>1.9755</v>
      </c>
      <c r="N1757" s="54">
        <v>0</v>
      </c>
      <c r="O1757" s="75">
        <v>0</v>
      </c>
      <c r="P1757" s="75"/>
      <c r="Q1757" s="75">
        <v>9.6199999999999992</v>
      </c>
      <c r="R1757" s="78"/>
      <c r="S1757" s="75"/>
      <c r="T1757" s="75">
        <f>STOCK[[#This Row],[Costo Unitario (USD)]]+STOCK[[#This Row],[Costo Envío (USD)]]+STOCK[[#This Row],[Comisión 10%]]</f>
        <v>1.9755</v>
      </c>
      <c r="U1757" s="53">
        <f>STOCK[[#This Row],[Costo total]]*1.5</f>
        <v>2.9632499999999999</v>
      </c>
      <c r="V1757" s="53">
        <v>19.754999999999999</v>
      </c>
      <c r="W1757" s="75">
        <f>STOCK[[#This Row],[Precio Final]]-STOCK[[#This Row],[Costo total]]</f>
        <v>17.779499999999999</v>
      </c>
      <c r="X1757" s="75">
        <f>STOCK[[#This Row],[Ganancia Unitaria]]*STOCK[[#This Row],[Salidas]]</f>
        <v>17.779499999999999</v>
      </c>
      <c r="Y1757" s="75">
        <v>0</v>
      </c>
      <c r="Z1757" s="88"/>
      <c r="AA1757" s="54">
        <f>STOCK[[#This Row],[Costo total]]*STOCK[[#This Row],[Entradas]]</f>
        <v>1.9755</v>
      </c>
      <c r="AB1757" s="54">
        <f>STOCK[[#This Row],[Stock Actual]]*STOCK[[#This Row],[Costo total]]</f>
        <v>0</v>
      </c>
      <c r="AC1757" s="75">
        <v>13.17</v>
      </c>
      <c r="AD1757" s="75"/>
    </row>
    <row r="1758" spans="1:30" s="53" customFormat="1" ht="50" customHeight="1">
      <c r="A1758" s="53" t="s">
        <v>3478</v>
      </c>
      <c r="B1758" s="83"/>
      <c r="C1758" s="53" t="s">
        <v>32</v>
      </c>
      <c r="D1758" s="84" t="s">
        <v>3279</v>
      </c>
      <c r="E1758" s="85" t="s">
        <v>3345</v>
      </c>
      <c r="F1758" s="86" t="s">
        <v>62</v>
      </c>
      <c r="G1758" s="75"/>
      <c r="H1758" s="75">
        <f>STOCK[[#This Row],[Precio Final]]</f>
        <v>17.91</v>
      </c>
      <c r="I1758" s="80">
        <f>STOCK[[#This Row],[Precio Venta Ideal (x1.5)]]</f>
        <v>2.6865000000000001</v>
      </c>
      <c r="J1758" s="87">
        <v>2</v>
      </c>
      <c r="K1758" s="78">
        <f>SUMIFS(VENTAS[Cantidad],VENTAS[Código del producto Vendido],STOCK[[#This Row],[Code]])</f>
        <v>2</v>
      </c>
      <c r="L1758" s="78">
        <f>STOCK[[#This Row],[Entradas]]-STOCK[[#This Row],[Salidas]]</f>
        <v>0</v>
      </c>
      <c r="M1758" s="75">
        <f>STOCK[[#This Row],[Precio Final]]*10%</f>
        <v>1.7910000000000001</v>
      </c>
      <c r="N1758" s="54">
        <v>0</v>
      </c>
      <c r="O1758" s="75">
        <v>0</v>
      </c>
      <c r="P1758" s="75"/>
      <c r="Q1758" s="75">
        <v>8.39</v>
      </c>
      <c r="R1758" s="78"/>
      <c r="S1758" s="75"/>
      <c r="T1758" s="75">
        <f>STOCK[[#This Row],[Costo Unitario (USD)]]+STOCK[[#This Row],[Costo Envío (USD)]]+STOCK[[#This Row],[Comisión 10%]]</f>
        <v>1.7910000000000001</v>
      </c>
      <c r="U1758" s="53">
        <f>STOCK[[#This Row],[Costo total]]*1.5</f>
        <v>2.6865000000000001</v>
      </c>
      <c r="V1758" s="53">
        <v>17.91</v>
      </c>
      <c r="W1758" s="75">
        <f>STOCK[[#This Row],[Precio Final]]-STOCK[[#This Row],[Costo total]]</f>
        <v>16.119</v>
      </c>
      <c r="X1758" s="75">
        <f>STOCK[[#This Row],[Ganancia Unitaria]]*STOCK[[#This Row],[Salidas]]</f>
        <v>32.238</v>
      </c>
      <c r="Y1758" s="75">
        <v>0</v>
      </c>
      <c r="Z1758" s="88"/>
      <c r="AA1758" s="54">
        <f>STOCK[[#This Row],[Costo total]]*STOCK[[#This Row],[Entradas]]</f>
        <v>3.5820000000000003</v>
      </c>
      <c r="AB1758" s="54">
        <f>STOCK[[#This Row],[Stock Actual]]*STOCK[[#This Row],[Costo total]]</f>
        <v>0</v>
      </c>
      <c r="AC1758" s="75">
        <v>23.88</v>
      </c>
      <c r="AD1758" s="75"/>
    </row>
    <row r="1759" spans="1:30" s="53" customFormat="1" ht="50" customHeight="1">
      <c r="A1759" s="53" t="s">
        <v>3479</v>
      </c>
      <c r="B1759" s="83"/>
      <c r="C1759" s="53" t="s">
        <v>32</v>
      </c>
      <c r="D1759" s="84" t="s">
        <v>3279</v>
      </c>
      <c r="E1759" s="85" t="s">
        <v>3480</v>
      </c>
      <c r="F1759" s="86" t="s">
        <v>525</v>
      </c>
      <c r="G1759" s="75"/>
      <c r="H1759" s="75">
        <f>STOCK[[#This Row],[Precio Final]]</f>
        <v>17.805</v>
      </c>
      <c r="I1759" s="80">
        <f>STOCK[[#This Row],[Precio Venta Ideal (x1.5)]]</f>
        <v>2.67075</v>
      </c>
      <c r="J1759" s="87">
        <v>3</v>
      </c>
      <c r="K1759" s="78">
        <f>SUMIFS(VENTAS[Cantidad],VENTAS[Código del producto Vendido],STOCK[[#This Row],[Code]])</f>
        <v>3</v>
      </c>
      <c r="L1759" s="78">
        <f>STOCK[[#This Row],[Entradas]]-STOCK[[#This Row],[Salidas]]</f>
        <v>0</v>
      </c>
      <c r="M1759" s="75">
        <f>STOCK[[#This Row],[Precio Final]]*10%</f>
        <v>1.7805</v>
      </c>
      <c r="N1759" s="54">
        <v>0</v>
      </c>
      <c r="O1759" s="75">
        <v>0</v>
      </c>
      <c r="P1759" s="75"/>
      <c r="Q1759" s="75">
        <v>9.82</v>
      </c>
      <c r="R1759" s="78"/>
      <c r="S1759" s="75"/>
      <c r="T1759" s="75">
        <f>STOCK[[#This Row],[Costo Unitario (USD)]]+STOCK[[#This Row],[Costo Envío (USD)]]+STOCK[[#This Row],[Comisión 10%]]</f>
        <v>1.7805</v>
      </c>
      <c r="U1759" s="53">
        <f>STOCK[[#This Row],[Costo total]]*1.5</f>
        <v>2.67075</v>
      </c>
      <c r="V1759" s="53">
        <v>17.805</v>
      </c>
      <c r="W1759" s="75">
        <f>STOCK[[#This Row],[Precio Final]]-STOCK[[#This Row],[Costo total]]</f>
        <v>16.0245</v>
      </c>
      <c r="X1759" s="75">
        <f>STOCK[[#This Row],[Ganancia Unitaria]]*STOCK[[#This Row],[Salidas]]</f>
        <v>48.073499999999996</v>
      </c>
      <c r="Y1759" s="75">
        <v>0</v>
      </c>
      <c r="Z1759" s="88"/>
      <c r="AA1759" s="54">
        <f>STOCK[[#This Row],[Costo total]]*STOCK[[#This Row],[Entradas]]</f>
        <v>5.3414999999999999</v>
      </c>
      <c r="AB1759" s="54">
        <f>STOCK[[#This Row],[Stock Actual]]*STOCK[[#This Row],[Costo total]]</f>
        <v>0</v>
      </c>
      <c r="AC1759" s="75">
        <v>35.61</v>
      </c>
      <c r="AD1759" s="75"/>
    </row>
    <row r="1760" spans="1:30" s="53" customFormat="1" ht="50" customHeight="1">
      <c r="A1760" s="93" t="s">
        <v>3481</v>
      </c>
      <c r="B1760" s="83"/>
      <c r="C1760" s="53" t="s">
        <v>32</v>
      </c>
      <c r="D1760" s="84" t="s">
        <v>749</v>
      </c>
      <c r="E1760" s="95" t="s">
        <v>3482</v>
      </c>
      <c r="F1760" s="93" t="s">
        <v>49</v>
      </c>
      <c r="G1760" s="75"/>
      <c r="H1760" s="75">
        <f>STOCK[[#This Row],[Precio Final]]</f>
        <v>20</v>
      </c>
      <c r="I1760" s="80">
        <f>STOCK[[#This Row],[Precio Venta Ideal (x1.5)]]</f>
        <v>16.5</v>
      </c>
      <c r="J1760" s="93">
        <v>1</v>
      </c>
      <c r="K1760" s="78">
        <f>SUMIFS(VENTAS[Cantidad],VENTAS[Código del producto Vendido],STOCK[[#This Row],[Code]])</f>
        <v>0</v>
      </c>
      <c r="L1760" s="78">
        <f>STOCK[[#This Row],[Entradas]]-STOCK[[#This Row],[Salidas]]</f>
        <v>1</v>
      </c>
      <c r="M1760" s="75">
        <f>STOCK[[#This Row],[Precio Final]]*10%</f>
        <v>2</v>
      </c>
      <c r="N1760" s="54">
        <v>0</v>
      </c>
      <c r="O1760" s="75">
        <v>0</v>
      </c>
      <c r="P1760" s="75">
        <v>9</v>
      </c>
      <c r="Q1760" s="75">
        <v>0</v>
      </c>
      <c r="R1760" s="78">
        <v>0</v>
      </c>
      <c r="S1760" s="75">
        <v>0</v>
      </c>
      <c r="T1760" s="75">
        <f>STOCK[[#This Row],[Costo Unitario (USD)]]+STOCK[[#This Row],[Costo Envío (USD)]]+STOCK[[#This Row],[Comisión 10%]]</f>
        <v>11</v>
      </c>
      <c r="U1760" s="53">
        <f>STOCK[[#This Row],[Costo total]]*1.5</f>
        <v>16.5</v>
      </c>
      <c r="V1760" s="53">
        <v>20</v>
      </c>
      <c r="W1760" s="75">
        <f>STOCK[[#This Row],[Precio Final]]-STOCK[[#This Row],[Costo total]]</f>
        <v>9</v>
      </c>
      <c r="X1760" s="75">
        <f>STOCK[[#This Row],[Ganancia Unitaria]]*STOCK[[#This Row],[Salidas]]</f>
        <v>0</v>
      </c>
      <c r="Y1760" s="75" t="s">
        <v>3483</v>
      </c>
      <c r="Z1760" s="88"/>
      <c r="AA1760" s="54">
        <f>STOCK[[#This Row],[Costo total]]*STOCK[[#This Row],[Entradas]]</f>
        <v>11</v>
      </c>
      <c r="AB1760" s="54">
        <f>STOCK[[#This Row],[Stock Actual]]*STOCK[[#This Row],[Costo total]]</f>
        <v>11</v>
      </c>
      <c r="AC1760" s="75"/>
      <c r="AD1760" s="96"/>
    </row>
    <row r="1761" spans="1:30" s="53" customFormat="1" ht="50" customHeight="1">
      <c r="A1761" s="93" t="s">
        <v>3484</v>
      </c>
      <c r="B1761" s="83"/>
      <c r="C1761" s="53" t="s">
        <v>32</v>
      </c>
      <c r="D1761" s="84" t="s">
        <v>749</v>
      </c>
      <c r="E1761" s="95" t="s">
        <v>3485</v>
      </c>
      <c r="F1761" s="93" t="s">
        <v>49</v>
      </c>
      <c r="G1761" s="75"/>
      <c r="H1761" s="75">
        <f>STOCK[[#This Row],[Precio Final]]</f>
        <v>20</v>
      </c>
      <c r="I1761" s="80">
        <f>STOCK[[#This Row],[Precio Venta Ideal (x1.5)]]</f>
        <v>16.5</v>
      </c>
      <c r="J1761" s="93">
        <v>1</v>
      </c>
      <c r="K1761" s="78">
        <f>SUMIFS(VENTAS[Cantidad],VENTAS[Código del producto Vendido],STOCK[[#This Row],[Code]])</f>
        <v>1</v>
      </c>
      <c r="L1761" s="78">
        <f>STOCK[[#This Row],[Entradas]]-STOCK[[#This Row],[Salidas]]</f>
        <v>0</v>
      </c>
      <c r="M1761" s="75">
        <f>STOCK[[#This Row],[Precio Final]]*10%</f>
        <v>2</v>
      </c>
      <c r="N1761" s="54">
        <v>0</v>
      </c>
      <c r="O1761" s="75">
        <v>0</v>
      </c>
      <c r="P1761" s="75">
        <v>9</v>
      </c>
      <c r="Q1761" s="75">
        <v>0</v>
      </c>
      <c r="R1761" s="78">
        <v>0</v>
      </c>
      <c r="S1761" s="75">
        <v>0</v>
      </c>
      <c r="T1761" s="75">
        <f>STOCK[[#This Row],[Costo Unitario (USD)]]+STOCK[[#This Row],[Costo Envío (USD)]]+STOCK[[#This Row],[Comisión 10%]]</f>
        <v>11</v>
      </c>
      <c r="U1761" s="53">
        <f>STOCK[[#This Row],[Costo total]]*1.5</f>
        <v>16.5</v>
      </c>
      <c r="V1761" s="53">
        <v>20</v>
      </c>
      <c r="W1761" s="75">
        <f>STOCK[[#This Row],[Precio Final]]-STOCK[[#This Row],[Costo total]]</f>
        <v>9</v>
      </c>
      <c r="X1761" s="75">
        <f>STOCK[[#This Row],[Ganancia Unitaria]]*STOCK[[#This Row],[Salidas]]</f>
        <v>9</v>
      </c>
      <c r="Y1761" s="75" t="s">
        <v>3483</v>
      </c>
      <c r="Z1761" s="88"/>
      <c r="AA1761" s="54">
        <f>STOCK[[#This Row],[Costo total]]*STOCK[[#This Row],[Entradas]]</f>
        <v>11</v>
      </c>
      <c r="AB1761" s="54">
        <f>STOCK[[#This Row],[Stock Actual]]*STOCK[[#This Row],[Costo total]]</f>
        <v>0</v>
      </c>
      <c r="AC1761" s="75"/>
      <c r="AD1761" s="96"/>
    </row>
    <row r="1762" spans="1:30" s="53" customFormat="1" ht="50" customHeight="1">
      <c r="A1762" s="93" t="s">
        <v>3486</v>
      </c>
      <c r="B1762" s="83"/>
      <c r="C1762" s="53" t="s">
        <v>32</v>
      </c>
      <c r="D1762" s="84"/>
      <c r="E1762" s="95" t="s">
        <v>3487</v>
      </c>
      <c r="F1762" s="93" t="s">
        <v>46</v>
      </c>
      <c r="G1762" s="75"/>
      <c r="H1762" s="75">
        <f>STOCK[[#This Row],[Precio Final]]</f>
        <v>10</v>
      </c>
      <c r="I1762" s="80">
        <f>STOCK[[#This Row],[Precio Venta Ideal (x1.5)]]</f>
        <v>15</v>
      </c>
      <c r="J1762" s="93">
        <v>1</v>
      </c>
      <c r="K1762" s="78">
        <v>1</v>
      </c>
      <c r="L1762" s="78">
        <f>STOCK[[#This Row],[Entradas]]-STOCK[[#This Row],[Salidas]]</f>
        <v>0</v>
      </c>
      <c r="M1762" s="75">
        <f>STOCK[[#This Row],[Precio Final]]*10%</f>
        <v>1</v>
      </c>
      <c r="N1762" s="54">
        <v>0</v>
      </c>
      <c r="O1762" s="75">
        <v>0</v>
      </c>
      <c r="P1762" s="75">
        <v>9</v>
      </c>
      <c r="Q1762" s="75">
        <v>0</v>
      </c>
      <c r="R1762" s="78">
        <v>0</v>
      </c>
      <c r="S1762" s="75">
        <v>0</v>
      </c>
      <c r="T1762" s="75">
        <f>STOCK[[#This Row],[Costo Unitario (USD)]]+STOCK[[#This Row],[Costo Envío (USD)]]+STOCK[[#This Row],[Comisión 10%]]</f>
        <v>10</v>
      </c>
      <c r="U1762" s="53">
        <f>STOCK[[#This Row],[Costo total]]*1.5</f>
        <v>15</v>
      </c>
      <c r="V1762" s="53">
        <v>10</v>
      </c>
      <c r="W1762" s="75">
        <f>STOCK[[#This Row],[Precio Final]]-STOCK[[#This Row],[Costo total]]</f>
        <v>0</v>
      </c>
      <c r="X1762" s="75">
        <f>STOCK[[#This Row],[Ganancia Unitaria]]*STOCK[[#This Row],[Salidas]]</f>
        <v>0</v>
      </c>
      <c r="Y1762" s="75" t="s">
        <v>3483</v>
      </c>
      <c r="Z1762" s="88"/>
      <c r="AA1762" s="54">
        <f>STOCK[[#This Row],[Costo total]]*STOCK[[#This Row],[Entradas]]</f>
        <v>10</v>
      </c>
      <c r="AB1762" s="54">
        <f>STOCK[[#This Row],[Stock Actual]]*STOCK[[#This Row],[Costo total]]</f>
        <v>0</v>
      </c>
      <c r="AC1762" s="75"/>
      <c r="AD1762" s="96"/>
    </row>
    <row r="1763" spans="1:30" s="53" customFormat="1" ht="50" customHeight="1">
      <c r="A1763" s="93" t="s">
        <v>3488</v>
      </c>
      <c r="B1763" s="83"/>
      <c r="C1763" s="53" t="s">
        <v>32</v>
      </c>
      <c r="D1763" s="84" t="s">
        <v>749</v>
      </c>
      <c r="E1763" s="95" t="s">
        <v>3489</v>
      </c>
      <c r="F1763" s="93" t="s">
        <v>46</v>
      </c>
      <c r="G1763" s="75"/>
      <c r="H1763" s="75">
        <f>STOCK[[#This Row],[Precio Final]]</f>
        <v>20</v>
      </c>
      <c r="I1763" s="80">
        <f>STOCK[[#This Row],[Precio Venta Ideal (x1.5)]]</f>
        <v>16.5</v>
      </c>
      <c r="J1763" s="93">
        <v>1</v>
      </c>
      <c r="K1763" s="78">
        <f>SUMIFS(VENTAS[Cantidad],VENTAS[Código del producto Vendido],STOCK[[#This Row],[Code]])</f>
        <v>0</v>
      </c>
      <c r="L1763" s="78">
        <f>STOCK[[#This Row],[Entradas]]-STOCK[[#This Row],[Salidas]]</f>
        <v>1</v>
      </c>
      <c r="M1763" s="75">
        <f>STOCK[[#This Row],[Precio Final]]*10%</f>
        <v>2</v>
      </c>
      <c r="N1763" s="54">
        <v>0</v>
      </c>
      <c r="O1763" s="75">
        <v>0</v>
      </c>
      <c r="P1763" s="75">
        <v>9</v>
      </c>
      <c r="Q1763" s="75">
        <v>0</v>
      </c>
      <c r="R1763" s="78">
        <v>0</v>
      </c>
      <c r="S1763" s="75">
        <v>0</v>
      </c>
      <c r="T1763" s="75">
        <f>STOCK[[#This Row],[Costo Unitario (USD)]]+STOCK[[#This Row],[Costo Envío (USD)]]+STOCK[[#This Row],[Comisión 10%]]</f>
        <v>11</v>
      </c>
      <c r="U1763" s="53">
        <f>STOCK[[#This Row],[Costo total]]*1.5</f>
        <v>16.5</v>
      </c>
      <c r="V1763" s="53">
        <v>20</v>
      </c>
      <c r="W1763" s="75">
        <f>STOCK[[#This Row],[Precio Final]]-STOCK[[#This Row],[Costo total]]</f>
        <v>9</v>
      </c>
      <c r="X1763" s="75">
        <f>STOCK[[#This Row],[Ganancia Unitaria]]*STOCK[[#This Row],[Salidas]]</f>
        <v>0</v>
      </c>
      <c r="Y1763" s="75" t="s">
        <v>3483</v>
      </c>
      <c r="Z1763" s="88"/>
      <c r="AA1763" s="54">
        <f>STOCK[[#This Row],[Costo total]]*STOCK[[#This Row],[Entradas]]</f>
        <v>11</v>
      </c>
      <c r="AB1763" s="54">
        <f>STOCK[[#This Row],[Stock Actual]]*STOCK[[#This Row],[Costo total]]</f>
        <v>11</v>
      </c>
      <c r="AC1763" s="75"/>
      <c r="AD1763" s="96"/>
    </row>
    <row r="1764" spans="1:30" s="53" customFormat="1" ht="50" customHeight="1">
      <c r="A1764" s="93" t="s">
        <v>3490</v>
      </c>
      <c r="B1764" s="83"/>
      <c r="C1764" s="53" t="s">
        <v>32</v>
      </c>
      <c r="D1764" s="84"/>
      <c r="E1764" s="95" t="s">
        <v>3491</v>
      </c>
      <c r="F1764" s="93" t="s">
        <v>46</v>
      </c>
      <c r="G1764" s="75"/>
      <c r="H1764" s="75">
        <f>STOCK[[#This Row],[Precio Final]]</f>
        <v>10</v>
      </c>
      <c r="I1764" s="80">
        <f>STOCK[[#This Row],[Precio Venta Ideal (x1.5)]]</f>
        <v>15</v>
      </c>
      <c r="J1764" s="93">
        <v>1</v>
      </c>
      <c r="K1764" s="78">
        <v>1</v>
      </c>
      <c r="L1764" s="78">
        <f>STOCK[[#This Row],[Entradas]]-STOCK[[#This Row],[Salidas]]</f>
        <v>0</v>
      </c>
      <c r="M1764" s="75">
        <f>STOCK[[#This Row],[Precio Final]]*10%</f>
        <v>1</v>
      </c>
      <c r="N1764" s="54">
        <v>0</v>
      </c>
      <c r="O1764" s="75">
        <v>0</v>
      </c>
      <c r="P1764" s="75">
        <v>9</v>
      </c>
      <c r="Q1764" s="75">
        <v>0</v>
      </c>
      <c r="R1764" s="78">
        <v>0</v>
      </c>
      <c r="S1764" s="75">
        <v>0</v>
      </c>
      <c r="T1764" s="75">
        <f>STOCK[[#This Row],[Costo Unitario (USD)]]+STOCK[[#This Row],[Costo Envío (USD)]]+STOCK[[#This Row],[Comisión 10%]]</f>
        <v>10</v>
      </c>
      <c r="U1764" s="53">
        <f>STOCK[[#This Row],[Costo total]]*1.5</f>
        <v>15</v>
      </c>
      <c r="V1764" s="53">
        <v>10</v>
      </c>
      <c r="W1764" s="75">
        <f>STOCK[[#This Row],[Precio Final]]-STOCK[[#This Row],[Costo total]]</f>
        <v>0</v>
      </c>
      <c r="X1764" s="75">
        <f>STOCK[[#This Row],[Ganancia Unitaria]]*STOCK[[#This Row],[Salidas]]</f>
        <v>0</v>
      </c>
      <c r="Y1764" s="75" t="s">
        <v>3483</v>
      </c>
      <c r="Z1764" s="88"/>
      <c r="AA1764" s="54">
        <f>STOCK[[#This Row],[Costo total]]*STOCK[[#This Row],[Entradas]]</f>
        <v>10</v>
      </c>
      <c r="AB1764" s="54">
        <f>STOCK[[#This Row],[Stock Actual]]*STOCK[[#This Row],[Costo total]]</f>
        <v>0</v>
      </c>
      <c r="AC1764" s="75"/>
      <c r="AD1764" s="96"/>
    </row>
    <row r="1765" spans="1:30" s="53" customFormat="1" ht="50" customHeight="1">
      <c r="A1765" s="93" t="s">
        <v>3492</v>
      </c>
      <c r="B1765" s="83"/>
      <c r="C1765" s="53" t="s">
        <v>32</v>
      </c>
      <c r="D1765" s="84" t="s">
        <v>1388</v>
      </c>
      <c r="E1765" s="95" t="s">
        <v>3493</v>
      </c>
      <c r="F1765" s="93" t="s">
        <v>42</v>
      </c>
      <c r="G1765" s="75"/>
      <c r="H1765" s="75">
        <f>STOCK[[#This Row],[Precio Final]]</f>
        <v>20</v>
      </c>
      <c r="I1765" s="80">
        <f>STOCK[[#This Row],[Precio Venta Ideal (x1.5)]]</f>
        <v>16.5</v>
      </c>
      <c r="J1765" s="93">
        <v>1</v>
      </c>
      <c r="K1765" s="78">
        <f>SUMIFS(VENTAS[Cantidad],VENTAS[Código del producto Vendido],STOCK[[#This Row],[Code]])</f>
        <v>0</v>
      </c>
      <c r="L1765" s="78">
        <f>STOCK[[#This Row],[Entradas]]-STOCK[[#This Row],[Salidas]]</f>
        <v>1</v>
      </c>
      <c r="M1765" s="75">
        <f>STOCK[[#This Row],[Precio Final]]*10%</f>
        <v>2</v>
      </c>
      <c r="N1765" s="54">
        <v>0</v>
      </c>
      <c r="O1765" s="75">
        <v>0</v>
      </c>
      <c r="P1765" s="75">
        <v>9</v>
      </c>
      <c r="Q1765" s="75">
        <v>0</v>
      </c>
      <c r="R1765" s="78">
        <v>0</v>
      </c>
      <c r="S1765" s="75">
        <v>0</v>
      </c>
      <c r="T1765" s="75">
        <f>STOCK[[#This Row],[Costo Unitario (USD)]]+STOCK[[#This Row],[Costo Envío (USD)]]+STOCK[[#This Row],[Comisión 10%]]</f>
        <v>11</v>
      </c>
      <c r="U1765" s="53">
        <f>STOCK[[#This Row],[Costo total]]*1.5</f>
        <v>16.5</v>
      </c>
      <c r="V1765" s="53">
        <v>20</v>
      </c>
      <c r="W1765" s="75">
        <f>STOCK[[#This Row],[Precio Final]]-STOCK[[#This Row],[Costo total]]</f>
        <v>9</v>
      </c>
      <c r="X1765" s="75">
        <f>STOCK[[#This Row],[Ganancia Unitaria]]*STOCK[[#This Row],[Salidas]]</f>
        <v>0</v>
      </c>
      <c r="Y1765" s="75" t="s">
        <v>3483</v>
      </c>
      <c r="Z1765" s="88"/>
      <c r="AA1765" s="54">
        <f>STOCK[[#This Row],[Costo total]]*STOCK[[#This Row],[Entradas]]</f>
        <v>11</v>
      </c>
      <c r="AB1765" s="54">
        <f>STOCK[[#This Row],[Stock Actual]]*STOCK[[#This Row],[Costo total]]</f>
        <v>11</v>
      </c>
      <c r="AC1765" s="75"/>
      <c r="AD1765" s="96"/>
    </row>
    <row r="1766" spans="1:30" s="53" customFormat="1" ht="50" customHeight="1">
      <c r="A1766" s="93" t="s">
        <v>3494</v>
      </c>
      <c r="B1766" s="83"/>
      <c r="C1766" s="53" t="s">
        <v>32</v>
      </c>
      <c r="D1766" s="84" t="s">
        <v>749</v>
      </c>
      <c r="E1766" s="95" t="s">
        <v>3495</v>
      </c>
      <c r="F1766" s="93" t="s">
        <v>62</v>
      </c>
      <c r="G1766" s="75"/>
      <c r="H1766" s="75">
        <f>STOCK[[#This Row],[Precio Final]]</f>
        <v>18</v>
      </c>
      <c r="I1766" s="80">
        <f>STOCK[[#This Row],[Precio Venta Ideal (x1.5)]]</f>
        <v>16.200000000000003</v>
      </c>
      <c r="J1766" s="93">
        <v>1</v>
      </c>
      <c r="K1766" s="78">
        <f>SUMIFS(VENTAS[Cantidad],VENTAS[Código del producto Vendido],STOCK[[#This Row],[Code]])</f>
        <v>0</v>
      </c>
      <c r="L1766" s="78">
        <f>STOCK[[#This Row],[Entradas]]-STOCK[[#This Row],[Salidas]]</f>
        <v>1</v>
      </c>
      <c r="M1766" s="75">
        <f>STOCK[[#This Row],[Precio Final]]*10%</f>
        <v>1.8</v>
      </c>
      <c r="N1766" s="54">
        <v>0</v>
      </c>
      <c r="O1766" s="75">
        <v>0</v>
      </c>
      <c r="P1766" s="75">
        <v>9</v>
      </c>
      <c r="Q1766" s="75">
        <v>0</v>
      </c>
      <c r="R1766" s="78">
        <v>0</v>
      </c>
      <c r="S1766" s="75">
        <v>0</v>
      </c>
      <c r="T1766" s="75">
        <f>STOCK[[#This Row],[Costo Unitario (USD)]]+STOCK[[#This Row],[Costo Envío (USD)]]+STOCK[[#This Row],[Comisión 10%]]</f>
        <v>10.8</v>
      </c>
      <c r="U1766" s="53">
        <f>STOCK[[#This Row],[Costo total]]*1.5</f>
        <v>16.200000000000003</v>
      </c>
      <c r="V1766" s="53">
        <v>18</v>
      </c>
      <c r="W1766" s="75">
        <f>STOCK[[#This Row],[Precio Final]]-STOCK[[#This Row],[Costo total]]</f>
        <v>7.1999999999999993</v>
      </c>
      <c r="X1766" s="75">
        <f>STOCK[[#This Row],[Ganancia Unitaria]]*STOCK[[#This Row],[Salidas]]</f>
        <v>0</v>
      </c>
      <c r="Y1766" s="75" t="s">
        <v>3483</v>
      </c>
      <c r="Z1766" s="88"/>
      <c r="AA1766" s="54">
        <f>STOCK[[#This Row],[Costo total]]*STOCK[[#This Row],[Entradas]]</f>
        <v>10.8</v>
      </c>
      <c r="AB1766" s="54">
        <f>STOCK[[#This Row],[Stock Actual]]*STOCK[[#This Row],[Costo total]]</f>
        <v>10.8</v>
      </c>
      <c r="AC1766" s="75"/>
      <c r="AD1766" s="96"/>
    </row>
    <row r="1767" spans="1:30" s="53" customFormat="1" ht="50" customHeight="1">
      <c r="A1767" s="93" t="s">
        <v>3496</v>
      </c>
      <c r="B1767" s="83"/>
      <c r="C1767" s="53" t="s">
        <v>32</v>
      </c>
      <c r="D1767" s="84" t="s">
        <v>1388</v>
      </c>
      <c r="E1767" s="95" t="s">
        <v>3497</v>
      </c>
      <c r="F1767" s="93" t="s">
        <v>3498</v>
      </c>
      <c r="G1767" s="75"/>
      <c r="H1767" s="75">
        <f>STOCK[[#This Row],[Precio Final]]</f>
        <v>40</v>
      </c>
      <c r="I1767" s="80">
        <f>STOCK[[#This Row],[Precio Venta Ideal (x1.5)]]</f>
        <v>19.5</v>
      </c>
      <c r="J1767" s="93">
        <v>1</v>
      </c>
      <c r="K1767" s="78">
        <f>SUMIFS(VENTAS[Cantidad],VENTAS[Código del producto Vendido],STOCK[[#This Row],[Code]])</f>
        <v>1</v>
      </c>
      <c r="L1767" s="78">
        <f>STOCK[[#This Row],[Entradas]]-STOCK[[#This Row],[Salidas]]</f>
        <v>0</v>
      </c>
      <c r="M1767" s="75">
        <f>STOCK[[#This Row],[Precio Final]]*10%</f>
        <v>4</v>
      </c>
      <c r="N1767" s="54">
        <v>0</v>
      </c>
      <c r="O1767" s="75">
        <v>0</v>
      </c>
      <c r="P1767" s="75">
        <v>9</v>
      </c>
      <c r="Q1767" s="75">
        <v>0</v>
      </c>
      <c r="R1767" s="78">
        <v>0</v>
      </c>
      <c r="S1767" s="75">
        <v>0</v>
      </c>
      <c r="T1767" s="75">
        <f>STOCK[[#This Row],[Costo Unitario (USD)]]+STOCK[[#This Row],[Costo Envío (USD)]]+STOCK[[#This Row],[Comisión 10%]]</f>
        <v>13</v>
      </c>
      <c r="U1767" s="53">
        <f>STOCK[[#This Row],[Costo total]]*1.5</f>
        <v>19.5</v>
      </c>
      <c r="V1767" s="53">
        <v>40</v>
      </c>
      <c r="W1767" s="75">
        <f>STOCK[[#This Row],[Precio Final]]-STOCK[[#This Row],[Costo total]]</f>
        <v>27</v>
      </c>
      <c r="X1767" s="75">
        <f>STOCK[[#This Row],[Ganancia Unitaria]]*STOCK[[#This Row],[Salidas]]</f>
        <v>27</v>
      </c>
      <c r="Y1767" s="75" t="s">
        <v>3483</v>
      </c>
      <c r="Z1767" s="88"/>
      <c r="AA1767" s="54">
        <f>STOCK[[#This Row],[Costo total]]*STOCK[[#This Row],[Entradas]]</f>
        <v>13</v>
      </c>
      <c r="AB1767" s="54">
        <f>STOCK[[#This Row],[Stock Actual]]*STOCK[[#This Row],[Costo total]]</f>
        <v>0</v>
      </c>
      <c r="AC1767" s="75"/>
      <c r="AD1767" s="96"/>
    </row>
    <row r="1768" spans="1:30" s="53" customFormat="1" ht="50" customHeight="1">
      <c r="A1768" s="93" t="s">
        <v>3499</v>
      </c>
      <c r="B1768" s="83"/>
      <c r="C1768" s="53" t="s">
        <v>32</v>
      </c>
      <c r="D1768" s="84" t="s">
        <v>749</v>
      </c>
      <c r="E1768" s="95" t="s">
        <v>3500</v>
      </c>
      <c r="F1768" s="93" t="s">
        <v>716</v>
      </c>
      <c r="G1768" s="75"/>
      <c r="H1768" s="75">
        <f>STOCK[[#This Row],[Precio Final]]</f>
        <v>18</v>
      </c>
      <c r="I1768" s="80">
        <f>STOCK[[#This Row],[Precio Venta Ideal (x1.5)]]</f>
        <v>16.200000000000003</v>
      </c>
      <c r="J1768" s="93">
        <v>1</v>
      </c>
      <c r="K1768" s="78">
        <f>SUMIFS(VENTAS[Cantidad],VENTAS[Código del producto Vendido],STOCK[[#This Row],[Code]])</f>
        <v>0</v>
      </c>
      <c r="L1768" s="78">
        <f>STOCK[[#This Row],[Entradas]]-STOCK[[#This Row],[Salidas]]</f>
        <v>1</v>
      </c>
      <c r="M1768" s="75">
        <f>STOCK[[#This Row],[Precio Final]]*10%</f>
        <v>1.8</v>
      </c>
      <c r="N1768" s="54">
        <v>0</v>
      </c>
      <c r="O1768" s="75">
        <v>0</v>
      </c>
      <c r="P1768" s="75">
        <v>9</v>
      </c>
      <c r="Q1768" s="75">
        <v>0</v>
      </c>
      <c r="R1768" s="78">
        <v>0</v>
      </c>
      <c r="S1768" s="75">
        <v>0</v>
      </c>
      <c r="T1768" s="75">
        <f>STOCK[[#This Row],[Costo Unitario (USD)]]+STOCK[[#This Row],[Costo Envío (USD)]]+STOCK[[#This Row],[Comisión 10%]]</f>
        <v>10.8</v>
      </c>
      <c r="U1768" s="53">
        <f>STOCK[[#This Row],[Costo total]]*1.5</f>
        <v>16.200000000000003</v>
      </c>
      <c r="V1768" s="53">
        <v>18</v>
      </c>
      <c r="W1768" s="75">
        <f>STOCK[[#This Row],[Precio Final]]-STOCK[[#This Row],[Costo total]]</f>
        <v>7.1999999999999993</v>
      </c>
      <c r="X1768" s="75">
        <f>STOCK[[#This Row],[Ganancia Unitaria]]*STOCK[[#This Row],[Salidas]]</f>
        <v>0</v>
      </c>
      <c r="Y1768" s="75" t="s">
        <v>3483</v>
      </c>
      <c r="Z1768" s="88"/>
      <c r="AA1768" s="54">
        <f>STOCK[[#This Row],[Costo total]]*STOCK[[#This Row],[Entradas]]</f>
        <v>10.8</v>
      </c>
      <c r="AB1768" s="54">
        <f>STOCK[[#This Row],[Stock Actual]]*STOCK[[#This Row],[Costo total]]</f>
        <v>10.8</v>
      </c>
      <c r="AC1768" s="75"/>
      <c r="AD1768" s="96"/>
    </row>
    <row r="1769" spans="1:30" s="53" customFormat="1" ht="50" customHeight="1">
      <c r="A1769" s="93" t="s">
        <v>3501</v>
      </c>
      <c r="B1769" s="83"/>
      <c r="C1769" s="53" t="s">
        <v>32</v>
      </c>
      <c r="D1769" s="84" t="s">
        <v>1362</v>
      </c>
      <c r="E1769" s="95" t="s">
        <v>3502</v>
      </c>
      <c r="F1769" s="93" t="s">
        <v>1408</v>
      </c>
      <c r="G1769" s="75"/>
      <c r="H1769" s="75">
        <f>STOCK[[#This Row],[Precio Final]]</f>
        <v>20</v>
      </c>
      <c r="I1769" s="80">
        <f>STOCK[[#This Row],[Precio Venta Ideal (x1.5)]]</f>
        <v>16.5</v>
      </c>
      <c r="J1769" s="93">
        <v>1</v>
      </c>
      <c r="K1769" s="78">
        <f>SUMIFS(VENTAS[Cantidad],VENTAS[Código del producto Vendido],STOCK[[#This Row],[Code]])</f>
        <v>0</v>
      </c>
      <c r="L1769" s="78">
        <f>STOCK[[#This Row],[Entradas]]-STOCK[[#This Row],[Salidas]]</f>
        <v>1</v>
      </c>
      <c r="M1769" s="75">
        <f>STOCK[[#This Row],[Precio Final]]*10%</f>
        <v>2</v>
      </c>
      <c r="N1769" s="54">
        <v>0</v>
      </c>
      <c r="O1769" s="75">
        <v>0</v>
      </c>
      <c r="P1769" s="75">
        <v>9</v>
      </c>
      <c r="Q1769" s="75">
        <v>0</v>
      </c>
      <c r="R1769" s="78">
        <v>0</v>
      </c>
      <c r="S1769" s="75">
        <v>0</v>
      </c>
      <c r="T1769" s="75">
        <f>STOCK[[#This Row],[Costo Unitario (USD)]]+STOCK[[#This Row],[Costo Envío (USD)]]+STOCK[[#This Row],[Comisión 10%]]</f>
        <v>11</v>
      </c>
      <c r="U1769" s="53">
        <f>STOCK[[#This Row],[Costo total]]*1.5</f>
        <v>16.5</v>
      </c>
      <c r="V1769" s="53">
        <v>20</v>
      </c>
      <c r="W1769" s="75">
        <f>STOCK[[#This Row],[Precio Final]]-STOCK[[#This Row],[Costo total]]</f>
        <v>9</v>
      </c>
      <c r="X1769" s="75">
        <f>STOCK[[#This Row],[Ganancia Unitaria]]*STOCK[[#This Row],[Salidas]]</f>
        <v>0</v>
      </c>
      <c r="Y1769" s="75" t="s">
        <v>3483</v>
      </c>
      <c r="Z1769" s="88"/>
      <c r="AA1769" s="54">
        <f>STOCK[[#This Row],[Costo total]]*STOCK[[#This Row],[Entradas]]</f>
        <v>11</v>
      </c>
      <c r="AB1769" s="54">
        <f>STOCK[[#This Row],[Stock Actual]]*STOCK[[#This Row],[Costo total]]</f>
        <v>11</v>
      </c>
      <c r="AC1769" s="75"/>
      <c r="AD1769" s="96"/>
    </row>
    <row r="1770" spans="1:30" s="53" customFormat="1" ht="50" customHeight="1">
      <c r="A1770" s="93" t="s">
        <v>3503</v>
      </c>
      <c r="B1770" s="83"/>
      <c r="C1770" s="53" t="s">
        <v>32</v>
      </c>
      <c r="D1770" s="84" t="s">
        <v>749</v>
      </c>
      <c r="E1770" s="95" t="s">
        <v>3504</v>
      </c>
      <c r="F1770" s="93" t="s">
        <v>46</v>
      </c>
      <c r="G1770" s="75"/>
      <c r="H1770" s="75">
        <f>STOCK[[#This Row],[Precio Final]]</f>
        <v>30</v>
      </c>
      <c r="I1770" s="80">
        <f>STOCK[[#This Row],[Precio Venta Ideal (x1.5)]]</f>
        <v>18</v>
      </c>
      <c r="J1770" s="93">
        <v>1</v>
      </c>
      <c r="K1770" s="78">
        <f>SUMIFS(VENTAS[Cantidad],VENTAS[Código del producto Vendido],STOCK[[#This Row],[Code]])</f>
        <v>0</v>
      </c>
      <c r="L1770" s="78">
        <f>STOCK[[#This Row],[Entradas]]-STOCK[[#This Row],[Salidas]]</f>
        <v>1</v>
      </c>
      <c r="M1770" s="75">
        <f>STOCK[[#This Row],[Precio Final]]*10%</f>
        <v>3</v>
      </c>
      <c r="N1770" s="54">
        <v>0</v>
      </c>
      <c r="O1770" s="75">
        <v>0</v>
      </c>
      <c r="P1770" s="75">
        <v>9</v>
      </c>
      <c r="Q1770" s="75">
        <v>0</v>
      </c>
      <c r="R1770" s="78">
        <v>0</v>
      </c>
      <c r="S1770" s="75">
        <v>0</v>
      </c>
      <c r="T1770" s="75">
        <f>STOCK[[#This Row],[Costo Unitario (USD)]]+STOCK[[#This Row],[Costo Envío (USD)]]+STOCK[[#This Row],[Comisión 10%]]</f>
        <v>12</v>
      </c>
      <c r="U1770" s="53">
        <f>STOCK[[#This Row],[Costo total]]*1.5</f>
        <v>18</v>
      </c>
      <c r="V1770" s="53">
        <v>30</v>
      </c>
      <c r="W1770" s="75">
        <f>STOCK[[#This Row],[Precio Final]]-STOCK[[#This Row],[Costo total]]</f>
        <v>18</v>
      </c>
      <c r="X1770" s="75">
        <f>STOCK[[#This Row],[Ganancia Unitaria]]*STOCK[[#This Row],[Salidas]]</f>
        <v>0</v>
      </c>
      <c r="Y1770" s="75" t="s">
        <v>3483</v>
      </c>
      <c r="Z1770" s="88"/>
      <c r="AA1770" s="54">
        <f>STOCK[[#This Row],[Costo total]]*STOCK[[#This Row],[Entradas]]</f>
        <v>12</v>
      </c>
      <c r="AB1770" s="54">
        <f>STOCK[[#This Row],[Stock Actual]]*STOCK[[#This Row],[Costo total]]</f>
        <v>12</v>
      </c>
      <c r="AC1770" s="75"/>
      <c r="AD1770" s="96"/>
    </row>
    <row r="1771" spans="1:30" s="53" customFormat="1" ht="50" customHeight="1">
      <c r="A1771" s="93" t="s">
        <v>3505</v>
      </c>
      <c r="B1771" s="83"/>
      <c r="C1771" s="53" t="s">
        <v>32</v>
      </c>
      <c r="D1771" s="84" t="s">
        <v>779</v>
      </c>
      <c r="E1771" s="95" t="s">
        <v>3506</v>
      </c>
      <c r="F1771" s="93" t="s">
        <v>40</v>
      </c>
      <c r="G1771" s="75"/>
      <c r="H1771" s="75">
        <f>STOCK[[#This Row],[Precio Final]]</f>
        <v>20</v>
      </c>
      <c r="I1771" s="80">
        <f>STOCK[[#This Row],[Precio Venta Ideal (x1.5)]]</f>
        <v>16.5</v>
      </c>
      <c r="J1771" s="93">
        <v>1</v>
      </c>
      <c r="K1771" s="78">
        <f>SUMIFS(VENTAS[Cantidad],VENTAS[Código del producto Vendido],STOCK[[#This Row],[Code]])</f>
        <v>0</v>
      </c>
      <c r="L1771" s="78">
        <f>STOCK[[#This Row],[Entradas]]-STOCK[[#This Row],[Salidas]]</f>
        <v>1</v>
      </c>
      <c r="M1771" s="75">
        <f>STOCK[[#This Row],[Precio Final]]*10%</f>
        <v>2</v>
      </c>
      <c r="N1771" s="54">
        <v>0</v>
      </c>
      <c r="O1771" s="75">
        <v>0</v>
      </c>
      <c r="P1771" s="75">
        <v>9</v>
      </c>
      <c r="Q1771" s="75">
        <v>0</v>
      </c>
      <c r="R1771" s="78">
        <v>0</v>
      </c>
      <c r="S1771" s="75">
        <v>0</v>
      </c>
      <c r="T1771" s="75">
        <f>STOCK[[#This Row],[Costo Unitario (USD)]]+STOCK[[#This Row],[Costo Envío (USD)]]+STOCK[[#This Row],[Comisión 10%]]</f>
        <v>11</v>
      </c>
      <c r="U1771" s="53">
        <f>STOCK[[#This Row],[Costo total]]*1.5</f>
        <v>16.5</v>
      </c>
      <c r="V1771" s="53">
        <v>20</v>
      </c>
      <c r="W1771" s="75">
        <f>STOCK[[#This Row],[Precio Final]]-STOCK[[#This Row],[Costo total]]</f>
        <v>9</v>
      </c>
      <c r="X1771" s="75">
        <f>STOCK[[#This Row],[Ganancia Unitaria]]*STOCK[[#This Row],[Salidas]]</f>
        <v>0</v>
      </c>
      <c r="Y1771" s="75" t="s">
        <v>3483</v>
      </c>
      <c r="Z1771" s="88"/>
      <c r="AA1771" s="54">
        <f>STOCK[[#This Row],[Costo total]]*STOCK[[#This Row],[Entradas]]</f>
        <v>11</v>
      </c>
      <c r="AB1771" s="54">
        <f>STOCK[[#This Row],[Stock Actual]]*STOCK[[#This Row],[Costo total]]</f>
        <v>11</v>
      </c>
      <c r="AC1771" s="75"/>
      <c r="AD1771" s="96"/>
    </row>
    <row r="1772" spans="1:30" s="53" customFormat="1" ht="50" customHeight="1">
      <c r="A1772" s="93" t="s">
        <v>3507</v>
      </c>
      <c r="B1772" s="83"/>
      <c r="C1772" s="53" t="s">
        <v>32</v>
      </c>
      <c r="D1772" s="84" t="s">
        <v>749</v>
      </c>
      <c r="E1772" s="95" t="s">
        <v>3508</v>
      </c>
      <c r="F1772" s="93" t="s">
        <v>46</v>
      </c>
      <c r="G1772" s="75"/>
      <c r="H1772" s="75">
        <f>STOCK[[#This Row],[Precio Final]]</f>
        <v>25</v>
      </c>
      <c r="I1772" s="80">
        <f>STOCK[[#This Row],[Precio Venta Ideal (x1.5)]]</f>
        <v>17.25</v>
      </c>
      <c r="J1772" s="93">
        <v>1</v>
      </c>
      <c r="K1772" s="78">
        <f>SUMIFS(VENTAS[Cantidad],VENTAS[Código del producto Vendido],STOCK[[#This Row],[Code]])</f>
        <v>1</v>
      </c>
      <c r="L1772" s="78">
        <f>STOCK[[#This Row],[Entradas]]-STOCK[[#This Row],[Salidas]]</f>
        <v>0</v>
      </c>
      <c r="M1772" s="75">
        <f>STOCK[[#This Row],[Precio Final]]*10%</f>
        <v>2.5</v>
      </c>
      <c r="N1772" s="54">
        <v>0</v>
      </c>
      <c r="O1772" s="75">
        <v>0</v>
      </c>
      <c r="P1772" s="75">
        <v>9</v>
      </c>
      <c r="Q1772" s="75">
        <v>0</v>
      </c>
      <c r="R1772" s="78">
        <v>0</v>
      </c>
      <c r="S1772" s="75">
        <v>0</v>
      </c>
      <c r="T1772" s="75">
        <f>STOCK[[#This Row],[Costo Unitario (USD)]]+STOCK[[#This Row],[Costo Envío (USD)]]+STOCK[[#This Row],[Comisión 10%]]</f>
        <v>11.5</v>
      </c>
      <c r="U1772" s="53">
        <f>STOCK[[#This Row],[Costo total]]*1.5</f>
        <v>17.25</v>
      </c>
      <c r="V1772" s="53">
        <v>25</v>
      </c>
      <c r="W1772" s="75">
        <f>STOCK[[#This Row],[Precio Final]]-STOCK[[#This Row],[Costo total]]</f>
        <v>13.5</v>
      </c>
      <c r="X1772" s="75">
        <f>STOCK[[#This Row],[Ganancia Unitaria]]*STOCK[[#This Row],[Salidas]]</f>
        <v>13.5</v>
      </c>
      <c r="Y1772" s="75" t="s">
        <v>3483</v>
      </c>
      <c r="Z1772" s="88"/>
      <c r="AA1772" s="54">
        <f>STOCK[[#This Row],[Costo total]]*STOCK[[#This Row],[Entradas]]</f>
        <v>11.5</v>
      </c>
      <c r="AB1772" s="54">
        <f>STOCK[[#This Row],[Stock Actual]]*STOCK[[#This Row],[Costo total]]</f>
        <v>0</v>
      </c>
      <c r="AC1772" s="75"/>
      <c r="AD1772" s="96"/>
    </row>
    <row r="1773" spans="1:30" s="53" customFormat="1" ht="50" customHeight="1">
      <c r="A1773" s="93" t="s">
        <v>3509</v>
      </c>
      <c r="B1773" s="83"/>
      <c r="C1773" s="53" t="s">
        <v>32</v>
      </c>
      <c r="D1773" s="84" t="s">
        <v>779</v>
      </c>
      <c r="E1773" s="95" t="s">
        <v>3510</v>
      </c>
      <c r="F1773" s="93" t="s">
        <v>40</v>
      </c>
      <c r="G1773" s="75"/>
      <c r="H1773" s="75">
        <f>STOCK[[#This Row],[Precio Final]]</f>
        <v>18</v>
      </c>
      <c r="I1773" s="80">
        <f>STOCK[[#This Row],[Precio Venta Ideal (x1.5)]]</f>
        <v>16.200000000000003</v>
      </c>
      <c r="J1773" s="93">
        <v>1</v>
      </c>
      <c r="K1773" s="78">
        <f>SUMIFS(VENTAS[Cantidad],VENTAS[Código del producto Vendido],STOCK[[#This Row],[Code]])</f>
        <v>1</v>
      </c>
      <c r="L1773" s="78">
        <f>STOCK[[#This Row],[Entradas]]-STOCK[[#This Row],[Salidas]]</f>
        <v>0</v>
      </c>
      <c r="M1773" s="75">
        <f>STOCK[[#This Row],[Precio Final]]*10%</f>
        <v>1.8</v>
      </c>
      <c r="N1773" s="54">
        <v>0</v>
      </c>
      <c r="O1773" s="75">
        <v>0</v>
      </c>
      <c r="P1773" s="75">
        <v>9</v>
      </c>
      <c r="Q1773" s="75">
        <v>0</v>
      </c>
      <c r="R1773" s="78">
        <v>0</v>
      </c>
      <c r="S1773" s="75">
        <v>0</v>
      </c>
      <c r="T1773" s="75">
        <f>STOCK[[#This Row],[Costo Unitario (USD)]]+STOCK[[#This Row],[Costo Envío (USD)]]+STOCK[[#This Row],[Comisión 10%]]</f>
        <v>10.8</v>
      </c>
      <c r="U1773" s="53">
        <f>STOCK[[#This Row],[Costo total]]*1.5</f>
        <v>16.200000000000003</v>
      </c>
      <c r="V1773" s="53">
        <v>18</v>
      </c>
      <c r="W1773" s="75">
        <f>STOCK[[#This Row],[Precio Final]]-STOCK[[#This Row],[Costo total]]</f>
        <v>7.1999999999999993</v>
      </c>
      <c r="X1773" s="75">
        <f>STOCK[[#This Row],[Ganancia Unitaria]]*STOCK[[#This Row],[Salidas]]</f>
        <v>7.1999999999999993</v>
      </c>
      <c r="Y1773" s="75" t="s">
        <v>3483</v>
      </c>
      <c r="Z1773" s="88"/>
      <c r="AA1773" s="54">
        <f>STOCK[[#This Row],[Costo total]]*STOCK[[#This Row],[Entradas]]</f>
        <v>10.8</v>
      </c>
      <c r="AB1773" s="54">
        <f>STOCK[[#This Row],[Stock Actual]]*STOCK[[#This Row],[Costo total]]</f>
        <v>0</v>
      </c>
      <c r="AC1773" s="75"/>
      <c r="AD1773" s="96"/>
    </row>
    <row r="1774" spans="1:30" s="53" customFormat="1" ht="50" customHeight="1">
      <c r="A1774" s="93" t="s">
        <v>3511</v>
      </c>
      <c r="B1774" s="83"/>
      <c r="C1774" s="53" t="s">
        <v>32</v>
      </c>
      <c r="D1774" s="84" t="s">
        <v>749</v>
      </c>
      <c r="E1774" s="95" t="s">
        <v>3512</v>
      </c>
      <c r="F1774" s="93" t="s">
        <v>3513</v>
      </c>
      <c r="G1774" s="75"/>
      <c r="H1774" s="75">
        <f>STOCK[[#This Row],[Precio Final]]</f>
        <v>38</v>
      </c>
      <c r="I1774" s="80">
        <f>STOCK[[#This Row],[Precio Venta Ideal (x1.5)]]</f>
        <v>19.200000000000003</v>
      </c>
      <c r="J1774" s="93">
        <v>1</v>
      </c>
      <c r="K1774" s="78">
        <f>SUMIFS(VENTAS[Cantidad],VENTAS[Código del producto Vendido],STOCK[[#This Row],[Code]])</f>
        <v>0</v>
      </c>
      <c r="L1774" s="78">
        <f>STOCK[[#This Row],[Entradas]]-STOCK[[#This Row],[Salidas]]</f>
        <v>1</v>
      </c>
      <c r="M1774" s="75">
        <f>STOCK[[#This Row],[Precio Final]]*10%</f>
        <v>3.8000000000000003</v>
      </c>
      <c r="N1774" s="54">
        <v>0</v>
      </c>
      <c r="O1774" s="75">
        <v>0</v>
      </c>
      <c r="P1774" s="75">
        <v>9</v>
      </c>
      <c r="Q1774" s="75">
        <v>0</v>
      </c>
      <c r="R1774" s="78">
        <v>0</v>
      </c>
      <c r="S1774" s="75">
        <v>0</v>
      </c>
      <c r="T1774" s="75">
        <f>STOCK[[#This Row],[Costo Unitario (USD)]]+STOCK[[#This Row],[Costo Envío (USD)]]+STOCK[[#This Row],[Comisión 10%]]</f>
        <v>12.8</v>
      </c>
      <c r="U1774" s="53">
        <f>STOCK[[#This Row],[Costo total]]*1.5</f>
        <v>19.200000000000003</v>
      </c>
      <c r="V1774" s="53">
        <v>38</v>
      </c>
      <c r="W1774" s="75">
        <f>STOCK[[#This Row],[Precio Final]]-STOCK[[#This Row],[Costo total]]</f>
        <v>25.2</v>
      </c>
      <c r="X1774" s="75">
        <f>STOCK[[#This Row],[Ganancia Unitaria]]*STOCK[[#This Row],[Salidas]]</f>
        <v>0</v>
      </c>
      <c r="Y1774" s="75" t="s">
        <v>3483</v>
      </c>
      <c r="Z1774" s="88"/>
      <c r="AA1774" s="54">
        <f>STOCK[[#This Row],[Costo total]]*STOCK[[#This Row],[Entradas]]</f>
        <v>12.8</v>
      </c>
      <c r="AB1774" s="54">
        <f>STOCK[[#This Row],[Stock Actual]]*STOCK[[#This Row],[Costo total]]</f>
        <v>12.8</v>
      </c>
      <c r="AC1774" s="75"/>
      <c r="AD1774" s="96"/>
    </row>
    <row r="1775" spans="1:30" s="53" customFormat="1" ht="50" customHeight="1">
      <c r="A1775" s="93" t="s">
        <v>3514</v>
      </c>
      <c r="B1775" s="83"/>
      <c r="C1775" s="53" t="s">
        <v>32</v>
      </c>
      <c r="D1775" s="84" t="s">
        <v>1388</v>
      </c>
      <c r="E1775" s="95" t="s">
        <v>3515</v>
      </c>
      <c r="F1775" s="93" t="s">
        <v>3516</v>
      </c>
      <c r="G1775" s="75"/>
      <c r="H1775" s="75">
        <f>STOCK[[#This Row],[Precio Final]]</f>
        <v>38</v>
      </c>
      <c r="I1775" s="80">
        <f>STOCK[[#This Row],[Precio Venta Ideal (x1.5)]]</f>
        <v>19.200000000000003</v>
      </c>
      <c r="J1775" s="93">
        <v>1</v>
      </c>
      <c r="K1775" s="78">
        <f>SUMIFS(VENTAS[Cantidad],VENTAS[Código del producto Vendido],STOCK[[#This Row],[Code]])</f>
        <v>1</v>
      </c>
      <c r="L1775" s="78">
        <f>STOCK[[#This Row],[Entradas]]-STOCK[[#This Row],[Salidas]]</f>
        <v>0</v>
      </c>
      <c r="M1775" s="75">
        <f>STOCK[[#This Row],[Precio Final]]*10%</f>
        <v>3.8000000000000003</v>
      </c>
      <c r="N1775" s="54">
        <v>0</v>
      </c>
      <c r="O1775" s="75">
        <v>0</v>
      </c>
      <c r="P1775" s="75">
        <v>9</v>
      </c>
      <c r="Q1775" s="75">
        <v>0</v>
      </c>
      <c r="R1775" s="78">
        <v>0</v>
      </c>
      <c r="S1775" s="75">
        <v>0</v>
      </c>
      <c r="T1775" s="75">
        <f>STOCK[[#This Row],[Costo Unitario (USD)]]+STOCK[[#This Row],[Costo Envío (USD)]]+STOCK[[#This Row],[Comisión 10%]]</f>
        <v>12.8</v>
      </c>
      <c r="U1775" s="53">
        <f>STOCK[[#This Row],[Costo total]]*1.5</f>
        <v>19.200000000000003</v>
      </c>
      <c r="V1775" s="53">
        <v>38</v>
      </c>
      <c r="W1775" s="75">
        <f>STOCK[[#This Row],[Precio Final]]-STOCK[[#This Row],[Costo total]]</f>
        <v>25.2</v>
      </c>
      <c r="X1775" s="75">
        <f>STOCK[[#This Row],[Ganancia Unitaria]]*STOCK[[#This Row],[Salidas]]</f>
        <v>25.2</v>
      </c>
      <c r="Y1775" s="75" t="s">
        <v>3483</v>
      </c>
      <c r="Z1775" s="88"/>
      <c r="AA1775" s="54">
        <f>STOCK[[#This Row],[Costo total]]*STOCK[[#This Row],[Entradas]]</f>
        <v>12.8</v>
      </c>
      <c r="AB1775" s="54">
        <f>STOCK[[#This Row],[Stock Actual]]*STOCK[[#This Row],[Costo total]]</f>
        <v>0</v>
      </c>
      <c r="AC1775" s="75"/>
      <c r="AD1775" s="96"/>
    </row>
    <row r="1776" spans="1:30" s="53" customFormat="1" ht="50" customHeight="1">
      <c r="A1776" s="93" t="s">
        <v>3517</v>
      </c>
      <c r="B1776" s="83"/>
      <c r="C1776" s="53" t="s">
        <v>32</v>
      </c>
      <c r="D1776" s="84" t="s">
        <v>749</v>
      </c>
      <c r="E1776" s="95" t="s">
        <v>3518</v>
      </c>
      <c r="F1776" s="93" t="s">
        <v>3519</v>
      </c>
      <c r="G1776" s="75"/>
      <c r="H1776" s="75">
        <f>STOCK[[#This Row],[Precio Final]]</f>
        <v>38</v>
      </c>
      <c r="I1776" s="80">
        <f>STOCK[[#This Row],[Precio Venta Ideal (x1.5)]]</f>
        <v>19.200000000000003</v>
      </c>
      <c r="J1776" s="93">
        <v>1</v>
      </c>
      <c r="K1776" s="78">
        <f>SUMIFS(VENTAS[Cantidad],VENTAS[Código del producto Vendido],STOCK[[#This Row],[Code]])</f>
        <v>0</v>
      </c>
      <c r="L1776" s="78">
        <f>STOCK[[#This Row],[Entradas]]-STOCK[[#This Row],[Salidas]]</f>
        <v>1</v>
      </c>
      <c r="M1776" s="75">
        <f>STOCK[[#This Row],[Precio Final]]*10%</f>
        <v>3.8000000000000003</v>
      </c>
      <c r="N1776" s="54">
        <v>0</v>
      </c>
      <c r="O1776" s="75">
        <v>0</v>
      </c>
      <c r="P1776" s="75">
        <v>9</v>
      </c>
      <c r="Q1776" s="75">
        <v>0</v>
      </c>
      <c r="R1776" s="78">
        <v>0</v>
      </c>
      <c r="S1776" s="75">
        <v>0</v>
      </c>
      <c r="T1776" s="75">
        <f>STOCK[[#This Row],[Costo Unitario (USD)]]+STOCK[[#This Row],[Costo Envío (USD)]]+STOCK[[#This Row],[Comisión 10%]]</f>
        <v>12.8</v>
      </c>
      <c r="U1776" s="53">
        <f>STOCK[[#This Row],[Costo total]]*1.5</f>
        <v>19.200000000000003</v>
      </c>
      <c r="V1776" s="53">
        <v>38</v>
      </c>
      <c r="W1776" s="75">
        <f>STOCK[[#This Row],[Precio Final]]-STOCK[[#This Row],[Costo total]]</f>
        <v>25.2</v>
      </c>
      <c r="X1776" s="75">
        <f>STOCK[[#This Row],[Ganancia Unitaria]]*STOCK[[#This Row],[Salidas]]</f>
        <v>0</v>
      </c>
      <c r="Y1776" s="75" t="s">
        <v>3483</v>
      </c>
      <c r="Z1776" s="88"/>
      <c r="AA1776" s="54">
        <f>STOCK[[#This Row],[Costo total]]*STOCK[[#This Row],[Entradas]]</f>
        <v>12.8</v>
      </c>
      <c r="AB1776" s="54">
        <f>STOCK[[#This Row],[Stock Actual]]*STOCK[[#This Row],[Costo total]]</f>
        <v>12.8</v>
      </c>
      <c r="AC1776" s="75"/>
      <c r="AD1776" s="96"/>
    </row>
    <row r="1777" spans="1:30" s="53" customFormat="1" ht="50" customHeight="1">
      <c r="A1777" s="93" t="s">
        <v>3520</v>
      </c>
      <c r="B1777" s="83"/>
      <c r="C1777" s="53" t="s">
        <v>32</v>
      </c>
      <c r="D1777" s="84" t="s">
        <v>779</v>
      </c>
      <c r="E1777" s="95" t="s">
        <v>3521</v>
      </c>
      <c r="F1777" s="93" t="s">
        <v>1408</v>
      </c>
      <c r="G1777" s="75"/>
      <c r="H1777" s="75">
        <f>STOCK[[#This Row],[Precio Final]]</f>
        <v>15</v>
      </c>
      <c r="I1777" s="80">
        <f>STOCK[[#This Row],[Precio Venta Ideal (x1.5)]]</f>
        <v>15.75</v>
      </c>
      <c r="J1777" s="93">
        <v>1</v>
      </c>
      <c r="K1777" s="78">
        <f>SUMIFS(VENTAS[Cantidad],VENTAS[Código del producto Vendido],STOCK[[#This Row],[Code]])</f>
        <v>0</v>
      </c>
      <c r="L1777" s="78">
        <f>STOCK[[#This Row],[Entradas]]-STOCK[[#This Row],[Salidas]]</f>
        <v>1</v>
      </c>
      <c r="M1777" s="75">
        <f>STOCK[[#This Row],[Precio Final]]*10%</f>
        <v>1.5</v>
      </c>
      <c r="N1777" s="54">
        <v>0</v>
      </c>
      <c r="O1777" s="75">
        <v>0</v>
      </c>
      <c r="P1777" s="75">
        <v>9</v>
      </c>
      <c r="Q1777" s="75">
        <v>0</v>
      </c>
      <c r="R1777" s="78">
        <v>0</v>
      </c>
      <c r="S1777" s="75">
        <v>0</v>
      </c>
      <c r="T1777" s="75">
        <f>STOCK[[#This Row],[Costo Unitario (USD)]]+STOCK[[#This Row],[Costo Envío (USD)]]+STOCK[[#This Row],[Comisión 10%]]</f>
        <v>10.5</v>
      </c>
      <c r="U1777" s="53">
        <f>STOCK[[#This Row],[Costo total]]*1.5</f>
        <v>15.75</v>
      </c>
      <c r="V1777" s="53">
        <v>15</v>
      </c>
      <c r="W1777" s="75">
        <f>STOCK[[#This Row],[Precio Final]]-STOCK[[#This Row],[Costo total]]</f>
        <v>4.5</v>
      </c>
      <c r="X1777" s="75">
        <f>STOCK[[#This Row],[Ganancia Unitaria]]*STOCK[[#This Row],[Salidas]]</f>
        <v>0</v>
      </c>
      <c r="Y1777" s="75" t="s">
        <v>3483</v>
      </c>
      <c r="Z1777" s="88"/>
      <c r="AA1777" s="54">
        <f>STOCK[[#This Row],[Costo total]]*STOCK[[#This Row],[Entradas]]</f>
        <v>10.5</v>
      </c>
      <c r="AB1777" s="54">
        <f>STOCK[[#This Row],[Stock Actual]]*STOCK[[#This Row],[Costo total]]</f>
        <v>10.5</v>
      </c>
      <c r="AC1777" s="75"/>
      <c r="AD1777" s="96"/>
    </row>
    <row r="1778" spans="1:30" s="53" customFormat="1" ht="50" customHeight="1">
      <c r="A1778" s="93" t="s">
        <v>3522</v>
      </c>
      <c r="B1778" s="83"/>
      <c r="C1778" s="53" t="s">
        <v>32</v>
      </c>
      <c r="D1778" s="84" t="s">
        <v>779</v>
      </c>
      <c r="E1778" s="95" t="s">
        <v>3523</v>
      </c>
      <c r="F1778" s="93" t="s">
        <v>62</v>
      </c>
      <c r="G1778" s="75"/>
      <c r="H1778" s="75">
        <f>STOCK[[#This Row],[Precio Final]]</f>
        <v>15</v>
      </c>
      <c r="I1778" s="80">
        <f>STOCK[[#This Row],[Precio Venta Ideal (x1.5)]]</f>
        <v>15.75</v>
      </c>
      <c r="J1778" s="93">
        <v>1</v>
      </c>
      <c r="K1778" s="78">
        <f>SUMIFS(VENTAS[Cantidad],VENTAS[Código del producto Vendido],STOCK[[#This Row],[Code]])</f>
        <v>0</v>
      </c>
      <c r="L1778" s="78">
        <f>STOCK[[#This Row],[Entradas]]-STOCK[[#This Row],[Salidas]]</f>
        <v>1</v>
      </c>
      <c r="M1778" s="75">
        <f>STOCK[[#This Row],[Precio Final]]*10%</f>
        <v>1.5</v>
      </c>
      <c r="N1778" s="54">
        <v>0</v>
      </c>
      <c r="O1778" s="75">
        <v>0</v>
      </c>
      <c r="P1778" s="75">
        <v>9</v>
      </c>
      <c r="Q1778" s="75">
        <v>0</v>
      </c>
      <c r="R1778" s="78">
        <v>0</v>
      </c>
      <c r="S1778" s="75">
        <v>0</v>
      </c>
      <c r="T1778" s="75">
        <f>STOCK[[#This Row],[Costo Unitario (USD)]]+STOCK[[#This Row],[Costo Envío (USD)]]+STOCK[[#This Row],[Comisión 10%]]</f>
        <v>10.5</v>
      </c>
      <c r="U1778" s="53">
        <f>STOCK[[#This Row],[Costo total]]*1.5</f>
        <v>15.75</v>
      </c>
      <c r="V1778" s="53">
        <v>15</v>
      </c>
      <c r="W1778" s="75">
        <f>STOCK[[#This Row],[Precio Final]]-STOCK[[#This Row],[Costo total]]</f>
        <v>4.5</v>
      </c>
      <c r="X1778" s="75">
        <f>STOCK[[#This Row],[Ganancia Unitaria]]*STOCK[[#This Row],[Salidas]]</f>
        <v>0</v>
      </c>
      <c r="Y1778" s="75" t="s">
        <v>3483</v>
      </c>
      <c r="Z1778" s="88"/>
      <c r="AA1778" s="54">
        <f>STOCK[[#This Row],[Costo total]]*STOCK[[#This Row],[Entradas]]</f>
        <v>10.5</v>
      </c>
      <c r="AB1778" s="54">
        <f>STOCK[[#This Row],[Stock Actual]]*STOCK[[#This Row],[Costo total]]</f>
        <v>10.5</v>
      </c>
      <c r="AC1778" s="75"/>
      <c r="AD1778" s="96"/>
    </row>
    <row r="1779" spans="1:30" s="53" customFormat="1" ht="50" customHeight="1">
      <c r="A1779" s="93" t="s">
        <v>3524</v>
      </c>
      <c r="B1779" s="83"/>
      <c r="C1779" s="53" t="s">
        <v>32</v>
      </c>
      <c r="D1779" s="84" t="s">
        <v>749</v>
      </c>
      <c r="E1779" s="95" t="s">
        <v>3525</v>
      </c>
      <c r="F1779" s="93" t="s">
        <v>3526</v>
      </c>
      <c r="G1779" s="75"/>
      <c r="H1779" s="75">
        <f>STOCK[[#This Row],[Precio Final]]</f>
        <v>38</v>
      </c>
      <c r="I1779" s="80">
        <f>STOCK[[#This Row],[Precio Venta Ideal (x1.5)]]</f>
        <v>19.200000000000003</v>
      </c>
      <c r="J1779" s="93">
        <v>1</v>
      </c>
      <c r="K1779" s="78">
        <f>SUMIFS(VENTAS[Cantidad],VENTAS[Código del producto Vendido],STOCK[[#This Row],[Code]])</f>
        <v>1</v>
      </c>
      <c r="L1779" s="78">
        <f>STOCK[[#This Row],[Entradas]]-STOCK[[#This Row],[Salidas]]</f>
        <v>0</v>
      </c>
      <c r="M1779" s="75">
        <f>STOCK[[#This Row],[Precio Final]]*10%</f>
        <v>3.8000000000000003</v>
      </c>
      <c r="N1779" s="54">
        <v>0</v>
      </c>
      <c r="O1779" s="75">
        <v>0</v>
      </c>
      <c r="P1779" s="75">
        <v>9</v>
      </c>
      <c r="Q1779" s="75">
        <v>0</v>
      </c>
      <c r="R1779" s="78">
        <v>0</v>
      </c>
      <c r="S1779" s="75">
        <v>0</v>
      </c>
      <c r="T1779" s="75">
        <f>STOCK[[#This Row],[Costo Unitario (USD)]]+STOCK[[#This Row],[Costo Envío (USD)]]+STOCK[[#This Row],[Comisión 10%]]</f>
        <v>12.8</v>
      </c>
      <c r="U1779" s="53">
        <f>STOCK[[#This Row],[Costo total]]*1.5</f>
        <v>19.200000000000003</v>
      </c>
      <c r="V1779" s="53">
        <v>38</v>
      </c>
      <c r="W1779" s="75">
        <f>STOCK[[#This Row],[Precio Final]]-STOCK[[#This Row],[Costo total]]</f>
        <v>25.2</v>
      </c>
      <c r="X1779" s="75">
        <f>STOCK[[#This Row],[Ganancia Unitaria]]*STOCK[[#This Row],[Salidas]]</f>
        <v>25.2</v>
      </c>
      <c r="Y1779" s="75" t="s">
        <v>3483</v>
      </c>
      <c r="Z1779" s="88"/>
      <c r="AA1779" s="54">
        <f>STOCK[[#This Row],[Costo total]]*STOCK[[#This Row],[Entradas]]</f>
        <v>12.8</v>
      </c>
      <c r="AB1779" s="54">
        <f>STOCK[[#This Row],[Stock Actual]]*STOCK[[#This Row],[Costo total]]</f>
        <v>0</v>
      </c>
      <c r="AC1779" s="75"/>
      <c r="AD1779" s="96"/>
    </row>
    <row r="1780" spans="1:30" s="53" customFormat="1" ht="50" customHeight="1">
      <c r="A1780" s="93" t="s">
        <v>3527</v>
      </c>
      <c r="B1780" s="83"/>
      <c r="C1780" s="53" t="s">
        <v>32</v>
      </c>
      <c r="D1780" s="84" t="s">
        <v>779</v>
      </c>
      <c r="E1780" s="95" t="s">
        <v>3528</v>
      </c>
      <c r="F1780" s="93" t="s">
        <v>62</v>
      </c>
      <c r="G1780" s="75"/>
      <c r="H1780" s="75">
        <f>STOCK[[#This Row],[Precio Final]]</f>
        <v>12</v>
      </c>
      <c r="I1780" s="80">
        <f>STOCK[[#This Row],[Precio Venta Ideal (x1.5)]]</f>
        <v>15.299999999999999</v>
      </c>
      <c r="J1780" s="93">
        <v>2</v>
      </c>
      <c r="K1780" s="78">
        <f>SUMIFS(VENTAS[Cantidad],VENTAS[Código del producto Vendido],STOCK[[#This Row],[Code]])</f>
        <v>0</v>
      </c>
      <c r="L1780" s="78">
        <f>STOCK[[#This Row],[Entradas]]-STOCK[[#This Row],[Salidas]]</f>
        <v>2</v>
      </c>
      <c r="M1780" s="75">
        <f>STOCK[[#This Row],[Precio Final]]*10%</f>
        <v>1.2000000000000002</v>
      </c>
      <c r="N1780" s="54">
        <v>0</v>
      </c>
      <c r="O1780" s="75">
        <v>0</v>
      </c>
      <c r="P1780" s="75">
        <v>9</v>
      </c>
      <c r="Q1780" s="75">
        <v>0</v>
      </c>
      <c r="R1780" s="78">
        <v>0</v>
      </c>
      <c r="S1780" s="75">
        <v>0</v>
      </c>
      <c r="T1780" s="75">
        <f>STOCK[[#This Row],[Costo Unitario (USD)]]+STOCK[[#This Row],[Costo Envío (USD)]]+STOCK[[#This Row],[Comisión 10%]]</f>
        <v>10.199999999999999</v>
      </c>
      <c r="U1780" s="53">
        <f>STOCK[[#This Row],[Costo total]]*1.5</f>
        <v>15.299999999999999</v>
      </c>
      <c r="V1780" s="53">
        <v>12</v>
      </c>
      <c r="W1780" s="75">
        <f>STOCK[[#This Row],[Precio Final]]-STOCK[[#This Row],[Costo total]]</f>
        <v>1.8000000000000007</v>
      </c>
      <c r="X1780" s="75">
        <f>STOCK[[#This Row],[Ganancia Unitaria]]*STOCK[[#This Row],[Salidas]]</f>
        <v>0</v>
      </c>
      <c r="Y1780" s="75" t="s">
        <v>3483</v>
      </c>
      <c r="Z1780" s="88"/>
      <c r="AA1780" s="54">
        <f>STOCK[[#This Row],[Costo total]]*STOCK[[#This Row],[Entradas]]</f>
        <v>20.399999999999999</v>
      </c>
      <c r="AB1780" s="54">
        <f>STOCK[[#This Row],[Stock Actual]]*STOCK[[#This Row],[Costo total]]</f>
        <v>20.399999999999999</v>
      </c>
      <c r="AC1780" s="75"/>
      <c r="AD1780" s="96"/>
    </row>
    <row r="1781" spans="1:30" s="53" customFormat="1" ht="50" customHeight="1">
      <c r="A1781" s="93" t="s">
        <v>3529</v>
      </c>
      <c r="B1781" s="83"/>
      <c r="C1781" s="53" t="s">
        <v>32</v>
      </c>
      <c r="D1781" s="84" t="s">
        <v>779</v>
      </c>
      <c r="E1781" s="95" t="s">
        <v>3530</v>
      </c>
      <c r="F1781" s="93" t="s">
        <v>42</v>
      </c>
      <c r="G1781" s="75"/>
      <c r="H1781" s="75">
        <f>STOCK[[#This Row],[Precio Final]]</f>
        <v>20</v>
      </c>
      <c r="I1781" s="80">
        <f>STOCK[[#This Row],[Precio Venta Ideal (x1.5)]]</f>
        <v>16.5</v>
      </c>
      <c r="J1781" s="93">
        <v>1</v>
      </c>
      <c r="K1781" s="78">
        <f>SUMIFS(VENTAS[Cantidad],VENTAS[Código del producto Vendido],STOCK[[#This Row],[Code]])</f>
        <v>1</v>
      </c>
      <c r="L1781" s="78">
        <f>STOCK[[#This Row],[Entradas]]-STOCK[[#This Row],[Salidas]]</f>
        <v>0</v>
      </c>
      <c r="M1781" s="75">
        <f>STOCK[[#This Row],[Precio Final]]*10%</f>
        <v>2</v>
      </c>
      <c r="N1781" s="54">
        <v>0</v>
      </c>
      <c r="O1781" s="75">
        <v>0</v>
      </c>
      <c r="P1781" s="75">
        <v>9</v>
      </c>
      <c r="Q1781" s="75">
        <v>0</v>
      </c>
      <c r="R1781" s="78">
        <v>0</v>
      </c>
      <c r="S1781" s="75">
        <v>0</v>
      </c>
      <c r="T1781" s="75">
        <f>STOCK[[#This Row],[Costo Unitario (USD)]]+STOCK[[#This Row],[Costo Envío (USD)]]+STOCK[[#This Row],[Comisión 10%]]</f>
        <v>11</v>
      </c>
      <c r="U1781" s="53">
        <f>STOCK[[#This Row],[Costo total]]*1.5</f>
        <v>16.5</v>
      </c>
      <c r="V1781" s="53">
        <v>20</v>
      </c>
      <c r="W1781" s="75">
        <f>STOCK[[#This Row],[Precio Final]]-STOCK[[#This Row],[Costo total]]</f>
        <v>9</v>
      </c>
      <c r="X1781" s="75">
        <f>STOCK[[#This Row],[Ganancia Unitaria]]*STOCK[[#This Row],[Salidas]]</f>
        <v>9</v>
      </c>
      <c r="Y1781" s="75" t="s">
        <v>3483</v>
      </c>
      <c r="Z1781" s="88"/>
      <c r="AA1781" s="54">
        <f>STOCK[[#This Row],[Costo total]]*STOCK[[#This Row],[Entradas]]</f>
        <v>11</v>
      </c>
      <c r="AB1781" s="54">
        <f>STOCK[[#This Row],[Stock Actual]]*STOCK[[#This Row],[Costo total]]</f>
        <v>0</v>
      </c>
      <c r="AC1781" s="75"/>
      <c r="AD1781" s="96"/>
    </row>
    <row r="1782" spans="1:30" s="53" customFormat="1" ht="50" customHeight="1">
      <c r="A1782" s="93" t="s">
        <v>3531</v>
      </c>
      <c r="B1782" s="83"/>
      <c r="C1782" s="53" t="s">
        <v>32</v>
      </c>
      <c r="D1782" s="84" t="s">
        <v>779</v>
      </c>
      <c r="E1782" s="95" t="s">
        <v>3532</v>
      </c>
      <c r="F1782" s="93" t="s">
        <v>716</v>
      </c>
      <c r="G1782" s="75"/>
      <c r="H1782" s="75">
        <f>STOCK[[#This Row],[Precio Final]]</f>
        <v>22</v>
      </c>
      <c r="I1782" s="80">
        <f>STOCK[[#This Row],[Precio Venta Ideal (x1.5)]]</f>
        <v>16.799999999999997</v>
      </c>
      <c r="J1782" s="93">
        <v>1</v>
      </c>
      <c r="K1782" s="78">
        <f>SUMIFS(VENTAS[Cantidad],VENTAS[Código del producto Vendido],STOCK[[#This Row],[Code]])</f>
        <v>0</v>
      </c>
      <c r="L1782" s="78">
        <f>STOCK[[#This Row],[Entradas]]-STOCK[[#This Row],[Salidas]]</f>
        <v>1</v>
      </c>
      <c r="M1782" s="75">
        <f>STOCK[[#This Row],[Precio Final]]*10%</f>
        <v>2.2000000000000002</v>
      </c>
      <c r="N1782" s="54">
        <v>0</v>
      </c>
      <c r="O1782" s="75">
        <v>0</v>
      </c>
      <c r="P1782" s="75">
        <v>9</v>
      </c>
      <c r="Q1782" s="75">
        <v>0</v>
      </c>
      <c r="R1782" s="78">
        <v>0</v>
      </c>
      <c r="S1782" s="75">
        <v>0</v>
      </c>
      <c r="T1782" s="75">
        <f>STOCK[[#This Row],[Costo Unitario (USD)]]+STOCK[[#This Row],[Costo Envío (USD)]]+STOCK[[#This Row],[Comisión 10%]]</f>
        <v>11.2</v>
      </c>
      <c r="U1782" s="53">
        <f>STOCK[[#This Row],[Costo total]]*1.5</f>
        <v>16.799999999999997</v>
      </c>
      <c r="V1782" s="53">
        <v>22</v>
      </c>
      <c r="W1782" s="75">
        <f>STOCK[[#This Row],[Precio Final]]-STOCK[[#This Row],[Costo total]]</f>
        <v>10.8</v>
      </c>
      <c r="X1782" s="75">
        <f>STOCK[[#This Row],[Ganancia Unitaria]]*STOCK[[#This Row],[Salidas]]</f>
        <v>0</v>
      </c>
      <c r="Y1782" s="75" t="s">
        <v>3483</v>
      </c>
      <c r="Z1782" s="88"/>
      <c r="AA1782" s="54">
        <f>STOCK[[#This Row],[Costo total]]*STOCK[[#This Row],[Entradas]]</f>
        <v>11.2</v>
      </c>
      <c r="AB1782" s="54">
        <f>STOCK[[#This Row],[Stock Actual]]*STOCK[[#This Row],[Costo total]]</f>
        <v>11.2</v>
      </c>
      <c r="AC1782" s="75"/>
      <c r="AD1782" s="96"/>
    </row>
    <row r="1783" spans="1:30" s="53" customFormat="1" ht="50" customHeight="1">
      <c r="A1783" s="93" t="s">
        <v>3533</v>
      </c>
      <c r="B1783" s="83"/>
      <c r="C1783" s="53" t="s">
        <v>32</v>
      </c>
      <c r="D1783" s="84" t="s">
        <v>779</v>
      </c>
      <c r="E1783" s="95" t="s">
        <v>3534</v>
      </c>
      <c r="F1783" s="93" t="s">
        <v>49</v>
      </c>
      <c r="G1783" s="75"/>
      <c r="H1783" s="75">
        <f>STOCK[[#This Row],[Precio Final]]</f>
        <v>16</v>
      </c>
      <c r="I1783" s="80">
        <f>STOCK[[#This Row],[Precio Venta Ideal (x1.5)]]</f>
        <v>15.899999999999999</v>
      </c>
      <c r="J1783" s="93">
        <v>1</v>
      </c>
      <c r="K1783" s="78">
        <f>SUMIFS(VENTAS[Cantidad],VENTAS[Código del producto Vendido],STOCK[[#This Row],[Code]])</f>
        <v>1</v>
      </c>
      <c r="L1783" s="78">
        <f>STOCK[[#This Row],[Entradas]]-STOCK[[#This Row],[Salidas]]</f>
        <v>0</v>
      </c>
      <c r="M1783" s="75">
        <f>STOCK[[#This Row],[Precio Final]]*10%</f>
        <v>1.6</v>
      </c>
      <c r="N1783" s="54">
        <v>0</v>
      </c>
      <c r="O1783" s="75">
        <v>0</v>
      </c>
      <c r="P1783" s="75">
        <v>9</v>
      </c>
      <c r="Q1783" s="75">
        <v>0</v>
      </c>
      <c r="R1783" s="78">
        <v>0</v>
      </c>
      <c r="S1783" s="75">
        <v>0</v>
      </c>
      <c r="T1783" s="75">
        <f>STOCK[[#This Row],[Costo Unitario (USD)]]+STOCK[[#This Row],[Costo Envío (USD)]]+STOCK[[#This Row],[Comisión 10%]]</f>
        <v>10.6</v>
      </c>
      <c r="U1783" s="53">
        <f>STOCK[[#This Row],[Costo total]]*1.5</f>
        <v>15.899999999999999</v>
      </c>
      <c r="V1783" s="53">
        <v>16</v>
      </c>
      <c r="W1783" s="75">
        <f>STOCK[[#This Row],[Precio Final]]-STOCK[[#This Row],[Costo total]]</f>
        <v>5.4</v>
      </c>
      <c r="X1783" s="75">
        <f>STOCK[[#This Row],[Ganancia Unitaria]]*STOCK[[#This Row],[Salidas]]</f>
        <v>5.4</v>
      </c>
      <c r="Y1783" s="75" t="s">
        <v>3483</v>
      </c>
      <c r="Z1783" s="88"/>
      <c r="AA1783" s="54">
        <f>STOCK[[#This Row],[Costo total]]*STOCK[[#This Row],[Entradas]]</f>
        <v>10.6</v>
      </c>
      <c r="AB1783" s="54">
        <f>STOCK[[#This Row],[Stock Actual]]*STOCK[[#This Row],[Costo total]]</f>
        <v>0</v>
      </c>
      <c r="AC1783" s="75"/>
      <c r="AD1783" s="96"/>
    </row>
    <row r="1784" spans="1:30" s="53" customFormat="1" ht="50" customHeight="1">
      <c r="A1784" s="93" t="s">
        <v>3535</v>
      </c>
      <c r="B1784" s="83"/>
      <c r="C1784" s="53" t="s">
        <v>32</v>
      </c>
      <c r="D1784" s="84" t="s">
        <v>779</v>
      </c>
      <c r="E1784" s="95" t="s">
        <v>3536</v>
      </c>
      <c r="F1784" s="93" t="s">
        <v>62</v>
      </c>
      <c r="G1784" s="75"/>
      <c r="H1784" s="75">
        <f>STOCK[[#This Row],[Precio Final]]</f>
        <v>15</v>
      </c>
      <c r="I1784" s="80">
        <f>STOCK[[#This Row],[Precio Venta Ideal (x1.5)]]</f>
        <v>15.75</v>
      </c>
      <c r="J1784" s="93">
        <v>1</v>
      </c>
      <c r="K1784" s="78">
        <f>SUMIFS(VENTAS[Cantidad],VENTAS[Código del producto Vendido],STOCK[[#This Row],[Code]])</f>
        <v>0</v>
      </c>
      <c r="L1784" s="78">
        <f>STOCK[[#This Row],[Entradas]]-STOCK[[#This Row],[Salidas]]</f>
        <v>1</v>
      </c>
      <c r="M1784" s="75">
        <f>STOCK[[#This Row],[Precio Final]]*10%</f>
        <v>1.5</v>
      </c>
      <c r="N1784" s="54">
        <v>0</v>
      </c>
      <c r="O1784" s="75">
        <v>0</v>
      </c>
      <c r="P1784" s="75">
        <v>9</v>
      </c>
      <c r="Q1784" s="75">
        <v>0</v>
      </c>
      <c r="R1784" s="78">
        <v>0</v>
      </c>
      <c r="S1784" s="75">
        <v>0</v>
      </c>
      <c r="T1784" s="75">
        <f>STOCK[[#This Row],[Costo Unitario (USD)]]+STOCK[[#This Row],[Costo Envío (USD)]]+STOCK[[#This Row],[Comisión 10%]]</f>
        <v>10.5</v>
      </c>
      <c r="U1784" s="53">
        <f>STOCK[[#This Row],[Costo total]]*1.5</f>
        <v>15.75</v>
      </c>
      <c r="V1784" s="53">
        <v>15</v>
      </c>
      <c r="W1784" s="75">
        <f>STOCK[[#This Row],[Precio Final]]-STOCK[[#This Row],[Costo total]]</f>
        <v>4.5</v>
      </c>
      <c r="X1784" s="75">
        <f>STOCK[[#This Row],[Ganancia Unitaria]]*STOCK[[#This Row],[Salidas]]</f>
        <v>0</v>
      </c>
      <c r="Y1784" s="75" t="s">
        <v>3483</v>
      </c>
      <c r="Z1784" s="88"/>
      <c r="AA1784" s="54">
        <f>STOCK[[#This Row],[Costo total]]*STOCK[[#This Row],[Entradas]]</f>
        <v>10.5</v>
      </c>
      <c r="AB1784" s="54">
        <f>STOCK[[#This Row],[Stock Actual]]*STOCK[[#This Row],[Costo total]]</f>
        <v>10.5</v>
      </c>
      <c r="AC1784" s="75"/>
      <c r="AD1784" s="96"/>
    </row>
    <row r="1785" spans="1:30" s="53" customFormat="1" ht="50" customHeight="1">
      <c r="A1785" s="93" t="s">
        <v>3537</v>
      </c>
      <c r="B1785" s="83"/>
      <c r="C1785" s="53" t="s">
        <v>32</v>
      </c>
      <c r="D1785" s="84" t="s">
        <v>779</v>
      </c>
      <c r="E1785" s="95" t="s">
        <v>3536</v>
      </c>
      <c r="F1785" s="93" t="s">
        <v>716</v>
      </c>
      <c r="G1785" s="75"/>
      <c r="H1785" s="75">
        <f>STOCK[[#This Row],[Precio Final]]</f>
        <v>15</v>
      </c>
      <c r="I1785" s="80">
        <f>STOCK[[#This Row],[Precio Venta Ideal (x1.5)]]</f>
        <v>15.75</v>
      </c>
      <c r="J1785" s="93">
        <v>2</v>
      </c>
      <c r="K1785" s="78">
        <f>SUMIFS(VENTAS[Cantidad],VENTAS[Código del producto Vendido],STOCK[[#This Row],[Code]])</f>
        <v>0</v>
      </c>
      <c r="L1785" s="78">
        <f>STOCK[[#This Row],[Entradas]]-STOCK[[#This Row],[Salidas]]</f>
        <v>2</v>
      </c>
      <c r="M1785" s="75">
        <f>STOCK[[#This Row],[Precio Final]]*10%</f>
        <v>1.5</v>
      </c>
      <c r="N1785" s="54">
        <v>0</v>
      </c>
      <c r="O1785" s="75">
        <v>0</v>
      </c>
      <c r="P1785" s="75">
        <v>9</v>
      </c>
      <c r="Q1785" s="75">
        <v>0</v>
      </c>
      <c r="R1785" s="78">
        <v>0</v>
      </c>
      <c r="S1785" s="75">
        <v>0</v>
      </c>
      <c r="T1785" s="75">
        <f>STOCK[[#This Row],[Costo Unitario (USD)]]+STOCK[[#This Row],[Costo Envío (USD)]]+STOCK[[#This Row],[Comisión 10%]]</f>
        <v>10.5</v>
      </c>
      <c r="U1785" s="53">
        <f>STOCK[[#This Row],[Costo total]]*1.5</f>
        <v>15.75</v>
      </c>
      <c r="V1785" s="53">
        <v>15</v>
      </c>
      <c r="W1785" s="75">
        <f>STOCK[[#This Row],[Precio Final]]-STOCK[[#This Row],[Costo total]]</f>
        <v>4.5</v>
      </c>
      <c r="X1785" s="75">
        <f>STOCK[[#This Row],[Ganancia Unitaria]]*STOCK[[#This Row],[Salidas]]</f>
        <v>0</v>
      </c>
      <c r="Y1785" s="75" t="s">
        <v>3483</v>
      </c>
      <c r="Z1785" s="88"/>
      <c r="AA1785" s="54">
        <f>STOCK[[#This Row],[Costo total]]*STOCK[[#This Row],[Entradas]]</f>
        <v>21</v>
      </c>
      <c r="AB1785" s="54">
        <f>STOCK[[#This Row],[Stock Actual]]*STOCK[[#This Row],[Costo total]]</f>
        <v>21</v>
      </c>
      <c r="AC1785" s="75"/>
      <c r="AD1785" s="96"/>
    </row>
    <row r="1786" spans="1:30" s="53" customFormat="1" ht="50" customHeight="1">
      <c r="A1786" s="93" t="s">
        <v>3538</v>
      </c>
      <c r="B1786" s="83"/>
      <c r="C1786" s="53" t="s">
        <v>32</v>
      </c>
      <c r="D1786" s="84" t="s">
        <v>779</v>
      </c>
      <c r="E1786" s="95" t="s">
        <v>3536</v>
      </c>
      <c r="F1786" s="93" t="s">
        <v>1408</v>
      </c>
      <c r="G1786" s="75"/>
      <c r="H1786" s="75">
        <f>STOCK[[#This Row],[Precio Final]]</f>
        <v>15</v>
      </c>
      <c r="I1786" s="80">
        <f>STOCK[[#This Row],[Precio Venta Ideal (x1.5)]]</f>
        <v>15.75</v>
      </c>
      <c r="J1786" s="93">
        <v>1</v>
      </c>
      <c r="K1786" s="78">
        <f>SUMIFS(VENTAS[Cantidad],VENTAS[Código del producto Vendido],STOCK[[#This Row],[Code]])</f>
        <v>0</v>
      </c>
      <c r="L1786" s="78">
        <f>STOCK[[#This Row],[Entradas]]-STOCK[[#This Row],[Salidas]]</f>
        <v>1</v>
      </c>
      <c r="M1786" s="75">
        <f>STOCK[[#This Row],[Precio Final]]*10%</f>
        <v>1.5</v>
      </c>
      <c r="N1786" s="54">
        <v>0</v>
      </c>
      <c r="O1786" s="75">
        <v>0</v>
      </c>
      <c r="P1786" s="75">
        <v>9</v>
      </c>
      <c r="Q1786" s="75">
        <v>0</v>
      </c>
      <c r="R1786" s="78">
        <v>0</v>
      </c>
      <c r="S1786" s="75">
        <v>0</v>
      </c>
      <c r="T1786" s="75">
        <f>STOCK[[#This Row],[Costo Unitario (USD)]]+STOCK[[#This Row],[Costo Envío (USD)]]+STOCK[[#This Row],[Comisión 10%]]</f>
        <v>10.5</v>
      </c>
      <c r="U1786" s="53">
        <f>STOCK[[#This Row],[Costo total]]*1.5</f>
        <v>15.75</v>
      </c>
      <c r="V1786" s="53">
        <v>15</v>
      </c>
      <c r="W1786" s="75">
        <f>STOCK[[#This Row],[Precio Final]]-STOCK[[#This Row],[Costo total]]</f>
        <v>4.5</v>
      </c>
      <c r="X1786" s="75">
        <f>STOCK[[#This Row],[Ganancia Unitaria]]*STOCK[[#This Row],[Salidas]]</f>
        <v>0</v>
      </c>
      <c r="Y1786" s="75" t="s">
        <v>3483</v>
      </c>
      <c r="Z1786" s="88"/>
      <c r="AA1786" s="54">
        <f>STOCK[[#This Row],[Costo total]]*STOCK[[#This Row],[Entradas]]</f>
        <v>10.5</v>
      </c>
      <c r="AB1786" s="54">
        <f>STOCK[[#This Row],[Stock Actual]]*STOCK[[#This Row],[Costo total]]</f>
        <v>10.5</v>
      </c>
      <c r="AC1786" s="75"/>
      <c r="AD1786" s="96"/>
    </row>
    <row r="1787" spans="1:30" s="53" customFormat="1" ht="50" customHeight="1">
      <c r="A1787" s="93" t="s">
        <v>3539</v>
      </c>
      <c r="B1787" s="83"/>
      <c r="C1787" s="53" t="s">
        <v>32</v>
      </c>
      <c r="D1787" s="84" t="s">
        <v>779</v>
      </c>
      <c r="E1787" s="95" t="s">
        <v>3540</v>
      </c>
      <c r="F1787" s="93" t="s">
        <v>716</v>
      </c>
      <c r="G1787" s="75"/>
      <c r="H1787" s="75">
        <f>STOCK[[#This Row],[Precio Final]]</f>
        <v>15</v>
      </c>
      <c r="I1787" s="80">
        <f>STOCK[[#This Row],[Precio Venta Ideal (x1.5)]]</f>
        <v>15.75</v>
      </c>
      <c r="J1787" s="93">
        <v>1</v>
      </c>
      <c r="K1787" s="78">
        <f>SUMIFS(VENTAS[Cantidad],VENTAS[Código del producto Vendido],STOCK[[#This Row],[Code]])</f>
        <v>0</v>
      </c>
      <c r="L1787" s="78">
        <f>STOCK[[#This Row],[Entradas]]-STOCK[[#This Row],[Salidas]]</f>
        <v>1</v>
      </c>
      <c r="M1787" s="75">
        <f>STOCK[[#This Row],[Precio Final]]*10%</f>
        <v>1.5</v>
      </c>
      <c r="N1787" s="54">
        <v>0</v>
      </c>
      <c r="O1787" s="75">
        <v>0</v>
      </c>
      <c r="P1787" s="75">
        <v>9</v>
      </c>
      <c r="Q1787" s="75">
        <v>0</v>
      </c>
      <c r="R1787" s="78">
        <v>0</v>
      </c>
      <c r="S1787" s="75">
        <v>0</v>
      </c>
      <c r="T1787" s="75">
        <f>STOCK[[#This Row],[Costo Unitario (USD)]]+STOCK[[#This Row],[Costo Envío (USD)]]+STOCK[[#This Row],[Comisión 10%]]</f>
        <v>10.5</v>
      </c>
      <c r="U1787" s="53">
        <f>STOCK[[#This Row],[Costo total]]*1.5</f>
        <v>15.75</v>
      </c>
      <c r="V1787" s="53">
        <v>15</v>
      </c>
      <c r="W1787" s="75">
        <f>STOCK[[#This Row],[Precio Final]]-STOCK[[#This Row],[Costo total]]</f>
        <v>4.5</v>
      </c>
      <c r="X1787" s="75">
        <f>STOCK[[#This Row],[Ganancia Unitaria]]*STOCK[[#This Row],[Salidas]]</f>
        <v>0</v>
      </c>
      <c r="Y1787" s="75" t="s">
        <v>3483</v>
      </c>
      <c r="Z1787" s="88"/>
      <c r="AA1787" s="54">
        <f>STOCK[[#This Row],[Costo total]]*STOCK[[#This Row],[Entradas]]</f>
        <v>10.5</v>
      </c>
      <c r="AB1787" s="54">
        <f>STOCK[[#This Row],[Stock Actual]]*STOCK[[#This Row],[Costo total]]</f>
        <v>10.5</v>
      </c>
      <c r="AC1787" s="75"/>
      <c r="AD1787" s="96"/>
    </row>
    <row r="1788" spans="1:30" s="53" customFormat="1" ht="50" customHeight="1">
      <c r="A1788" s="93" t="s">
        <v>3541</v>
      </c>
      <c r="B1788" s="83"/>
      <c r="C1788" s="53" t="s">
        <v>32</v>
      </c>
      <c r="D1788" s="84" t="s">
        <v>779</v>
      </c>
      <c r="E1788" s="95" t="s">
        <v>3125</v>
      </c>
      <c r="F1788" s="93" t="s">
        <v>62</v>
      </c>
      <c r="G1788" s="75"/>
      <c r="H1788" s="75">
        <f>STOCK[[#This Row],[Precio Final]]</f>
        <v>15</v>
      </c>
      <c r="I1788" s="80">
        <f>STOCK[[#This Row],[Precio Venta Ideal (x1.5)]]</f>
        <v>15.75</v>
      </c>
      <c r="J1788" s="93">
        <v>1</v>
      </c>
      <c r="K1788" s="78">
        <f>SUMIFS(VENTAS[Cantidad],VENTAS[Código del producto Vendido],STOCK[[#This Row],[Code]])</f>
        <v>0</v>
      </c>
      <c r="L1788" s="78">
        <f>STOCK[[#This Row],[Entradas]]-STOCK[[#This Row],[Salidas]]</f>
        <v>1</v>
      </c>
      <c r="M1788" s="75">
        <f>STOCK[[#This Row],[Precio Final]]*10%</f>
        <v>1.5</v>
      </c>
      <c r="N1788" s="54">
        <v>0</v>
      </c>
      <c r="O1788" s="75">
        <v>0</v>
      </c>
      <c r="P1788" s="75">
        <v>9</v>
      </c>
      <c r="Q1788" s="75">
        <v>0</v>
      </c>
      <c r="R1788" s="78">
        <v>0</v>
      </c>
      <c r="S1788" s="75">
        <v>0</v>
      </c>
      <c r="T1788" s="75">
        <f>STOCK[[#This Row],[Costo Unitario (USD)]]+STOCK[[#This Row],[Costo Envío (USD)]]+STOCK[[#This Row],[Comisión 10%]]</f>
        <v>10.5</v>
      </c>
      <c r="U1788" s="53">
        <f>STOCK[[#This Row],[Costo total]]*1.5</f>
        <v>15.75</v>
      </c>
      <c r="V1788" s="53">
        <v>15</v>
      </c>
      <c r="W1788" s="75">
        <f>STOCK[[#This Row],[Precio Final]]-STOCK[[#This Row],[Costo total]]</f>
        <v>4.5</v>
      </c>
      <c r="X1788" s="75">
        <f>STOCK[[#This Row],[Ganancia Unitaria]]*STOCK[[#This Row],[Salidas]]</f>
        <v>0</v>
      </c>
      <c r="Y1788" s="75" t="s">
        <v>3483</v>
      </c>
      <c r="Z1788" s="88"/>
      <c r="AA1788" s="54">
        <f>STOCK[[#This Row],[Costo total]]*STOCK[[#This Row],[Entradas]]</f>
        <v>10.5</v>
      </c>
      <c r="AB1788" s="54">
        <f>STOCK[[#This Row],[Stock Actual]]*STOCK[[#This Row],[Costo total]]</f>
        <v>10.5</v>
      </c>
      <c r="AC1788" s="75"/>
      <c r="AD1788" s="96"/>
    </row>
    <row r="1789" spans="1:30" s="53" customFormat="1" ht="50" customHeight="1">
      <c r="A1789" s="93" t="s">
        <v>3542</v>
      </c>
      <c r="B1789" s="83"/>
      <c r="C1789" s="53" t="s">
        <v>32</v>
      </c>
      <c r="D1789" s="84" t="s">
        <v>779</v>
      </c>
      <c r="E1789" s="95" t="s">
        <v>3543</v>
      </c>
      <c r="F1789" s="93" t="s">
        <v>716</v>
      </c>
      <c r="G1789" s="75"/>
      <c r="H1789" s="75">
        <f>STOCK[[#This Row],[Precio Final]]</f>
        <v>15</v>
      </c>
      <c r="I1789" s="80">
        <f>STOCK[[#This Row],[Precio Venta Ideal (x1.5)]]</f>
        <v>15.75</v>
      </c>
      <c r="J1789" s="93">
        <v>1</v>
      </c>
      <c r="K1789" s="78">
        <f>SUMIFS(VENTAS[Cantidad],VENTAS[Código del producto Vendido],STOCK[[#This Row],[Code]])</f>
        <v>0</v>
      </c>
      <c r="L1789" s="78">
        <f>STOCK[[#This Row],[Entradas]]-STOCK[[#This Row],[Salidas]]</f>
        <v>1</v>
      </c>
      <c r="M1789" s="75">
        <f>STOCK[[#This Row],[Precio Final]]*10%</f>
        <v>1.5</v>
      </c>
      <c r="N1789" s="54">
        <v>0</v>
      </c>
      <c r="O1789" s="75">
        <v>0</v>
      </c>
      <c r="P1789" s="75">
        <v>9</v>
      </c>
      <c r="Q1789" s="75">
        <v>0</v>
      </c>
      <c r="R1789" s="78">
        <v>0</v>
      </c>
      <c r="S1789" s="75">
        <v>0</v>
      </c>
      <c r="T1789" s="75">
        <f>STOCK[[#This Row],[Costo Unitario (USD)]]+STOCK[[#This Row],[Costo Envío (USD)]]+STOCK[[#This Row],[Comisión 10%]]</f>
        <v>10.5</v>
      </c>
      <c r="U1789" s="53">
        <f>STOCK[[#This Row],[Costo total]]*1.5</f>
        <v>15.75</v>
      </c>
      <c r="V1789" s="53">
        <v>15</v>
      </c>
      <c r="W1789" s="75">
        <f>STOCK[[#This Row],[Precio Final]]-STOCK[[#This Row],[Costo total]]</f>
        <v>4.5</v>
      </c>
      <c r="X1789" s="75">
        <f>STOCK[[#This Row],[Ganancia Unitaria]]*STOCK[[#This Row],[Salidas]]</f>
        <v>0</v>
      </c>
      <c r="Y1789" s="75" t="s">
        <v>3483</v>
      </c>
      <c r="Z1789" s="88"/>
      <c r="AA1789" s="54">
        <f>STOCK[[#This Row],[Costo total]]*STOCK[[#This Row],[Entradas]]</f>
        <v>10.5</v>
      </c>
      <c r="AB1789" s="54">
        <f>STOCK[[#This Row],[Stock Actual]]*STOCK[[#This Row],[Costo total]]</f>
        <v>10.5</v>
      </c>
      <c r="AC1789" s="75"/>
      <c r="AD1789" s="96"/>
    </row>
    <row r="1790" spans="1:30" s="53" customFormat="1" ht="50" customHeight="1">
      <c r="A1790" s="93" t="s">
        <v>3544</v>
      </c>
      <c r="B1790" s="83"/>
      <c r="C1790" s="53" t="s">
        <v>32</v>
      </c>
      <c r="D1790" s="84"/>
      <c r="E1790" s="95" t="s">
        <v>3545</v>
      </c>
      <c r="F1790" s="93" t="s">
        <v>3526</v>
      </c>
      <c r="G1790" s="75"/>
      <c r="H1790" s="75">
        <f>STOCK[[#This Row],[Precio Final]]</f>
        <v>10</v>
      </c>
      <c r="I1790" s="80">
        <f>STOCK[[#This Row],[Precio Venta Ideal (x1.5)]]</f>
        <v>15</v>
      </c>
      <c r="J1790" s="93">
        <v>1</v>
      </c>
      <c r="K1790" s="78">
        <v>1</v>
      </c>
      <c r="L1790" s="78">
        <f>STOCK[[#This Row],[Entradas]]-STOCK[[#This Row],[Salidas]]</f>
        <v>0</v>
      </c>
      <c r="M1790" s="75">
        <f>STOCK[[#This Row],[Precio Final]]*10%</f>
        <v>1</v>
      </c>
      <c r="N1790" s="54">
        <v>0</v>
      </c>
      <c r="O1790" s="75">
        <v>0</v>
      </c>
      <c r="P1790" s="75">
        <v>9</v>
      </c>
      <c r="Q1790" s="75">
        <v>0</v>
      </c>
      <c r="R1790" s="78">
        <v>0</v>
      </c>
      <c r="S1790" s="75">
        <v>0</v>
      </c>
      <c r="T1790" s="75">
        <f>STOCK[[#This Row],[Costo Unitario (USD)]]+STOCK[[#This Row],[Costo Envío (USD)]]+STOCK[[#This Row],[Comisión 10%]]</f>
        <v>10</v>
      </c>
      <c r="U1790" s="53">
        <f>STOCK[[#This Row],[Costo total]]*1.5</f>
        <v>15</v>
      </c>
      <c r="V1790" s="53">
        <v>10</v>
      </c>
      <c r="W1790" s="75">
        <f>STOCK[[#This Row],[Precio Final]]-STOCK[[#This Row],[Costo total]]</f>
        <v>0</v>
      </c>
      <c r="X1790" s="75">
        <f>STOCK[[#This Row],[Ganancia Unitaria]]*STOCK[[#This Row],[Salidas]]</f>
        <v>0</v>
      </c>
      <c r="Y1790" s="75" t="s">
        <v>3483</v>
      </c>
      <c r="Z1790" s="88"/>
      <c r="AA1790" s="54">
        <f>STOCK[[#This Row],[Costo total]]*STOCK[[#This Row],[Entradas]]</f>
        <v>10</v>
      </c>
      <c r="AB1790" s="54">
        <f>STOCK[[#This Row],[Stock Actual]]*STOCK[[#This Row],[Costo total]]</f>
        <v>0</v>
      </c>
      <c r="AC1790" s="75"/>
      <c r="AD1790" s="96"/>
    </row>
    <row r="1791" spans="1:30" s="53" customFormat="1" ht="50" customHeight="1">
      <c r="A1791" s="93" t="s">
        <v>3546</v>
      </c>
      <c r="B1791" s="83"/>
      <c r="C1791" s="53" t="s">
        <v>32</v>
      </c>
      <c r="D1791" s="84" t="s">
        <v>779</v>
      </c>
      <c r="E1791" s="95" t="s">
        <v>3547</v>
      </c>
      <c r="F1791" s="93" t="s">
        <v>49</v>
      </c>
      <c r="G1791" s="75"/>
      <c r="H1791" s="75">
        <f>STOCK[[#This Row],[Precio Final]]</f>
        <v>15</v>
      </c>
      <c r="I1791" s="80">
        <f>STOCK[[#This Row],[Precio Venta Ideal (x1.5)]]</f>
        <v>15.75</v>
      </c>
      <c r="J1791" s="93">
        <v>2</v>
      </c>
      <c r="K1791" s="78">
        <f>SUMIFS(VENTAS[Cantidad],VENTAS[Código del producto Vendido],STOCK[[#This Row],[Code]])</f>
        <v>0</v>
      </c>
      <c r="L1791" s="78">
        <f>STOCK[[#This Row],[Entradas]]-STOCK[[#This Row],[Salidas]]</f>
        <v>2</v>
      </c>
      <c r="M1791" s="75">
        <f>STOCK[[#This Row],[Precio Final]]*10%</f>
        <v>1.5</v>
      </c>
      <c r="N1791" s="54">
        <v>0</v>
      </c>
      <c r="O1791" s="75">
        <v>0</v>
      </c>
      <c r="P1791" s="75">
        <v>9</v>
      </c>
      <c r="Q1791" s="75">
        <v>0</v>
      </c>
      <c r="R1791" s="78">
        <v>0</v>
      </c>
      <c r="S1791" s="75">
        <v>0</v>
      </c>
      <c r="T1791" s="75">
        <f>STOCK[[#This Row],[Costo Unitario (USD)]]+STOCK[[#This Row],[Costo Envío (USD)]]+STOCK[[#This Row],[Comisión 10%]]</f>
        <v>10.5</v>
      </c>
      <c r="U1791" s="53">
        <f>STOCK[[#This Row],[Costo total]]*1.5</f>
        <v>15.75</v>
      </c>
      <c r="V1791" s="53">
        <v>15</v>
      </c>
      <c r="W1791" s="75">
        <f>STOCK[[#This Row],[Precio Final]]-STOCK[[#This Row],[Costo total]]</f>
        <v>4.5</v>
      </c>
      <c r="X1791" s="75">
        <f>STOCK[[#This Row],[Ganancia Unitaria]]*STOCK[[#This Row],[Salidas]]</f>
        <v>0</v>
      </c>
      <c r="Y1791" s="75" t="s">
        <v>3483</v>
      </c>
      <c r="Z1791" s="88"/>
      <c r="AA1791" s="54">
        <f>STOCK[[#This Row],[Costo total]]*STOCK[[#This Row],[Entradas]]</f>
        <v>21</v>
      </c>
      <c r="AB1791" s="54">
        <f>STOCK[[#This Row],[Stock Actual]]*STOCK[[#This Row],[Costo total]]</f>
        <v>21</v>
      </c>
      <c r="AC1791" s="75"/>
      <c r="AD1791" s="96"/>
    </row>
    <row r="1792" spans="1:30" s="53" customFormat="1" ht="50" customHeight="1">
      <c r="A1792" s="93" t="s">
        <v>3548</v>
      </c>
      <c r="B1792" s="83"/>
      <c r="C1792" s="53" t="s">
        <v>32</v>
      </c>
      <c r="D1792" s="84" t="s">
        <v>749</v>
      </c>
      <c r="E1792" s="95" t="s">
        <v>3549</v>
      </c>
      <c r="F1792" s="93" t="s">
        <v>40</v>
      </c>
      <c r="G1792" s="75"/>
      <c r="H1792" s="75">
        <f>STOCK[[#This Row],[Precio Final]]</f>
        <v>18</v>
      </c>
      <c r="I1792" s="80">
        <f>STOCK[[#This Row],[Precio Venta Ideal (x1.5)]]</f>
        <v>16.200000000000003</v>
      </c>
      <c r="J1792" s="93">
        <v>1</v>
      </c>
      <c r="K1792" s="78">
        <f>SUMIFS(VENTAS[Cantidad],VENTAS[Código del producto Vendido],STOCK[[#This Row],[Code]])</f>
        <v>0</v>
      </c>
      <c r="L1792" s="78">
        <f>STOCK[[#This Row],[Entradas]]-STOCK[[#This Row],[Salidas]]</f>
        <v>1</v>
      </c>
      <c r="M1792" s="75">
        <f>STOCK[[#This Row],[Precio Final]]*10%</f>
        <v>1.8</v>
      </c>
      <c r="N1792" s="54">
        <v>0</v>
      </c>
      <c r="O1792" s="75">
        <v>0</v>
      </c>
      <c r="P1792" s="75">
        <v>9</v>
      </c>
      <c r="Q1792" s="75">
        <v>0</v>
      </c>
      <c r="R1792" s="78">
        <v>0</v>
      </c>
      <c r="S1792" s="75">
        <v>0</v>
      </c>
      <c r="T1792" s="75">
        <f>STOCK[[#This Row],[Costo Unitario (USD)]]+STOCK[[#This Row],[Costo Envío (USD)]]+STOCK[[#This Row],[Comisión 10%]]</f>
        <v>10.8</v>
      </c>
      <c r="U1792" s="53">
        <f>STOCK[[#This Row],[Costo total]]*1.5</f>
        <v>16.200000000000003</v>
      </c>
      <c r="V1792" s="53">
        <v>18</v>
      </c>
      <c r="W1792" s="75">
        <f>STOCK[[#This Row],[Precio Final]]-STOCK[[#This Row],[Costo total]]</f>
        <v>7.1999999999999993</v>
      </c>
      <c r="X1792" s="75">
        <f>STOCK[[#This Row],[Ganancia Unitaria]]*STOCK[[#This Row],[Salidas]]</f>
        <v>0</v>
      </c>
      <c r="Y1792" s="75" t="s">
        <v>3483</v>
      </c>
      <c r="Z1792" s="88"/>
      <c r="AA1792" s="54">
        <f>STOCK[[#This Row],[Costo total]]*STOCK[[#This Row],[Entradas]]</f>
        <v>10.8</v>
      </c>
      <c r="AB1792" s="54">
        <f>STOCK[[#This Row],[Stock Actual]]*STOCK[[#This Row],[Costo total]]</f>
        <v>10.8</v>
      </c>
      <c r="AC1792" s="75"/>
      <c r="AD1792" s="96"/>
    </row>
    <row r="1793" spans="1:30" s="53" customFormat="1" ht="50" customHeight="1">
      <c r="A1793" s="93" t="s">
        <v>3550</v>
      </c>
      <c r="B1793" s="83"/>
      <c r="C1793" s="53" t="s">
        <v>32</v>
      </c>
      <c r="D1793" s="84" t="s">
        <v>749</v>
      </c>
      <c r="E1793" s="95" t="s">
        <v>3551</v>
      </c>
      <c r="F1793" s="93" t="s">
        <v>49</v>
      </c>
      <c r="G1793" s="75"/>
      <c r="H1793" s="75">
        <f>STOCK[[#This Row],[Precio Final]]</f>
        <v>30</v>
      </c>
      <c r="I1793" s="80">
        <f>STOCK[[#This Row],[Precio Venta Ideal (x1.5)]]</f>
        <v>18</v>
      </c>
      <c r="J1793" s="93">
        <v>1</v>
      </c>
      <c r="K1793" s="78">
        <f>SUMIFS(VENTAS[Cantidad],VENTAS[Código del producto Vendido],STOCK[[#This Row],[Code]])</f>
        <v>0</v>
      </c>
      <c r="L1793" s="78">
        <f>STOCK[[#This Row],[Entradas]]-STOCK[[#This Row],[Salidas]]</f>
        <v>1</v>
      </c>
      <c r="M1793" s="75">
        <f>STOCK[[#This Row],[Precio Final]]*10%</f>
        <v>3</v>
      </c>
      <c r="N1793" s="54">
        <v>0</v>
      </c>
      <c r="O1793" s="75">
        <v>0</v>
      </c>
      <c r="P1793" s="75">
        <v>9</v>
      </c>
      <c r="Q1793" s="75">
        <v>0</v>
      </c>
      <c r="R1793" s="78">
        <v>0</v>
      </c>
      <c r="S1793" s="75">
        <v>0</v>
      </c>
      <c r="T1793" s="75">
        <f>STOCK[[#This Row],[Costo Unitario (USD)]]+STOCK[[#This Row],[Costo Envío (USD)]]+STOCK[[#This Row],[Comisión 10%]]</f>
        <v>12</v>
      </c>
      <c r="U1793" s="53">
        <f>STOCK[[#This Row],[Costo total]]*1.5</f>
        <v>18</v>
      </c>
      <c r="V1793" s="53">
        <v>30</v>
      </c>
      <c r="W1793" s="75">
        <f>STOCK[[#This Row],[Precio Final]]-STOCK[[#This Row],[Costo total]]</f>
        <v>18</v>
      </c>
      <c r="X1793" s="75">
        <f>STOCK[[#This Row],[Ganancia Unitaria]]*STOCK[[#This Row],[Salidas]]</f>
        <v>0</v>
      </c>
      <c r="Y1793" s="75" t="s">
        <v>3483</v>
      </c>
      <c r="Z1793" s="88"/>
      <c r="AA1793" s="54">
        <f>STOCK[[#This Row],[Costo total]]*STOCK[[#This Row],[Entradas]]</f>
        <v>12</v>
      </c>
      <c r="AB1793" s="54">
        <f>STOCK[[#This Row],[Stock Actual]]*STOCK[[#This Row],[Costo total]]</f>
        <v>12</v>
      </c>
      <c r="AC1793" s="75"/>
      <c r="AD1793" s="96"/>
    </row>
    <row r="1794" spans="1:30" s="53" customFormat="1" ht="50" customHeight="1">
      <c r="A1794" s="93" t="s">
        <v>3552</v>
      </c>
      <c r="B1794" s="83"/>
      <c r="C1794" s="53" t="s">
        <v>32</v>
      </c>
      <c r="D1794" s="84" t="s">
        <v>749</v>
      </c>
      <c r="E1794" s="95" t="s">
        <v>3551</v>
      </c>
      <c r="F1794" s="93" t="s">
        <v>1408</v>
      </c>
      <c r="G1794" s="75"/>
      <c r="H1794" s="75">
        <f>STOCK[[#This Row],[Precio Final]]</f>
        <v>30</v>
      </c>
      <c r="I1794" s="80">
        <f>STOCK[[#This Row],[Precio Venta Ideal (x1.5)]]</f>
        <v>18</v>
      </c>
      <c r="J1794" s="93">
        <v>1</v>
      </c>
      <c r="K1794" s="78">
        <f>SUMIFS(VENTAS[Cantidad],VENTAS[Código del producto Vendido],STOCK[[#This Row],[Code]])</f>
        <v>1</v>
      </c>
      <c r="L1794" s="78">
        <f>STOCK[[#This Row],[Entradas]]-STOCK[[#This Row],[Salidas]]</f>
        <v>0</v>
      </c>
      <c r="M1794" s="75">
        <f>STOCK[[#This Row],[Precio Final]]*10%</f>
        <v>3</v>
      </c>
      <c r="N1794" s="54">
        <v>0</v>
      </c>
      <c r="O1794" s="75">
        <v>0</v>
      </c>
      <c r="P1794" s="75">
        <v>9</v>
      </c>
      <c r="Q1794" s="75">
        <v>0</v>
      </c>
      <c r="R1794" s="78">
        <v>0</v>
      </c>
      <c r="S1794" s="75">
        <v>0</v>
      </c>
      <c r="T1794" s="75">
        <f>STOCK[[#This Row],[Costo Unitario (USD)]]+STOCK[[#This Row],[Costo Envío (USD)]]+STOCK[[#This Row],[Comisión 10%]]</f>
        <v>12</v>
      </c>
      <c r="U1794" s="53">
        <f>STOCK[[#This Row],[Costo total]]*1.5</f>
        <v>18</v>
      </c>
      <c r="V1794" s="53">
        <v>30</v>
      </c>
      <c r="W1794" s="75">
        <f>STOCK[[#This Row],[Precio Final]]-STOCK[[#This Row],[Costo total]]</f>
        <v>18</v>
      </c>
      <c r="X1794" s="75">
        <f>STOCK[[#This Row],[Ganancia Unitaria]]*STOCK[[#This Row],[Salidas]]</f>
        <v>18</v>
      </c>
      <c r="Y1794" s="75" t="s">
        <v>3483</v>
      </c>
      <c r="Z1794" s="88"/>
      <c r="AA1794" s="54">
        <f>STOCK[[#This Row],[Costo total]]*STOCK[[#This Row],[Entradas]]</f>
        <v>12</v>
      </c>
      <c r="AB1794" s="54">
        <f>STOCK[[#This Row],[Stock Actual]]*STOCK[[#This Row],[Costo total]]</f>
        <v>0</v>
      </c>
      <c r="AC1794" s="75"/>
      <c r="AD1794" s="96"/>
    </row>
    <row r="1795" spans="1:30" s="53" customFormat="1" ht="50" customHeight="1">
      <c r="A1795" s="93" t="s">
        <v>3553</v>
      </c>
      <c r="B1795" s="83"/>
      <c r="C1795" s="53" t="s">
        <v>32</v>
      </c>
      <c r="D1795" s="84" t="s">
        <v>2626</v>
      </c>
      <c r="E1795" s="95" t="s">
        <v>3554</v>
      </c>
      <c r="F1795" s="93" t="s">
        <v>281</v>
      </c>
      <c r="G1795" s="75"/>
      <c r="H1795" s="75">
        <f>STOCK[[#This Row],[Precio Final]]</f>
        <v>30</v>
      </c>
      <c r="I1795" s="80">
        <f>STOCK[[#This Row],[Precio Venta Ideal (x1.5)]]</f>
        <v>18</v>
      </c>
      <c r="J1795" s="93">
        <v>1</v>
      </c>
      <c r="K1795" s="78">
        <f>SUMIFS(VENTAS[Cantidad],VENTAS[Código del producto Vendido],STOCK[[#This Row],[Code]])</f>
        <v>0</v>
      </c>
      <c r="L1795" s="78">
        <f>STOCK[[#This Row],[Entradas]]-STOCK[[#This Row],[Salidas]]</f>
        <v>1</v>
      </c>
      <c r="M1795" s="75">
        <f>STOCK[[#This Row],[Precio Final]]*10%</f>
        <v>3</v>
      </c>
      <c r="N1795" s="54">
        <v>0</v>
      </c>
      <c r="O1795" s="75">
        <v>0</v>
      </c>
      <c r="P1795" s="75">
        <v>9</v>
      </c>
      <c r="Q1795" s="75">
        <v>0</v>
      </c>
      <c r="R1795" s="78">
        <v>0</v>
      </c>
      <c r="S1795" s="75">
        <v>0</v>
      </c>
      <c r="T1795" s="75">
        <f>STOCK[[#This Row],[Costo Unitario (USD)]]+STOCK[[#This Row],[Costo Envío (USD)]]+STOCK[[#This Row],[Comisión 10%]]</f>
        <v>12</v>
      </c>
      <c r="U1795" s="53">
        <f>STOCK[[#This Row],[Costo total]]*1.5</f>
        <v>18</v>
      </c>
      <c r="V1795" s="53">
        <v>30</v>
      </c>
      <c r="W1795" s="75">
        <f>STOCK[[#This Row],[Precio Final]]-STOCK[[#This Row],[Costo total]]</f>
        <v>18</v>
      </c>
      <c r="X1795" s="75">
        <f>STOCK[[#This Row],[Ganancia Unitaria]]*STOCK[[#This Row],[Salidas]]</f>
        <v>0</v>
      </c>
      <c r="Y1795" s="75" t="s">
        <v>3483</v>
      </c>
      <c r="Z1795" s="88"/>
      <c r="AA1795" s="54">
        <f>STOCK[[#This Row],[Costo total]]*STOCK[[#This Row],[Entradas]]</f>
        <v>12</v>
      </c>
      <c r="AB1795" s="54">
        <f>STOCK[[#This Row],[Stock Actual]]*STOCK[[#This Row],[Costo total]]</f>
        <v>12</v>
      </c>
      <c r="AC1795" s="75"/>
      <c r="AD1795" s="96"/>
    </row>
    <row r="1796" spans="1:30" s="53" customFormat="1" ht="50" customHeight="1">
      <c r="A1796" s="93" t="s">
        <v>3555</v>
      </c>
      <c r="B1796" s="83"/>
      <c r="C1796" s="53" t="s">
        <v>32</v>
      </c>
      <c r="D1796" s="84" t="s">
        <v>779</v>
      </c>
      <c r="E1796" s="95" t="s">
        <v>3556</v>
      </c>
      <c r="F1796" s="93" t="s">
        <v>46</v>
      </c>
      <c r="G1796" s="75"/>
      <c r="H1796" s="75">
        <f>STOCK[[#This Row],[Precio Final]]</f>
        <v>18</v>
      </c>
      <c r="I1796" s="80">
        <f>STOCK[[#This Row],[Precio Venta Ideal (x1.5)]]</f>
        <v>16.200000000000003</v>
      </c>
      <c r="J1796" s="93">
        <v>1</v>
      </c>
      <c r="K1796" s="78">
        <f>SUMIFS(VENTAS[Cantidad],VENTAS[Código del producto Vendido],STOCK[[#This Row],[Code]])</f>
        <v>1</v>
      </c>
      <c r="L1796" s="78">
        <f>STOCK[[#This Row],[Entradas]]-STOCK[[#This Row],[Salidas]]</f>
        <v>0</v>
      </c>
      <c r="M1796" s="75">
        <f>STOCK[[#This Row],[Precio Final]]*10%</f>
        <v>1.8</v>
      </c>
      <c r="N1796" s="54">
        <v>0</v>
      </c>
      <c r="O1796" s="75">
        <v>0</v>
      </c>
      <c r="P1796" s="75">
        <v>9</v>
      </c>
      <c r="Q1796" s="75">
        <v>0</v>
      </c>
      <c r="R1796" s="78">
        <v>0</v>
      </c>
      <c r="S1796" s="75">
        <v>0</v>
      </c>
      <c r="T1796" s="75">
        <f>STOCK[[#This Row],[Costo Unitario (USD)]]+STOCK[[#This Row],[Costo Envío (USD)]]+STOCK[[#This Row],[Comisión 10%]]</f>
        <v>10.8</v>
      </c>
      <c r="U1796" s="53">
        <f>STOCK[[#This Row],[Costo total]]*1.5</f>
        <v>16.200000000000003</v>
      </c>
      <c r="V1796" s="53">
        <v>18</v>
      </c>
      <c r="W1796" s="75">
        <f>STOCK[[#This Row],[Precio Final]]-STOCK[[#This Row],[Costo total]]</f>
        <v>7.1999999999999993</v>
      </c>
      <c r="X1796" s="75">
        <f>STOCK[[#This Row],[Ganancia Unitaria]]*STOCK[[#This Row],[Salidas]]</f>
        <v>7.1999999999999993</v>
      </c>
      <c r="Y1796" s="75" t="s">
        <v>3483</v>
      </c>
      <c r="Z1796" s="88"/>
      <c r="AA1796" s="54">
        <f>STOCK[[#This Row],[Costo total]]*STOCK[[#This Row],[Entradas]]</f>
        <v>10.8</v>
      </c>
      <c r="AB1796" s="54">
        <f>STOCK[[#This Row],[Stock Actual]]*STOCK[[#This Row],[Costo total]]</f>
        <v>0</v>
      </c>
      <c r="AC1796" s="75"/>
      <c r="AD1796" s="96"/>
    </row>
    <row r="1797" spans="1:30" s="53" customFormat="1" ht="50" customHeight="1">
      <c r="A1797" s="93" t="s">
        <v>3557</v>
      </c>
      <c r="B1797" s="83"/>
      <c r="C1797" s="53" t="s">
        <v>32</v>
      </c>
      <c r="D1797" s="84" t="s">
        <v>779</v>
      </c>
      <c r="E1797" s="95" t="s">
        <v>3558</v>
      </c>
      <c r="F1797" s="93" t="s">
        <v>46</v>
      </c>
      <c r="G1797" s="75"/>
      <c r="H1797" s="75">
        <f>STOCK[[#This Row],[Precio Final]]</f>
        <v>30</v>
      </c>
      <c r="I1797" s="80">
        <f>STOCK[[#This Row],[Precio Venta Ideal (x1.5)]]</f>
        <v>18</v>
      </c>
      <c r="J1797" s="93">
        <v>1</v>
      </c>
      <c r="K1797" s="78">
        <f>SUMIFS(VENTAS[Cantidad],VENTAS[Código del producto Vendido],STOCK[[#This Row],[Code]])</f>
        <v>0</v>
      </c>
      <c r="L1797" s="78">
        <f>STOCK[[#This Row],[Entradas]]-STOCK[[#This Row],[Salidas]]</f>
        <v>1</v>
      </c>
      <c r="M1797" s="75">
        <f>STOCK[[#This Row],[Precio Final]]*10%</f>
        <v>3</v>
      </c>
      <c r="N1797" s="54">
        <v>0</v>
      </c>
      <c r="O1797" s="75">
        <v>0</v>
      </c>
      <c r="P1797" s="75">
        <v>9</v>
      </c>
      <c r="Q1797" s="75">
        <v>0</v>
      </c>
      <c r="R1797" s="78">
        <v>0</v>
      </c>
      <c r="S1797" s="75">
        <v>0</v>
      </c>
      <c r="T1797" s="75">
        <f>STOCK[[#This Row],[Costo Unitario (USD)]]+STOCK[[#This Row],[Costo Envío (USD)]]+STOCK[[#This Row],[Comisión 10%]]</f>
        <v>12</v>
      </c>
      <c r="U1797" s="53">
        <f>STOCK[[#This Row],[Costo total]]*1.5</f>
        <v>18</v>
      </c>
      <c r="V1797" s="53">
        <v>30</v>
      </c>
      <c r="W1797" s="75">
        <f>STOCK[[#This Row],[Precio Final]]-STOCK[[#This Row],[Costo total]]</f>
        <v>18</v>
      </c>
      <c r="X1797" s="75">
        <f>STOCK[[#This Row],[Ganancia Unitaria]]*STOCK[[#This Row],[Salidas]]</f>
        <v>0</v>
      </c>
      <c r="Y1797" s="75" t="s">
        <v>3483</v>
      </c>
      <c r="Z1797" s="88"/>
      <c r="AA1797" s="54">
        <f>STOCK[[#This Row],[Costo total]]*STOCK[[#This Row],[Entradas]]</f>
        <v>12</v>
      </c>
      <c r="AB1797" s="54">
        <f>STOCK[[#This Row],[Stock Actual]]*STOCK[[#This Row],[Costo total]]</f>
        <v>12</v>
      </c>
      <c r="AC1797" s="75"/>
      <c r="AD1797" s="96"/>
    </row>
    <row r="1798" spans="1:30" s="53" customFormat="1" ht="50" customHeight="1">
      <c r="A1798" s="93" t="s">
        <v>3559</v>
      </c>
      <c r="B1798" s="83"/>
      <c r="C1798" s="53" t="s">
        <v>32</v>
      </c>
      <c r="D1798" s="84" t="s">
        <v>779</v>
      </c>
      <c r="E1798" s="95" t="s">
        <v>3560</v>
      </c>
      <c r="F1798" s="93" t="s">
        <v>46</v>
      </c>
      <c r="G1798" s="75"/>
      <c r="H1798" s="75">
        <f>STOCK[[#This Row],[Precio Final]]</f>
        <v>15</v>
      </c>
      <c r="I1798" s="80">
        <f>STOCK[[#This Row],[Precio Venta Ideal (x1.5)]]</f>
        <v>15.75</v>
      </c>
      <c r="J1798" s="93">
        <v>1</v>
      </c>
      <c r="K1798" s="78">
        <f>SUMIFS(VENTAS[Cantidad],VENTAS[Código del producto Vendido],STOCK[[#This Row],[Code]])</f>
        <v>0</v>
      </c>
      <c r="L1798" s="78">
        <f>STOCK[[#This Row],[Entradas]]-STOCK[[#This Row],[Salidas]]</f>
        <v>1</v>
      </c>
      <c r="M1798" s="75">
        <f>STOCK[[#This Row],[Precio Final]]*10%</f>
        <v>1.5</v>
      </c>
      <c r="N1798" s="54">
        <v>0</v>
      </c>
      <c r="O1798" s="75">
        <v>0</v>
      </c>
      <c r="P1798" s="75">
        <v>9</v>
      </c>
      <c r="Q1798" s="75">
        <v>0</v>
      </c>
      <c r="R1798" s="78">
        <v>0</v>
      </c>
      <c r="S1798" s="75">
        <v>0</v>
      </c>
      <c r="T1798" s="75">
        <f>STOCK[[#This Row],[Costo Unitario (USD)]]+STOCK[[#This Row],[Costo Envío (USD)]]+STOCK[[#This Row],[Comisión 10%]]</f>
        <v>10.5</v>
      </c>
      <c r="U1798" s="53">
        <f>STOCK[[#This Row],[Costo total]]*1.5</f>
        <v>15.75</v>
      </c>
      <c r="V1798" s="53">
        <v>15</v>
      </c>
      <c r="W1798" s="75">
        <f>STOCK[[#This Row],[Precio Final]]-STOCK[[#This Row],[Costo total]]</f>
        <v>4.5</v>
      </c>
      <c r="X1798" s="75">
        <f>STOCK[[#This Row],[Ganancia Unitaria]]*STOCK[[#This Row],[Salidas]]</f>
        <v>0</v>
      </c>
      <c r="Y1798" s="75" t="s">
        <v>3483</v>
      </c>
      <c r="Z1798" s="88"/>
      <c r="AA1798" s="54">
        <f>STOCK[[#This Row],[Costo total]]*STOCK[[#This Row],[Entradas]]</f>
        <v>10.5</v>
      </c>
      <c r="AB1798" s="54">
        <f>STOCK[[#This Row],[Stock Actual]]*STOCK[[#This Row],[Costo total]]</f>
        <v>10.5</v>
      </c>
      <c r="AC1798" s="75"/>
      <c r="AD1798" s="96"/>
    </row>
    <row r="1799" spans="1:30" s="53" customFormat="1" ht="50" customHeight="1">
      <c r="A1799" s="93" t="s">
        <v>3561</v>
      </c>
      <c r="B1799" s="83"/>
      <c r="C1799" s="53" t="s">
        <v>32</v>
      </c>
      <c r="D1799" s="84" t="s">
        <v>1388</v>
      </c>
      <c r="E1799" s="95" t="s">
        <v>3562</v>
      </c>
      <c r="F1799" s="93" t="s">
        <v>3563</v>
      </c>
      <c r="G1799" s="75"/>
      <c r="H1799" s="75">
        <f>STOCK[[#This Row],[Precio Final]]</f>
        <v>15</v>
      </c>
      <c r="I1799" s="80">
        <f>STOCK[[#This Row],[Precio Venta Ideal (x1.5)]]</f>
        <v>15.75</v>
      </c>
      <c r="J1799" s="93">
        <v>1</v>
      </c>
      <c r="K1799" s="78">
        <f>SUMIFS(VENTAS[Cantidad],VENTAS[Código del producto Vendido],STOCK[[#This Row],[Code]])</f>
        <v>1</v>
      </c>
      <c r="L1799" s="78">
        <f>STOCK[[#This Row],[Entradas]]-STOCK[[#This Row],[Salidas]]</f>
        <v>0</v>
      </c>
      <c r="M1799" s="75">
        <f>STOCK[[#This Row],[Precio Final]]*10%</f>
        <v>1.5</v>
      </c>
      <c r="N1799" s="54">
        <v>0</v>
      </c>
      <c r="O1799" s="75">
        <v>0</v>
      </c>
      <c r="P1799" s="75">
        <v>9</v>
      </c>
      <c r="Q1799" s="75">
        <v>0</v>
      </c>
      <c r="R1799" s="78">
        <v>0</v>
      </c>
      <c r="S1799" s="75">
        <v>0</v>
      </c>
      <c r="T1799" s="75">
        <f>STOCK[[#This Row],[Costo Unitario (USD)]]+STOCK[[#This Row],[Costo Envío (USD)]]+STOCK[[#This Row],[Comisión 10%]]</f>
        <v>10.5</v>
      </c>
      <c r="U1799" s="53">
        <f>STOCK[[#This Row],[Costo total]]*1.5</f>
        <v>15.75</v>
      </c>
      <c r="V1799" s="53">
        <v>15</v>
      </c>
      <c r="W1799" s="75">
        <f>STOCK[[#This Row],[Precio Final]]-STOCK[[#This Row],[Costo total]]</f>
        <v>4.5</v>
      </c>
      <c r="X1799" s="75">
        <f>STOCK[[#This Row],[Ganancia Unitaria]]*STOCK[[#This Row],[Salidas]]</f>
        <v>4.5</v>
      </c>
      <c r="Y1799" s="75" t="s">
        <v>3483</v>
      </c>
      <c r="Z1799" s="88"/>
      <c r="AA1799" s="54">
        <f>STOCK[[#This Row],[Costo total]]*STOCK[[#This Row],[Entradas]]</f>
        <v>10.5</v>
      </c>
      <c r="AB1799" s="54">
        <f>STOCK[[#This Row],[Stock Actual]]*STOCK[[#This Row],[Costo total]]</f>
        <v>0</v>
      </c>
      <c r="AC1799" s="75"/>
      <c r="AD1799" s="96"/>
    </row>
    <row r="1800" spans="1:30" s="53" customFormat="1" ht="50" customHeight="1">
      <c r="A1800" s="93" t="s">
        <v>3564</v>
      </c>
      <c r="B1800" s="83"/>
      <c r="C1800" s="53" t="s">
        <v>32</v>
      </c>
      <c r="D1800" s="84" t="s">
        <v>779</v>
      </c>
      <c r="E1800" s="95" t="s">
        <v>3565</v>
      </c>
      <c r="F1800" s="93" t="s">
        <v>49</v>
      </c>
      <c r="G1800" s="75"/>
      <c r="H1800" s="75">
        <f>STOCK[[#This Row],[Precio Final]]</f>
        <v>15</v>
      </c>
      <c r="I1800" s="80">
        <f>STOCK[[#This Row],[Precio Venta Ideal (x1.5)]]</f>
        <v>15.75</v>
      </c>
      <c r="J1800" s="93">
        <v>1</v>
      </c>
      <c r="K1800" s="78">
        <f>SUMIFS(VENTAS[Cantidad],VENTAS[Código del producto Vendido],STOCK[[#This Row],[Code]])</f>
        <v>0</v>
      </c>
      <c r="L1800" s="78">
        <f>STOCK[[#This Row],[Entradas]]-STOCK[[#This Row],[Salidas]]</f>
        <v>1</v>
      </c>
      <c r="M1800" s="75">
        <f>STOCK[[#This Row],[Precio Final]]*10%</f>
        <v>1.5</v>
      </c>
      <c r="N1800" s="54">
        <v>0</v>
      </c>
      <c r="O1800" s="75">
        <v>0</v>
      </c>
      <c r="P1800" s="75">
        <v>9</v>
      </c>
      <c r="Q1800" s="75">
        <v>0</v>
      </c>
      <c r="R1800" s="78">
        <v>0</v>
      </c>
      <c r="S1800" s="75">
        <v>0</v>
      </c>
      <c r="T1800" s="75">
        <f>STOCK[[#This Row],[Costo Unitario (USD)]]+STOCK[[#This Row],[Costo Envío (USD)]]+STOCK[[#This Row],[Comisión 10%]]</f>
        <v>10.5</v>
      </c>
      <c r="U1800" s="53">
        <f>STOCK[[#This Row],[Costo total]]*1.5</f>
        <v>15.75</v>
      </c>
      <c r="V1800" s="53">
        <v>15</v>
      </c>
      <c r="W1800" s="75">
        <f>STOCK[[#This Row],[Precio Final]]-STOCK[[#This Row],[Costo total]]</f>
        <v>4.5</v>
      </c>
      <c r="X1800" s="75">
        <f>STOCK[[#This Row],[Ganancia Unitaria]]*STOCK[[#This Row],[Salidas]]</f>
        <v>0</v>
      </c>
      <c r="Y1800" s="75" t="s">
        <v>3483</v>
      </c>
      <c r="Z1800" s="88"/>
      <c r="AA1800" s="54">
        <f>STOCK[[#This Row],[Costo total]]*STOCK[[#This Row],[Entradas]]</f>
        <v>10.5</v>
      </c>
      <c r="AB1800" s="54">
        <f>STOCK[[#This Row],[Stock Actual]]*STOCK[[#This Row],[Costo total]]</f>
        <v>10.5</v>
      </c>
      <c r="AC1800" s="75"/>
      <c r="AD1800" s="96"/>
    </row>
    <row r="1801" spans="1:30" s="53" customFormat="1" ht="50" customHeight="1">
      <c r="A1801" s="93" t="s">
        <v>3566</v>
      </c>
      <c r="B1801" s="83"/>
      <c r="C1801" s="53" t="s">
        <v>32</v>
      </c>
      <c r="D1801" s="84" t="s">
        <v>779</v>
      </c>
      <c r="E1801" s="95" t="s">
        <v>3567</v>
      </c>
      <c r="F1801" s="93" t="s">
        <v>62</v>
      </c>
      <c r="G1801" s="75"/>
      <c r="H1801" s="75">
        <f>STOCK[[#This Row],[Precio Final]]</f>
        <v>15</v>
      </c>
      <c r="I1801" s="80">
        <f>STOCK[[#This Row],[Precio Venta Ideal (x1.5)]]</f>
        <v>15.75</v>
      </c>
      <c r="J1801" s="93">
        <v>1</v>
      </c>
      <c r="K1801" s="78">
        <f>SUMIFS(VENTAS[Cantidad],VENTAS[Código del producto Vendido],STOCK[[#This Row],[Code]])</f>
        <v>1</v>
      </c>
      <c r="L1801" s="78">
        <f>STOCK[[#This Row],[Entradas]]-STOCK[[#This Row],[Salidas]]</f>
        <v>0</v>
      </c>
      <c r="M1801" s="75">
        <f>STOCK[[#This Row],[Precio Final]]*10%</f>
        <v>1.5</v>
      </c>
      <c r="N1801" s="54">
        <v>0</v>
      </c>
      <c r="O1801" s="75">
        <v>0</v>
      </c>
      <c r="P1801" s="75">
        <v>9</v>
      </c>
      <c r="Q1801" s="75">
        <v>0</v>
      </c>
      <c r="R1801" s="78">
        <v>0</v>
      </c>
      <c r="S1801" s="75">
        <v>0</v>
      </c>
      <c r="T1801" s="75">
        <f>STOCK[[#This Row],[Costo Unitario (USD)]]+STOCK[[#This Row],[Costo Envío (USD)]]+STOCK[[#This Row],[Comisión 10%]]</f>
        <v>10.5</v>
      </c>
      <c r="U1801" s="53">
        <f>STOCK[[#This Row],[Costo total]]*1.5</f>
        <v>15.75</v>
      </c>
      <c r="V1801" s="53">
        <v>15</v>
      </c>
      <c r="W1801" s="75">
        <f>STOCK[[#This Row],[Precio Final]]-STOCK[[#This Row],[Costo total]]</f>
        <v>4.5</v>
      </c>
      <c r="X1801" s="75">
        <f>STOCK[[#This Row],[Ganancia Unitaria]]*STOCK[[#This Row],[Salidas]]</f>
        <v>4.5</v>
      </c>
      <c r="Y1801" s="75" t="s">
        <v>3483</v>
      </c>
      <c r="Z1801" s="88"/>
      <c r="AA1801" s="54">
        <f>STOCK[[#This Row],[Costo total]]*STOCK[[#This Row],[Entradas]]</f>
        <v>10.5</v>
      </c>
      <c r="AB1801" s="54">
        <f>STOCK[[#This Row],[Stock Actual]]*STOCK[[#This Row],[Costo total]]</f>
        <v>0</v>
      </c>
      <c r="AC1801" s="75"/>
      <c r="AD1801" s="96"/>
    </row>
    <row r="1802" spans="1:30" s="53" customFormat="1" ht="50" customHeight="1">
      <c r="A1802" s="93" t="s">
        <v>3568</v>
      </c>
      <c r="B1802" s="83"/>
      <c r="C1802" s="53" t="s">
        <v>32</v>
      </c>
      <c r="D1802" s="84" t="s">
        <v>779</v>
      </c>
      <c r="E1802" s="95" t="s">
        <v>3569</v>
      </c>
      <c r="F1802" s="93" t="s">
        <v>46</v>
      </c>
      <c r="G1802" s="75"/>
      <c r="H1802" s="75">
        <f>STOCK[[#This Row],[Precio Final]]</f>
        <v>15</v>
      </c>
      <c r="I1802" s="80">
        <f>STOCK[[#This Row],[Precio Venta Ideal (x1.5)]]</f>
        <v>15.75</v>
      </c>
      <c r="J1802" s="93">
        <v>1</v>
      </c>
      <c r="K1802" s="78">
        <f>SUMIFS(VENTAS[Cantidad],VENTAS[Código del producto Vendido],STOCK[[#This Row],[Code]])</f>
        <v>0</v>
      </c>
      <c r="L1802" s="78">
        <f>STOCK[[#This Row],[Entradas]]-STOCK[[#This Row],[Salidas]]</f>
        <v>1</v>
      </c>
      <c r="M1802" s="75">
        <f>STOCK[[#This Row],[Precio Final]]*10%</f>
        <v>1.5</v>
      </c>
      <c r="N1802" s="54">
        <v>0</v>
      </c>
      <c r="O1802" s="75">
        <v>0</v>
      </c>
      <c r="P1802" s="75">
        <v>9</v>
      </c>
      <c r="Q1802" s="75">
        <v>0</v>
      </c>
      <c r="R1802" s="78">
        <v>0</v>
      </c>
      <c r="S1802" s="75">
        <v>0</v>
      </c>
      <c r="T1802" s="75">
        <f>STOCK[[#This Row],[Costo Unitario (USD)]]+STOCK[[#This Row],[Costo Envío (USD)]]+STOCK[[#This Row],[Comisión 10%]]</f>
        <v>10.5</v>
      </c>
      <c r="U1802" s="53">
        <f>STOCK[[#This Row],[Costo total]]*1.5</f>
        <v>15.75</v>
      </c>
      <c r="V1802" s="53">
        <v>15</v>
      </c>
      <c r="W1802" s="75">
        <f>STOCK[[#This Row],[Precio Final]]-STOCK[[#This Row],[Costo total]]</f>
        <v>4.5</v>
      </c>
      <c r="X1802" s="75">
        <f>STOCK[[#This Row],[Ganancia Unitaria]]*STOCK[[#This Row],[Salidas]]</f>
        <v>0</v>
      </c>
      <c r="Y1802" s="75" t="s">
        <v>3483</v>
      </c>
      <c r="Z1802" s="88"/>
      <c r="AA1802" s="54">
        <f>STOCK[[#This Row],[Costo total]]*STOCK[[#This Row],[Entradas]]</f>
        <v>10.5</v>
      </c>
      <c r="AB1802" s="54">
        <f>STOCK[[#This Row],[Stock Actual]]*STOCK[[#This Row],[Costo total]]</f>
        <v>10.5</v>
      </c>
      <c r="AC1802" s="75"/>
      <c r="AD1802" s="96"/>
    </row>
    <row r="1803" spans="1:30" s="53" customFormat="1" ht="50" customHeight="1">
      <c r="A1803" s="93" t="s">
        <v>3570</v>
      </c>
      <c r="B1803" s="83"/>
      <c r="C1803" s="53" t="s">
        <v>32</v>
      </c>
      <c r="D1803" s="84" t="s">
        <v>779</v>
      </c>
      <c r="E1803" s="95" t="s">
        <v>3571</v>
      </c>
      <c r="F1803" s="93" t="s">
        <v>716</v>
      </c>
      <c r="G1803" s="75"/>
      <c r="H1803" s="75">
        <f>STOCK[[#This Row],[Precio Final]]</f>
        <v>15</v>
      </c>
      <c r="I1803" s="80">
        <f>STOCK[[#This Row],[Precio Venta Ideal (x1.5)]]</f>
        <v>15.75</v>
      </c>
      <c r="J1803" s="93">
        <v>1</v>
      </c>
      <c r="K1803" s="78">
        <f>SUMIFS(VENTAS[Cantidad],VENTAS[Código del producto Vendido],STOCK[[#This Row],[Code]])</f>
        <v>0</v>
      </c>
      <c r="L1803" s="78">
        <f>STOCK[[#This Row],[Entradas]]-STOCK[[#This Row],[Salidas]]</f>
        <v>1</v>
      </c>
      <c r="M1803" s="75">
        <f>STOCK[[#This Row],[Precio Final]]*10%</f>
        <v>1.5</v>
      </c>
      <c r="N1803" s="54">
        <v>0</v>
      </c>
      <c r="O1803" s="75">
        <v>0</v>
      </c>
      <c r="P1803" s="75">
        <v>9</v>
      </c>
      <c r="Q1803" s="75">
        <v>0</v>
      </c>
      <c r="R1803" s="78">
        <v>0</v>
      </c>
      <c r="S1803" s="75">
        <v>0</v>
      </c>
      <c r="T1803" s="75">
        <f>STOCK[[#This Row],[Costo Unitario (USD)]]+STOCK[[#This Row],[Costo Envío (USD)]]+STOCK[[#This Row],[Comisión 10%]]</f>
        <v>10.5</v>
      </c>
      <c r="U1803" s="53">
        <f>STOCK[[#This Row],[Costo total]]*1.5</f>
        <v>15.75</v>
      </c>
      <c r="V1803" s="53">
        <v>15</v>
      </c>
      <c r="W1803" s="75">
        <f>STOCK[[#This Row],[Precio Final]]-STOCK[[#This Row],[Costo total]]</f>
        <v>4.5</v>
      </c>
      <c r="X1803" s="75">
        <f>STOCK[[#This Row],[Ganancia Unitaria]]*STOCK[[#This Row],[Salidas]]</f>
        <v>0</v>
      </c>
      <c r="Y1803" s="75" t="s">
        <v>3483</v>
      </c>
      <c r="Z1803" s="88"/>
      <c r="AA1803" s="54">
        <f>STOCK[[#This Row],[Costo total]]*STOCK[[#This Row],[Entradas]]</f>
        <v>10.5</v>
      </c>
      <c r="AB1803" s="54">
        <f>STOCK[[#This Row],[Stock Actual]]*STOCK[[#This Row],[Costo total]]</f>
        <v>10.5</v>
      </c>
      <c r="AC1803" s="75"/>
      <c r="AD1803" s="96"/>
    </row>
    <row r="1804" spans="1:30" s="53" customFormat="1" ht="50" customHeight="1">
      <c r="A1804" s="93" t="s">
        <v>3572</v>
      </c>
      <c r="B1804" s="83"/>
      <c r="C1804" s="53" t="s">
        <v>32</v>
      </c>
      <c r="D1804" s="84" t="s">
        <v>779</v>
      </c>
      <c r="E1804" s="95" t="s">
        <v>3573</v>
      </c>
      <c r="F1804" s="93" t="s">
        <v>40</v>
      </c>
      <c r="G1804" s="75"/>
      <c r="H1804" s="75">
        <f>STOCK[[#This Row],[Precio Final]]</f>
        <v>25</v>
      </c>
      <c r="I1804" s="80">
        <f>STOCK[[#This Row],[Precio Venta Ideal (x1.5)]]</f>
        <v>17.25</v>
      </c>
      <c r="J1804" s="93">
        <v>1</v>
      </c>
      <c r="K1804" s="78">
        <f>SUMIFS(VENTAS[Cantidad],VENTAS[Código del producto Vendido],STOCK[[#This Row],[Code]])</f>
        <v>1</v>
      </c>
      <c r="L1804" s="78">
        <f>STOCK[[#This Row],[Entradas]]-STOCK[[#This Row],[Salidas]]</f>
        <v>0</v>
      </c>
      <c r="M1804" s="75">
        <f>STOCK[[#This Row],[Precio Final]]*10%</f>
        <v>2.5</v>
      </c>
      <c r="N1804" s="54">
        <v>0</v>
      </c>
      <c r="O1804" s="75">
        <v>0</v>
      </c>
      <c r="P1804" s="75">
        <v>9</v>
      </c>
      <c r="Q1804" s="75">
        <v>0</v>
      </c>
      <c r="R1804" s="78">
        <v>0</v>
      </c>
      <c r="S1804" s="75">
        <v>0</v>
      </c>
      <c r="T1804" s="75">
        <f>STOCK[[#This Row],[Costo Unitario (USD)]]+STOCK[[#This Row],[Costo Envío (USD)]]+STOCK[[#This Row],[Comisión 10%]]</f>
        <v>11.5</v>
      </c>
      <c r="U1804" s="53">
        <f>STOCK[[#This Row],[Costo total]]*1.5</f>
        <v>17.25</v>
      </c>
      <c r="V1804" s="53">
        <v>25</v>
      </c>
      <c r="W1804" s="75">
        <f>STOCK[[#This Row],[Precio Final]]-STOCK[[#This Row],[Costo total]]</f>
        <v>13.5</v>
      </c>
      <c r="X1804" s="75">
        <f>STOCK[[#This Row],[Ganancia Unitaria]]*STOCK[[#This Row],[Salidas]]</f>
        <v>13.5</v>
      </c>
      <c r="Y1804" s="75" t="s">
        <v>3483</v>
      </c>
      <c r="Z1804" s="88"/>
      <c r="AA1804" s="54">
        <f>STOCK[[#This Row],[Costo total]]*STOCK[[#This Row],[Entradas]]</f>
        <v>11.5</v>
      </c>
      <c r="AB1804" s="54">
        <f>STOCK[[#This Row],[Stock Actual]]*STOCK[[#This Row],[Costo total]]</f>
        <v>0</v>
      </c>
      <c r="AC1804" s="75"/>
      <c r="AD1804" s="96"/>
    </row>
    <row r="1805" spans="1:30" s="53" customFormat="1" ht="50" customHeight="1">
      <c r="A1805" s="93" t="s">
        <v>3574</v>
      </c>
      <c r="B1805" s="83"/>
      <c r="C1805" s="53" t="s">
        <v>32</v>
      </c>
      <c r="D1805" s="84" t="s">
        <v>749</v>
      </c>
      <c r="E1805" s="95" t="s">
        <v>3575</v>
      </c>
      <c r="F1805" s="93" t="s">
        <v>281</v>
      </c>
      <c r="G1805" s="75"/>
      <c r="H1805" s="75">
        <f>STOCK[[#This Row],[Precio Final]]</f>
        <v>35</v>
      </c>
      <c r="I1805" s="80">
        <f>STOCK[[#This Row],[Precio Venta Ideal (x1.5)]]</f>
        <v>18.75</v>
      </c>
      <c r="J1805" s="93">
        <v>1</v>
      </c>
      <c r="K1805" s="78">
        <f>SUMIFS(VENTAS[Cantidad],VENTAS[Código del producto Vendido],STOCK[[#This Row],[Code]])</f>
        <v>1</v>
      </c>
      <c r="L1805" s="78">
        <f>STOCK[[#This Row],[Entradas]]-STOCK[[#This Row],[Salidas]]</f>
        <v>0</v>
      </c>
      <c r="M1805" s="75">
        <f>STOCK[[#This Row],[Precio Final]]*10%</f>
        <v>3.5</v>
      </c>
      <c r="N1805" s="54">
        <v>0</v>
      </c>
      <c r="O1805" s="75">
        <v>0</v>
      </c>
      <c r="P1805" s="75">
        <v>9</v>
      </c>
      <c r="Q1805" s="75">
        <v>0</v>
      </c>
      <c r="R1805" s="78">
        <v>0</v>
      </c>
      <c r="S1805" s="75">
        <v>0</v>
      </c>
      <c r="T1805" s="75">
        <f>STOCK[[#This Row],[Costo Unitario (USD)]]+STOCK[[#This Row],[Costo Envío (USD)]]+STOCK[[#This Row],[Comisión 10%]]</f>
        <v>12.5</v>
      </c>
      <c r="U1805" s="53">
        <f>STOCK[[#This Row],[Costo total]]*1.5</f>
        <v>18.75</v>
      </c>
      <c r="V1805" s="53">
        <v>35</v>
      </c>
      <c r="W1805" s="75">
        <f>STOCK[[#This Row],[Precio Final]]-STOCK[[#This Row],[Costo total]]</f>
        <v>22.5</v>
      </c>
      <c r="X1805" s="75">
        <f>STOCK[[#This Row],[Ganancia Unitaria]]*STOCK[[#This Row],[Salidas]]</f>
        <v>22.5</v>
      </c>
      <c r="Y1805" s="75" t="s">
        <v>3483</v>
      </c>
      <c r="Z1805" s="88"/>
      <c r="AA1805" s="54">
        <f>STOCK[[#This Row],[Costo total]]*STOCK[[#This Row],[Entradas]]</f>
        <v>12.5</v>
      </c>
      <c r="AB1805" s="54">
        <f>STOCK[[#This Row],[Stock Actual]]*STOCK[[#This Row],[Costo total]]</f>
        <v>0</v>
      </c>
      <c r="AC1805" s="75"/>
      <c r="AD1805" s="96"/>
    </row>
    <row r="1806" spans="1:30" s="53" customFormat="1" ht="50" customHeight="1">
      <c r="A1806" s="93" t="s">
        <v>3576</v>
      </c>
      <c r="B1806" s="83"/>
      <c r="C1806" s="53" t="s">
        <v>32</v>
      </c>
      <c r="D1806" s="84" t="s">
        <v>749</v>
      </c>
      <c r="E1806" s="95" t="s">
        <v>3577</v>
      </c>
      <c r="F1806" s="93" t="s">
        <v>42</v>
      </c>
      <c r="G1806" s="75"/>
      <c r="H1806" s="75">
        <f>STOCK[[#This Row],[Precio Final]]</f>
        <v>15</v>
      </c>
      <c r="I1806" s="80">
        <f>STOCK[[#This Row],[Precio Venta Ideal (x1.5)]]</f>
        <v>15.75</v>
      </c>
      <c r="J1806" s="93">
        <v>1</v>
      </c>
      <c r="K1806" s="78">
        <f>SUMIFS(VENTAS[Cantidad],VENTAS[Código del producto Vendido],STOCK[[#This Row],[Code]])</f>
        <v>0</v>
      </c>
      <c r="L1806" s="78">
        <f>STOCK[[#This Row],[Entradas]]-STOCK[[#This Row],[Salidas]]</f>
        <v>1</v>
      </c>
      <c r="M1806" s="75">
        <f>STOCK[[#This Row],[Precio Final]]*10%</f>
        <v>1.5</v>
      </c>
      <c r="N1806" s="54">
        <v>0</v>
      </c>
      <c r="O1806" s="75">
        <v>0</v>
      </c>
      <c r="P1806" s="75">
        <v>9</v>
      </c>
      <c r="Q1806" s="75">
        <v>0</v>
      </c>
      <c r="R1806" s="78">
        <v>0</v>
      </c>
      <c r="S1806" s="75">
        <v>0</v>
      </c>
      <c r="T1806" s="75">
        <f>STOCK[[#This Row],[Costo Unitario (USD)]]+STOCK[[#This Row],[Costo Envío (USD)]]+STOCK[[#This Row],[Comisión 10%]]</f>
        <v>10.5</v>
      </c>
      <c r="U1806" s="53">
        <f>STOCK[[#This Row],[Costo total]]*1.5</f>
        <v>15.75</v>
      </c>
      <c r="V1806" s="53">
        <v>15</v>
      </c>
      <c r="W1806" s="75">
        <f>STOCK[[#This Row],[Precio Final]]-STOCK[[#This Row],[Costo total]]</f>
        <v>4.5</v>
      </c>
      <c r="X1806" s="75">
        <f>STOCK[[#This Row],[Ganancia Unitaria]]*STOCK[[#This Row],[Salidas]]</f>
        <v>0</v>
      </c>
      <c r="Y1806" s="75" t="s">
        <v>3483</v>
      </c>
      <c r="Z1806" s="88"/>
      <c r="AA1806" s="54">
        <f>STOCK[[#This Row],[Costo total]]*STOCK[[#This Row],[Entradas]]</f>
        <v>10.5</v>
      </c>
      <c r="AB1806" s="54">
        <f>STOCK[[#This Row],[Stock Actual]]*STOCK[[#This Row],[Costo total]]</f>
        <v>10.5</v>
      </c>
      <c r="AC1806" s="75"/>
      <c r="AD1806" s="96"/>
    </row>
    <row r="1807" spans="1:30" s="53" customFormat="1" ht="50" customHeight="1">
      <c r="A1807" s="93" t="s">
        <v>3578</v>
      </c>
      <c r="B1807" s="83"/>
      <c r="C1807" s="53" t="s">
        <v>32</v>
      </c>
      <c r="D1807" s="84" t="s">
        <v>749</v>
      </c>
      <c r="E1807" s="95" t="s">
        <v>3579</v>
      </c>
      <c r="F1807" s="93" t="s">
        <v>49</v>
      </c>
      <c r="G1807" s="75"/>
      <c r="H1807" s="75">
        <f>STOCK[[#This Row],[Precio Final]]</f>
        <v>15</v>
      </c>
      <c r="I1807" s="80">
        <f>STOCK[[#This Row],[Precio Venta Ideal (x1.5)]]</f>
        <v>15.75</v>
      </c>
      <c r="J1807" s="93">
        <v>1</v>
      </c>
      <c r="K1807" s="78">
        <f>SUMIFS(VENTAS[Cantidad],VENTAS[Código del producto Vendido],STOCK[[#This Row],[Code]])</f>
        <v>1</v>
      </c>
      <c r="L1807" s="78">
        <f>STOCK[[#This Row],[Entradas]]-STOCK[[#This Row],[Salidas]]</f>
        <v>0</v>
      </c>
      <c r="M1807" s="75">
        <f>STOCK[[#This Row],[Precio Final]]*10%</f>
        <v>1.5</v>
      </c>
      <c r="N1807" s="54">
        <v>0</v>
      </c>
      <c r="O1807" s="75">
        <v>0</v>
      </c>
      <c r="P1807" s="75">
        <v>9</v>
      </c>
      <c r="Q1807" s="75">
        <v>0</v>
      </c>
      <c r="R1807" s="78">
        <v>0</v>
      </c>
      <c r="S1807" s="75">
        <v>0</v>
      </c>
      <c r="T1807" s="75">
        <f>STOCK[[#This Row],[Costo Unitario (USD)]]+STOCK[[#This Row],[Costo Envío (USD)]]+STOCK[[#This Row],[Comisión 10%]]</f>
        <v>10.5</v>
      </c>
      <c r="U1807" s="53">
        <f>STOCK[[#This Row],[Costo total]]*1.5</f>
        <v>15.75</v>
      </c>
      <c r="V1807" s="53">
        <v>15</v>
      </c>
      <c r="W1807" s="75">
        <f>STOCK[[#This Row],[Precio Final]]-STOCK[[#This Row],[Costo total]]</f>
        <v>4.5</v>
      </c>
      <c r="X1807" s="75">
        <f>STOCK[[#This Row],[Ganancia Unitaria]]*STOCK[[#This Row],[Salidas]]</f>
        <v>4.5</v>
      </c>
      <c r="Y1807" s="75" t="s">
        <v>3483</v>
      </c>
      <c r="Z1807" s="88"/>
      <c r="AA1807" s="54">
        <f>STOCK[[#This Row],[Costo total]]*STOCK[[#This Row],[Entradas]]</f>
        <v>10.5</v>
      </c>
      <c r="AB1807" s="54">
        <f>STOCK[[#This Row],[Stock Actual]]*STOCK[[#This Row],[Costo total]]</f>
        <v>0</v>
      </c>
      <c r="AC1807" s="75"/>
      <c r="AD1807" s="96"/>
    </row>
    <row r="1808" spans="1:30" s="53" customFormat="1" ht="50" customHeight="1">
      <c r="A1808" s="93" t="s">
        <v>3580</v>
      </c>
      <c r="B1808" s="83"/>
      <c r="C1808" s="53" t="s">
        <v>32</v>
      </c>
      <c r="D1808" s="84" t="s">
        <v>749</v>
      </c>
      <c r="E1808" s="95" t="s">
        <v>3581</v>
      </c>
      <c r="F1808" s="93" t="s">
        <v>3582</v>
      </c>
      <c r="G1808" s="75"/>
      <c r="H1808" s="75">
        <f>STOCK[[#This Row],[Precio Final]]</f>
        <v>30</v>
      </c>
      <c r="I1808" s="80">
        <f>STOCK[[#This Row],[Precio Venta Ideal (x1.5)]]</f>
        <v>18</v>
      </c>
      <c r="J1808" s="93">
        <v>1</v>
      </c>
      <c r="K1808" s="78">
        <f>SUMIFS(VENTAS[Cantidad],VENTAS[Código del producto Vendido],STOCK[[#This Row],[Code]])</f>
        <v>0</v>
      </c>
      <c r="L1808" s="78">
        <f>STOCK[[#This Row],[Entradas]]-STOCK[[#This Row],[Salidas]]</f>
        <v>1</v>
      </c>
      <c r="M1808" s="75">
        <f>STOCK[[#This Row],[Precio Final]]*10%</f>
        <v>3</v>
      </c>
      <c r="N1808" s="54">
        <v>0</v>
      </c>
      <c r="O1808" s="75">
        <v>0</v>
      </c>
      <c r="P1808" s="75">
        <v>9</v>
      </c>
      <c r="Q1808" s="75">
        <v>0</v>
      </c>
      <c r="R1808" s="78">
        <v>0</v>
      </c>
      <c r="S1808" s="75">
        <v>0</v>
      </c>
      <c r="T1808" s="75">
        <f>STOCK[[#This Row],[Costo Unitario (USD)]]+STOCK[[#This Row],[Costo Envío (USD)]]+STOCK[[#This Row],[Comisión 10%]]</f>
        <v>12</v>
      </c>
      <c r="U1808" s="53">
        <f>STOCK[[#This Row],[Costo total]]*1.5</f>
        <v>18</v>
      </c>
      <c r="V1808" s="53">
        <v>30</v>
      </c>
      <c r="W1808" s="75">
        <f>STOCK[[#This Row],[Precio Final]]-STOCK[[#This Row],[Costo total]]</f>
        <v>18</v>
      </c>
      <c r="X1808" s="75">
        <f>STOCK[[#This Row],[Ganancia Unitaria]]*STOCK[[#This Row],[Salidas]]</f>
        <v>0</v>
      </c>
      <c r="Y1808" s="75" t="s">
        <v>3483</v>
      </c>
      <c r="Z1808" s="88"/>
      <c r="AA1808" s="54">
        <f>STOCK[[#This Row],[Costo total]]*STOCK[[#This Row],[Entradas]]</f>
        <v>12</v>
      </c>
      <c r="AB1808" s="54">
        <f>STOCK[[#This Row],[Stock Actual]]*STOCK[[#This Row],[Costo total]]</f>
        <v>12</v>
      </c>
      <c r="AC1808" s="75"/>
      <c r="AD1808" s="96"/>
    </row>
    <row r="1809" spans="1:30" s="53" customFormat="1" ht="50" customHeight="1">
      <c r="A1809" s="93" t="s">
        <v>3583</v>
      </c>
      <c r="B1809" s="83"/>
      <c r="C1809" s="53" t="s">
        <v>32</v>
      </c>
      <c r="D1809" s="84" t="s">
        <v>749</v>
      </c>
      <c r="E1809" s="95" t="s">
        <v>3584</v>
      </c>
      <c r="F1809" s="93" t="s">
        <v>46</v>
      </c>
      <c r="G1809" s="75"/>
      <c r="H1809" s="75">
        <f>STOCK[[#This Row],[Precio Final]]</f>
        <v>15</v>
      </c>
      <c r="I1809" s="80">
        <f>STOCK[[#This Row],[Precio Venta Ideal (x1.5)]]</f>
        <v>15.75</v>
      </c>
      <c r="J1809" s="93">
        <v>1</v>
      </c>
      <c r="K1809" s="78">
        <f>SUMIFS(VENTAS[Cantidad],VENTAS[Código del producto Vendido],STOCK[[#This Row],[Code]])</f>
        <v>0</v>
      </c>
      <c r="L1809" s="78">
        <f>STOCK[[#This Row],[Entradas]]-STOCK[[#This Row],[Salidas]]</f>
        <v>1</v>
      </c>
      <c r="M1809" s="75">
        <f>STOCK[[#This Row],[Precio Final]]*10%</f>
        <v>1.5</v>
      </c>
      <c r="N1809" s="54">
        <v>0</v>
      </c>
      <c r="O1809" s="75">
        <v>0</v>
      </c>
      <c r="P1809" s="75">
        <v>9</v>
      </c>
      <c r="Q1809" s="75">
        <v>0</v>
      </c>
      <c r="R1809" s="78">
        <v>0</v>
      </c>
      <c r="S1809" s="75">
        <v>0</v>
      </c>
      <c r="T1809" s="75">
        <f>STOCK[[#This Row],[Costo Unitario (USD)]]+STOCK[[#This Row],[Costo Envío (USD)]]+STOCK[[#This Row],[Comisión 10%]]</f>
        <v>10.5</v>
      </c>
      <c r="U1809" s="53">
        <f>STOCK[[#This Row],[Costo total]]*1.5</f>
        <v>15.75</v>
      </c>
      <c r="V1809" s="53">
        <v>15</v>
      </c>
      <c r="W1809" s="75">
        <f>STOCK[[#This Row],[Precio Final]]-STOCK[[#This Row],[Costo total]]</f>
        <v>4.5</v>
      </c>
      <c r="X1809" s="75">
        <f>STOCK[[#This Row],[Ganancia Unitaria]]*STOCK[[#This Row],[Salidas]]</f>
        <v>0</v>
      </c>
      <c r="Y1809" s="75" t="s">
        <v>3483</v>
      </c>
      <c r="Z1809" s="88"/>
      <c r="AA1809" s="54">
        <f>STOCK[[#This Row],[Costo total]]*STOCK[[#This Row],[Entradas]]</f>
        <v>10.5</v>
      </c>
      <c r="AB1809" s="54">
        <f>STOCK[[#This Row],[Stock Actual]]*STOCK[[#This Row],[Costo total]]</f>
        <v>10.5</v>
      </c>
      <c r="AC1809" s="75"/>
      <c r="AD1809" s="96"/>
    </row>
    <row r="1810" spans="1:30" s="53" customFormat="1" ht="50" customHeight="1">
      <c r="A1810" s="93" t="s">
        <v>3585</v>
      </c>
      <c r="B1810" s="83"/>
      <c r="C1810" s="53" t="s">
        <v>32</v>
      </c>
      <c r="D1810" s="84" t="s">
        <v>749</v>
      </c>
      <c r="E1810" s="95" t="s">
        <v>3586</v>
      </c>
      <c r="F1810" s="93" t="s">
        <v>62</v>
      </c>
      <c r="G1810" s="75"/>
      <c r="H1810" s="75">
        <f>STOCK[[#This Row],[Precio Final]]</f>
        <v>20</v>
      </c>
      <c r="I1810" s="80">
        <f>STOCK[[#This Row],[Precio Venta Ideal (x1.5)]]</f>
        <v>16.5</v>
      </c>
      <c r="J1810" s="93">
        <v>1</v>
      </c>
      <c r="K1810" s="78">
        <f>SUMIFS(VENTAS[Cantidad],VENTAS[Código del producto Vendido],STOCK[[#This Row],[Code]])</f>
        <v>0</v>
      </c>
      <c r="L1810" s="78">
        <f>STOCK[[#This Row],[Entradas]]-STOCK[[#This Row],[Salidas]]</f>
        <v>1</v>
      </c>
      <c r="M1810" s="75">
        <f>STOCK[[#This Row],[Precio Final]]*10%</f>
        <v>2</v>
      </c>
      <c r="N1810" s="54">
        <v>0</v>
      </c>
      <c r="O1810" s="75">
        <v>0</v>
      </c>
      <c r="P1810" s="75">
        <v>9</v>
      </c>
      <c r="Q1810" s="75">
        <v>0</v>
      </c>
      <c r="R1810" s="78">
        <v>0</v>
      </c>
      <c r="S1810" s="75">
        <v>0</v>
      </c>
      <c r="T1810" s="75">
        <f>STOCK[[#This Row],[Costo Unitario (USD)]]+STOCK[[#This Row],[Costo Envío (USD)]]+STOCK[[#This Row],[Comisión 10%]]</f>
        <v>11</v>
      </c>
      <c r="U1810" s="53">
        <f>STOCK[[#This Row],[Costo total]]*1.5</f>
        <v>16.5</v>
      </c>
      <c r="V1810" s="53">
        <v>20</v>
      </c>
      <c r="W1810" s="75">
        <f>STOCK[[#This Row],[Precio Final]]-STOCK[[#This Row],[Costo total]]</f>
        <v>9</v>
      </c>
      <c r="X1810" s="75">
        <f>STOCK[[#This Row],[Ganancia Unitaria]]*STOCK[[#This Row],[Salidas]]</f>
        <v>0</v>
      </c>
      <c r="Y1810" s="75" t="s">
        <v>3483</v>
      </c>
      <c r="Z1810" s="88"/>
      <c r="AA1810" s="54">
        <f>STOCK[[#This Row],[Costo total]]*STOCK[[#This Row],[Entradas]]</f>
        <v>11</v>
      </c>
      <c r="AB1810" s="54">
        <f>STOCK[[#This Row],[Stock Actual]]*STOCK[[#This Row],[Costo total]]</f>
        <v>11</v>
      </c>
      <c r="AC1810" s="75"/>
      <c r="AD1810" s="96"/>
    </row>
    <row r="1811" spans="1:30" s="53" customFormat="1" ht="50" customHeight="1">
      <c r="A1811" s="93" t="s">
        <v>3587</v>
      </c>
      <c r="B1811" s="83"/>
      <c r="C1811" s="53" t="s">
        <v>32</v>
      </c>
      <c r="D1811" s="84" t="s">
        <v>749</v>
      </c>
      <c r="E1811" s="95" t="s">
        <v>3588</v>
      </c>
      <c r="F1811" s="93" t="s">
        <v>716</v>
      </c>
      <c r="G1811" s="75"/>
      <c r="H1811" s="75">
        <f>STOCK[[#This Row],[Precio Final]]</f>
        <v>20</v>
      </c>
      <c r="I1811" s="80">
        <f>STOCK[[#This Row],[Precio Venta Ideal (x1.5)]]</f>
        <v>16.5</v>
      </c>
      <c r="J1811" s="93">
        <v>1</v>
      </c>
      <c r="K1811" s="78">
        <f>SUMIFS(VENTAS[Cantidad],VENTAS[Código del producto Vendido],STOCK[[#This Row],[Code]])</f>
        <v>0</v>
      </c>
      <c r="L1811" s="78">
        <f>STOCK[[#This Row],[Entradas]]-STOCK[[#This Row],[Salidas]]</f>
        <v>1</v>
      </c>
      <c r="M1811" s="75">
        <f>STOCK[[#This Row],[Precio Final]]*10%</f>
        <v>2</v>
      </c>
      <c r="N1811" s="54">
        <v>0</v>
      </c>
      <c r="O1811" s="75">
        <v>0</v>
      </c>
      <c r="P1811" s="75">
        <v>9</v>
      </c>
      <c r="Q1811" s="75">
        <v>0</v>
      </c>
      <c r="R1811" s="78">
        <v>0</v>
      </c>
      <c r="S1811" s="75">
        <v>0</v>
      </c>
      <c r="T1811" s="75">
        <f>STOCK[[#This Row],[Costo Unitario (USD)]]+STOCK[[#This Row],[Costo Envío (USD)]]+STOCK[[#This Row],[Comisión 10%]]</f>
        <v>11</v>
      </c>
      <c r="U1811" s="53">
        <f>STOCK[[#This Row],[Costo total]]*1.5</f>
        <v>16.5</v>
      </c>
      <c r="V1811" s="53">
        <v>20</v>
      </c>
      <c r="W1811" s="75">
        <f>STOCK[[#This Row],[Precio Final]]-STOCK[[#This Row],[Costo total]]</f>
        <v>9</v>
      </c>
      <c r="X1811" s="75">
        <f>STOCK[[#This Row],[Ganancia Unitaria]]*STOCK[[#This Row],[Salidas]]</f>
        <v>0</v>
      </c>
      <c r="Y1811" s="75" t="s">
        <v>3483</v>
      </c>
      <c r="Z1811" s="88"/>
      <c r="AA1811" s="54">
        <f>STOCK[[#This Row],[Costo total]]*STOCK[[#This Row],[Entradas]]</f>
        <v>11</v>
      </c>
      <c r="AB1811" s="54">
        <f>STOCK[[#This Row],[Stock Actual]]*STOCK[[#This Row],[Costo total]]</f>
        <v>11</v>
      </c>
      <c r="AC1811" s="75"/>
      <c r="AD1811" s="96"/>
    </row>
    <row r="1812" spans="1:30" s="53" customFormat="1" ht="50" customHeight="1">
      <c r="A1812" s="93" t="s">
        <v>3589</v>
      </c>
      <c r="B1812" s="83"/>
      <c r="C1812" s="53" t="s">
        <v>32</v>
      </c>
      <c r="D1812" s="84" t="s">
        <v>779</v>
      </c>
      <c r="E1812" s="95" t="s">
        <v>3590</v>
      </c>
      <c r="F1812" s="93" t="s">
        <v>49</v>
      </c>
      <c r="G1812" s="75"/>
      <c r="H1812" s="75">
        <f>STOCK[[#This Row],[Precio Final]]</f>
        <v>18</v>
      </c>
      <c r="I1812" s="80">
        <f>STOCK[[#This Row],[Precio Venta Ideal (x1.5)]]</f>
        <v>16.200000000000003</v>
      </c>
      <c r="J1812" s="93">
        <v>1</v>
      </c>
      <c r="K1812" s="78">
        <f>SUMIFS(VENTAS[Cantidad],VENTAS[Código del producto Vendido],STOCK[[#This Row],[Code]])</f>
        <v>1</v>
      </c>
      <c r="L1812" s="78">
        <f>STOCK[[#This Row],[Entradas]]-STOCK[[#This Row],[Salidas]]</f>
        <v>0</v>
      </c>
      <c r="M1812" s="75">
        <f>STOCK[[#This Row],[Precio Final]]*10%</f>
        <v>1.8</v>
      </c>
      <c r="N1812" s="54">
        <v>0</v>
      </c>
      <c r="O1812" s="75">
        <v>0</v>
      </c>
      <c r="P1812" s="75">
        <v>9</v>
      </c>
      <c r="Q1812" s="75">
        <v>0</v>
      </c>
      <c r="R1812" s="78">
        <v>0</v>
      </c>
      <c r="S1812" s="75">
        <v>0</v>
      </c>
      <c r="T1812" s="75">
        <f>STOCK[[#This Row],[Costo Unitario (USD)]]+STOCK[[#This Row],[Costo Envío (USD)]]+STOCK[[#This Row],[Comisión 10%]]</f>
        <v>10.8</v>
      </c>
      <c r="U1812" s="53">
        <f>STOCK[[#This Row],[Costo total]]*1.5</f>
        <v>16.200000000000003</v>
      </c>
      <c r="V1812" s="53">
        <v>18</v>
      </c>
      <c r="W1812" s="75">
        <f>STOCK[[#This Row],[Precio Final]]-STOCK[[#This Row],[Costo total]]</f>
        <v>7.1999999999999993</v>
      </c>
      <c r="X1812" s="75">
        <f>STOCK[[#This Row],[Ganancia Unitaria]]*STOCK[[#This Row],[Salidas]]</f>
        <v>7.1999999999999993</v>
      </c>
      <c r="Y1812" s="75" t="s">
        <v>3483</v>
      </c>
      <c r="Z1812" s="88"/>
      <c r="AA1812" s="54">
        <f>STOCK[[#This Row],[Costo total]]*STOCK[[#This Row],[Entradas]]</f>
        <v>10.8</v>
      </c>
      <c r="AB1812" s="54">
        <f>STOCK[[#This Row],[Stock Actual]]*STOCK[[#This Row],[Costo total]]</f>
        <v>0</v>
      </c>
      <c r="AC1812" s="75"/>
      <c r="AD1812" s="96"/>
    </row>
    <row r="1813" spans="1:30" s="53" customFormat="1" ht="50" customHeight="1">
      <c r="A1813" s="93" t="s">
        <v>3591</v>
      </c>
      <c r="B1813" s="83"/>
      <c r="C1813" s="53" t="s">
        <v>32</v>
      </c>
      <c r="D1813" s="84" t="s">
        <v>749</v>
      </c>
      <c r="E1813" s="95" t="s">
        <v>3592</v>
      </c>
      <c r="F1813" s="93" t="s">
        <v>62</v>
      </c>
      <c r="G1813" s="75"/>
      <c r="H1813" s="75">
        <f>STOCK[[#This Row],[Precio Final]]</f>
        <v>22</v>
      </c>
      <c r="I1813" s="80">
        <f>STOCK[[#This Row],[Precio Venta Ideal (x1.5)]]</f>
        <v>16.799999999999997</v>
      </c>
      <c r="J1813" s="93">
        <v>1</v>
      </c>
      <c r="K1813" s="78">
        <f>SUMIFS(VENTAS[Cantidad],VENTAS[Código del producto Vendido],STOCK[[#This Row],[Code]])</f>
        <v>1</v>
      </c>
      <c r="L1813" s="78">
        <f>STOCK[[#This Row],[Entradas]]-STOCK[[#This Row],[Salidas]]</f>
        <v>0</v>
      </c>
      <c r="M1813" s="75">
        <f>STOCK[[#This Row],[Precio Final]]*10%</f>
        <v>2.2000000000000002</v>
      </c>
      <c r="N1813" s="54">
        <v>0</v>
      </c>
      <c r="O1813" s="75">
        <v>0</v>
      </c>
      <c r="P1813" s="75">
        <v>9</v>
      </c>
      <c r="Q1813" s="75">
        <v>0</v>
      </c>
      <c r="R1813" s="78">
        <v>0</v>
      </c>
      <c r="S1813" s="75">
        <v>0</v>
      </c>
      <c r="T1813" s="75">
        <f>STOCK[[#This Row],[Costo Unitario (USD)]]+STOCK[[#This Row],[Costo Envío (USD)]]+STOCK[[#This Row],[Comisión 10%]]</f>
        <v>11.2</v>
      </c>
      <c r="U1813" s="53">
        <f>STOCK[[#This Row],[Costo total]]*1.5</f>
        <v>16.799999999999997</v>
      </c>
      <c r="V1813" s="53">
        <v>22</v>
      </c>
      <c r="W1813" s="75">
        <f>STOCK[[#This Row],[Precio Final]]-STOCK[[#This Row],[Costo total]]</f>
        <v>10.8</v>
      </c>
      <c r="X1813" s="75">
        <f>STOCK[[#This Row],[Ganancia Unitaria]]*STOCK[[#This Row],[Salidas]]</f>
        <v>10.8</v>
      </c>
      <c r="Y1813" s="75" t="s">
        <v>3483</v>
      </c>
      <c r="Z1813" s="88"/>
      <c r="AA1813" s="54">
        <f>STOCK[[#This Row],[Costo total]]*STOCK[[#This Row],[Entradas]]</f>
        <v>11.2</v>
      </c>
      <c r="AB1813" s="54">
        <f>STOCK[[#This Row],[Stock Actual]]*STOCK[[#This Row],[Costo total]]</f>
        <v>0</v>
      </c>
      <c r="AC1813" s="75"/>
      <c r="AD1813" s="96"/>
    </row>
    <row r="1814" spans="1:30" s="53" customFormat="1" ht="50" customHeight="1">
      <c r="A1814" s="93" t="s">
        <v>3593</v>
      </c>
      <c r="B1814" s="83"/>
      <c r="C1814" s="53" t="s">
        <v>32</v>
      </c>
      <c r="D1814" s="84" t="s">
        <v>749</v>
      </c>
      <c r="E1814" s="95" t="s">
        <v>3594</v>
      </c>
      <c r="F1814" s="93" t="s">
        <v>3595</v>
      </c>
      <c r="G1814" s="75"/>
      <c r="H1814" s="75">
        <f>STOCK[[#This Row],[Precio Final]]</f>
        <v>35</v>
      </c>
      <c r="I1814" s="80">
        <f>STOCK[[#This Row],[Precio Venta Ideal (x1.5)]]</f>
        <v>18.75</v>
      </c>
      <c r="J1814" s="93">
        <v>1</v>
      </c>
      <c r="K1814" s="78">
        <f>SUMIFS(VENTAS[Cantidad],VENTAS[Código del producto Vendido],STOCK[[#This Row],[Code]])</f>
        <v>1</v>
      </c>
      <c r="L1814" s="78">
        <f>STOCK[[#This Row],[Entradas]]-STOCK[[#This Row],[Salidas]]</f>
        <v>0</v>
      </c>
      <c r="M1814" s="75">
        <f>STOCK[[#This Row],[Precio Final]]*10%</f>
        <v>3.5</v>
      </c>
      <c r="N1814" s="54">
        <v>0</v>
      </c>
      <c r="O1814" s="75">
        <v>0</v>
      </c>
      <c r="P1814" s="75">
        <v>9</v>
      </c>
      <c r="Q1814" s="75">
        <v>0</v>
      </c>
      <c r="R1814" s="78">
        <v>0</v>
      </c>
      <c r="S1814" s="75">
        <v>0</v>
      </c>
      <c r="T1814" s="75">
        <f>STOCK[[#This Row],[Costo Unitario (USD)]]+STOCK[[#This Row],[Costo Envío (USD)]]+STOCK[[#This Row],[Comisión 10%]]</f>
        <v>12.5</v>
      </c>
      <c r="U1814" s="53">
        <f>STOCK[[#This Row],[Costo total]]*1.5</f>
        <v>18.75</v>
      </c>
      <c r="V1814" s="53">
        <v>35</v>
      </c>
      <c r="W1814" s="75">
        <f>STOCK[[#This Row],[Precio Final]]-STOCK[[#This Row],[Costo total]]</f>
        <v>22.5</v>
      </c>
      <c r="X1814" s="75">
        <f>STOCK[[#This Row],[Ganancia Unitaria]]*STOCK[[#This Row],[Salidas]]</f>
        <v>22.5</v>
      </c>
      <c r="Y1814" s="75" t="s">
        <v>3483</v>
      </c>
      <c r="Z1814" s="88"/>
      <c r="AA1814" s="54">
        <f>STOCK[[#This Row],[Costo total]]*STOCK[[#This Row],[Entradas]]</f>
        <v>12.5</v>
      </c>
      <c r="AB1814" s="54">
        <f>STOCK[[#This Row],[Stock Actual]]*STOCK[[#This Row],[Costo total]]</f>
        <v>0</v>
      </c>
      <c r="AC1814" s="75"/>
      <c r="AD1814" s="96"/>
    </row>
    <row r="1815" spans="1:30" s="53" customFormat="1" ht="50" customHeight="1">
      <c r="A1815" s="93" t="s">
        <v>3596</v>
      </c>
      <c r="B1815" s="83"/>
      <c r="C1815" s="53" t="s">
        <v>32</v>
      </c>
      <c r="D1815" s="84" t="s">
        <v>749</v>
      </c>
      <c r="E1815" s="95" t="s">
        <v>3597</v>
      </c>
      <c r="F1815" s="93" t="s">
        <v>49</v>
      </c>
      <c r="G1815" s="75"/>
      <c r="H1815" s="75">
        <f>STOCK[[#This Row],[Precio Final]]</f>
        <v>35</v>
      </c>
      <c r="I1815" s="80">
        <f>STOCK[[#This Row],[Precio Venta Ideal (x1.5)]]</f>
        <v>18.75</v>
      </c>
      <c r="J1815" s="93">
        <v>1</v>
      </c>
      <c r="K1815" s="78">
        <f>SUMIFS(VENTAS[Cantidad],VENTAS[Código del producto Vendido],STOCK[[#This Row],[Code]])</f>
        <v>0</v>
      </c>
      <c r="L1815" s="78">
        <f>STOCK[[#This Row],[Entradas]]-STOCK[[#This Row],[Salidas]]</f>
        <v>1</v>
      </c>
      <c r="M1815" s="75">
        <f>STOCK[[#This Row],[Precio Final]]*10%</f>
        <v>3.5</v>
      </c>
      <c r="N1815" s="54">
        <v>0</v>
      </c>
      <c r="O1815" s="75">
        <v>0</v>
      </c>
      <c r="P1815" s="75">
        <v>9</v>
      </c>
      <c r="Q1815" s="75">
        <v>0</v>
      </c>
      <c r="R1815" s="78">
        <v>0</v>
      </c>
      <c r="S1815" s="75">
        <v>0</v>
      </c>
      <c r="T1815" s="75">
        <f>STOCK[[#This Row],[Costo Unitario (USD)]]+STOCK[[#This Row],[Costo Envío (USD)]]+STOCK[[#This Row],[Comisión 10%]]</f>
        <v>12.5</v>
      </c>
      <c r="U1815" s="53">
        <f>STOCK[[#This Row],[Costo total]]*1.5</f>
        <v>18.75</v>
      </c>
      <c r="V1815" s="53">
        <v>35</v>
      </c>
      <c r="W1815" s="75">
        <f>STOCK[[#This Row],[Precio Final]]-STOCK[[#This Row],[Costo total]]</f>
        <v>22.5</v>
      </c>
      <c r="X1815" s="75">
        <f>STOCK[[#This Row],[Ganancia Unitaria]]*STOCK[[#This Row],[Salidas]]</f>
        <v>0</v>
      </c>
      <c r="Y1815" s="75" t="s">
        <v>3483</v>
      </c>
      <c r="Z1815" s="88"/>
      <c r="AA1815" s="54">
        <f>STOCK[[#This Row],[Costo total]]*STOCK[[#This Row],[Entradas]]</f>
        <v>12.5</v>
      </c>
      <c r="AB1815" s="54">
        <f>STOCK[[#This Row],[Stock Actual]]*STOCK[[#This Row],[Costo total]]</f>
        <v>12.5</v>
      </c>
      <c r="AC1815" s="75"/>
      <c r="AD1815" s="96"/>
    </row>
    <row r="1816" spans="1:30" s="53" customFormat="1" ht="50" customHeight="1">
      <c r="A1816" s="93" t="s">
        <v>3598</v>
      </c>
      <c r="B1816" s="83"/>
      <c r="C1816" s="53" t="s">
        <v>32</v>
      </c>
      <c r="D1816" s="84"/>
      <c r="E1816" s="95" t="s">
        <v>3599</v>
      </c>
      <c r="F1816" s="93" t="s">
        <v>46</v>
      </c>
      <c r="G1816" s="75"/>
      <c r="H1816" s="75">
        <f>STOCK[[#This Row],[Precio Final]]</f>
        <v>10</v>
      </c>
      <c r="I1816" s="80">
        <f>STOCK[[#This Row],[Precio Venta Ideal (x1.5)]]</f>
        <v>15</v>
      </c>
      <c r="J1816" s="93">
        <v>1</v>
      </c>
      <c r="K1816" s="78">
        <v>1</v>
      </c>
      <c r="L1816" s="78">
        <f>STOCK[[#This Row],[Entradas]]-STOCK[[#This Row],[Salidas]]</f>
        <v>0</v>
      </c>
      <c r="M1816" s="75">
        <f>STOCK[[#This Row],[Precio Final]]*10%</f>
        <v>1</v>
      </c>
      <c r="N1816" s="54">
        <v>0</v>
      </c>
      <c r="O1816" s="75">
        <v>0</v>
      </c>
      <c r="P1816" s="75">
        <v>9</v>
      </c>
      <c r="Q1816" s="75">
        <v>0</v>
      </c>
      <c r="R1816" s="78">
        <v>0</v>
      </c>
      <c r="S1816" s="75">
        <v>0</v>
      </c>
      <c r="T1816" s="75">
        <f>STOCK[[#This Row],[Costo Unitario (USD)]]+STOCK[[#This Row],[Costo Envío (USD)]]+STOCK[[#This Row],[Comisión 10%]]</f>
        <v>10</v>
      </c>
      <c r="U1816" s="53">
        <f>STOCK[[#This Row],[Costo total]]*1.5</f>
        <v>15</v>
      </c>
      <c r="V1816" s="53">
        <v>10</v>
      </c>
      <c r="W1816" s="75">
        <f>STOCK[[#This Row],[Precio Final]]-STOCK[[#This Row],[Costo total]]</f>
        <v>0</v>
      </c>
      <c r="X1816" s="75">
        <f>STOCK[[#This Row],[Ganancia Unitaria]]*STOCK[[#This Row],[Salidas]]</f>
        <v>0</v>
      </c>
      <c r="Y1816" s="75" t="s">
        <v>3483</v>
      </c>
      <c r="Z1816" s="88"/>
      <c r="AA1816" s="54">
        <f>STOCK[[#This Row],[Costo total]]*STOCK[[#This Row],[Entradas]]</f>
        <v>10</v>
      </c>
      <c r="AB1816" s="54">
        <f>STOCK[[#This Row],[Stock Actual]]*STOCK[[#This Row],[Costo total]]</f>
        <v>0</v>
      </c>
      <c r="AC1816" s="75"/>
      <c r="AD1816" s="96"/>
    </row>
    <row r="1817" spans="1:30" s="53" customFormat="1" ht="50" customHeight="1">
      <c r="A1817" s="93" t="s">
        <v>3600</v>
      </c>
      <c r="B1817" s="83"/>
      <c r="C1817" s="53" t="s">
        <v>32</v>
      </c>
      <c r="D1817" s="84" t="s">
        <v>749</v>
      </c>
      <c r="E1817" s="95" t="s">
        <v>3601</v>
      </c>
      <c r="F1817" s="93" t="s">
        <v>62</v>
      </c>
      <c r="G1817" s="75"/>
      <c r="H1817" s="75">
        <f>STOCK[[#This Row],[Precio Final]]</f>
        <v>20</v>
      </c>
      <c r="I1817" s="80">
        <f>STOCK[[#This Row],[Precio Venta Ideal (x1.5)]]</f>
        <v>16.5</v>
      </c>
      <c r="J1817" s="93">
        <v>2</v>
      </c>
      <c r="K1817" s="78">
        <f>SUMIFS(VENTAS[Cantidad],VENTAS[Código del producto Vendido],STOCK[[#This Row],[Code]])</f>
        <v>1</v>
      </c>
      <c r="L1817" s="78">
        <f>STOCK[[#This Row],[Entradas]]-STOCK[[#This Row],[Salidas]]</f>
        <v>1</v>
      </c>
      <c r="M1817" s="75">
        <f>STOCK[[#This Row],[Precio Final]]*10%</f>
        <v>2</v>
      </c>
      <c r="N1817" s="54">
        <v>0</v>
      </c>
      <c r="O1817" s="75">
        <v>0</v>
      </c>
      <c r="P1817" s="75">
        <v>9</v>
      </c>
      <c r="Q1817" s="75">
        <v>0</v>
      </c>
      <c r="R1817" s="78">
        <v>0</v>
      </c>
      <c r="S1817" s="75">
        <v>0</v>
      </c>
      <c r="T1817" s="75">
        <f>STOCK[[#This Row],[Costo Unitario (USD)]]+STOCK[[#This Row],[Costo Envío (USD)]]+STOCK[[#This Row],[Comisión 10%]]</f>
        <v>11</v>
      </c>
      <c r="U1817" s="53">
        <f>STOCK[[#This Row],[Costo total]]*1.5</f>
        <v>16.5</v>
      </c>
      <c r="V1817" s="53">
        <v>20</v>
      </c>
      <c r="W1817" s="75">
        <f>STOCK[[#This Row],[Precio Final]]-STOCK[[#This Row],[Costo total]]</f>
        <v>9</v>
      </c>
      <c r="X1817" s="75">
        <f>STOCK[[#This Row],[Ganancia Unitaria]]*STOCK[[#This Row],[Salidas]]</f>
        <v>9</v>
      </c>
      <c r="Y1817" s="75" t="s">
        <v>3483</v>
      </c>
      <c r="Z1817" s="88"/>
      <c r="AA1817" s="54">
        <f>STOCK[[#This Row],[Costo total]]*STOCK[[#This Row],[Entradas]]</f>
        <v>22</v>
      </c>
      <c r="AB1817" s="54">
        <f>STOCK[[#This Row],[Stock Actual]]*STOCK[[#This Row],[Costo total]]</f>
        <v>11</v>
      </c>
      <c r="AC1817" s="75"/>
      <c r="AD1817" s="96"/>
    </row>
    <row r="1818" spans="1:30" s="53" customFormat="1" ht="50" customHeight="1">
      <c r="A1818" s="93" t="s">
        <v>3602</v>
      </c>
      <c r="B1818" s="83"/>
      <c r="C1818" s="53" t="s">
        <v>32</v>
      </c>
      <c r="D1818" s="84" t="s">
        <v>749</v>
      </c>
      <c r="E1818" s="95" t="s">
        <v>3603</v>
      </c>
      <c r="F1818" s="93" t="s">
        <v>40</v>
      </c>
      <c r="G1818" s="75"/>
      <c r="H1818" s="75">
        <f>STOCK[[#This Row],[Precio Final]]</f>
        <v>25</v>
      </c>
      <c r="I1818" s="80">
        <f>STOCK[[#This Row],[Precio Venta Ideal (x1.5)]]</f>
        <v>17.25</v>
      </c>
      <c r="J1818" s="93">
        <v>1</v>
      </c>
      <c r="K1818" s="78">
        <f>SUMIFS(VENTAS[Cantidad],VENTAS[Código del producto Vendido],STOCK[[#This Row],[Code]])</f>
        <v>0</v>
      </c>
      <c r="L1818" s="78">
        <f>STOCK[[#This Row],[Entradas]]-STOCK[[#This Row],[Salidas]]</f>
        <v>1</v>
      </c>
      <c r="M1818" s="75">
        <f>STOCK[[#This Row],[Precio Final]]*10%</f>
        <v>2.5</v>
      </c>
      <c r="N1818" s="54">
        <v>0</v>
      </c>
      <c r="O1818" s="75">
        <v>0</v>
      </c>
      <c r="P1818" s="75">
        <v>9</v>
      </c>
      <c r="Q1818" s="75">
        <v>0</v>
      </c>
      <c r="R1818" s="78">
        <v>0</v>
      </c>
      <c r="S1818" s="75">
        <v>0</v>
      </c>
      <c r="T1818" s="75">
        <f>STOCK[[#This Row],[Costo Unitario (USD)]]+STOCK[[#This Row],[Costo Envío (USD)]]+STOCK[[#This Row],[Comisión 10%]]</f>
        <v>11.5</v>
      </c>
      <c r="U1818" s="53">
        <f>STOCK[[#This Row],[Costo total]]*1.5</f>
        <v>17.25</v>
      </c>
      <c r="V1818" s="53">
        <v>25</v>
      </c>
      <c r="W1818" s="75">
        <f>STOCK[[#This Row],[Precio Final]]-STOCK[[#This Row],[Costo total]]</f>
        <v>13.5</v>
      </c>
      <c r="X1818" s="75">
        <f>STOCK[[#This Row],[Ganancia Unitaria]]*STOCK[[#This Row],[Salidas]]</f>
        <v>0</v>
      </c>
      <c r="Y1818" s="75" t="s">
        <v>3483</v>
      </c>
      <c r="Z1818" s="88"/>
      <c r="AA1818" s="54">
        <f>STOCK[[#This Row],[Costo total]]*STOCK[[#This Row],[Entradas]]</f>
        <v>11.5</v>
      </c>
      <c r="AB1818" s="54">
        <f>STOCK[[#This Row],[Stock Actual]]*STOCK[[#This Row],[Costo total]]</f>
        <v>11.5</v>
      </c>
      <c r="AC1818" s="75"/>
      <c r="AD1818" s="96"/>
    </row>
    <row r="1819" spans="1:30" s="53" customFormat="1" ht="50" customHeight="1">
      <c r="A1819" s="93" t="s">
        <v>3604</v>
      </c>
      <c r="B1819" s="83"/>
      <c r="C1819" s="53" t="s">
        <v>32</v>
      </c>
      <c r="D1819" s="84" t="s">
        <v>779</v>
      </c>
      <c r="E1819" s="95" t="s">
        <v>3605</v>
      </c>
      <c r="F1819" s="93" t="s">
        <v>49</v>
      </c>
      <c r="G1819" s="75"/>
      <c r="H1819" s="75">
        <f>STOCK[[#This Row],[Precio Final]]</f>
        <v>22</v>
      </c>
      <c r="I1819" s="80">
        <f>STOCK[[#This Row],[Precio Venta Ideal (x1.5)]]</f>
        <v>16.799999999999997</v>
      </c>
      <c r="J1819" s="93">
        <v>1</v>
      </c>
      <c r="K1819" s="78">
        <f>SUMIFS(VENTAS[Cantidad],VENTAS[Código del producto Vendido],STOCK[[#This Row],[Code]])</f>
        <v>1</v>
      </c>
      <c r="L1819" s="78">
        <f>STOCK[[#This Row],[Entradas]]-STOCK[[#This Row],[Salidas]]</f>
        <v>0</v>
      </c>
      <c r="M1819" s="75">
        <f>STOCK[[#This Row],[Precio Final]]*10%</f>
        <v>2.2000000000000002</v>
      </c>
      <c r="N1819" s="54">
        <v>0</v>
      </c>
      <c r="O1819" s="75">
        <v>0</v>
      </c>
      <c r="P1819" s="75">
        <v>9</v>
      </c>
      <c r="Q1819" s="75">
        <v>0</v>
      </c>
      <c r="R1819" s="78">
        <v>0</v>
      </c>
      <c r="S1819" s="75">
        <v>0</v>
      </c>
      <c r="T1819" s="75">
        <f>STOCK[[#This Row],[Costo Unitario (USD)]]+STOCK[[#This Row],[Costo Envío (USD)]]+STOCK[[#This Row],[Comisión 10%]]</f>
        <v>11.2</v>
      </c>
      <c r="U1819" s="53">
        <f>STOCK[[#This Row],[Costo total]]*1.5</f>
        <v>16.799999999999997</v>
      </c>
      <c r="V1819" s="53">
        <v>22</v>
      </c>
      <c r="W1819" s="75">
        <f>STOCK[[#This Row],[Precio Final]]-STOCK[[#This Row],[Costo total]]</f>
        <v>10.8</v>
      </c>
      <c r="X1819" s="75">
        <f>STOCK[[#This Row],[Ganancia Unitaria]]*STOCK[[#This Row],[Salidas]]</f>
        <v>10.8</v>
      </c>
      <c r="Y1819" s="75" t="s">
        <v>3483</v>
      </c>
      <c r="Z1819" s="88"/>
      <c r="AA1819" s="54">
        <f>STOCK[[#This Row],[Costo total]]*STOCK[[#This Row],[Entradas]]</f>
        <v>11.2</v>
      </c>
      <c r="AB1819" s="54">
        <f>STOCK[[#This Row],[Stock Actual]]*STOCK[[#This Row],[Costo total]]</f>
        <v>0</v>
      </c>
      <c r="AC1819" s="75"/>
      <c r="AD1819" s="96"/>
    </row>
    <row r="1820" spans="1:30" s="53" customFormat="1" ht="50" customHeight="1">
      <c r="A1820" s="93" t="s">
        <v>3606</v>
      </c>
      <c r="B1820" s="83"/>
      <c r="C1820" s="53" t="s">
        <v>32</v>
      </c>
      <c r="D1820" s="84" t="s">
        <v>779</v>
      </c>
      <c r="E1820" s="95" t="s">
        <v>3605</v>
      </c>
      <c r="F1820" s="93" t="s">
        <v>1408</v>
      </c>
      <c r="G1820" s="75"/>
      <c r="H1820" s="75">
        <f>STOCK[[#This Row],[Precio Final]]</f>
        <v>22</v>
      </c>
      <c r="I1820" s="80">
        <f>STOCK[[#This Row],[Precio Venta Ideal (x1.5)]]</f>
        <v>16.799999999999997</v>
      </c>
      <c r="J1820" s="93">
        <v>1</v>
      </c>
      <c r="K1820" s="78">
        <f>SUMIFS(VENTAS[Cantidad],VENTAS[Código del producto Vendido],STOCK[[#This Row],[Code]])</f>
        <v>0</v>
      </c>
      <c r="L1820" s="78">
        <f>STOCK[[#This Row],[Entradas]]-STOCK[[#This Row],[Salidas]]</f>
        <v>1</v>
      </c>
      <c r="M1820" s="75">
        <f>STOCK[[#This Row],[Precio Final]]*10%</f>
        <v>2.2000000000000002</v>
      </c>
      <c r="N1820" s="54">
        <v>0</v>
      </c>
      <c r="O1820" s="75">
        <v>0</v>
      </c>
      <c r="P1820" s="75">
        <v>9</v>
      </c>
      <c r="Q1820" s="75">
        <v>0</v>
      </c>
      <c r="R1820" s="78">
        <v>0</v>
      </c>
      <c r="S1820" s="75">
        <v>0</v>
      </c>
      <c r="T1820" s="75">
        <f>STOCK[[#This Row],[Costo Unitario (USD)]]+STOCK[[#This Row],[Costo Envío (USD)]]+STOCK[[#This Row],[Comisión 10%]]</f>
        <v>11.2</v>
      </c>
      <c r="U1820" s="53">
        <f>STOCK[[#This Row],[Costo total]]*1.5</f>
        <v>16.799999999999997</v>
      </c>
      <c r="V1820" s="53">
        <v>22</v>
      </c>
      <c r="W1820" s="75">
        <f>STOCK[[#This Row],[Precio Final]]-STOCK[[#This Row],[Costo total]]</f>
        <v>10.8</v>
      </c>
      <c r="X1820" s="75">
        <f>STOCK[[#This Row],[Ganancia Unitaria]]*STOCK[[#This Row],[Salidas]]</f>
        <v>0</v>
      </c>
      <c r="Y1820" s="75" t="s">
        <v>3483</v>
      </c>
      <c r="Z1820" s="88"/>
      <c r="AA1820" s="54">
        <f>STOCK[[#This Row],[Costo total]]*STOCK[[#This Row],[Entradas]]</f>
        <v>11.2</v>
      </c>
      <c r="AB1820" s="54">
        <f>STOCK[[#This Row],[Stock Actual]]*STOCK[[#This Row],[Costo total]]</f>
        <v>11.2</v>
      </c>
      <c r="AC1820" s="75"/>
      <c r="AD1820" s="96"/>
    </row>
    <row r="1821" spans="1:30" s="53" customFormat="1" ht="50" customHeight="1">
      <c r="A1821" s="93" t="s">
        <v>3607</v>
      </c>
      <c r="B1821" s="83"/>
      <c r="C1821" s="53" t="s">
        <v>32</v>
      </c>
      <c r="D1821" s="84" t="s">
        <v>779</v>
      </c>
      <c r="E1821" s="95" t="s">
        <v>3605</v>
      </c>
      <c r="F1821" s="93" t="s">
        <v>818</v>
      </c>
      <c r="G1821" s="75"/>
      <c r="H1821" s="75">
        <f>STOCK[[#This Row],[Precio Final]]</f>
        <v>22</v>
      </c>
      <c r="I1821" s="80">
        <f>STOCK[[#This Row],[Precio Venta Ideal (x1.5)]]</f>
        <v>16.799999999999997</v>
      </c>
      <c r="J1821" s="93">
        <v>1</v>
      </c>
      <c r="K1821" s="78">
        <f>SUMIFS(VENTAS[Cantidad],VENTAS[Código del producto Vendido],STOCK[[#This Row],[Code]])</f>
        <v>0</v>
      </c>
      <c r="L1821" s="78">
        <f>STOCK[[#This Row],[Entradas]]-STOCK[[#This Row],[Salidas]]</f>
        <v>1</v>
      </c>
      <c r="M1821" s="75">
        <f>STOCK[[#This Row],[Precio Final]]*10%</f>
        <v>2.2000000000000002</v>
      </c>
      <c r="N1821" s="54">
        <v>0</v>
      </c>
      <c r="O1821" s="75">
        <v>0</v>
      </c>
      <c r="P1821" s="75">
        <v>9</v>
      </c>
      <c r="Q1821" s="75">
        <v>0</v>
      </c>
      <c r="R1821" s="78">
        <v>0</v>
      </c>
      <c r="S1821" s="75">
        <v>0</v>
      </c>
      <c r="T1821" s="75">
        <f>STOCK[[#This Row],[Costo Unitario (USD)]]+STOCK[[#This Row],[Costo Envío (USD)]]+STOCK[[#This Row],[Comisión 10%]]</f>
        <v>11.2</v>
      </c>
      <c r="U1821" s="53">
        <f>STOCK[[#This Row],[Costo total]]*1.5</f>
        <v>16.799999999999997</v>
      </c>
      <c r="V1821" s="53">
        <v>22</v>
      </c>
      <c r="W1821" s="75">
        <f>STOCK[[#This Row],[Precio Final]]-STOCK[[#This Row],[Costo total]]</f>
        <v>10.8</v>
      </c>
      <c r="X1821" s="75">
        <f>STOCK[[#This Row],[Ganancia Unitaria]]*STOCK[[#This Row],[Salidas]]</f>
        <v>0</v>
      </c>
      <c r="Y1821" s="75" t="s">
        <v>3483</v>
      </c>
      <c r="Z1821" s="88"/>
      <c r="AA1821" s="54">
        <f>STOCK[[#This Row],[Costo total]]*STOCK[[#This Row],[Entradas]]</f>
        <v>11.2</v>
      </c>
      <c r="AB1821" s="54">
        <f>STOCK[[#This Row],[Stock Actual]]*STOCK[[#This Row],[Costo total]]</f>
        <v>11.2</v>
      </c>
      <c r="AC1821" s="75"/>
      <c r="AD1821" s="96"/>
    </row>
    <row r="1822" spans="1:30" s="53" customFormat="1" ht="50" customHeight="1">
      <c r="A1822" s="93" t="s">
        <v>3608</v>
      </c>
      <c r="B1822" s="83"/>
      <c r="C1822" s="53" t="s">
        <v>32</v>
      </c>
      <c r="D1822" s="84" t="s">
        <v>749</v>
      </c>
      <c r="E1822" s="95" t="s">
        <v>3609</v>
      </c>
      <c r="F1822" s="93" t="s">
        <v>716</v>
      </c>
      <c r="G1822" s="75"/>
      <c r="H1822" s="75">
        <f>STOCK[[#This Row],[Precio Final]]</f>
        <v>30</v>
      </c>
      <c r="I1822" s="80">
        <f>STOCK[[#This Row],[Precio Venta Ideal (x1.5)]]</f>
        <v>18</v>
      </c>
      <c r="J1822" s="93">
        <v>3</v>
      </c>
      <c r="K1822" s="78">
        <f>SUMIFS(VENTAS[Cantidad],VENTAS[Código del producto Vendido],STOCK[[#This Row],[Code]])</f>
        <v>0</v>
      </c>
      <c r="L1822" s="78">
        <f>STOCK[[#This Row],[Entradas]]-STOCK[[#This Row],[Salidas]]</f>
        <v>3</v>
      </c>
      <c r="M1822" s="75">
        <f>STOCK[[#This Row],[Precio Final]]*10%</f>
        <v>3</v>
      </c>
      <c r="N1822" s="54">
        <v>0</v>
      </c>
      <c r="O1822" s="75">
        <v>0</v>
      </c>
      <c r="P1822" s="75">
        <v>9</v>
      </c>
      <c r="Q1822" s="75">
        <v>0</v>
      </c>
      <c r="R1822" s="78">
        <v>0</v>
      </c>
      <c r="S1822" s="75">
        <v>0</v>
      </c>
      <c r="T1822" s="75">
        <f>STOCK[[#This Row],[Costo Unitario (USD)]]+STOCK[[#This Row],[Costo Envío (USD)]]+STOCK[[#This Row],[Comisión 10%]]</f>
        <v>12</v>
      </c>
      <c r="U1822" s="53">
        <f>STOCK[[#This Row],[Costo total]]*1.5</f>
        <v>18</v>
      </c>
      <c r="V1822" s="53">
        <v>30</v>
      </c>
      <c r="W1822" s="75">
        <f>STOCK[[#This Row],[Precio Final]]-STOCK[[#This Row],[Costo total]]</f>
        <v>18</v>
      </c>
      <c r="X1822" s="75">
        <f>STOCK[[#This Row],[Ganancia Unitaria]]*STOCK[[#This Row],[Salidas]]</f>
        <v>0</v>
      </c>
      <c r="Y1822" s="75" t="s">
        <v>3483</v>
      </c>
      <c r="Z1822" s="88"/>
      <c r="AA1822" s="54">
        <f>STOCK[[#This Row],[Costo total]]*STOCK[[#This Row],[Entradas]]</f>
        <v>36</v>
      </c>
      <c r="AB1822" s="54">
        <f>STOCK[[#This Row],[Stock Actual]]*STOCK[[#This Row],[Costo total]]</f>
        <v>36</v>
      </c>
      <c r="AC1822" s="75"/>
      <c r="AD1822" s="96"/>
    </row>
    <row r="1823" spans="1:30" s="53" customFormat="1" ht="50" customHeight="1">
      <c r="A1823" s="93" t="s">
        <v>3610</v>
      </c>
      <c r="B1823" s="83"/>
      <c r="C1823" s="53" t="s">
        <v>32</v>
      </c>
      <c r="D1823" s="84" t="s">
        <v>1388</v>
      </c>
      <c r="E1823" s="95" t="s">
        <v>3611</v>
      </c>
      <c r="F1823" s="93" t="s">
        <v>49</v>
      </c>
      <c r="G1823" s="75"/>
      <c r="H1823" s="75">
        <f>STOCK[[#This Row],[Precio Final]]</f>
        <v>30</v>
      </c>
      <c r="I1823" s="80">
        <f>STOCK[[#This Row],[Precio Venta Ideal (x1.5)]]</f>
        <v>18</v>
      </c>
      <c r="J1823" s="93">
        <v>3</v>
      </c>
      <c r="K1823" s="78">
        <f>SUMIFS(VENTAS[Cantidad],VENTAS[Código del producto Vendido],STOCK[[#This Row],[Code]])</f>
        <v>0</v>
      </c>
      <c r="L1823" s="78">
        <f>STOCK[[#This Row],[Entradas]]-STOCK[[#This Row],[Salidas]]</f>
        <v>3</v>
      </c>
      <c r="M1823" s="75">
        <f>STOCK[[#This Row],[Precio Final]]*10%</f>
        <v>3</v>
      </c>
      <c r="N1823" s="54">
        <v>0</v>
      </c>
      <c r="O1823" s="75">
        <v>0</v>
      </c>
      <c r="P1823" s="75">
        <v>9</v>
      </c>
      <c r="Q1823" s="75">
        <v>0</v>
      </c>
      <c r="R1823" s="78">
        <v>0</v>
      </c>
      <c r="S1823" s="75">
        <v>0</v>
      </c>
      <c r="T1823" s="75">
        <f>STOCK[[#This Row],[Costo Unitario (USD)]]+STOCK[[#This Row],[Costo Envío (USD)]]+STOCK[[#This Row],[Comisión 10%]]</f>
        <v>12</v>
      </c>
      <c r="U1823" s="53">
        <f>STOCK[[#This Row],[Costo total]]*1.5</f>
        <v>18</v>
      </c>
      <c r="V1823" s="53">
        <v>30</v>
      </c>
      <c r="W1823" s="75">
        <f>STOCK[[#This Row],[Precio Final]]-STOCK[[#This Row],[Costo total]]</f>
        <v>18</v>
      </c>
      <c r="X1823" s="75">
        <f>STOCK[[#This Row],[Ganancia Unitaria]]*STOCK[[#This Row],[Salidas]]</f>
        <v>0</v>
      </c>
      <c r="Y1823" s="75" t="s">
        <v>3483</v>
      </c>
      <c r="Z1823" s="88"/>
      <c r="AA1823" s="54">
        <f>STOCK[[#This Row],[Costo total]]*STOCK[[#This Row],[Entradas]]</f>
        <v>36</v>
      </c>
      <c r="AB1823" s="54">
        <f>STOCK[[#This Row],[Stock Actual]]*STOCK[[#This Row],[Costo total]]</f>
        <v>36</v>
      </c>
      <c r="AC1823" s="75"/>
      <c r="AD1823" s="96"/>
    </row>
    <row r="1824" spans="1:30" s="53" customFormat="1" ht="50" customHeight="1">
      <c r="A1824" s="93" t="s">
        <v>3612</v>
      </c>
      <c r="B1824" s="83"/>
      <c r="C1824" s="53" t="s">
        <v>32</v>
      </c>
      <c r="D1824" s="84" t="s">
        <v>749</v>
      </c>
      <c r="E1824" s="95" t="s">
        <v>3613</v>
      </c>
      <c r="F1824" s="93" t="s">
        <v>716</v>
      </c>
      <c r="G1824" s="75"/>
      <c r="H1824" s="75">
        <f>STOCK[[#This Row],[Precio Final]]</f>
        <v>15</v>
      </c>
      <c r="I1824" s="80">
        <f>STOCK[[#This Row],[Precio Venta Ideal (x1.5)]]</f>
        <v>15.75</v>
      </c>
      <c r="J1824" s="93">
        <v>2</v>
      </c>
      <c r="K1824" s="78">
        <f>SUMIFS(VENTAS[Cantidad],VENTAS[Código del producto Vendido],STOCK[[#This Row],[Code]])</f>
        <v>1</v>
      </c>
      <c r="L1824" s="78">
        <f>STOCK[[#This Row],[Entradas]]-STOCK[[#This Row],[Salidas]]</f>
        <v>1</v>
      </c>
      <c r="M1824" s="75">
        <f>STOCK[[#This Row],[Precio Final]]*10%</f>
        <v>1.5</v>
      </c>
      <c r="N1824" s="54">
        <v>0</v>
      </c>
      <c r="O1824" s="75">
        <v>0</v>
      </c>
      <c r="P1824" s="75">
        <v>9</v>
      </c>
      <c r="Q1824" s="75">
        <v>0</v>
      </c>
      <c r="R1824" s="78">
        <v>0</v>
      </c>
      <c r="S1824" s="75">
        <v>0</v>
      </c>
      <c r="T1824" s="75">
        <f>STOCK[[#This Row],[Costo Unitario (USD)]]+STOCK[[#This Row],[Costo Envío (USD)]]+STOCK[[#This Row],[Comisión 10%]]</f>
        <v>10.5</v>
      </c>
      <c r="U1824" s="53">
        <f>STOCK[[#This Row],[Costo total]]*1.5</f>
        <v>15.75</v>
      </c>
      <c r="V1824" s="53">
        <v>15</v>
      </c>
      <c r="W1824" s="75">
        <f>STOCK[[#This Row],[Precio Final]]-STOCK[[#This Row],[Costo total]]</f>
        <v>4.5</v>
      </c>
      <c r="X1824" s="75">
        <f>STOCK[[#This Row],[Ganancia Unitaria]]*STOCK[[#This Row],[Salidas]]</f>
        <v>4.5</v>
      </c>
      <c r="Y1824" s="75" t="s">
        <v>3483</v>
      </c>
      <c r="Z1824" s="88"/>
      <c r="AA1824" s="54">
        <f>STOCK[[#This Row],[Costo total]]*STOCK[[#This Row],[Entradas]]</f>
        <v>21</v>
      </c>
      <c r="AB1824" s="54">
        <f>STOCK[[#This Row],[Stock Actual]]*STOCK[[#This Row],[Costo total]]</f>
        <v>10.5</v>
      </c>
      <c r="AC1824" s="75"/>
      <c r="AD1824" s="96"/>
    </row>
    <row r="1825" spans="1:30" s="53" customFormat="1" ht="50" customHeight="1">
      <c r="A1825" s="93" t="s">
        <v>3614</v>
      </c>
      <c r="B1825" s="83"/>
      <c r="C1825" s="53" t="s">
        <v>32</v>
      </c>
      <c r="D1825" s="84" t="s">
        <v>779</v>
      </c>
      <c r="E1825" s="95" t="s">
        <v>3615</v>
      </c>
      <c r="F1825" s="93" t="s">
        <v>46</v>
      </c>
      <c r="G1825" s="75"/>
      <c r="H1825" s="75">
        <f>STOCK[[#This Row],[Precio Final]]</f>
        <v>18</v>
      </c>
      <c r="I1825" s="80">
        <f>STOCK[[#This Row],[Precio Venta Ideal (x1.5)]]</f>
        <v>16.200000000000003</v>
      </c>
      <c r="J1825" s="93">
        <v>2</v>
      </c>
      <c r="K1825" s="78">
        <f>SUMIFS(VENTAS[Cantidad],VENTAS[Código del producto Vendido],STOCK[[#This Row],[Code]])</f>
        <v>2</v>
      </c>
      <c r="L1825" s="78">
        <f>STOCK[[#This Row],[Entradas]]-STOCK[[#This Row],[Salidas]]</f>
        <v>0</v>
      </c>
      <c r="M1825" s="75">
        <f>STOCK[[#This Row],[Precio Final]]*10%</f>
        <v>1.8</v>
      </c>
      <c r="N1825" s="54">
        <v>0</v>
      </c>
      <c r="O1825" s="75">
        <v>0</v>
      </c>
      <c r="P1825" s="75">
        <v>9</v>
      </c>
      <c r="Q1825" s="75">
        <v>0</v>
      </c>
      <c r="R1825" s="78">
        <v>0</v>
      </c>
      <c r="S1825" s="75">
        <v>0</v>
      </c>
      <c r="T1825" s="75">
        <f>STOCK[[#This Row],[Costo Unitario (USD)]]+STOCK[[#This Row],[Costo Envío (USD)]]+STOCK[[#This Row],[Comisión 10%]]</f>
        <v>10.8</v>
      </c>
      <c r="U1825" s="53">
        <f>STOCK[[#This Row],[Costo total]]*1.5</f>
        <v>16.200000000000003</v>
      </c>
      <c r="V1825" s="53">
        <v>18</v>
      </c>
      <c r="W1825" s="75">
        <f>STOCK[[#This Row],[Precio Final]]-STOCK[[#This Row],[Costo total]]</f>
        <v>7.1999999999999993</v>
      </c>
      <c r="X1825" s="75">
        <f>STOCK[[#This Row],[Ganancia Unitaria]]*STOCK[[#This Row],[Salidas]]</f>
        <v>14.399999999999999</v>
      </c>
      <c r="Y1825" s="75" t="s">
        <v>3483</v>
      </c>
      <c r="Z1825" s="88"/>
      <c r="AA1825" s="54">
        <f>STOCK[[#This Row],[Costo total]]*STOCK[[#This Row],[Entradas]]</f>
        <v>21.6</v>
      </c>
      <c r="AB1825" s="54">
        <f>STOCK[[#This Row],[Stock Actual]]*STOCK[[#This Row],[Costo total]]</f>
        <v>0</v>
      </c>
      <c r="AC1825" s="75"/>
      <c r="AD1825" s="96"/>
    </row>
    <row r="1826" spans="1:30" s="53" customFormat="1" ht="50" customHeight="1">
      <c r="A1826" s="93" t="s">
        <v>3616</v>
      </c>
      <c r="B1826" s="83"/>
      <c r="C1826" s="53" t="s">
        <v>32</v>
      </c>
      <c r="D1826" s="84" t="s">
        <v>779</v>
      </c>
      <c r="E1826" s="95" t="s">
        <v>3617</v>
      </c>
      <c r="F1826" s="93" t="s">
        <v>49</v>
      </c>
      <c r="G1826" s="75"/>
      <c r="H1826" s="75">
        <f>STOCK[[#This Row],[Precio Final]]</f>
        <v>15</v>
      </c>
      <c r="I1826" s="80">
        <f>STOCK[[#This Row],[Precio Venta Ideal (x1.5)]]</f>
        <v>15.75</v>
      </c>
      <c r="J1826" s="93">
        <v>1</v>
      </c>
      <c r="K1826" s="78">
        <f>SUMIFS(VENTAS[Cantidad],VENTAS[Código del producto Vendido],STOCK[[#This Row],[Code]])</f>
        <v>1</v>
      </c>
      <c r="L1826" s="78">
        <f>STOCK[[#This Row],[Entradas]]-STOCK[[#This Row],[Salidas]]</f>
        <v>0</v>
      </c>
      <c r="M1826" s="75">
        <f>STOCK[[#This Row],[Precio Final]]*10%</f>
        <v>1.5</v>
      </c>
      <c r="N1826" s="54">
        <v>0</v>
      </c>
      <c r="O1826" s="75">
        <v>0</v>
      </c>
      <c r="P1826" s="75">
        <v>9</v>
      </c>
      <c r="Q1826" s="75">
        <v>0</v>
      </c>
      <c r="R1826" s="78">
        <v>0</v>
      </c>
      <c r="S1826" s="75">
        <v>0</v>
      </c>
      <c r="T1826" s="75">
        <f>STOCK[[#This Row],[Costo Unitario (USD)]]+STOCK[[#This Row],[Costo Envío (USD)]]+STOCK[[#This Row],[Comisión 10%]]</f>
        <v>10.5</v>
      </c>
      <c r="U1826" s="53">
        <f>STOCK[[#This Row],[Costo total]]*1.5</f>
        <v>15.75</v>
      </c>
      <c r="V1826" s="53">
        <v>15</v>
      </c>
      <c r="W1826" s="75">
        <f>STOCK[[#This Row],[Precio Final]]-STOCK[[#This Row],[Costo total]]</f>
        <v>4.5</v>
      </c>
      <c r="X1826" s="75">
        <f>STOCK[[#This Row],[Ganancia Unitaria]]*STOCK[[#This Row],[Salidas]]</f>
        <v>4.5</v>
      </c>
      <c r="Y1826" s="75" t="s">
        <v>3483</v>
      </c>
      <c r="Z1826" s="88"/>
      <c r="AA1826" s="54">
        <f>STOCK[[#This Row],[Costo total]]*STOCK[[#This Row],[Entradas]]</f>
        <v>10.5</v>
      </c>
      <c r="AB1826" s="54">
        <f>STOCK[[#This Row],[Stock Actual]]*STOCK[[#This Row],[Costo total]]</f>
        <v>0</v>
      </c>
      <c r="AC1826" s="75"/>
      <c r="AD1826" s="96"/>
    </row>
    <row r="1827" spans="1:30" s="53" customFormat="1" ht="50" customHeight="1">
      <c r="A1827" s="93" t="s">
        <v>3618</v>
      </c>
      <c r="B1827" s="83"/>
      <c r="C1827" s="53" t="s">
        <v>32</v>
      </c>
      <c r="D1827" s="84" t="s">
        <v>749</v>
      </c>
      <c r="E1827" s="95" t="s">
        <v>3208</v>
      </c>
      <c r="F1827" s="93" t="s">
        <v>62</v>
      </c>
      <c r="G1827" s="75"/>
      <c r="H1827" s="75">
        <f>STOCK[[#This Row],[Precio Final]]</f>
        <v>20</v>
      </c>
      <c r="I1827" s="80">
        <f>STOCK[[#This Row],[Precio Venta Ideal (x1.5)]]</f>
        <v>16.5</v>
      </c>
      <c r="J1827" s="93">
        <v>2</v>
      </c>
      <c r="K1827" s="78">
        <f>SUMIFS(VENTAS[Cantidad],VENTAS[Código del producto Vendido],STOCK[[#This Row],[Code]])</f>
        <v>0</v>
      </c>
      <c r="L1827" s="78">
        <f>STOCK[[#This Row],[Entradas]]-STOCK[[#This Row],[Salidas]]</f>
        <v>2</v>
      </c>
      <c r="M1827" s="75">
        <f>STOCK[[#This Row],[Precio Final]]*10%</f>
        <v>2</v>
      </c>
      <c r="N1827" s="54">
        <v>0</v>
      </c>
      <c r="O1827" s="75">
        <v>0</v>
      </c>
      <c r="P1827" s="75">
        <v>9</v>
      </c>
      <c r="Q1827" s="75">
        <v>0</v>
      </c>
      <c r="R1827" s="78">
        <v>0</v>
      </c>
      <c r="S1827" s="75">
        <v>0</v>
      </c>
      <c r="T1827" s="75">
        <f>STOCK[[#This Row],[Costo Unitario (USD)]]+STOCK[[#This Row],[Costo Envío (USD)]]+STOCK[[#This Row],[Comisión 10%]]</f>
        <v>11</v>
      </c>
      <c r="U1827" s="53">
        <f>STOCK[[#This Row],[Costo total]]*1.5</f>
        <v>16.5</v>
      </c>
      <c r="V1827" s="53">
        <v>20</v>
      </c>
      <c r="W1827" s="75">
        <f>STOCK[[#This Row],[Precio Final]]-STOCK[[#This Row],[Costo total]]</f>
        <v>9</v>
      </c>
      <c r="X1827" s="75">
        <f>STOCK[[#This Row],[Ganancia Unitaria]]*STOCK[[#This Row],[Salidas]]</f>
        <v>0</v>
      </c>
      <c r="Y1827" s="75" t="s">
        <v>3483</v>
      </c>
      <c r="Z1827" s="88"/>
      <c r="AA1827" s="54">
        <f>STOCK[[#This Row],[Costo total]]*STOCK[[#This Row],[Entradas]]</f>
        <v>22</v>
      </c>
      <c r="AB1827" s="54">
        <f>STOCK[[#This Row],[Stock Actual]]*STOCK[[#This Row],[Costo total]]</f>
        <v>22</v>
      </c>
      <c r="AC1827" s="75"/>
      <c r="AD1827" s="96"/>
    </row>
    <row r="1828" spans="1:30" s="53" customFormat="1" ht="50" customHeight="1">
      <c r="A1828" s="93" t="s">
        <v>3619</v>
      </c>
      <c r="B1828" s="83"/>
      <c r="C1828" s="53" t="s">
        <v>32</v>
      </c>
      <c r="D1828" s="84" t="s">
        <v>749</v>
      </c>
      <c r="E1828" s="95" t="s">
        <v>3208</v>
      </c>
      <c r="F1828" s="93" t="s">
        <v>42</v>
      </c>
      <c r="G1828" s="75"/>
      <c r="H1828" s="75">
        <f>STOCK[[#This Row],[Precio Final]]</f>
        <v>20</v>
      </c>
      <c r="I1828" s="80">
        <f>STOCK[[#This Row],[Precio Venta Ideal (x1.5)]]</f>
        <v>16.5</v>
      </c>
      <c r="J1828" s="93">
        <v>1</v>
      </c>
      <c r="K1828" s="78">
        <f>SUMIFS(VENTAS[Cantidad],VENTAS[Código del producto Vendido],STOCK[[#This Row],[Code]])</f>
        <v>0</v>
      </c>
      <c r="L1828" s="78">
        <f>STOCK[[#This Row],[Entradas]]-STOCK[[#This Row],[Salidas]]</f>
        <v>1</v>
      </c>
      <c r="M1828" s="75">
        <f>STOCK[[#This Row],[Precio Final]]*10%</f>
        <v>2</v>
      </c>
      <c r="N1828" s="54">
        <v>0</v>
      </c>
      <c r="O1828" s="75">
        <v>0</v>
      </c>
      <c r="P1828" s="75">
        <v>9</v>
      </c>
      <c r="Q1828" s="75">
        <v>0</v>
      </c>
      <c r="R1828" s="78">
        <v>0</v>
      </c>
      <c r="S1828" s="75">
        <v>0</v>
      </c>
      <c r="T1828" s="75">
        <f>STOCK[[#This Row],[Costo Unitario (USD)]]+STOCK[[#This Row],[Costo Envío (USD)]]+STOCK[[#This Row],[Comisión 10%]]</f>
        <v>11</v>
      </c>
      <c r="U1828" s="53">
        <f>STOCK[[#This Row],[Costo total]]*1.5</f>
        <v>16.5</v>
      </c>
      <c r="V1828" s="53">
        <v>20</v>
      </c>
      <c r="W1828" s="75">
        <f>STOCK[[#This Row],[Precio Final]]-STOCK[[#This Row],[Costo total]]</f>
        <v>9</v>
      </c>
      <c r="X1828" s="75">
        <f>STOCK[[#This Row],[Ganancia Unitaria]]*STOCK[[#This Row],[Salidas]]</f>
        <v>0</v>
      </c>
      <c r="Y1828" s="75" t="s">
        <v>3483</v>
      </c>
      <c r="Z1828" s="88"/>
      <c r="AA1828" s="54">
        <f>STOCK[[#This Row],[Costo total]]*STOCK[[#This Row],[Entradas]]</f>
        <v>11</v>
      </c>
      <c r="AB1828" s="54">
        <f>STOCK[[#This Row],[Stock Actual]]*STOCK[[#This Row],[Costo total]]</f>
        <v>11</v>
      </c>
      <c r="AC1828" s="75"/>
      <c r="AD1828" s="96"/>
    </row>
    <row r="1829" spans="1:30" s="53" customFormat="1" ht="50" customHeight="1">
      <c r="A1829" s="93" t="s">
        <v>3620</v>
      </c>
      <c r="B1829" s="83"/>
      <c r="C1829" s="53" t="s">
        <v>32</v>
      </c>
      <c r="D1829" s="84" t="s">
        <v>749</v>
      </c>
      <c r="E1829" s="95" t="s">
        <v>3621</v>
      </c>
      <c r="F1829" s="93" t="s">
        <v>62</v>
      </c>
      <c r="G1829" s="75"/>
      <c r="H1829" s="75">
        <f>STOCK[[#This Row],[Precio Final]]</f>
        <v>25</v>
      </c>
      <c r="I1829" s="80">
        <f>STOCK[[#This Row],[Precio Venta Ideal (x1.5)]]</f>
        <v>17.25</v>
      </c>
      <c r="J1829" s="93">
        <v>2</v>
      </c>
      <c r="K1829" s="78">
        <f>SUMIFS(VENTAS[Cantidad],VENTAS[Código del producto Vendido],STOCK[[#This Row],[Code]])</f>
        <v>1</v>
      </c>
      <c r="L1829" s="78">
        <f>STOCK[[#This Row],[Entradas]]-STOCK[[#This Row],[Salidas]]</f>
        <v>1</v>
      </c>
      <c r="M1829" s="75">
        <f>STOCK[[#This Row],[Precio Final]]*10%</f>
        <v>2.5</v>
      </c>
      <c r="N1829" s="54">
        <v>0</v>
      </c>
      <c r="O1829" s="75">
        <v>0</v>
      </c>
      <c r="P1829" s="75">
        <v>9</v>
      </c>
      <c r="Q1829" s="75">
        <v>0</v>
      </c>
      <c r="R1829" s="78">
        <v>0</v>
      </c>
      <c r="S1829" s="75">
        <v>0</v>
      </c>
      <c r="T1829" s="75">
        <f>STOCK[[#This Row],[Costo Unitario (USD)]]+STOCK[[#This Row],[Costo Envío (USD)]]+STOCK[[#This Row],[Comisión 10%]]</f>
        <v>11.5</v>
      </c>
      <c r="U1829" s="53">
        <f>STOCK[[#This Row],[Costo total]]*1.5</f>
        <v>17.25</v>
      </c>
      <c r="V1829" s="53">
        <v>25</v>
      </c>
      <c r="W1829" s="75">
        <f>STOCK[[#This Row],[Precio Final]]-STOCK[[#This Row],[Costo total]]</f>
        <v>13.5</v>
      </c>
      <c r="X1829" s="75">
        <f>STOCK[[#This Row],[Ganancia Unitaria]]*STOCK[[#This Row],[Salidas]]</f>
        <v>13.5</v>
      </c>
      <c r="Y1829" s="75" t="s">
        <v>3483</v>
      </c>
      <c r="Z1829" s="88"/>
      <c r="AA1829" s="54">
        <f>STOCK[[#This Row],[Costo total]]*STOCK[[#This Row],[Entradas]]</f>
        <v>23</v>
      </c>
      <c r="AB1829" s="54">
        <f>STOCK[[#This Row],[Stock Actual]]*STOCK[[#This Row],[Costo total]]</f>
        <v>11.5</v>
      </c>
      <c r="AC1829" s="75"/>
      <c r="AD1829" s="96"/>
    </row>
    <row r="1830" spans="1:30" s="53" customFormat="1" ht="50" customHeight="1">
      <c r="A1830" s="93" t="s">
        <v>3622</v>
      </c>
      <c r="B1830" s="83"/>
      <c r="C1830" s="53" t="s">
        <v>32</v>
      </c>
      <c r="D1830" s="84" t="s">
        <v>749</v>
      </c>
      <c r="E1830" s="95" t="s">
        <v>3623</v>
      </c>
      <c r="F1830" s="93" t="s">
        <v>716</v>
      </c>
      <c r="G1830" s="75"/>
      <c r="H1830" s="75">
        <f>STOCK[[#This Row],[Precio Final]]</f>
        <v>30</v>
      </c>
      <c r="I1830" s="80">
        <f>STOCK[[#This Row],[Precio Venta Ideal (x1.5)]]</f>
        <v>18</v>
      </c>
      <c r="J1830" s="93">
        <v>1</v>
      </c>
      <c r="K1830" s="78">
        <f>SUMIFS(VENTAS[Cantidad],VENTAS[Código del producto Vendido],STOCK[[#This Row],[Code]])</f>
        <v>0</v>
      </c>
      <c r="L1830" s="78">
        <f>STOCK[[#This Row],[Entradas]]-STOCK[[#This Row],[Salidas]]</f>
        <v>1</v>
      </c>
      <c r="M1830" s="75">
        <f>STOCK[[#This Row],[Precio Final]]*10%</f>
        <v>3</v>
      </c>
      <c r="N1830" s="54">
        <v>0</v>
      </c>
      <c r="O1830" s="75">
        <v>0</v>
      </c>
      <c r="P1830" s="75">
        <v>9</v>
      </c>
      <c r="Q1830" s="75">
        <v>0</v>
      </c>
      <c r="R1830" s="78">
        <v>0</v>
      </c>
      <c r="S1830" s="75">
        <v>0</v>
      </c>
      <c r="T1830" s="75">
        <f>STOCK[[#This Row],[Costo Unitario (USD)]]+STOCK[[#This Row],[Costo Envío (USD)]]+STOCK[[#This Row],[Comisión 10%]]</f>
        <v>12</v>
      </c>
      <c r="U1830" s="53">
        <f>STOCK[[#This Row],[Costo total]]*1.5</f>
        <v>18</v>
      </c>
      <c r="V1830" s="53">
        <v>30</v>
      </c>
      <c r="W1830" s="75">
        <f>STOCK[[#This Row],[Precio Final]]-STOCK[[#This Row],[Costo total]]</f>
        <v>18</v>
      </c>
      <c r="X1830" s="75">
        <f>STOCK[[#This Row],[Ganancia Unitaria]]*STOCK[[#This Row],[Salidas]]</f>
        <v>0</v>
      </c>
      <c r="Y1830" s="75" t="s">
        <v>3483</v>
      </c>
      <c r="Z1830" s="88"/>
      <c r="AA1830" s="54">
        <f>STOCK[[#This Row],[Costo total]]*STOCK[[#This Row],[Entradas]]</f>
        <v>12</v>
      </c>
      <c r="AB1830" s="54">
        <f>STOCK[[#This Row],[Stock Actual]]*STOCK[[#This Row],[Costo total]]</f>
        <v>12</v>
      </c>
      <c r="AC1830" s="75"/>
      <c r="AD1830" s="96"/>
    </row>
    <row r="1831" spans="1:30" s="53" customFormat="1" ht="50" customHeight="1">
      <c r="A1831" s="93" t="s">
        <v>3624</v>
      </c>
      <c r="B1831" s="83"/>
      <c r="C1831" s="53" t="s">
        <v>32</v>
      </c>
      <c r="D1831" s="84" t="s">
        <v>779</v>
      </c>
      <c r="E1831" s="95" t="s">
        <v>3625</v>
      </c>
      <c r="F1831" s="93" t="s">
        <v>49</v>
      </c>
      <c r="G1831" s="75"/>
      <c r="H1831" s="75">
        <f>STOCK[[#This Row],[Precio Final]]</f>
        <v>12</v>
      </c>
      <c r="I1831" s="80">
        <f>STOCK[[#This Row],[Precio Venta Ideal (x1.5)]]</f>
        <v>15.299999999999999</v>
      </c>
      <c r="J1831" s="93">
        <v>1</v>
      </c>
      <c r="K1831" s="78">
        <f>SUMIFS(VENTAS[Cantidad],VENTAS[Código del producto Vendido],STOCK[[#This Row],[Code]])</f>
        <v>0</v>
      </c>
      <c r="L1831" s="78">
        <f>STOCK[[#This Row],[Entradas]]-STOCK[[#This Row],[Salidas]]</f>
        <v>1</v>
      </c>
      <c r="M1831" s="75">
        <f>STOCK[[#This Row],[Precio Final]]*10%</f>
        <v>1.2000000000000002</v>
      </c>
      <c r="N1831" s="54">
        <v>0</v>
      </c>
      <c r="O1831" s="75">
        <v>0</v>
      </c>
      <c r="P1831" s="75">
        <v>9</v>
      </c>
      <c r="Q1831" s="75">
        <v>0</v>
      </c>
      <c r="R1831" s="78">
        <v>0</v>
      </c>
      <c r="S1831" s="75">
        <v>0</v>
      </c>
      <c r="T1831" s="75">
        <f>STOCK[[#This Row],[Costo Unitario (USD)]]+STOCK[[#This Row],[Costo Envío (USD)]]+STOCK[[#This Row],[Comisión 10%]]</f>
        <v>10.199999999999999</v>
      </c>
      <c r="U1831" s="53">
        <f>STOCK[[#This Row],[Costo total]]*1.5</f>
        <v>15.299999999999999</v>
      </c>
      <c r="V1831" s="53">
        <v>12</v>
      </c>
      <c r="W1831" s="75">
        <f>STOCK[[#This Row],[Precio Final]]-STOCK[[#This Row],[Costo total]]</f>
        <v>1.8000000000000007</v>
      </c>
      <c r="X1831" s="75">
        <f>STOCK[[#This Row],[Ganancia Unitaria]]*STOCK[[#This Row],[Salidas]]</f>
        <v>0</v>
      </c>
      <c r="Y1831" s="75" t="s">
        <v>3483</v>
      </c>
      <c r="Z1831" s="88"/>
      <c r="AA1831" s="54">
        <f>STOCK[[#This Row],[Costo total]]*STOCK[[#This Row],[Entradas]]</f>
        <v>10.199999999999999</v>
      </c>
      <c r="AB1831" s="54">
        <f>STOCK[[#This Row],[Stock Actual]]*STOCK[[#This Row],[Costo total]]</f>
        <v>10.199999999999999</v>
      </c>
      <c r="AC1831" s="75"/>
      <c r="AD1831" s="96"/>
    </row>
    <row r="1832" spans="1:30" s="53" customFormat="1" ht="50" customHeight="1">
      <c r="A1832" s="93" t="s">
        <v>3626</v>
      </c>
      <c r="B1832" s="83"/>
      <c r="C1832" s="53" t="s">
        <v>32</v>
      </c>
      <c r="D1832" s="84" t="s">
        <v>749</v>
      </c>
      <c r="E1832" s="95" t="s">
        <v>3627</v>
      </c>
      <c r="F1832" s="93" t="s">
        <v>49</v>
      </c>
      <c r="G1832" s="75"/>
      <c r="H1832" s="75">
        <f>STOCK[[#This Row],[Precio Final]]</f>
        <v>25</v>
      </c>
      <c r="I1832" s="80">
        <f>STOCK[[#This Row],[Precio Venta Ideal (x1.5)]]</f>
        <v>17.25</v>
      </c>
      <c r="J1832" s="93">
        <v>2</v>
      </c>
      <c r="K1832" s="78">
        <f>SUMIFS(VENTAS[Cantidad],VENTAS[Código del producto Vendido],STOCK[[#This Row],[Code]])</f>
        <v>0</v>
      </c>
      <c r="L1832" s="78">
        <f>STOCK[[#This Row],[Entradas]]-STOCK[[#This Row],[Salidas]]</f>
        <v>2</v>
      </c>
      <c r="M1832" s="75">
        <f>STOCK[[#This Row],[Precio Final]]*10%</f>
        <v>2.5</v>
      </c>
      <c r="N1832" s="54">
        <v>0</v>
      </c>
      <c r="O1832" s="75">
        <v>0</v>
      </c>
      <c r="P1832" s="75">
        <v>9</v>
      </c>
      <c r="Q1832" s="75">
        <v>0</v>
      </c>
      <c r="R1832" s="78">
        <v>0</v>
      </c>
      <c r="S1832" s="75">
        <v>0</v>
      </c>
      <c r="T1832" s="75">
        <f>STOCK[[#This Row],[Costo Unitario (USD)]]+STOCK[[#This Row],[Costo Envío (USD)]]+STOCK[[#This Row],[Comisión 10%]]</f>
        <v>11.5</v>
      </c>
      <c r="U1832" s="53">
        <f>STOCK[[#This Row],[Costo total]]*1.5</f>
        <v>17.25</v>
      </c>
      <c r="V1832" s="53">
        <v>25</v>
      </c>
      <c r="W1832" s="75">
        <f>STOCK[[#This Row],[Precio Final]]-STOCK[[#This Row],[Costo total]]</f>
        <v>13.5</v>
      </c>
      <c r="X1832" s="75">
        <f>STOCK[[#This Row],[Ganancia Unitaria]]*STOCK[[#This Row],[Salidas]]</f>
        <v>0</v>
      </c>
      <c r="Y1832" s="75" t="s">
        <v>3483</v>
      </c>
      <c r="Z1832" s="88"/>
      <c r="AA1832" s="54">
        <f>STOCK[[#This Row],[Costo total]]*STOCK[[#This Row],[Entradas]]</f>
        <v>23</v>
      </c>
      <c r="AB1832" s="54">
        <f>STOCK[[#This Row],[Stock Actual]]*STOCK[[#This Row],[Costo total]]</f>
        <v>23</v>
      </c>
      <c r="AC1832" s="75"/>
      <c r="AD1832" s="96"/>
    </row>
    <row r="1833" spans="1:30" s="53" customFormat="1" ht="50" customHeight="1">
      <c r="A1833" s="93" t="s">
        <v>3628</v>
      </c>
      <c r="B1833" s="83"/>
      <c r="C1833" s="53" t="s">
        <v>32</v>
      </c>
      <c r="D1833" s="84" t="s">
        <v>749</v>
      </c>
      <c r="E1833" s="95" t="s">
        <v>3627</v>
      </c>
      <c r="F1833" s="93" t="s">
        <v>42</v>
      </c>
      <c r="G1833" s="75"/>
      <c r="H1833" s="75">
        <f>STOCK[[#This Row],[Precio Final]]</f>
        <v>25</v>
      </c>
      <c r="I1833" s="80">
        <f>STOCK[[#This Row],[Precio Venta Ideal (x1.5)]]</f>
        <v>17.25</v>
      </c>
      <c r="J1833" s="93">
        <v>1</v>
      </c>
      <c r="K1833" s="78">
        <f>SUMIFS(VENTAS[Cantidad],VENTAS[Código del producto Vendido],STOCK[[#This Row],[Code]])</f>
        <v>0</v>
      </c>
      <c r="L1833" s="78">
        <f>STOCK[[#This Row],[Entradas]]-STOCK[[#This Row],[Salidas]]</f>
        <v>1</v>
      </c>
      <c r="M1833" s="75">
        <f>STOCK[[#This Row],[Precio Final]]*10%</f>
        <v>2.5</v>
      </c>
      <c r="N1833" s="54">
        <v>0</v>
      </c>
      <c r="O1833" s="75">
        <v>0</v>
      </c>
      <c r="P1833" s="75">
        <v>9</v>
      </c>
      <c r="Q1833" s="75">
        <v>0</v>
      </c>
      <c r="R1833" s="78">
        <v>0</v>
      </c>
      <c r="S1833" s="75">
        <v>0</v>
      </c>
      <c r="T1833" s="75">
        <f>STOCK[[#This Row],[Costo Unitario (USD)]]+STOCK[[#This Row],[Costo Envío (USD)]]+STOCK[[#This Row],[Comisión 10%]]</f>
        <v>11.5</v>
      </c>
      <c r="U1833" s="53">
        <f>STOCK[[#This Row],[Costo total]]*1.5</f>
        <v>17.25</v>
      </c>
      <c r="V1833" s="53">
        <v>25</v>
      </c>
      <c r="W1833" s="75">
        <f>STOCK[[#This Row],[Precio Final]]-STOCK[[#This Row],[Costo total]]</f>
        <v>13.5</v>
      </c>
      <c r="X1833" s="75">
        <f>STOCK[[#This Row],[Ganancia Unitaria]]*STOCK[[#This Row],[Salidas]]</f>
        <v>0</v>
      </c>
      <c r="Y1833" s="75" t="s">
        <v>3483</v>
      </c>
      <c r="Z1833" s="88"/>
      <c r="AA1833" s="54">
        <f>STOCK[[#This Row],[Costo total]]*STOCK[[#This Row],[Entradas]]</f>
        <v>11.5</v>
      </c>
      <c r="AB1833" s="54">
        <f>STOCK[[#This Row],[Stock Actual]]*STOCK[[#This Row],[Costo total]]</f>
        <v>11.5</v>
      </c>
      <c r="AC1833" s="75"/>
      <c r="AD1833" s="96"/>
    </row>
    <row r="1834" spans="1:30" s="53" customFormat="1" ht="50" customHeight="1">
      <c r="A1834" s="93" t="s">
        <v>3629</v>
      </c>
      <c r="B1834" s="83"/>
      <c r="C1834" s="53" t="s">
        <v>32</v>
      </c>
      <c r="D1834" s="84" t="s">
        <v>779</v>
      </c>
      <c r="E1834" s="95" t="s">
        <v>3630</v>
      </c>
      <c r="F1834" s="93" t="s">
        <v>46</v>
      </c>
      <c r="G1834" s="75"/>
      <c r="H1834" s="75">
        <f>STOCK[[#This Row],[Precio Final]]</f>
        <v>20</v>
      </c>
      <c r="I1834" s="80">
        <f>STOCK[[#This Row],[Precio Venta Ideal (x1.5)]]</f>
        <v>16.5</v>
      </c>
      <c r="J1834" s="93">
        <v>1</v>
      </c>
      <c r="K1834" s="78">
        <f>SUMIFS(VENTAS[Cantidad],VENTAS[Código del producto Vendido],STOCK[[#This Row],[Code]])</f>
        <v>1</v>
      </c>
      <c r="L1834" s="78">
        <f>STOCK[[#This Row],[Entradas]]-STOCK[[#This Row],[Salidas]]</f>
        <v>0</v>
      </c>
      <c r="M1834" s="75">
        <f>STOCK[[#This Row],[Precio Final]]*10%</f>
        <v>2</v>
      </c>
      <c r="N1834" s="54">
        <v>0</v>
      </c>
      <c r="O1834" s="75">
        <v>0</v>
      </c>
      <c r="P1834" s="75">
        <v>9</v>
      </c>
      <c r="Q1834" s="75">
        <v>0</v>
      </c>
      <c r="R1834" s="78">
        <v>0</v>
      </c>
      <c r="S1834" s="75">
        <v>0</v>
      </c>
      <c r="T1834" s="75">
        <f>STOCK[[#This Row],[Costo Unitario (USD)]]+STOCK[[#This Row],[Costo Envío (USD)]]+STOCK[[#This Row],[Comisión 10%]]</f>
        <v>11</v>
      </c>
      <c r="U1834" s="53">
        <f>STOCK[[#This Row],[Costo total]]*1.5</f>
        <v>16.5</v>
      </c>
      <c r="V1834" s="53">
        <v>20</v>
      </c>
      <c r="W1834" s="75">
        <f>STOCK[[#This Row],[Precio Final]]-STOCK[[#This Row],[Costo total]]</f>
        <v>9</v>
      </c>
      <c r="X1834" s="75">
        <f>STOCK[[#This Row],[Ganancia Unitaria]]*STOCK[[#This Row],[Salidas]]</f>
        <v>9</v>
      </c>
      <c r="Y1834" s="75" t="s">
        <v>3483</v>
      </c>
      <c r="Z1834" s="88"/>
      <c r="AA1834" s="54">
        <f>STOCK[[#This Row],[Costo total]]*STOCK[[#This Row],[Entradas]]</f>
        <v>11</v>
      </c>
      <c r="AB1834" s="54">
        <f>STOCK[[#This Row],[Stock Actual]]*STOCK[[#This Row],[Costo total]]</f>
        <v>0</v>
      </c>
      <c r="AC1834" s="75"/>
      <c r="AD1834" s="96"/>
    </row>
    <row r="1835" spans="1:30" s="53" customFormat="1" ht="50" customHeight="1">
      <c r="A1835" s="93" t="s">
        <v>3631</v>
      </c>
      <c r="B1835" s="83"/>
      <c r="C1835" s="53" t="s">
        <v>32</v>
      </c>
      <c r="D1835" s="84" t="s">
        <v>779</v>
      </c>
      <c r="E1835" s="95" t="s">
        <v>3632</v>
      </c>
      <c r="F1835" s="93" t="s">
        <v>62</v>
      </c>
      <c r="G1835" s="75"/>
      <c r="H1835" s="75">
        <f>STOCK[[#This Row],[Precio Final]]</f>
        <v>15</v>
      </c>
      <c r="I1835" s="80">
        <f>STOCK[[#This Row],[Precio Venta Ideal (x1.5)]]</f>
        <v>15.75</v>
      </c>
      <c r="J1835" s="93">
        <v>1</v>
      </c>
      <c r="K1835" s="78">
        <f>SUMIFS(VENTAS[Cantidad],VENTAS[Código del producto Vendido],STOCK[[#This Row],[Code]])</f>
        <v>1</v>
      </c>
      <c r="L1835" s="78">
        <f>STOCK[[#This Row],[Entradas]]-STOCK[[#This Row],[Salidas]]</f>
        <v>0</v>
      </c>
      <c r="M1835" s="75">
        <f>STOCK[[#This Row],[Precio Final]]*10%</f>
        <v>1.5</v>
      </c>
      <c r="N1835" s="54">
        <v>0</v>
      </c>
      <c r="O1835" s="75">
        <v>0</v>
      </c>
      <c r="P1835" s="75">
        <v>9</v>
      </c>
      <c r="Q1835" s="75">
        <v>0</v>
      </c>
      <c r="R1835" s="78">
        <v>0</v>
      </c>
      <c r="S1835" s="75">
        <v>0</v>
      </c>
      <c r="T1835" s="75">
        <f>STOCK[[#This Row],[Costo Unitario (USD)]]+STOCK[[#This Row],[Costo Envío (USD)]]+STOCK[[#This Row],[Comisión 10%]]</f>
        <v>10.5</v>
      </c>
      <c r="U1835" s="53">
        <f>STOCK[[#This Row],[Costo total]]*1.5</f>
        <v>15.75</v>
      </c>
      <c r="V1835" s="53">
        <v>15</v>
      </c>
      <c r="W1835" s="75">
        <f>STOCK[[#This Row],[Precio Final]]-STOCK[[#This Row],[Costo total]]</f>
        <v>4.5</v>
      </c>
      <c r="X1835" s="75">
        <f>STOCK[[#This Row],[Ganancia Unitaria]]*STOCK[[#This Row],[Salidas]]</f>
        <v>4.5</v>
      </c>
      <c r="Y1835" s="75" t="s">
        <v>3483</v>
      </c>
      <c r="Z1835" s="88"/>
      <c r="AA1835" s="54">
        <f>STOCK[[#This Row],[Costo total]]*STOCK[[#This Row],[Entradas]]</f>
        <v>10.5</v>
      </c>
      <c r="AB1835" s="54">
        <f>STOCK[[#This Row],[Stock Actual]]*STOCK[[#This Row],[Costo total]]</f>
        <v>0</v>
      </c>
      <c r="AC1835" s="75"/>
      <c r="AD1835" s="96"/>
    </row>
    <row r="1836" spans="1:30" s="53" customFormat="1" ht="50" customHeight="1">
      <c r="A1836" s="93" t="s">
        <v>3633</v>
      </c>
      <c r="B1836" s="83"/>
      <c r="C1836" s="53" t="s">
        <v>32</v>
      </c>
      <c r="D1836" s="84" t="s">
        <v>779</v>
      </c>
      <c r="E1836" s="95" t="s">
        <v>3632</v>
      </c>
      <c r="F1836" s="93" t="s">
        <v>49</v>
      </c>
      <c r="G1836" s="75"/>
      <c r="H1836" s="75">
        <f>STOCK[[#This Row],[Precio Final]]</f>
        <v>15</v>
      </c>
      <c r="I1836" s="80">
        <f>STOCK[[#This Row],[Precio Venta Ideal (x1.5)]]</f>
        <v>15.75</v>
      </c>
      <c r="J1836" s="93">
        <v>1</v>
      </c>
      <c r="K1836" s="78">
        <f>SUMIFS(VENTAS[Cantidad],VENTAS[Código del producto Vendido],STOCK[[#This Row],[Code]])</f>
        <v>0</v>
      </c>
      <c r="L1836" s="78">
        <f>STOCK[[#This Row],[Entradas]]-STOCK[[#This Row],[Salidas]]</f>
        <v>1</v>
      </c>
      <c r="M1836" s="75">
        <f>STOCK[[#This Row],[Precio Final]]*10%</f>
        <v>1.5</v>
      </c>
      <c r="N1836" s="54">
        <v>0</v>
      </c>
      <c r="O1836" s="75">
        <v>0</v>
      </c>
      <c r="P1836" s="75">
        <v>9</v>
      </c>
      <c r="Q1836" s="75">
        <v>0</v>
      </c>
      <c r="R1836" s="78">
        <v>0</v>
      </c>
      <c r="S1836" s="75">
        <v>0</v>
      </c>
      <c r="T1836" s="75">
        <f>STOCK[[#This Row],[Costo Unitario (USD)]]+STOCK[[#This Row],[Costo Envío (USD)]]+STOCK[[#This Row],[Comisión 10%]]</f>
        <v>10.5</v>
      </c>
      <c r="U1836" s="53">
        <f>STOCK[[#This Row],[Costo total]]*1.5</f>
        <v>15.75</v>
      </c>
      <c r="V1836" s="53">
        <v>15</v>
      </c>
      <c r="W1836" s="75">
        <f>STOCK[[#This Row],[Precio Final]]-STOCK[[#This Row],[Costo total]]</f>
        <v>4.5</v>
      </c>
      <c r="X1836" s="75">
        <f>STOCK[[#This Row],[Ganancia Unitaria]]*STOCK[[#This Row],[Salidas]]</f>
        <v>0</v>
      </c>
      <c r="Y1836" s="75" t="s">
        <v>3483</v>
      </c>
      <c r="Z1836" s="88"/>
      <c r="AA1836" s="54">
        <f>STOCK[[#This Row],[Costo total]]*STOCK[[#This Row],[Entradas]]</f>
        <v>10.5</v>
      </c>
      <c r="AB1836" s="54">
        <f>STOCK[[#This Row],[Stock Actual]]*STOCK[[#This Row],[Costo total]]</f>
        <v>10.5</v>
      </c>
      <c r="AC1836" s="75"/>
      <c r="AD1836" s="96"/>
    </row>
    <row r="1837" spans="1:30" s="53" customFormat="1" ht="50" customHeight="1">
      <c r="A1837" s="93" t="s">
        <v>3634</v>
      </c>
      <c r="B1837" s="83"/>
      <c r="C1837" s="53" t="s">
        <v>32</v>
      </c>
      <c r="D1837" s="84" t="s">
        <v>779</v>
      </c>
      <c r="E1837" s="95" t="s">
        <v>3632</v>
      </c>
      <c r="F1837" s="93" t="s">
        <v>42</v>
      </c>
      <c r="G1837" s="75"/>
      <c r="H1837" s="75">
        <f>STOCK[[#This Row],[Precio Final]]</f>
        <v>15</v>
      </c>
      <c r="I1837" s="80">
        <f>STOCK[[#This Row],[Precio Venta Ideal (x1.5)]]</f>
        <v>15.75</v>
      </c>
      <c r="J1837" s="93">
        <v>1</v>
      </c>
      <c r="K1837" s="78">
        <f>SUMIFS(VENTAS[Cantidad],VENTAS[Código del producto Vendido],STOCK[[#This Row],[Code]])</f>
        <v>1</v>
      </c>
      <c r="L1837" s="78">
        <f>STOCK[[#This Row],[Entradas]]-STOCK[[#This Row],[Salidas]]</f>
        <v>0</v>
      </c>
      <c r="M1837" s="75">
        <f>STOCK[[#This Row],[Precio Final]]*10%</f>
        <v>1.5</v>
      </c>
      <c r="N1837" s="54">
        <v>0</v>
      </c>
      <c r="O1837" s="75">
        <v>0</v>
      </c>
      <c r="P1837" s="75">
        <v>9</v>
      </c>
      <c r="Q1837" s="75">
        <v>0</v>
      </c>
      <c r="R1837" s="78">
        <v>0</v>
      </c>
      <c r="S1837" s="75">
        <v>0</v>
      </c>
      <c r="T1837" s="75">
        <f>STOCK[[#This Row],[Costo Unitario (USD)]]+STOCK[[#This Row],[Costo Envío (USD)]]+STOCK[[#This Row],[Comisión 10%]]</f>
        <v>10.5</v>
      </c>
      <c r="U1837" s="53">
        <f>STOCK[[#This Row],[Costo total]]*1.5</f>
        <v>15.75</v>
      </c>
      <c r="V1837" s="53">
        <v>15</v>
      </c>
      <c r="W1837" s="75">
        <f>STOCK[[#This Row],[Precio Final]]-STOCK[[#This Row],[Costo total]]</f>
        <v>4.5</v>
      </c>
      <c r="X1837" s="75">
        <f>STOCK[[#This Row],[Ganancia Unitaria]]*STOCK[[#This Row],[Salidas]]</f>
        <v>4.5</v>
      </c>
      <c r="Y1837" s="75" t="s">
        <v>3483</v>
      </c>
      <c r="Z1837" s="88"/>
      <c r="AA1837" s="54">
        <f>STOCK[[#This Row],[Costo total]]*STOCK[[#This Row],[Entradas]]</f>
        <v>10.5</v>
      </c>
      <c r="AB1837" s="54">
        <f>STOCK[[#This Row],[Stock Actual]]*STOCK[[#This Row],[Costo total]]</f>
        <v>0</v>
      </c>
      <c r="AC1837" s="75"/>
      <c r="AD1837" s="96"/>
    </row>
    <row r="1838" spans="1:30" s="53" customFormat="1" ht="50" customHeight="1">
      <c r="A1838" s="93" t="s">
        <v>3635</v>
      </c>
      <c r="B1838" s="83"/>
      <c r="C1838" s="53" t="s">
        <v>32</v>
      </c>
      <c r="D1838" s="84" t="s">
        <v>749</v>
      </c>
      <c r="E1838" s="95" t="s">
        <v>3636</v>
      </c>
      <c r="F1838" s="93" t="s">
        <v>62</v>
      </c>
      <c r="G1838" s="75"/>
      <c r="H1838" s="75">
        <f>STOCK[[#This Row],[Precio Final]]</f>
        <v>18</v>
      </c>
      <c r="I1838" s="80">
        <f>STOCK[[#This Row],[Precio Venta Ideal (x1.5)]]</f>
        <v>16.200000000000003</v>
      </c>
      <c r="J1838" s="93">
        <v>1</v>
      </c>
      <c r="K1838" s="78">
        <f>SUMIFS(VENTAS[Cantidad],VENTAS[Código del producto Vendido],STOCK[[#This Row],[Code]])</f>
        <v>0</v>
      </c>
      <c r="L1838" s="78">
        <f>STOCK[[#This Row],[Entradas]]-STOCK[[#This Row],[Salidas]]</f>
        <v>1</v>
      </c>
      <c r="M1838" s="75">
        <f>STOCK[[#This Row],[Precio Final]]*10%</f>
        <v>1.8</v>
      </c>
      <c r="N1838" s="54">
        <v>0</v>
      </c>
      <c r="O1838" s="75">
        <v>0</v>
      </c>
      <c r="P1838" s="75">
        <v>9</v>
      </c>
      <c r="Q1838" s="75">
        <v>0</v>
      </c>
      <c r="R1838" s="78">
        <v>0</v>
      </c>
      <c r="S1838" s="75">
        <v>0</v>
      </c>
      <c r="T1838" s="75">
        <f>STOCK[[#This Row],[Costo Unitario (USD)]]+STOCK[[#This Row],[Costo Envío (USD)]]+STOCK[[#This Row],[Comisión 10%]]</f>
        <v>10.8</v>
      </c>
      <c r="U1838" s="53">
        <f>STOCK[[#This Row],[Costo total]]*1.5</f>
        <v>16.200000000000003</v>
      </c>
      <c r="V1838" s="53">
        <v>18</v>
      </c>
      <c r="W1838" s="75">
        <f>STOCK[[#This Row],[Precio Final]]-STOCK[[#This Row],[Costo total]]</f>
        <v>7.1999999999999993</v>
      </c>
      <c r="X1838" s="75">
        <f>STOCK[[#This Row],[Ganancia Unitaria]]*STOCK[[#This Row],[Salidas]]</f>
        <v>0</v>
      </c>
      <c r="Y1838" s="75" t="s">
        <v>3483</v>
      </c>
      <c r="Z1838" s="88"/>
      <c r="AA1838" s="54">
        <f>STOCK[[#This Row],[Costo total]]*STOCK[[#This Row],[Entradas]]</f>
        <v>10.8</v>
      </c>
      <c r="AB1838" s="54">
        <f>STOCK[[#This Row],[Stock Actual]]*STOCK[[#This Row],[Costo total]]</f>
        <v>10.8</v>
      </c>
      <c r="AC1838" s="75"/>
      <c r="AD1838" s="96"/>
    </row>
    <row r="1839" spans="1:30" s="53" customFormat="1" ht="50" customHeight="1">
      <c r="A1839" s="93" t="s">
        <v>3637</v>
      </c>
      <c r="B1839" s="83"/>
      <c r="C1839" s="53" t="s">
        <v>32</v>
      </c>
      <c r="D1839" s="84" t="s">
        <v>1388</v>
      </c>
      <c r="E1839" s="95" t="s">
        <v>3638</v>
      </c>
      <c r="F1839" s="93" t="s">
        <v>3563</v>
      </c>
      <c r="G1839" s="75"/>
      <c r="H1839" s="75">
        <f>STOCK[[#This Row],[Precio Final]]</f>
        <v>40</v>
      </c>
      <c r="I1839" s="80">
        <f>STOCK[[#This Row],[Precio Venta Ideal (x1.5)]]</f>
        <v>19.5</v>
      </c>
      <c r="J1839" s="93">
        <v>1</v>
      </c>
      <c r="K1839" s="78">
        <f>SUMIFS(VENTAS[Cantidad],VENTAS[Código del producto Vendido],STOCK[[#This Row],[Code]])</f>
        <v>1</v>
      </c>
      <c r="L1839" s="78">
        <f>STOCK[[#This Row],[Entradas]]-STOCK[[#This Row],[Salidas]]</f>
        <v>0</v>
      </c>
      <c r="M1839" s="75">
        <f>STOCK[[#This Row],[Precio Final]]*10%</f>
        <v>4</v>
      </c>
      <c r="N1839" s="54">
        <v>0</v>
      </c>
      <c r="O1839" s="75">
        <v>0</v>
      </c>
      <c r="P1839" s="75">
        <v>9</v>
      </c>
      <c r="Q1839" s="75">
        <v>0</v>
      </c>
      <c r="R1839" s="78">
        <v>0</v>
      </c>
      <c r="S1839" s="75">
        <v>0</v>
      </c>
      <c r="T1839" s="75">
        <f>STOCK[[#This Row],[Costo Unitario (USD)]]+STOCK[[#This Row],[Costo Envío (USD)]]+STOCK[[#This Row],[Comisión 10%]]</f>
        <v>13</v>
      </c>
      <c r="U1839" s="53">
        <f>STOCK[[#This Row],[Costo total]]*1.5</f>
        <v>19.5</v>
      </c>
      <c r="V1839" s="53">
        <v>40</v>
      </c>
      <c r="W1839" s="75">
        <f>STOCK[[#This Row],[Precio Final]]-STOCK[[#This Row],[Costo total]]</f>
        <v>27</v>
      </c>
      <c r="X1839" s="75">
        <f>STOCK[[#This Row],[Ganancia Unitaria]]*STOCK[[#This Row],[Salidas]]</f>
        <v>27</v>
      </c>
      <c r="Y1839" s="75" t="s">
        <v>3483</v>
      </c>
      <c r="Z1839" s="88"/>
      <c r="AA1839" s="54">
        <f>STOCK[[#This Row],[Costo total]]*STOCK[[#This Row],[Entradas]]</f>
        <v>13</v>
      </c>
      <c r="AB1839" s="54">
        <f>STOCK[[#This Row],[Stock Actual]]*STOCK[[#This Row],[Costo total]]</f>
        <v>0</v>
      </c>
      <c r="AC1839" s="75"/>
      <c r="AD1839" s="96"/>
    </row>
    <row r="1840" spans="1:30" s="53" customFormat="1" ht="50" customHeight="1">
      <c r="A1840" s="93" t="s">
        <v>3639</v>
      </c>
      <c r="B1840" s="83"/>
      <c r="C1840" s="53" t="s">
        <v>32</v>
      </c>
      <c r="D1840" s="84" t="s">
        <v>749</v>
      </c>
      <c r="E1840" s="95" t="s">
        <v>3640</v>
      </c>
      <c r="F1840" s="93" t="s">
        <v>1046</v>
      </c>
      <c r="G1840" s="75"/>
      <c r="H1840" s="75">
        <f>STOCK[[#This Row],[Precio Final]]</f>
        <v>20</v>
      </c>
      <c r="I1840" s="80">
        <f>STOCK[[#This Row],[Precio Venta Ideal (x1.5)]]</f>
        <v>16.5</v>
      </c>
      <c r="J1840" s="93">
        <v>1</v>
      </c>
      <c r="K1840" s="78">
        <f>SUMIFS(VENTAS[Cantidad],VENTAS[Código del producto Vendido],STOCK[[#This Row],[Code]])</f>
        <v>0</v>
      </c>
      <c r="L1840" s="78">
        <f>STOCK[[#This Row],[Entradas]]-STOCK[[#This Row],[Salidas]]</f>
        <v>1</v>
      </c>
      <c r="M1840" s="75">
        <f>STOCK[[#This Row],[Precio Final]]*10%</f>
        <v>2</v>
      </c>
      <c r="N1840" s="54">
        <v>0</v>
      </c>
      <c r="O1840" s="75">
        <v>0</v>
      </c>
      <c r="P1840" s="75">
        <v>9</v>
      </c>
      <c r="Q1840" s="75">
        <v>0</v>
      </c>
      <c r="R1840" s="78">
        <v>0</v>
      </c>
      <c r="S1840" s="75">
        <v>0</v>
      </c>
      <c r="T1840" s="75">
        <f>STOCK[[#This Row],[Costo Unitario (USD)]]+STOCK[[#This Row],[Costo Envío (USD)]]+STOCK[[#This Row],[Comisión 10%]]</f>
        <v>11</v>
      </c>
      <c r="U1840" s="53">
        <f>STOCK[[#This Row],[Costo total]]*1.5</f>
        <v>16.5</v>
      </c>
      <c r="V1840" s="53">
        <v>20</v>
      </c>
      <c r="W1840" s="75">
        <f>STOCK[[#This Row],[Precio Final]]-STOCK[[#This Row],[Costo total]]</f>
        <v>9</v>
      </c>
      <c r="X1840" s="75">
        <f>STOCK[[#This Row],[Ganancia Unitaria]]*STOCK[[#This Row],[Salidas]]</f>
        <v>0</v>
      </c>
      <c r="Y1840" s="75" t="s">
        <v>3483</v>
      </c>
      <c r="Z1840" s="88"/>
      <c r="AA1840" s="54">
        <f>STOCK[[#This Row],[Costo total]]*STOCK[[#This Row],[Entradas]]</f>
        <v>11</v>
      </c>
      <c r="AB1840" s="54">
        <f>STOCK[[#This Row],[Stock Actual]]*STOCK[[#This Row],[Costo total]]</f>
        <v>11</v>
      </c>
      <c r="AC1840" s="75"/>
      <c r="AD1840" s="96"/>
    </row>
    <row r="1841" spans="1:30" s="53" customFormat="1" ht="50" customHeight="1">
      <c r="A1841" s="93" t="s">
        <v>3641</v>
      </c>
      <c r="B1841" s="83"/>
      <c r="C1841" s="53" t="s">
        <v>32</v>
      </c>
      <c r="D1841" s="84" t="s">
        <v>749</v>
      </c>
      <c r="E1841" s="95" t="s">
        <v>3642</v>
      </c>
      <c r="F1841" s="93" t="s">
        <v>49</v>
      </c>
      <c r="G1841" s="75"/>
      <c r="H1841" s="75">
        <f>STOCK[[#This Row],[Precio Final]]</f>
        <v>20</v>
      </c>
      <c r="I1841" s="80">
        <f>STOCK[[#This Row],[Precio Venta Ideal (x1.5)]]</f>
        <v>16.5</v>
      </c>
      <c r="J1841" s="93">
        <v>1</v>
      </c>
      <c r="K1841" s="78">
        <f>SUMIFS(VENTAS[Cantidad],VENTAS[Código del producto Vendido],STOCK[[#This Row],[Code]])</f>
        <v>1</v>
      </c>
      <c r="L1841" s="78">
        <f>STOCK[[#This Row],[Entradas]]-STOCK[[#This Row],[Salidas]]</f>
        <v>0</v>
      </c>
      <c r="M1841" s="75">
        <f>STOCK[[#This Row],[Precio Final]]*10%</f>
        <v>2</v>
      </c>
      <c r="N1841" s="54">
        <v>0</v>
      </c>
      <c r="O1841" s="75">
        <v>0</v>
      </c>
      <c r="P1841" s="75">
        <v>9</v>
      </c>
      <c r="Q1841" s="75">
        <v>0</v>
      </c>
      <c r="R1841" s="78">
        <v>0</v>
      </c>
      <c r="S1841" s="75">
        <v>0</v>
      </c>
      <c r="T1841" s="75">
        <f>STOCK[[#This Row],[Costo Unitario (USD)]]+STOCK[[#This Row],[Costo Envío (USD)]]+STOCK[[#This Row],[Comisión 10%]]</f>
        <v>11</v>
      </c>
      <c r="U1841" s="53">
        <f>STOCK[[#This Row],[Costo total]]*1.5</f>
        <v>16.5</v>
      </c>
      <c r="V1841" s="53">
        <v>20</v>
      </c>
      <c r="W1841" s="75">
        <f>STOCK[[#This Row],[Precio Final]]-STOCK[[#This Row],[Costo total]]</f>
        <v>9</v>
      </c>
      <c r="X1841" s="75">
        <f>STOCK[[#This Row],[Ganancia Unitaria]]*STOCK[[#This Row],[Salidas]]</f>
        <v>9</v>
      </c>
      <c r="Y1841" s="75" t="s">
        <v>3483</v>
      </c>
      <c r="Z1841" s="88"/>
      <c r="AA1841" s="54">
        <f>STOCK[[#This Row],[Costo total]]*STOCK[[#This Row],[Entradas]]</f>
        <v>11</v>
      </c>
      <c r="AB1841" s="54">
        <f>STOCK[[#This Row],[Stock Actual]]*STOCK[[#This Row],[Costo total]]</f>
        <v>0</v>
      </c>
      <c r="AC1841" s="75"/>
      <c r="AD1841" s="96"/>
    </row>
    <row r="1842" spans="1:30" s="53" customFormat="1" ht="50" customHeight="1">
      <c r="A1842" s="93" t="s">
        <v>3643</v>
      </c>
      <c r="B1842" s="83"/>
      <c r="C1842" s="53" t="s">
        <v>32</v>
      </c>
      <c r="D1842" s="84" t="s">
        <v>749</v>
      </c>
      <c r="E1842" s="95" t="s">
        <v>3644</v>
      </c>
      <c r="F1842" s="93" t="s">
        <v>62</v>
      </c>
      <c r="G1842" s="75"/>
      <c r="H1842" s="75">
        <f>STOCK[[#This Row],[Precio Final]]</f>
        <v>15</v>
      </c>
      <c r="I1842" s="80">
        <f>STOCK[[#This Row],[Precio Venta Ideal (x1.5)]]</f>
        <v>15.75</v>
      </c>
      <c r="J1842" s="93">
        <v>5</v>
      </c>
      <c r="K1842" s="78">
        <f>SUMIFS(VENTAS[Cantidad],VENTAS[Código del producto Vendido],STOCK[[#This Row],[Code]])</f>
        <v>0</v>
      </c>
      <c r="L1842" s="78">
        <f>STOCK[[#This Row],[Entradas]]-STOCK[[#This Row],[Salidas]]</f>
        <v>5</v>
      </c>
      <c r="M1842" s="75">
        <f>STOCK[[#This Row],[Precio Final]]*10%</f>
        <v>1.5</v>
      </c>
      <c r="N1842" s="54">
        <v>0</v>
      </c>
      <c r="O1842" s="75">
        <v>0</v>
      </c>
      <c r="P1842" s="75">
        <v>9</v>
      </c>
      <c r="Q1842" s="75">
        <v>0</v>
      </c>
      <c r="R1842" s="78">
        <v>0</v>
      </c>
      <c r="S1842" s="75">
        <v>0</v>
      </c>
      <c r="T1842" s="75">
        <f>STOCK[[#This Row],[Costo Unitario (USD)]]+STOCK[[#This Row],[Costo Envío (USD)]]+STOCK[[#This Row],[Comisión 10%]]</f>
        <v>10.5</v>
      </c>
      <c r="U1842" s="53">
        <f>STOCK[[#This Row],[Costo total]]*1.5</f>
        <v>15.75</v>
      </c>
      <c r="V1842" s="53">
        <v>15</v>
      </c>
      <c r="W1842" s="75">
        <f>STOCK[[#This Row],[Precio Final]]-STOCK[[#This Row],[Costo total]]</f>
        <v>4.5</v>
      </c>
      <c r="X1842" s="75">
        <f>STOCK[[#This Row],[Ganancia Unitaria]]*STOCK[[#This Row],[Salidas]]</f>
        <v>0</v>
      </c>
      <c r="Y1842" s="75" t="s">
        <v>3483</v>
      </c>
      <c r="Z1842" s="88"/>
      <c r="AA1842" s="54">
        <f>STOCK[[#This Row],[Costo total]]*STOCK[[#This Row],[Entradas]]</f>
        <v>52.5</v>
      </c>
      <c r="AB1842" s="54">
        <f>STOCK[[#This Row],[Stock Actual]]*STOCK[[#This Row],[Costo total]]</f>
        <v>52.5</v>
      </c>
      <c r="AC1842" s="75"/>
      <c r="AD1842" s="96"/>
    </row>
    <row r="1843" spans="1:30" s="53" customFormat="1" ht="50" customHeight="1">
      <c r="A1843" s="93" t="s">
        <v>3645</v>
      </c>
      <c r="B1843" s="83"/>
      <c r="C1843" s="53" t="s">
        <v>32</v>
      </c>
      <c r="D1843" s="84" t="s">
        <v>779</v>
      </c>
      <c r="E1843" s="95" t="s">
        <v>3646</v>
      </c>
      <c r="F1843" s="93" t="s">
        <v>46</v>
      </c>
      <c r="G1843" s="75"/>
      <c r="H1843" s="75">
        <f>STOCK[[#This Row],[Precio Final]]</f>
        <v>15</v>
      </c>
      <c r="I1843" s="80">
        <f>STOCK[[#This Row],[Precio Venta Ideal (x1.5)]]</f>
        <v>15.75</v>
      </c>
      <c r="J1843" s="93">
        <v>1</v>
      </c>
      <c r="K1843" s="78">
        <f>SUMIFS(VENTAS[Cantidad],VENTAS[Código del producto Vendido],STOCK[[#This Row],[Code]])</f>
        <v>1</v>
      </c>
      <c r="L1843" s="78">
        <f>STOCK[[#This Row],[Entradas]]-STOCK[[#This Row],[Salidas]]</f>
        <v>0</v>
      </c>
      <c r="M1843" s="75">
        <f>STOCK[[#This Row],[Precio Final]]*10%</f>
        <v>1.5</v>
      </c>
      <c r="N1843" s="54">
        <v>0</v>
      </c>
      <c r="O1843" s="75">
        <v>0</v>
      </c>
      <c r="P1843" s="75">
        <v>9</v>
      </c>
      <c r="Q1843" s="75">
        <v>0</v>
      </c>
      <c r="R1843" s="78">
        <v>0</v>
      </c>
      <c r="S1843" s="75">
        <v>0</v>
      </c>
      <c r="T1843" s="75">
        <f>STOCK[[#This Row],[Costo Unitario (USD)]]+STOCK[[#This Row],[Costo Envío (USD)]]+STOCK[[#This Row],[Comisión 10%]]</f>
        <v>10.5</v>
      </c>
      <c r="U1843" s="53">
        <f>STOCK[[#This Row],[Costo total]]*1.5</f>
        <v>15.75</v>
      </c>
      <c r="V1843" s="53">
        <v>15</v>
      </c>
      <c r="W1843" s="75">
        <f>STOCK[[#This Row],[Precio Final]]-STOCK[[#This Row],[Costo total]]</f>
        <v>4.5</v>
      </c>
      <c r="X1843" s="75">
        <f>STOCK[[#This Row],[Ganancia Unitaria]]*STOCK[[#This Row],[Salidas]]</f>
        <v>4.5</v>
      </c>
      <c r="Y1843" s="75" t="s">
        <v>3483</v>
      </c>
      <c r="Z1843" s="88"/>
      <c r="AA1843" s="54">
        <f>STOCK[[#This Row],[Costo total]]*STOCK[[#This Row],[Entradas]]</f>
        <v>10.5</v>
      </c>
      <c r="AB1843" s="54">
        <f>STOCK[[#This Row],[Stock Actual]]*STOCK[[#This Row],[Costo total]]</f>
        <v>0</v>
      </c>
      <c r="AC1843" s="75"/>
      <c r="AD1843" s="96"/>
    </row>
    <row r="1844" spans="1:30" s="53" customFormat="1" ht="50" customHeight="1">
      <c r="A1844" s="93" t="s">
        <v>3647</v>
      </c>
      <c r="B1844" s="83"/>
      <c r="C1844" s="53" t="s">
        <v>32</v>
      </c>
      <c r="D1844" s="84" t="s">
        <v>779</v>
      </c>
      <c r="E1844" s="95" t="s">
        <v>3646</v>
      </c>
      <c r="F1844" s="93" t="s">
        <v>281</v>
      </c>
      <c r="G1844" s="75"/>
      <c r="H1844" s="75">
        <f>STOCK[[#This Row],[Precio Final]]</f>
        <v>15</v>
      </c>
      <c r="I1844" s="80">
        <f>STOCK[[#This Row],[Precio Venta Ideal (x1.5)]]</f>
        <v>15.75</v>
      </c>
      <c r="J1844" s="93">
        <v>1</v>
      </c>
      <c r="K1844" s="78">
        <f>SUMIFS(VENTAS[Cantidad],VENTAS[Código del producto Vendido],STOCK[[#This Row],[Code]])</f>
        <v>0</v>
      </c>
      <c r="L1844" s="78">
        <f>STOCK[[#This Row],[Entradas]]-STOCK[[#This Row],[Salidas]]</f>
        <v>1</v>
      </c>
      <c r="M1844" s="75">
        <f>STOCK[[#This Row],[Precio Final]]*10%</f>
        <v>1.5</v>
      </c>
      <c r="N1844" s="54">
        <v>0</v>
      </c>
      <c r="O1844" s="75">
        <v>0</v>
      </c>
      <c r="P1844" s="75">
        <v>9</v>
      </c>
      <c r="Q1844" s="75">
        <v>0</v>
      </c>
      <c r="R1844" s="78">
        <v>0</v>
      </c>
      <c r="S1844" s="75">
        <v>0</v>
      </c>
      <c r="T1844" s="75">
        <f>STOCK[[#This Row],[Costo Unitario (USD)]]+STOCK[[#This Row],[Costo Envío (USD)]]+STOCK[[#This Row],[Comisión 10%]]</f>
        <v>10.5</v>
      </c>
      <c r="U1844" s="53">
        <f>STOCK[[#This Row],[Costo total]]*1.5</f>
        <v>15.75</v>
      </c>
      <c r="V1844" s="53">
        <v>15</v>
      </c>
      <c r="W1844" s="75">
        <f>STOCK[[#This Row],[Precio Final]]-STOCK[[#This Row],[Costo total]]</f>
        <v>4.5</v>
      </c>
      <c r="X1844" s="75">
        <f>STOCK[[#This Row],[Ganancia Unitaria]]*STOCK[[#This Row],[Salidas]]</f>
        <v>0</v>
      </c>
      <c r="Y1844" s="75" t="s">
        <v>3483</v>
      </c>
      <c r="Z1844" s="88"/>
      <c r="AA1844" s="54">
        <f>STOCK[[#This Row],[Costo total]]*STOCK[[#This Row],[Entradas]]</f>
        <v>10.5</v>
      </c>
      <c r="AB1844" s="54">
        <f>STOCK[[#This Row],[Stock Actual]]*STOCK[[#This Row],[Costo total]]</f>
        <v>10.5</v>
      </c>
      <c r="AC1844" s="75"/>
      <c r="AD1844" s="96"/>
    </row>
    <row r="1845" spans="1:30" s="53" customFormat="1" ht="50" customHeight="1">
      <c r="A1845" s="93" t="s">
        <v>3648</v>
      </c>
      <c r="B1845" s="83"/>
      <c r="C1845" s="53" t="s">
        <v>32</v>
      </c>
      <c r="D1845" s="84" t="s">
        <v>779</v>
      </c>
      <c r="E1845" s="95" t="s">
        <v>3649</v>
      </c>
      <c r="F1845" s="93" t="s">
        <v>1408</v>
      </c>
      <c r="G1845" s="75"/>
      <c r="H1845" s="75">
        <f>STOCK[[#This Row],[Precio Final]]</f>
        <v>15</v>
      </c>
      <c r="I1845" s="80">
        <f>STOCK[[#This Row],[Precio Venta Ideal (x1.5)]]</f>
        <v>15.75</v>
      </c>
      <c r="J1845" s="93">
        <v>1</v>
      </c>
      <c r="K1845" s="78">
        <f>SUMIFS(VENTAS[Cantidad],VENTAS[Código del producto Vendido],STOCK[[#This Row],[Code]])</f>
        <v>0</v>
      </c>
      <c r="L1845" s="78">
        <f>STOCK[[#This Row],[Entradas]]-STOCK[[#This Row],[Salidas]]</f>
        <v>1</v>
      </c>
      <c r="M1845" s="75">
        <f>STOCK[[#This Row],[Precio Final]]*10%</f>
        <v>1.5</v>
      </c>
      <c r="N1845" s="54">
        <v>0</v>
      </c>
      <c r="O1845" s="75">
        <v>0</v>
      </c>
      <c r="P1845" s="75">
        <v>9</v>
      </c>
      <c r="Q1845" s="75">
        <v>0</v>
      </c>
      <c r="R1845" s="78">
        <v>0</v>
      </c>
      <c r="S1845" s="75">
        <v>0</v>
      </c>
      <c r="T1845" s="75">
        <f>STOCK[[#This Row],[Costo Unitario (USD)]]+STOCK[[#This Row],[Costo Envío (USD)]]+STOCK[[#This Row],[Comisión 10%]]</f>
        <v>10.5</v>
      </c>
      <c r="U1845" s="53">
        <f>STOCK[[#This Row],[Costo total]]*1.5</f>
        <v>15.75</v>
      </c>
      <c r="V1845" s="53">
        <v>15</v>
      </c>
      <c r="W1845" s="75">
        <f>STOCK[[#This Row],[Precio Final]]-STOCK[[#This Row],[Costo total]]</f>
        <v>4.5</v>
      </c>
      <c r="X1845" s="75">
        <f>STOCK[[#This Row],[Ganancia Unitaria]]*STOCK[[#This Row],[Salidas]]</f>
        <v>0</v>
      </c>
      <c r="Y1845" s="75" t="s">
        <v>3483</v>
      </c>
      <c r="Z1845" s="88"/>
      <c r="AA1845" s="54">
        <f>STOCK[[#This Row],[Costo total]]*STOCK[[#This Row],[Entradas]]</f>
        <v>10.5</v>
      </c>
      <c r="AB1845" s="54">
        <f>STOCK[[#This Row],[Stock Actual]]*STOCK[[#This Row],[Costo total]]</f>
        <v>10.5</v>
      </c>
      <c r="AC1845" s="75"/>
      <c r="AD1845" s="96"/>
    </row>
    <row r="1846" spans="1:30" s="53" customFormat="1" ht="50" customHeight="1">
      <c r="A1846" s="93" t="s">
        <v>3650</v>
      </c>
      <c r="B1846" s="83"/>
      <c r="C1846" s="53" t="s">
        <v>32</v>
      </c>
      <c r="D1846" s="84" t="s">
        <v>749</v>
      </c>
      <c r="E1846" s="95" t="s">
        <v>3651</v>
      </c>
      <c r="F1846" s="93" t="s">
        <v>62</v>
      </c>
      <c r="G1846" s="75"/>
      <c r="H1846" s="75">
        <f>STOCK[[#This Row],[Precio Final]]</f>
        <v>18</v>
      </c>
      <c r="I1846" s="80">
        <f>STOCK[[#This Row],[Precio Venta Ideal (x1.5)]]</f>
        <v>16.200000000000003</v>
      </c>
      <c r="J1846" s="93">
        <v>2</v>
      </c>
      <c r="K1846" s="78">
        <f>SUMIFS(VENTAS[Cantidad],VENTAS[Código del producto Vendido],STOCK[[#This Row],[Code]])</f>
        <v>0</v>
      </c>
      <c r="L1846" s="78">
        <f>STOCK[[#This Row],[Entradas]]-STOCK[[#This Row],[Salidas]]</f>
        <v>2</v>
      </c>
      <c r="M1846" s="75">
        <f>STOCK[[#This Row],[Precio Final]]*10%</f>
        <v>1.8</v>
      </c>
      <c r="N1846" s="54">
        <v>0</v>
      </c>
      <c r="O1846" s="75">
        <v>0</v>
      </c>
      <c r="P1846" s="75">
        <v>9</v>
      </c>
      <c r="Q1846" s="75">
        <v>0</v>
      </c>
      <c r="R1846" s="78">
        <v>0</v>
      </c>
      <c r="S1846" s="75">
        <v>0</v>
      </c>
      <c r="T1846" s="75">
        <f>STOCK[[#This Row],[Costo Unitario (USD)]]+STOCK[[#This Row],[Costo Envío (USD)]]+STOCK[[#This Row],[Comisión 10%]]</f>
        <v>10.8</v>
      </c>
      <c r="U1846" s="53">
        <f>STOCK[[#This Row],[Costo total]]*1.5</f>
        <v>16.200000000000003</v>
      </c>
      <c r="V1846" s="53">
        <v>18</v>
      </c>
      <c r="W1846" s="75">
        <f>STOCK[[#This Row],[Precio Final]]-STOCK[[#This Row],[Costo total]]</f>
        <v>7.1999999999999993</v>
      </c>
      <c r="X1846" s="75">
        <f>STOCK[[#This Row],[Ganancia Unitaria]]*STOCK[[#This Row],[Salidas]]</f>
        <v>0</v>
      </c>
      <c r="Y1846" s="75"/>
      <c r="Z1846" s="88"/>
      <c r="AA1846" s="54"/>
      <c r="AB1846" s="54"/>
      <c r="AC1846" s="75"/>
      <c r="AD1846" s="96"/>
    </row>
    <row r="1847" spans="1:30" s="53" customFormat="1" ht="50" customHeight="1">
      <c r="A1847" s="93" t="s">
        <v>3652</v>
      </c>
      <c r="B1847" s="83"/>
      <c r="C1847" s="53" t="s">
        <v>32</v>
      </c>
      <c r="D1847" s="84" t="s">
        <v>779</v>
      </c>
      <c r="E1847" s="95" t="s">
        <v>3653</v>
      </c>
      <c r="F1847" s="93" t="s">
        <v>46</v>
      </c>
      <c r="G1847" s="75"/>
      <c r="H1847" s="75">
        <f>STOCK[[#This Row],[Precio Final]]</f>
        <v>22</v>
      </c>
      <c r="I1847" s="80">
        <f>STOCK[[#This Row],[Precio Venta Ideal (x1.5)]]</f>
        <v>16.799999999999997</v>
      </c>
      <c r="J1847" s="93">
        <v>1</v>
      </c>
      <c r="K1847" s="78">
        <f>SUMIFS(VENTAS[Cantidad],VENTAS[Código del producto Vendido],STOCK[[#This Row],[Code]])</f>
        <v>0</v>
      </c>
      <c r="L1847" s="78">
        <f>STOCK[[#This Row],[Entradas]]-STOCK[[#This Row],[Salidas]]</f>
        <v>1</v>
      </c>
      <c r="M1847" s="75">
        <f>STOCK[[#This Row],[Precio Final]]*10%</f>
        <v>2.2000000000000002</v>
      </c>
      <c r="N1847" s="54">
        <v>0</v>
      </c>
      <c r="O1847" s="75">
        <v>0</v>
      </c>
      <c r="P1847" s="75">
        <v>9</v>
      </c>
      <c r="Q1847" s="75">
        <v>0</v>
      </c>
      <c r="R1847" s="78">
        <v>0</v>
      </c>
      <c r="S1847" s="75">
        <v>0</v>
      </c>
      <c r="T1847" s="75">
        <f>STOCK[[#This Row],[Costo Unitario (USD)]]+STOCK[[#This Row],[Costo Envío (USD)]]+STOCK[[#This Row],[Comisión 10%]]</f>
        <v>11.2</v>
      </c>
      <c r="U1847" s="53">
        <f>STOCK[[#This Row],[Costo total]]*1.5</f>
        <v>16.799999999999997</v>
      </c>
      <c r="V1847" s="53">
        <v>22</v>
      </c>
      <c r="W1847" s="75">
        <f>STOCK[[#This Row],[Precio Final]]-STOCK[[#This Row],[Costo total]]</f>
        <v>10.8</v>
      </c>
      <c r="X1847" s="75">
        <f>STOCK[[#This Row],[Ganancia Unitaria]]*STOCK[[#This Row],[Salidas]]</f>
        <v>0</v>
      </c>
      <c r="Y1847" s="75"/>
      <c r="Z1847" s="88"/>
      <c r="AA1847" s="54"/>
      <c r="AB1847" s="54"/>
      <c r="AC1847" s="75"/>
      <c r="AD1847" s="96"/>
    </row>
    <row r="1848" spans="1:30" s="53" customFormat="1" ht="50" customHeight="1">
      <c r="A1848" s="93" t="s">
        <v>3654</v>
      </c>
      <c r="B1848" s="83"/>
      <c r="C1848" s="53" t="s">
        <v>32</v>
      </c>
      <c r="D1848" s="84" t="s">
        <v>749</v>
      </c>
      <c r="E1848" s="95" t="s">
        <v>3655</v>
      </c>
      <c r="F1848" s="93" t="s">
        <v>46</v>
      </c>
      <c r="G1848" s="75"/>
      <c r="H1848" s="75">
        <f>STOCK[[#This Row],[Precio Final]]</f>
        <v>30</v>
      </c>
      <c r="I1848" s="80">
        <f>STOCK[[#This Row],[Precio Venta Ideal (x1.5)]]</f>
        <v>18</v>
      </c>
      <c r="J1848" s="93">
        <v>1</v>
      </c>
      <c r="K1848" s="78">
        <f>SUMIFS(VENTAS[Cantidad],VENTAS[Código del producto Vendido],STOCK[[#This Row],[Code]])</f>
        <v>1</v>
      </c>
      <c r="L1848" s="78">
        <f>STOCK[[#This Row],[Entradas]]-STOCK[[#This Row],[Salidas]]</f>
        <v>0</v>
      </c>
      <c r="M1848" s="75">
        <f>STOCK[[#This Row],[Precio Final]]*10%</f>
        <v>3</v>
      </c>
      <c r="N1848" s="54">
        <v>0</v>
      </c>
      <c r="O1848" s="75">
        <v>0</v>
      </c>
      <c r="P1848" s="75">
        <v>9</v>
      </c>
      <c r="Q1848" s="75">
        <v>0</v>
      </c>
      <c r="R1848" s="78">
        <v>0</v>
      </c>
      <c r="S1848" s="75">
        <v>0</v>
      </c>
      <c r="T1848" s="75">
        <f>STOCK[[#This Row],[Costo Unitario (USD)]]+STOCK[[#This Row],[Costo Envío (USD)]]+STOCK[[#This Row],[Comisión 10%]]</f>
        <v>12</v>
      </c>
      <c r="U1848" s="53">
        <f>STOCK[[#This Row],[Costo total]]*1.5</f>
        <v>18</v>
      </c>
      <c r="V1848" s="53">
        <v>30</v>
      </c>
      <c r="W1848" s="75">
        <f>STOCK[[#This Row],[Precio Final]]-STOCK[[#This Row],[Costo total]]</f>
        <v>18</v>
      </c>
      <c r="X1848" s="75">
        <f>STOCK[[#This Row],[Ganancia Unitaria]]*STOCK[[#This Row],[Salidas]]</f>
        <v>18</v>
      </c>
      <c r="Y1848" s="75"/>
      <c r="Z1848" s="88"/>
      <c r="AA1848" s="54"/>
      <c r="AB1848" s="54"/>
      <c r="AC1848" s="75"/>
      <c r="AD1848" s="96"/>
    </row>
    <row r="1849" spans="1:30" s="53" customFormat="1" ht="50" customHeight="1">
      <c r="A1849" s="93" t="s">
        <v>3656</v>
      </c>
      <c r="B1849" s="83"/>
      <c r="C1849" s="53" t="s">
        <v>32</v>
      </c>
      <c r="D1849" s="84" t="s">
        <v>749</v>
      </c>
      <c r="E1849" s="95" t="s">
        <v>3657</v>
      </c>
      <c r="F1849" s="93" t="s">
        <v>46</v>
      </c>
      <c r="G1849" s="75"/>
      <c r="H1849" s="75">
        <f>STOCK[[#This Row],[Precio Final]]</f>
        <v>30</v>
      </c>
      <c r="I1849" s="80">
        <f>STOCK[[#This Row],[Precio Venta Ideal (x1.5)]]</f>
        <v>18</v>
      </c>
      <c r="J1849" s="93">
        <v>1</v>
      </c>
      <c r="K1849" s="78">
        <f>SUMIFS(VENTAS[Cantidad],VENTAS[Código del producto Vendido],STOCK[[#This Row],[Code]])</f>
        <v>0</v>
      </c>
      <c r="L1849" s="78">
        <f>STOCK[[#This Row],[Entradas]]-STOCK[[#This Row],[Salidas]]</f>
        <v>1</v>
      </c>
      <c r="M1849" s="75">
        <f>STOCK[[#This Row],[Precio Final]]*10%</f>
        <v>3</v>
      </c>
      <c r="N1849" s="54">
        <v>0</v>
      </c>
      <c r="O1849" s="75">
        <v>0</v>
      </c>
      <c r="P1849" s="75">
        <v>9</v>
      </c>
      <c r="Q1849" s="75">
        <v>0</v>
      </c>
      <c r="R1849" s="78">
        <v>0</v>
      </c>
      <c r="S1849" s="75">
        <v>0</v>
      </c>
      <c r="T1849" s="75">
        <f>STOCK[[#This Row],[Costo Unitario (USD)]]+STOCK[[#This Row],[Costo Envío (USD)]]+STOCK[[#This Row],[Comisión 10%]]</f>
        <v>12</v>
      </c>
      <c r="U1849" s="53">
        <f>STOCK[[#This Row],[Costo total]]*1.5</f>
        <v>18</v>
      </c>
      <c r="V1849" s="53">
        <v>30</v>
      </c>
      <c r="W1849" s="75">
        <f>STOCK[[#This Row],[Precio Final]]-STOCK[[#This Row],[Costo total]]</f>
        <v>18</v>
      </c>
      <c r="X1849" s="75">
        <f>STOCK[[#This Row],[Ganancia Unitaria]]*STOCK[[#This Row],[Salidas]]</f>
        <v>0</v>
      </c>
      <c r="Y1849" s="75"/>
      <c r="Z1849" s="88"/>
      <c r="AA1849" s="54"/>
      <c r="AB1849" s="54"/>
      <c r="AC1849" s="75"/>
      <c r="AD1849" s="96"/>
    </row>
    <row r="1850" spans="1:30" s="53" customFormat="1" ht="50" customHeight="1">
      <c r="A1850" s="93" t="s">
        <v>3658</v>
      </c>
      <c r="B1850" s="83"/>
      <c r="C1850" s="53" t="s">
        <v>32</v>
      </c>
      <c r="D1850" s="84" t="s">
        <v>779</v>
      </c>
      <c r="E1850" s="95" t="s">
        <v>3659</v>
      </c>
      <c r="F1850" s="93" t="s">
        <v>46</v>
      </c>
      <c r="G1850" s="75"/>
      <c r="H1850" s="75">
        <f>STOCK[[#This Row],[Precio Final]]</f>
        <v>30</v>
      </c>
      <c r="I1850" s="80">
        <f>STOCK[[#This Row],[Precio Venta Ideal (x1.5)]]</f>
        <v>18</v>
      </c>
      <c r="J1850" s="93">
        <v>1</v>
      </c>
      <c r="K1850" s="78">
        <f>SUMIFS(VENTAS[Cantidad],VENTAS[Código del producto Vendido],STOCK[[#This Row],[Code]])</f>
        <v>1</v>
      </c>
      <c r="L1850" s="78">
        <f>STOCK[[#This Row],[Entradas]]-STOCK[[#This Row],[Salidas]]</f>
        <v>0</v>
      </c>
      <c r="M1850" s="75">
        <f>STOCK[[#This Row],[Precio Final]]*10%</f>
        <v>3</v>
      </c>
      <c r="N1850" s="54">
        <v>0</v>
      </c>
      <c r="O1850" s="75">
        <v>0</v>
      </c>
      <c r="P1850" s="75">
        <v>9</v>
      </c>
      <c r="Q1850" s="75">
        <v>0</v>
      </c>
      <c r="R1850" s="78">
        <v>0</v>
      </c>
      <c r="S1850" s="75">
        <v>0</v>
      </c>
      <c r="T1850" s="75">
        <f>STOCK[[#This Row],[Costo Unitario (USD)]]+STOCK[[#This Row],[Costo Envío (USD)]]+STOCK[[#This Row],[Comisión 10%]]</f>
        <v>12</v>
      </c>
      <c r="U1850" s="53">
        <f>STOCK[[#This Row],[Costo total]]*1.5</f>
        <v>18</v>
      </c>
      <c r="V1850" s="53">
        <v>30</v>
      </c>
      <c r="W1850" s="75">
        <f>STOCK[[#This Row],[Precio Final]]-STOCK[[#This Row],[Costo total]]</f>
        <v>18</v>
      </c>
      <c r="X1850" s="75">
        <f>STOCK[[#This Row],[Ganancia Unitaria]]*STOCK[[#This Row],[Salidas]]</f>
        <v>18</v>
      </c>
      <c r="Y1850" s="75"/>
      <c r="Z1850" s="88"/>
      <c r="AA1850" s="54"/>
      <c r="AB1850" s="54"/>
      <c r="AC1850" s="75"/>
      <c r="AD1850" s="96"/>
    </row>
    <row r="1851" spans="1:30" s="53" customFormat="1" ht="50" customHeight="1">
      <c r="A1851" s="93" t="s">
        <v>3660</v>
      </c>
      <c r="B1851" s="83"/>
      <c r="C1851" s="53" t="s">
        <v>32</v>
      </c>
      <c r="D1851" s="84" t="s">
        <v>749</v>
      </c>
      <c r="E1851" s="95" t="s">
        <v>3661</v>
      </c>
      <c r="F1851" s="93" t="s">
        <v>42</v>
      </c>
      <c r="G1851" s="75"/>
      <c r="H1851" s="75">
        <f>STOCK[[#This Row],[Precio Final]]</f>
        <v>30</v>
      </c>
      <c r="I1851" s="80">
        <f>STOCK[[#This Row],[Precio Venta Ideal (x1.5)]]</f>
        <v>18</v>
      </c>
      <c r="J1851" s="93">
        <v>1</v>
      </c>
      <c r="K1851" s="78">
        <f>SUMIFS(VENTAS[Cantidad],VENTAS[Código del producto Vendido],STOCK[[#This Row],[Code]])</f>
        <v>0</v>
      </c>
      <c r="L1851" s="78">
        <f>STOCK[[#This Row],[Entradas]]-STOCK[[#This Row],[Salidas]]</f>
        <v>1</v>
      </c>
      <c r="M1851" s="75">
        <f>STOCK[[#This Row],[Precio Final]]*10%</f>
        <v>3</v>
      </c>
      <c r="N1851" s="54">
        <v>0</v>
      </c>
      <c r="O1851" s="75">
        <v>0</v>
      </c>
      <c r="P1851" s="75">
        <v>9</v>
      </c>
      <c r="Q1851" s="75">
        <v>0</v>
      </c>
      <c r="R1851" s="78">
        <v>0</v>
      </c>
      <c r="S1851" s="75">
        <v>0</v>
      </c>
      <c r="T1851" s="75">
        <f>STOCK[[#This Row],[Costo Unitario (USD)]]+STOCK[[#This Row],[Costo Envío (USD)]]+STOCK[[#This Row],[Comisión 10%]]</f>
        <v>12</v>
      </c>
      <c r="U1851" s="53">
        <f>STOCK[[#This Row],[Costo total]]*1.5</f>
        <v>18</v>
      </c>
      <c r="V1851" s="53">
        <v>30</v>
      </c>
      <c r="W1851" s="75">
        <f>STOCK[[#This Row],[Precio Final]]-STOCK[[#This Row],[Costo total]]</f>
        <v>18</v>
      </c>
      <c r="X1851" s="75">
        <f>STOCK[[#This Row],[Ganancia Unitaria]]*STOCK[[#This Row],[Salidas]]</f>
        <v>0</v>
      </c>
      <c r="Y1851" s="75"/>
      <c r="Z1851" s="88"/>
      <c r="AA1851" s="54"/>
      <c r="AB1851" s="54"/>
      <c r="AC1851" s="75"/>
      <c r="AD1851" s="96"/>
    </row>
    <row r="1852" spans="1:30" s="53" customFormat="1" ht="50" customHeight="1">
      <c r="A1852" s="93" t="s">
        <v>3662</v>
      </c>
      <c r="B1852" s="83"/>
      <c r="C1852" s="53" t="s">
        <v>32</v>
      </c>
      <c r="D1852" s="84" t="s">
        <v>749</v>
      </c>
      <c r="E1852" s="95" t="s">
        <v>3663</v>
      </c>
      <c r="F1852" s="93" t="s">
        <v>46</v>
      </c>
      <c r="G1852" s="75"/>
      <c r="H1852" s="75">
        <f>STOCK[[#This Row],[Precio Final]]</f>
        <v>18</v>
      </c>
      <c r="I1852" s="80">
        <f>STOCK[[#This Row],[Precio Venta Ideal (x1.5)]]</f>
        <v>16.200000000000003</v>
      </c>
      <c r="J1852" s="93">
        <v>2</v>
      </c>
      <c r="K1852" s="78">
        <f>SUMIFS(VENTAS[Cantidad],VENTAS[Código del producto Vendido],STOCK[[#This Row],[Code]])</f>
        <v>0</v>
      </c>
      <c r="L1852" s="78">
        <f>STOCK[[#This Row],[Entradas]]-STOCK[[#This Row],[Salidas]]</f>
        <v>2</v>
      </c>
      <c r="M1852" s="75">
        <f>STOCK[[#This Row],[Precio Final]]*10%</f>
        <v>1.8</v>
      </c>
      <c r="N1852" s="54">
        <v>0</v>
      </c>
      <c r="O1852" s="75">
        <v>0</v>
      </c>
      <c r="P1852" s="75">
        <v>9</v>
      </c>
      <c r="Q1852" s="75">
        <v>0</v>
      </c>
      <c r="R1852" s="78">
        <v>0</v>
      </c>
      <c r="S1852" s="75">
        <v>0</v>
      </c>
      <c r="T1852" s="75">
        <f>STOCK[[#This Row],[Costo Unitario (USD)]]+STOCK[[#This Row],[Costo Envío (USD)]]+STOCK[[#This Row],[Comisión 10%]]</f>
        <v>10.8</v>
      </c>
      <c r="U1852" s="53">
        <f>STOCK[[#This Row],[Costo total]]*1.5</f>
        <v>16.200000000000003</v>
      </c>
      <c r="V1852" s="53">
        <v>18</v>
      </c>
      <c r="W1852" s="75">
        <f>STOCK[[#This Row],[Precio Final]]-STOCK[[#This Row],[Costo total]]</f>
        <v>7.1999999999999993</v>
      </c>
      <c r="X1852" s="75">
        <f>STOCK[[#This Row],[Ganancia Unitaria]]*STOCK[[#This Row],[Salidas]]</f>
        <v>0</v>
      </c>
      <c r="Y1852" s="75"/>
      <c r="Z1852" s="88"/>
      <c r="AA1852" s="54"/>
      <c r="AB1852" s="54"/>
      <c r="AC1852" s="75"/>
      <c r="AD1852" s="96"/>
    </row>
    <row r="1853" spans="1:30" s="53" customFormat="1" ht="50" customHeight="1">
      <c r="A1853" s="93" t="s">
        <v>3664</v>
      </c>
      <c r="B1853" s="83"/>
      <c r="C1853" s="53" t="s">
        <v>32</v>
      </c>
      <c r="D1853" s="84" t="s">
        <v>749</v>
      </c>
      <c r="E1853" s="95" t="s">
        <v>3665</v>
      </c>
      <c r="F1853" s="93" t="s">
        <v>46</v>
      </c>
      <c r="G1853" s="75"/>
      <c r="H1853" s="75">
        <f>STOCK[[#This Row],[Precio Final]]</f>
        <v>18</v>
      </c>
      <c r="I1853" s="80">
        <f>STOCK[[#This Row],[Precio Venta Ideal (x1.5)]]</f>
        <v>16.200000000000003</v>
      </c>
      <c r="J1853" s="93">
        <v>3</v>
      </c>
      <c r="K1853" s="78">
        <f>SUMIFS(VENTAS[Cantidad],VENTAS[Código del producto Vendido],STOCK[[#This Row],[Code]])</f>
        <v>0</v>
      </c>
      <c r="L1853" s="78">
        <f>STOCK[[#This Row],[Entradas]]-STOCK[[#This Row],[Salidas]]</f>
        <v>3</v>
      </c>
      <c r="M1853" s="75">
        <f>STOCK[[#This Row],[Precio Final]]*10%</f>
        <v>1.8</v>
      </c>
      <c r="N1853" s="54">
        <v>0</v>
      </c>
      <c r="O1853" s="75">
        <v>0</v>
      </c>
      <c r="P1853" s="75">
        <v>9</v>
      </c>
      <c r="Q1853" s="75">
        <v>0</v>
      </c>
      <c r="R1853" s="78">
        <v>0</v>
      </c>
      <c r="S1853" s="75">
        <v>0</v>
      </c>
      <c r="T1853" s="75">
        <f>STOCK[[#This Row],[Costo Unitario (USD)]]+STOCK[[#This Row],[Costo Envío (USD)]]+STOCK[[#This Row],[Comisión 10%]]</f>
        <v>10.8</v>
      </c>
      <c r="U1853" s="53">
        <f>STOCK[[#This Row],[Costo total]]*1.5</f>
        <v>16.200000000000003</v>
      </c>
      <c r="V1853" s="53">
        <v>18</v>
      </c>
      <c r="W1853" s="75">
        <f>STOCK[[#This Row],[Precio Final]]-STOCK[[#This Row],[Costo total]]</f>
        <v>7.1999999999999993</v>
      </c>
      <c r="X1853" s="75">
        <f>STOCK[[#This Row],[Ganancia Unitaria]]*STOCK[[#This Row],[Salidas]]</f>
        <v>0</v>
      </c>
      <c r="Y1853" s="75"/>
      <c r="Z1853" s="88"/>
      <c r="AA1853" s="54"/>
      <c r="AB1853" s="54"/>
      <c r="AC1853" s="75"/>
      <c r="AD1853" s="96"/>
    </row>
    <row r="1854" spans="1:30" s="53" customFormat="1" ht="50" customHeight="1">
      <c r="A1854" s="93" t="s">
        <v>3666</v>
      </c>
      <c r="B1854" s="83"/>
      <c r="C1854" s="53" t="s">
        <v>32</v>
      </c>
      <c r="D1854" s="84" t="s">
        <v>749</v>
      </c>
      <c r="E1854" s="95" t="s">
        <v>3667</v>
      </c>
      <c r="F1854" s="93" t="s">
        <v>49</v>
      </c>
      <c r="G1854" s="75"/>
      <c r="H1854" s="75">
        <f>STOCK[[#This Row],[Precio Final]]</f>
        <v>35</v>
      </c>
      <c r="I1854" s="80">
        <f>STOCK[[#This Row],[Precio Venta Ideal (x1.5)]]</f>
        <v>18.75</v>
      </c>
      <c r="J1854" s="93">
        <v>1</v>
      </c>
      <c r="K1854" s="78">
        <f>SUMIFS(VENTAS[Cantidad],VENTAS[Código del producto Vendido],STOCK[[#This Row],[Code]])</f>
        <v>0</v>
      </c>
      <c r="L1854" s="78">
        <f>STOCK[[#This Row],[Entradas]]-STOCK[[#This Row],[Salidas]]</f>
        <v>1</v>
      </c>
      <c r="M1854" s="75">
        <f>STOCK[[#This Row],[Precio Final]]*10%</f>
        <v>3.5</v>
      </c>
      <c r="N1854" s="54">
        <v>0</v>
      </c>
      <c r="O1854" s="75">
        <v>0</v>
      </c>
      <c r="P1854" s="75">
        <v>9</v>
      </c>
      <c r="Q1854" s="75">
        <v>0</v>
      </c>
      <c r="R1854" s="78">
        <v>0</v>
      </c>
      <c r="S1854" s="75">
        <v>0</v>
      </c>
      <c r="T1854" s="75">
        <f>STOCK[[#This Row],[Costo Unitario (USD)]]+STOCK[[#This Row],[Costo Envío (USD)]]+STOCK[[#This Row],[Comisión 10%]]</f>
        <v>12.5</v>
      </c>
      <c r="U1854" s="53">
        <f>STOCK[[#This Row],[Costo total]]*1.5</f>
        <v>18.75</v>
      </c>
      <c r="V1854" s="53">
        <v>35</v>
      </c>
      <c r="W1854" s="75">
        <f>STOCK[[#This Row],[Precio Final]]-STOCK[[#This Row],[Costo total]]</f>
        <v>22.5</v>
      </c>
      <c r="X1854" s="75">
        <f>STOCK[[#This Row],[Ganancia Unitaria]]*STOCK[[#This Row],[Salidas]]</f>
        <v>0</v>
      </c>
      <c r="Y1854" s="75"/>
      <c r="Z1854" s="88"/>
      <c r="AA1854" s="54"/>
      <c r="AB1854" s="54"/>
      <c r="AC1854" s="75"/>
      <c r="AD1854" s="96"/>
    </row>
    <row r="1855" spans="1:30" s="53" customFormat="1" ht="50" customHeight="1">
      <c r="A1855" s="93" t="s">
        <v>3668</v>
      </c>
      <c r="B1855" s="83"/>
      <c r="C1855" s="53" t="s">
        <v>32</v>
      </c>
      <c r="D1855" s="84" t="s">
        <v>749</v>
      </c>
      <c r="E1855" s="95" t="s">
        <v>3669</v>
      </c>
      <c r="F1855" s="93" t="s">
        <v>46</v>
      </c>
      <c r="G1855" s="75"/>
      <c r="H1855" s="75">
        <f>STOCK[[#This Row],[Precio Final]]</f>
        <v>30</v>
      </c>
      <c r="I1855" s="80">
        <f>STOCK[[#This Row],[Precio Venta Ideal (x1.5)]]</f>
        <v>18</v>
      </c>
      <c r="J1855" s="93">
        <v>1</v>
      </c>
      <c r="K1855" s="78">
        <f>SUMIFS(VENTAS[Cantidad],VENTAS[Código del producto Vendido],STOCK[[#This Row],[Code]])</f>
        <v>0</v>
      </c>
      <c r="L1855" s="78">
        <f>STOCK[[#This Row],[Entradas]]-STOCK[[#This Row],[Salidas]]</f>
        <v>1</v>
      </c>
      <c r="M1855" s="75">
        <f>STOCK[[#This Row],[Precio Final]]*10%</f>
        <v>3</v>
      </c>
      <c r="N1855" s="54">
        <v>0</v>
      </c>
      <c r="O1855" s="75">
        <v>0</v>
      </c>
      <c r="P1855" s="75">
        <v>9</v>
      </c>
      <c r="Q1855" s="75">
        <v>0</v>
      </c>
      <c r="R1855" s="78">
        <v>0</v>
      </c>
      <c r="S1855" s="75">
        <v>0</v>
      </c>
      <c r="T1855" s="75">
        <f>STOCK[[#This Row],[Costo Unitario (USD)]]+STOCK[[#This Row],[Costo Envío (USD)]]+STOCK[[#This Row],[Comisión 10%]]</f>
        <v>12</v>
      </c>
      <c r="U1855" s="53">
        <f>STOCK[[#This Row],[Costo total]]*1.5</f>
        <v>18</v>
      </c>
      <c r="V1855" s="53">
        <v>30</v>
      </c>
      <c r="W1855" s="75">
        <f>STOCK[[#This Row],[Precio Final]]-STOCK[[#This Row],[Costo total]]</f>
        <v>18</v>
      </c>
      <c r="X1855" s="75">
        <f>STOCK[[#This Row],[Ganancia Unitaria]]*STOCK[[#This Row],[Salidas]]</f>
        <v>0</v>
      </c>
      <c r="Y1855" s="75"/>
      <c r="Z1855" s="88"/>
      <c r="AA1855" s="54"/>
      <c r="AB1855" s="54"/>
      <c r="AC1855" s="75"/>
      <c r="AD1855" s="96"/>
    </row>
    <row r="1856" spans="1:30" s="53" customFormat="1" ht="50" customHeight="1">
      <c r="A1856" s="93" t="s">
        <v>3670</v>
      </c>
      <c r="B1856" s="83"/>
      <c r="C1856" s="53" t="s">
        <v>32</v>
      </c>
      <c r="D1856" s="84" t="s">
        <v>779</v>
      </c>
      <c r="E1856" s="95" t="s">
        <v>3671</v>
      </c>
      <c r="F1856" s="93" t="s">
        <v>716</v>
      </c>
      <c r="G1856" s="75"/>
      <c r="H1856" s="75">
        <f>STOCK[[#This Row],[Precio Final]]</f>
        <v>30</v>
      </c>
      <c r="I1856" s="80">
        <f>STOCK[[#This Row],[Precio Venta Ideal (x1.5)]]</f>
        <v>18</v>
      </c>
      <c r="J1856" s="93">
        <v>1</v>
      </c>
      <c r="K1856" s="78">
        <f>SUMIFS(VENTAS[Cantidad],VENTAS[Código del producto Vendido],STOCK[[#This Row],[Code]])</f>
        <v>0</v>
      </c>
      <c r="L1856" s="78">
        <f>STOCK[[#This Row],[Entradas]]-STOCK[[#This Row],[Salidas]]</f>
        <v>1</v>
      </c>
      <c r="M1856" s="75">
        <f>STOCK[[#This Row],[Precio Final]]*10%</f>
        <v>3</v>
      </c>
      <c r="N1856" s="54">
        <v>0</v>
      </c>
      <c r="O1856" s="75">
        <v>0</v>
      </c>
      <c r="P1856" s="75">
        <v>9</v>
      </c>
      <c r="Q1856" s="75">
        <v>0</v>
      </c>
      <c r="R1856" s="78">
        <v>0</v>
      </c>
      <c r="S1856" s="75">
        <v>0</v>
      </c>
      <c r="T1856" s="75">
        <f>STOCK[[#This Row],[Costo Unitario (USD)]]+STOCK[[#This Row],[Costo Envío (USD)]]+STOCK[[#This Row],[Comisión 10%]]</f>
        <v>12</v>
      </c>
      <c r="U1856" s="53">
        <f>STOCK[[#This Row],[Costo total]]*1.5</f>
        <v>18</v>
      </c>
      <c r="V1856" s="53">
        <v>30</v>
      </c>
      <c r="W1856" s="75">
        <f>STOCK[[#This Row],[Precio Final]]-STOCK[[#This Row],[Costo total]]</f>
        <v>18</v>
      </c>
      <c r="X1856" s="75">
        <f>STOCK[[#This Row],[Ganancia Unitaria]]*STOCK[[#This Row],[Salidas]]</f>
        <v>0</v>
      </c>
      <c r="Y1856" s="75"/>
      <c r="Z1856" s="88"/>
      <c r="AA1856" s="54"/>
      <c r="AB1856" s="54"/>
      <c r="AC1856" s="75"/>
      <c r="AD1856" s="96"/>
    </row>
    <row r="1857" spans="1:30" s="53" customFormat="1" ht="50" customHeight="1">
      <c r="A1857" s="93" t="s">
        <v>3672</v>
      </c>
      <c r="B1857" s="83"/>
      <c r="C1857" s="53" t="s">
        <v>32</v>
      </c>
      <c r="D1857" s="84" t="s">
        <v>749</v>
      </c>
      <c r="E1857" s="95" t="s">
        <v>3673</v>
      </c>
      <c r="F1857" s="93" t="s">
        <v>46</v>
      </c>
      <c r="G1857" s="75"/>
      <c r="H1857" s="75">
        <f>STOCK[[#This Row],[Precio Final]]</f>
        <v>18</v>
      </c>
      <c r="I1857" s="80">
        <f>STOCK[[#This Row],[Precio Venta Ideal (x1.5)]]</f>
        <v>16.200000000000003</v>
      </c>
      <c r="J1857" s="93">
        <v>1</v>
      </c>
      <c r="K1857" s="78">
        <f>SUMIFS(VENTAS[Cantidad],VENTAS[Código del producto Vendido],STOCK[[#This Row],[Code]])</f>
        <v>0</v>
      </c>
      <c r="L1857" s="78">
        <f>STOCK[[#This Row],[Entradas]]-STOCK[[#This Row],[Salidas]]</f>
        <v>1</v>
      </c>
      <c r="M1857" s="75">
        <f>STOCK[[#This Row],[Precio Final]]*10%</f>
        <v>1.8</v>
      </c>
      <c r="N1857" s="54">
        <v>0</v>
      </c>
      <c r="O1857" s="75">
        <v>0</v>
      </c>
      <c r="P1857" s="75">
        <v>9</v>
      </c>
      <c r="Q1857" s="75">
        <v>0</v>
      </c>
      <c r="R1857" s="78">
        <v>0</v>
      </c>
      <c r="S1857" s="75">
        <v>0</v>
      </c>
      <c r="T1857" s="75">
        <f>STOCK[[#This Row],[Costo Unitario (USD)]]+STOCK[[#This Row],[Costo Envío (USD)]]+STOCK[[#This Row],[Comisión 10%]]</f>
        <v>10.8</v>
      </c>
      <c r="U1857" s="53">
        <f>STOCK[[#This Row],[Costo total]]*1.5</f>
        <v>16.200000000000003</v>
      </c>
      <c r="V1857" s="53">
        <v>18</v>
      </c>
      <c r="W1857" s="75">
        <f>STOCK[[#This Row],[Precio Final]]-STOCK[[#This Row],[Costo total]]</f>
        <v>7.1999999999999993</v>
      </c>
      <c r="X1857" s="75">
        <f>STOCK[[#This Row],[Ganancia Unitaria]]*STOCK[[#This Row],[Salidas]]</f>
        <v>0</v>
      </c>
      <c r="Y1857" s="75"/>
      <c r="Z1857" s="88"/>
      <c r="AA1857" s="54"/>
      <c r="AB1857" s="54"/>
      <c r="AC1857" s="75"/>
      <c r="AD1857" s="96"/>
    </row>
    <row r="1858" spans="1:30" s="53" customFormat="1" ht="50" customHeight="1">
      <c r="A1858" s="93" t="s">
        <v>3674</v>
      </c>
      <c r="B1858" s="83"/>
      <c r="C1858" s="53" t="s">
        <v>32</v>
      </c>
      <c r="D1858" s="84" t="s">
        <v>749</v>
      </c>
      <c r="E1858" s="95" t="s">
        <v>3675</v>
      </c>
      <c r="F1858" s="93" t="s">
        <v>46</v>
      </c>
      <c r="G1858" s="75"/>
      <c r="H1858" s="75">
        <f>STOCK[[#This Row],[Precio Final]]</f>
        <v>18</v>
      </c>
      <c r="I1858" s="80">
        <f>STOCK[[#This Row],[Precio Venta Ideal (x1.5)]]</f>
        <v>16.200000000000003</v>
      </c>
      <c r="J1858" s="93">
        <v>1</v>
      </c>
      <c r="K1858" s="78">
        <f>SUMIFS(VENTAS[Cantidad],VENTAS[Código del producto Vendido],STOCK[[#This Row],[Code]])</f>
        <v>0</v>
      </c>
      <c r="L1858" s="78">
        <f>STOCK[[#This Row],[Entradas]]-STOCK[[#This Row],[Salidas]]</f>
        <v>1</v>
      </c>
      <c r="M1858" s="75">
        <f>STOCK[[#This Row],[Precio Final]]*10%</f>
        <v>1.8</v>
      </c>
      <c r="N1858" s="54">
        <v>0</v>
      </c>
      <c r="O1858" s="75">
        <v>0</v>
      </c>
      <c r="P1858" s="75">
        <v>9</v>
      </c>
      <c r="Q1858" s="75">
        <v>0</v>
      </c>
      <c r="R1858" s="78">
        <v>0</v>
      </c>
      <c r="S1858" s="75">
        <v>0</v>
      </c>
      <c r="T1858" s="75">
        <f>STOCK[[#This Row],[Costo Unitario (USD)]]+STOCK[[#This Row],[Costo Envío (USD)]]+STOCK[[#This Row],[Comisión 10%]]</f>
        <v>10.8</v>
      </c>
      <c r="U1858" s="53">
        <f>STOCK[[#This Row],[Costo total]]*1.5</f>
        <v>16.200000000000003</v>
      </c>
      <c r="V1858" s="53">
        <v>18</v>
      </c>
      <c r="W1858" s="75">
        <f>STOCK[[#This Row],[Precio Final]]-STOCK[[#This Row],[Costo total]]</f>
        <v>7.1999999999999993</v>
      </c>
      <c r="X1858" s="75">
        <f>STOCK[[#This Row],[Ganancia Unitaria]]*STOCK[[#This Row],[Salidas]]</f>
        <v>0</v>
      </c>
      <c r="Y1858" s="75"/>
      <c r="Z1858" s="88"/>
      <c r="AA1858" s="54"/>
      <c r="AB1858" s="54"/>
      <c r="AC1858" s="75"/>
      <c r="AD1858" s="96"/>
    </row>
    <row r="1859" spans="1:30" s="53" customFormat="1" ht="50" customHeight="1">
      <c r="A1859" s="93" t="s">
        <v>3676</v>
      </c>
      <c r="B1859" s="83"/>
      <c r="C1859" s="53" t="s">
        <v>32</v>
      </c>
      <c r="D1859" s="84" t="s">
        <v>749</v>
      </c>
      <c r="E1859" s="95" t="s">
        <v>3677</v>
      </c>
      <c r="F1859" s="93" t="s">
        <v>42</v>
      </c>
      <c r="G1859" s="75"/>
      <c r="H1859" s="75">
        <f>STOCK[[#This Row],[Precio Final]]</f>
        <v>18</v>
      </c>
      <c r="I1859" s="80">
        <f>STOCK[[#This Row],[Precio Venta Ideal (x1.5)]]</f>
        <v>16.200000000000003</v>
      </c>
      <c r="J1859" s="93">
        <v>1</v>
      </c>
      <c r="K1859" s="78">
        <f>SUMIFS(VENTAS[Cantidad],VENTAS[Código del producto Vendido],STOCK[[#This Row],[Code]])</f>
        <v>0</v>
      </c>
      <c r="L1859" s="78">
        <f>STOCK[[#This Row],[Entradas]]-STOCK[[#This Row],[Salidas]]</f>
        <v>1</v>
      </c>
      <c r="M1859" s="75">
        <f>STOCK[[#This Row],[Precio Final]]*10%</f>
        <v>1.8</v>
      </c>
      <c r="N1859" s="54">
        <v>0</v>
      </c>
      <c r="O1859" s="75">
        <v>0</v>
      </c>
      <c r="P1859" s="75">
        <v>9</v>
      </c>
      <c r="Q1859" s="75">
        <v>0</v>
      </c>
      <c r="R1859" s="78">
        <v>0</v>
      </c>
      <c r="S1859" s="75">
        <v>0</v>
      </c>
      <c r="T1859" s="75">
        <f>STOCK[[#This Row],[Costo Unitario (USD)]]+STOCK[[#This Row],[Costo Envío (USD)]]+STOCK[[#This Row],[Comisión 10%]]</f>
        <v>10.8</v>
      </c>
      <c r="U1859" s="53">
        <f>STOCK[[#This Row],[Costo total]]*1.5</f>
        <v>16.200000000000003</v>
      </c>
      <c r="V1859" s="53">
        <v>18</v>
      </c>
      <c r="W1859" s="75">
        <f>STOCK[[#This Row],[Precio Final]]-STOCK[[#This Row],[Costo total]]</f>
        <v>7.1999999999999993</v>
      </c>
      <c r="X1859" s="75">
        <f>STOCK[[#This Row],[Ganancia Unitaria]]*STOCK[[#This Row],[Salidas]]</f>
        <v>0</v>
      </c>
      <c r="Y1859" s="75"/>
      <c r="Z1859" s="88"/>
      <c r="AA1859" s="54"/>
      <c r="AB1859" s="54"/>
      <c r="AC1859" s="75"/>
      <c r="AD1859" s="96"/>
    </row>
    <row r="1860" spans="1:30" s="53" customFormat="1" ht="50" customHeight="1">
      <c r="A1860" s="93" t="s">
        <v>3678</v>
      </c>
      <c r="B1860" s="83"/>
      <c r="C1860" s="53" t="s">
        <v>32</v>
      </c>
      <c r="D1860" s="84" t="s">
        <v>749</v>
      </c>
      <c r="E1860" s="95" t="s">
        <v>3677</v>
      </c>
      <c r="F1860" s="93" t="s">
        <v>46</v>
      </c>
      <c r="G1860" s="75"/>
      <c r="H1860" s="75">
        <f>STOCK[[#This Row],[Precio Final]]</f>
        <v>18</v>
      </c>
      <c r="I1860" s="80">
        <f>STOCK[[#This Row],[Precio Venta Ideal (x1.5)]]</f>
        <v>16.200000000000003</v>
      </c>
      <c r="J1860" s="93">
        <v>1</v>
      </c>
      <c r="K1860" s="78">
        <f>SUMIFS(VENTAS[Cantidad],VENTAS[Código del producto Vendido],STOCK[[#This Row],[Code]])</f>
        <v>0</v>
      </c>
      <c r="L1860" s="78">
        <f>STOCK[[#This Row],[Entradas]]-STOCK[[#This Row],[Salidas]]</f>
        <v>1</v>
      </c>
      <c r="M1860" s="75">
        <f>STOCK[[#This Row],[Precio Final]]*10%</f>
        <v>1.8</v>
      </c>
      <c r="N1860" s="54">
        <v>0</v>
      </c>
      <c r="O1860" s="75">
        <v>0</v>
      </c>
      <c r="P1860" s="75">
        <v>9</v>
      </c>
      <c r="Q1860" s="75">
        <v>0</v>
      </c>
      <c r="R1860" s="78">
        <v>0</v>
      </c>
      <c r="S1860" s="75">
        <v>0</v>
      </c>
      <c r="T1860" s="75">
        <f>STOCK[[#This Row],[Costo Unitario (USD)]]+STOCK[[#This Row],[Costo Envío (USD)]]+STOCK[[#This Row],[Comisión 10%]]</f>
        <v>10.8</v>
      </c>
      <c r="U1860" s="53">
        <f>STOCK[[#This Row],[Costo total]]*1.5</f>
        <v>16.200000000000003</v>
      </c>
      <c r="V1860" s="53">
        <v>18</v>
      </c>
      <c r="W1860" s="75">
        <f>STOCK[[#This Row],[Precio Final]]-STOCK[[#This Row],[Costo total]]</f>
        <v>7.1999999999999993</v>
      </c>
      <c r="X1860" s="75">
        <f>STOCK[[#This Row],[Ganancia Unitaria]]*STOCK[[#This Row],[Salidas]]</f>
        <v>0</v>
      </c>
      <c r="Y1860" s="75"/>
      <c r="Z1860" s="88"/>
      <c r="AA1860" s="54"/>
      <c r="AB1860" s="54"/>
      <c r="AC1860" s="75"/>
      <c r="AD1860" s="96"/>
    </row>
    <row r="1861" spans="1:30" s="53" customFormat="1" ht="50" customHeight="1">
      <c r="A1861" s="93" t="s">
        <v>3679</v>
      </c>
      <c r="B1861" s="83"/>
      <c r="C1861" s="53" t="s">
        <v>32</v>
      </c>
      <c r="D1861" s="84" t="s">
        <v>749</v>
      </c>
      <c r="E1861" s="95" t="s">
        <v>3680</v>
      </c>
      <c r="F1861" s="93" t="s">
        <v>49</v>
      </c>
      <c r="G1861" s="75"/>
      <c r="H1861" s="75">
        <f>STOCK[[#This Row],[Precio Final]]</f>
        <v>28</v>
      </c>
      <c r="I1861" s="80">
        <f>STOCK[[#This Row],[Precio Venta Ideal (x1.5)]]</f>
        <v>17.700000000000003</v>
      </c>
      <c r="J1861" s="93">
        <v>1</v>
      </c>
      <c r="K1861" s="78">
        <f>SUMIFS(VENTAS[Cantidad],VENTAS[Código del producto Vendido],STOCK[[#This Row],[Code]])</f>
        <v>0</v>
      </c>
      <c r="L1861" s="78">
        <f>STOCK[[#This Row],[Entradas]]-STOCK[[#This Row],[Salidas]]</f>
        <v>1</v>
      </c>
      <c r="M1861" s="75">
        <f>STOCK[[#This Row],[Precio Final]]*10%</f>
        <v>2.8000000000000003</v>
      </c>
      <c r="N1861" s="54">
        <v>0</v>
      </c>
      <c r="O1861" s="75">
        <v>0</v>
      </c>
      <c r="P1861" s="75">
        <v>9</v>
      </c>
      <c r="Q1861" s="75">
        <v>0</v>
      </c>
      <c r="R1861" s="78">
        <v>0</v>
      </c>
      <c r="S1861" s="75">
        <v>0</v>
      </c>
      <c r="T1861" s="75">
        <f>STOCK[[#This Row],[Costo Unitario (USD)]]+STOCK[[#This Row],[Costo Envío (USD)]]+STOCK[[#This Row],[Comisión 10%]]</f>
        <v>11.8</v>
      </c>
      <c r="U1861" s="53">
        <f>STOCK[[#This Row],[Costo total]]*1.5</f>
        <v>17.700000000000003</v>
      </c>
      <c r="V1861" s="53">
        <v>28</v>
      </c>
      <c r="W1861" s="75">
        <f>STOCK[[#This Row],[Precio Final]]-STOCK[[#This Row],[Costo total]]</f>
        <v>16.2</v>
      </c>
      <c r="X1861" s="75">
        <f>STOCK[[#This Row],[Ganancia Unitaria]]*STOCK[[#This Row],[Salidas]]</f>
        <v>0</v>
      </c>
      <c r="Y1861" s="75"/>
      <c r="Z1861" s="88"/>
      <c r="AA1861" s="54"/>
      <c r="AB1861" s="54"/>
      <c r="AC1861" s="75"/>
      <c r="AD1861" s="96"/>
    </row>
    <row r="1862" spans="1:30" s="53" customFormat="1" ht="50" customHeight="1">
      <c r="A1862" s="93" t="s">
        <v>3681</v>
      </c>
      <c r="B1862" s="83"/>
      <c r="C1862" s="53" t="s">
        <v>32</v>
      </c>
      <c r="D1862" s="84" t="s">
        <v>749</v>
      </c>
      <c r="E1862" s="95" t="s">
        <v>3682</v>
      </c>
      <c r="F1862" s="93" t="s">
        <v>49</v>
      </c>
      <c r="G1862" s="75"/>
      <c r="H1862" s="75">
        <f>STOCK[[#This Row],[Precio Final]]</f>
        <v>28</v>
      </c>
      <c r="I1862" s="80">
        <f>STOCK[[#This Row],[Precio Venta Ideal (x1.5)]]</f>
        <v>17.700000000000003</v>
      </c>
      <c r="J1862" s="93">
        <v>2</v>
      </c>
      <c r="K1862" s="78">
        <f>SUMIFS(VENTAS[Cantidad],VENTAS[Código del producto Vendido],STOCK[[#This Row],[Code]])</f>
        <v>0</v>
      </c>
      <c r="L1862" s="78">
        <f>STOCK[[#This Row],[Entradas]]-STOCK[[#This Row],[Salidas]]</f>
        <v>2</v>
      </c>
      <c r="M1862" s="75">
        <f>STOCK[[#This Row],[Precio Final]]*10%</f>
        <v>2.8000000000000003</v>
      </c>
      <c r="N1862" s="54">
        <v>0</v>
      </c>
      <c r="O1862" s="75">
        <v>0</v>
      </c>
      <c r="P1862" s="75">
        <v>9</v>
      </c>
      <c r="Q1862" s="75">
        <v>0</v>
      </c>
      <c r="R1862" s="78">
        <v>0</v>
      </c>
      <c r="S1862" s="75">
        <v>0</v>
      </c>
      <c r="T1862" s="75">
        <f>STOCK[[#This Row],[Costo Unitario (USD)]]+STOCK[[#This Row],[Costo Envío (USD)]]+STOCK[[#This Row],[Comisión 10%]]</f>
        <v>11.8</v>
      </c>
      <c r="U1862" s="53">
        <f>STOCK[[#This Row],[Costo total]]*1.5</f>
        <v>17.700000000000003</v>
      </c>
      <c r="V1862" s="53">
        <v>28</v>
      </c>
      <c r="W1862" s="75">
        <f>STOCK[[#This Row],[Precio Final]]-STOCK[[#This Row],[Costo total]]</f>
        <v>16.2</v>
      </c>
      <c r="X1862" s="75">
        <f>STOCK[[#This Row],[Ganancia Unitaria]]*STOCK[[#This Row],[Salidas]]</f>
        <v>0</v>
      </c>
      <c r="Y1862" s="75"/>
      <c r="Z1862" s="88"/>
      <c r="AA1862" s="54"/>
      <c r="AB1862" s="54"/>
      <c r="AC1862" s="75"/>
      <c r="AD1862" s="96"/>
    </row>
    <row r="1863" spans="1:30" s="53" customFormat="1" ht="50" customHeight="1">
      <c r="A1863" s="93" t="s">
        <v>3683</v>
      </c>
      <c r="B1863" s="83"/>
      <c r="C1863" s="53" t="s">
        <v>32</v>
      </c>
      <c r="D1863" s="84" t="s">
        <v>749</v>
      </c>
      <c r="E1863" s="95" t="s">
        <v>3684</v>
      </c>
      <c r="F1863" s="93" t="s">
        <v>3685</v>
      </c>
      <c r="G1863" s="75"/>
      <c r="H1863" s="75">
        <f>STOCK[[#This Row],[Precio Final]]</f>
        <v>18</v>
      </c>
      <c r="I1863" s="80">
        <f>STOCK[[#This Row],[Precio Venta Ideal (x1.5)]]</f>
        <v>16.200000000000003</v>
      </c>
      <c r="J1863" s="93">
        <v>1</v>
      </c>
      <c r="K1863" s="78">
        <f>SUMIFS(VENTAS[Cantidad],VENTAS[Código del producto Vendido],STOCK[[#This Row],[Code]])</f>
        <v>0</v>
      </c>
      <c r="L1863" s="78">
        <f>STOCK[[#This Row],[Entradas]]-STOCK[[#This Row],[Salidas]]</f>
        <v>1</v>
      </c>
      <c r="M1863" s="75">
        <f>STOCK[[#This Row],[Precio Final]]*10%</f>
        <v>1.8</v>
      </c>
      <c r="N1863" s="54">
        <v>0</v>
      </c>
      <c r="O1863" s="75">
        <v>0</v>
      </c>
      <c r="P1863" s="75">
        <v>9</v>
      </c>
      <c r="Q1863" s="75">
        <v>0</v>
      </c>
      <c r="R1863" s="78">
        <v>0</v>
      </c>
      <c r="S1863" s="75">
        <v>0</v>
      </c>
      <c r="T1863" s="75">
        <f>STOCK[[#This Row],[Costo Unitario (USD)]]+STOCK[[#This Row],[Costo Envío (USD)]]+STOCK[[#This Row],[Comisión 10%]]</f>
        <v>10.8</v>
      </c>
      <c r="U1863" s="53">
        <f>STOCK[[#This Row],[Costo total]]*1.5</f>
        <v>16.200000000000003</v>
      </c>
      <c r="V1863" s="53">
        <v>18</v>
      </c>
      <c r="W1863" s="75">
        <f>STOCK[[#This Row],[Precio Final]]-STOCK[[#This Row],[Costo total]]</f>
        <v>7.1999999999999993</v>
      </c>
      <c r="X1863" s="75">
        <f>STOCK[[#This Row],[Ganancia Unitaria]]*STOCK[[#This Row],[Salidas]]</f>
        <v>0</v>
      </c>
      <c r="Y1863" s="75"/>
      <c r="Z1863" s="88"/>
      <c r="AA1863" s="54"/>
      <c r="AB1863" s="54"/>
      <c r="AC1863" s="75"/>
      <c r="AD1863" s="96"/>
    </row>
    <row r="1864" spans="1:30" s="53" customFormat="1" ht="50" customHeight="1">
      <c r="A1864" s="93" t="s">
        <v>3686</v>
      </c>
      <c r="B1864" s="83"/>
      <c r="C1864" s="53" t="s">
        <v>32</v>
      </c>
      <c r="D1864" s="84" t="s">
        <v>749</v>
      </c>
      <c r="E1864" s="95" t="s">
        <v>3684</v>
      </c>
      <c r="F1864" s="93" t="s">
        <v>49</v>
      </c>
      <c r="G1864" s="75"/>
      <c r="H1864" s="75">
        <f>STOCK[[#This Row],[Precio Final]]</f>
        <v>18</v>
      </c>
      <c r="I1864" s="80">
        <f>STOCK[[#This Row],[Precio Venta Ideal (x1.5)]]</f>
        <v>16.200000000000003</v>
      </c>
      <c r="J1864" s="93">
        <v>1</v>
      </c>
      <c r="K1864" s="78">
        <f>SUMIFS(VENTAS[Cantidad],VENTAS[Código del producto Vendido],STOCK[[#This Row],[Code]])</f>
        <v>0</v>
      </c>
      <c r="L1864" s="78">
        <f>STOCK[[#This Row],[Entradas]]-STOCK[[#This Row],[Salidas]]</f>
        <v>1</v>
      </c>
      <c r="M1864" s="75">
        <f>STOCK[[#This Row],[Precio Final]]*10%</f>
        <v>1.8</v>
      </c>
      <c r="N1864" s="54">
        <v>0</v>
      </c>
      <c r="O1864" s="75">
        <v>0</v>
      </c>
      <c r="P1864" s="75">
        <v>9</v>
      </c>
      <c r="Q1864" s="75">
        <v>0</v>
      </c>
      <c r="R1864" s="78">
        <v>0</v>
      </c>
      <c r="S1864" s="75">
        <v>0</v>
      </c>
      <c r="T1864" s="75">
        <f>STOCK[[#This Row],[Costo Unitario (USD)]]+STOCK[[#This Row],[Costo Envío (USD)]]+STOCK[[#This Row],[Comisión 10%]]</f>
        <v>10.8</v>
      </c>
      <c r="U1864" s="53">
        <f>STOCK[[#This Row],[Costo total]]*1.5</f>
        <v>16.200000000000003</v>
      </c>
      <c r="V1864" s="53">
        <v>18</v>
      </c>
      <c r="W1864" s="75">
        <f>STOCK[[#This Row],[Precio Final]]-STOCK[[#This Row],[Costo total]]</f>
        <v>7.1999999999999993</v>
      </c>
      <c r="X1864" s="75">
        <f>STOCK[[#This Row],[Ganancia Unitaria]]*STOCK[[#This Row],[Salidas]]</f>
        <v>0</v>
      </c>
      <c r="Y1864" s="75"/>
      <c r="Z1864" s="88"/>
      <c r="AA1864" s="54"/>
      <c r="AB1864" s="54"/>
      <c r="AC1864" s="75"/>
      <c r="AD1864" s="96"/>
    </row>
    <row r="1865" spans="1:30" s="53" customFormat="1" ht="50" customHeight="1">
      <c r="A1865" s="93" t="s">
        <v>3687</v>
      </c>
      <c r="B1865" s="83"/>
      <c r="C1865" s="53" t="s">
        <v>32</v>
      </c>
      <c r="D1865" s="84" t="s">
        <v>749</v>
      </c>
      <c r="E1865" s="95" t="s">
        <v>3688</v>
      </c>
      <c r="F1865" s="93" t="s">
        <v>3689</v>
      </c>
      <c r="G1865" s="75"/>
      <c r="H1865" s="75">
        <f>STOCK[[#This Row],[Precio Final]]</f>
        <v>35</v>
      </c>
      <c r="I1865" s="80">
        <f>STOCK[[#This Row],[Precio Venta Ideal (x1.5)]]</f>
        <v>18.75</v>
      </c>
      <c r="J1865" s="93">
        <v>2</v>
      </c>
      <c r="K1865" s="78">
        <f>SUMIFS(VENTAS[Cantidad],VENTAS[Código del producto Vendido],STOCK[[#This Row],[Code]])</f>
        <v>0</v>
      </c>
      <c r="L1865" s="78">
        <f>STOCK[[#This Row],[Entradas]]-STOCK[[#This Row],[Salidas]]</f>
        <v>2</v>
      </c>
      <c r="M1865" s="75">
        <f>STOCK[[#This Row],[Precio Final]]*10%</f>
        <v>3.5</v>
      </c>
      <c r="N1865" s="54">
        <v>0</v>
      </c>
      <c r="O1865" s="75">
        <v>0</v>
      </c>
      <c r="P1865" s="75">
        <v>9</v>
      </c>
      <c r="Q1865" s="75">
        <v>0</v>
      </c>
      <c r="R1865" s="78">
        <v>0</v>
      </c>
      <c r="S1865" s="75">
        <v>0</v>
      </c>
      <c r="T1865" s="75">
        <f>STOCK[[#This Row],[Costo Unitario (USD)]]+STOCK[[#This Row],[Costo Envío (USD)]]+STOCK[[#This Row],[Comisión 10%]]</f>
        <v>12.5</v>
      </c>
      <c r="U1865" s="53">
        <f>STOCK[[#This Row],[Costo total]]*1.5</f>
        <v>18.75</v>
      </c>
      <c r="V1865" s="53">
        <v>35</v>
      </c>
      <c r="W1865" s="75">
        <f>STOCK[[#This Row],[Precio Final]]-STOCK[[#This Row],[Costo total]]</f>
        <v>22.5</v>
      </c>
      <c r="X1865" s="75">
        <f>STOCK[[#This Row],[Ganancia Unitaria]]*STOCK[[#This Row],[Salidas]]</f>
        <v>0</v>
      </c>
      <c r="Y1865" s="75"/>
      <c r="Z1865" s="88"/>
      <c r="AA1865" s="54"/>
      <c r="AB1865" s="54"/>
      <c r="AC1865" s="75"/>
      <c r="AD1865" s="96"/>
    </row>
    <row r="1866" spans="1:30" s="53" customFormat="1" ht="50" customHeight="1">
      <c r="A1866" s="93" t="s">
        <v>3690</v>
      </c>
      <c r="B1866" s="83"/>
      <c r="C1866" s="53" t="s">
        <v>32</v>
      </c>
      <c r="D1866" s="84" t="s">
        <v>749</v>
      </c>
      <c r="E1866" s="95" t="s">
        <v>3691</v>
      </c>
      <c r="F1866" s="93" t="s">
        <v>3689</v>
      </c>
      <c r="G1866" s="75"/>
      <c r="H1866" s="75">
        <f>STOCK[[#This Row],[Precio Final]]</f>
        <v>35</v>
      </c>
      <c r="I1866" s="80">
        <f>STOCK[[#This Row],[Precio Venta Ideal (x1.5)]]</f>
        <v>18.75</v>
      </c>
      <c r="J1866" s="93">
        <v>1</v>
      </c>
      <c r="K1866" s="78">
        <f>SUMIFS(VENTAS[Cantidad],VENTAS[Código del producto Vendido],STOCK[[#This Row],[Code]])</f>
        <v>0</v>
      </c>
      <c r="L1866" s="78">
        <f>STOCK[[#This Row],[Entradas]]-STOCK[[#This Row],[Salidas]]</f>
        <v>1</v>
      </c>
      <c r="M1866" s="75">
        <f>STOCK[[#This Row],[Precio Final]]*10%</f>
        <v>3.5</v>
      </c>
      <c r="N1866" s="54">
        <v>0</v>
      </c>
      <c r="O1866" s="75">
        <v>0</v>
      </c>
      <c r="P1866" s="75">
        <v>9</v>
      </c>
      <c r="Q1866" s="75">
        <v>0</v>
      </c>
      <c r="R1866" s="78">
        <v>0</v>
      </c>
      <c r="S1866" s="75">
        <v>0</v>
      </c>
      <c r="T1866" s="75">
        <f>STOCK[[#This Row],[Costo Unitario (USD)]]+STOCK[[#This Row],[Costo Envío (USD)]]+STOCK[[#This Row],[Comisión 10%]]</f>
        <v>12.5</v>
      </c>
      <c r="U1866" s="53">
        <f>STOCK[[#This Row],[Costo total]]*1.5</f>
        <v>18.75</v>
      </c>
      <c r="V1866" s="53">
        <v>35</v>
      </c>
      <c r="W1866" s="75">
        <f>STOCK[[#This Row],[Precio Final]]-STOCK[[#This Row],[Costo total]]</f>
        <v>22.5</v>
      </c>
      <c r="X1866" s="75">
        <f>STOCK[[#This Row],[Ganancia Unitaria]]*STOCK[[#This Row],[Salidas]]</f>
        <v>0</v>
      </c>
      <c r="Y1866" s="75"/>
      <c r="Z1866" s="88"/>
      <c r="AA1866" s="54"/>
      <c r="AB1866" s="54"/>
      <c r="AC1866" s="75"/>
      <c r="AD1866" s="96"/>
    </row>
    <row r="1867" spans="1:30" s="53" customFormat="1" ht="50" customHeight="1">
      <c r="A1867" s="93" t="s">
        <v>3692</v>
      </c>
      <c r="B1867" s="83"/>
      <c r="C1867" s="53" t="s">
        <v>32</v>
      </c>
      <c r="D1867" s="84" t="s">
        <v>749</v>
      </c>
      <c r="E1867" s="95" t="s">
        <v>3693</v>
      </c>
      <c r="F1867" s="93" t="s">
        <v>3694</v>
      </c>
      <c r="G1867" s="75"/>
      <c r="H1867" s="75">
        <f>STOCK[[#This Row],[Precio Final]]</f>
        <v>35</v>
      </c>
      <c r="I1867" s="80">
        <f>STOCK[[#This Row],[Precio Venta Ideal (x1.5)]]</f>
        <v>18.75</v>
      </c>
      <c r="J1867" s="93">
        <v>1</v>
      </c>
      <c r="K1867" s="78">
        <f>SUMIFS(VENTAS[Cantidad],VENTAS[Código del producto Vendido],STOCK[[#This Row],[Code]])</f>
        <v>0</v>
      </c>
      <c r="L1867" s="78">
        <f>STOCK[[#This Row],[Entradas]]-STOCK[[#This Row],[Salidas]]</f>
        <v>1</v>
      </c>
      <c r="M1867" s="75">
        <f>STOCK[[#This Row],[Precio Final]]*10%</f>
        <v>3.5</v>
      </c>
      <c r="N1867" s="54">
        <v>0</v>
      </c>
      <c r="O1867" s="75">
        <v>0</v>
      </c>
      <c r="P1867" s="75">
        <v>9</v>
      </c>
      <c r="Q1867" s="75">
        <v>0</v>
      </c>
      <c r="R1867" s="78">
        <v>0</v>
      </c>
      <c r="S1867" s="75">
        <v>0</v>
      </c>
      <c r="T1867" s="75">
        <f>STOCK[[#This Row],[Costo Unitario (USD)]]+STOCK[[#This Row],[Costo Envío (USD)]]+STOCK[[#This Row],[Comisión 10%]]</f>
        <v>12.5</v>
      </c>
      <c r="U1867" s="53">
        <f>STOCK[[#This Row],[Costo total]]*1.5</f>
        <v>18.75</v>
      </c>
      <c r="V1867" s="53">
        <v>35</v>
      </c>
      <c r="W1867" s="75">
        <f>STOCK[[#This Row],[Precio Final]]-STOCK[[#This Row],[Costo total]]</f>
        <v>22.5</v>
      </c>
      <c r="X1867" s="75">
        <f>STOCK[[#This Row],[Ganancia Unitaria]]*STOCK[[#This Row],[Salidas]]</f>
        <v>0</v>
      </c>
      <c r="Y1867" s="75"/>
      <c r="Z1867" s="88"/>
      <c r="AA1867" s="54"/>
      <c r="AB1867" s="54"/>
      <c r="AC1867" s="75"/>
      <c r="AD1867" s="96"/>
    </row>
    <row r="1868" spans="1:30" s="53" customFormat="1" ht="50" customHeight="1">
      <c r="A1868" s="93" t="s">
        <v>3695</v>
      </c>
      <c r="B1868" s="83"/>
      <c r="C1868" s="53" t="s">
        <v>32</v>
      </c>
      <c r="D1868" s="84" t="s">
        <v>749</v>
      </c>
      <c r="E1868" s="95" t="s">
        <v>3693</v>
      </c>
      <c r="F1868" s="93" t="s">
        <v>3689</v>
      </c>
      <c r="G1868" s="75"/>
      <c r="H1868" s="75">
        <f>STOCK[[#This Row],[Precio Final]]</f>
        <v>35</v>
      </c>
      <c r="I1868" s="80">
        <f>STOCK[[#This Row],[Precio Venta Ideal (x1.5)]]</f>
        <v>18.75</v>
      </c>
      <c r="J1868" s="93">
        <v>1</v>
      </c>
      <c r="K1868" s="78">
        <f>SUMIFS(VENTAS[Cantidad],VENTAS[Código del producto Vendido],STOCK[[#This Row],[Code]])</f>
        <v>0</v>
      </c>
      <c r="L1868" s="78">
        <f>STOCK[[#This Row],[Entradas]]-STOCK[[#This Row],[Salidas]]</f>
        <v>1</v>
      </c>
      <c r="M1868" s="75">
        <f>STOCK[[#This Row],[Precio Final]]*10%</f>
        <v>3.5</v>
      </c>
      <c r="N1868" s="54">
        <v>0</v>
      </c>
      <c r="O1868" s="75">
        <v>0</v>
      </c>
      <c r="P1868" s="75">
        <v>9</v>
      </c>
      <c r="Q1868" s="75">
        <v>0</v>
      </c>
      <c r="R1868" s="78">
        <v>0</v>
      </c>
      <c r="S1868" s="75">
        <v>0</v>
      </c>
      <c r="T1868" s="75">
        <f>STOCK[[#This Row],[Costo Unitario (USD)]]+STOCK[[#This Row],[Costo Envío (USD)]]+STOCK[[#This Row],[Comisión 10%]]</f>
        <v>12.5</v>
      </c>
      <c r="U1868" s="53">
        <f>STOCK[[#This Row],[Costo total]]*1.5</f>
        <v>18.75</v>
      </c>
      <c r="V1868" s="53">
        <v>35</v>
      </c>
      <c r="W1868" s="75">
        <f>STOCK[[#This Row],[Precio Final]]-STOCK[[#This Row],[Costo total]]</f>
        <v>22.5</v>
      </c>
      <c r="X1868" s="75">
        <f>STOCK[[#This Row],[Ganancia Unitaria]]*STOCK[[#This Row],[Salidas]]</f>
        <v>0</v>
      </c>
      <c r="Y1868" s="75"/>
      <c r="Z1868" s="88"/>
      <c r="AA1868" s="54"/>
      <c r="AB1868" s="54"/>
      <c r="AC1868" s="75"/>
      <c r="AD1868" s="96"/>
    </row>
    <row r="1869" spans="1:30" s="53" customFormat="1" ht="50" customHeight="1">
      <c r="A1869" s="93" t="s">
        <v>3696</v>
      </c>
      <c r="B1869" s="83"/>
      <c r="C1869" s="53" t="s">
        <v>32</v>
      </c>
      <c r="D1869" s="84" t="s">
        <v>174</v>
      </c>
      <c r="E1869" s="95" t="s">
        <v>3697</v>
      </c>
      <c r="F1869" s="93" t="s">
        <v>46</v>
      </c>
      <c r="G1869" s="75"/>
      <c r="H1869" s="75">
        <f>STOCK[[#This Row],[Precio Final]]</f>
        <v>12</v>
      </c>
      <c r="I1869" s="80" t="e">
        <f>STOCK[[#This Row],[Precio Venta Ideal (x1.5)]]</f>
        <v>#VALUE!</v>
      </c>
      <c r="J1869" s="93">
        <v>1</v>
      </c>
      <c r="K1869" s="78">
        <f>SUMIFS(VENTAS[Cantidad],VENTAS[Código del producto Vendido],STOCK[[#This Row],[Code]])</f>
        <v>0</v>
      </c>
      <c r="L1869" s="78">
        <f>STOCK[[#This Row],[Entradas]]-STOCK[[#This Row],[Salidas]]</f>
        <v>1</v>
      </c>
      <c r="M1869" s="75">
        <f>STOCK[[#This Row],[Precio Final]]*10%</f>
        <v>1.2000000000000002</v>
      </c>
      <c r="N1869" s="54">
        <v>0</v>
      </c>
      <c r="O1869" s="75">
        <v>0</v>
      </c>
      <c r="P1869" s="75">
        <v>9</v>
      </c>
      <c r="Q1869" s="75">
        <v>0</v>
      </c>
      <c r="R1869" s="78">
        <v>0</v>
      </c>
      <c r="S1869" s="97" t="s">
        <v>3698</v>
      </c>
      <c r="T1869" s="75" t="e">
        <f>STOCK[[#This Row],[Costo Unitario (USD)]]+STOCK[[#This Row],[Costo Envío (USD)]]+STOCK[[#This Row],[Comisión 10%]]</f>
        <v>#VALUE!</v>
      </c>
      <c r="U1869" s="53" t="e">
        <f>STOCK[[#This Row],[Costo total]]*1.5</f>
        <v>#VALUE!</v>
      </c>
      <c r="V1869" s="53">
        <v>12</v>
      </c>
      <c r="W1869" s="75" t="e">
        <f>STOCK[[#This Row],[Precio Final]]-STOCK[[#This Row],[Costo total]]</f>
        <v>#VALUE!</v>
      </c>
      <c r="X1869" s="75" t="e">
        <f>STOCK[[#This Row],[Ganancia Unitaria]]*STOCK[[#This Row],[Salidas]]</f>
        <v>#VALUE!</v>
      </c>
      <c r="Y1869" s="75"/>
      <c r="Z1869" s="88"/>
      <c r="AA1869" s="54"/>
      <c r="AB1869" s="54"/>
      <c r="AC1869" s="75"/>
      <c r="AD1869" s="96"/>
    </row>
    <row r="1870" spans="1:30" s="53" customFormat="1" ht="50" customHeight="1">
      <c r="A1870" s="93" t="s">
        <v>3699</v>
      </c>
      <c r="B1870" s="83"/>
      <c r="C1870" s="53" t="s">
        <v>32</v>
      </c>
      <c r="D1870" s="84" t="s">
        <v>749</v>
      </c>
      <c r="E1870" s="95" t="s">
        <v>3700</v>
      </c>
      <c r="F1870" s="93" t="s">
        <v>281</v>
      </c>
      <c r="G1870" s="75"/>
      <c r="H1870" s="75">
        <f>STOCK[[#This Row],[Precio Final]]</f>
        <v>18</v>
      </c>
      <c r="I1870" s="80">
        <f>STOCK[[#This Row],[Precio Venta Ideal (x1.5)]]</f>
        <v>16.200000000000003</v>
      </c>
      <c r="J1870" s="93">
        <v>1</v>
      </c>
      <c r="K1870" s="78">
        <f>SUMIFS(VENTAS[Cantidad],VENTAS[Código del producto Vendido],STOCK[[#This Row],[Code]])</f>
        <v>0</v>
      </c>
      <c r="L1870" s="78">
        <f>STOCK[[#This Row],[Entradas]]-STOCK[[#This Row],[Salidas]]</f>
        <v>1</v>
      </c>
      <c r="M1870" s="75">
        <f>STOCK[[#This Row],[Precio Final]]*10%</f>
        <v>1.8</v>
      </c>
      <c r="N1870" s="54">
        <v>0</v>
      </c>
      <c r="O1870" s="75">
        <v>0</v>
      </c>
      <c r="P1870" s="75">
        <v>9</v>
      </c>
      <c r="Q1870" s="75">
        <v>0</v>
      </c>
      <c r="R1870" s="78">
        <v>0</v>
      </c>
      <c r="S1870" s="75">
        <v>0</v>
      </c>
      <c r="T1870" s="75">
        <f>STOCK[[#This Row],[Costo Unitario (USD)]]+STOCK[[#This Row],[Costo Envío (USD)]]+STOCK[[#This Row],[Comisión 10%]]</f>
        <v>10.8</v>
      </c>
      <c r="U1870" s="53">
        <f>STOCK[[#This Row],[Costo total]]*1.5</f>
        <v>16.200000000000003</v>
      </c>
      <c r="V1870" s="53">
        <v>18</v>
      </c>
      <c r="W1870" s="75">
        <f>STOCK[[#This Row],[Precio Final]]-STOCK[[#This Row],[Costo total]]</f>
        <v>7.1999999999999993</v>
      </c>
      <c r="X1870" s="75">
        <f>STOCK[[#This Row],[Ganancia Unitaria]]*STOCK[[#This Row],[Salidas]]</f>
        <v>0</v>
      </c>
      <c r="Y1870" s="75"/>
      <c r="Z1870" s="88"/>
      <c r="AA1870" s="54"/>
      <c r="AB1870" s="54"/>
      <c r="AC1870" s="75"/>
      <c r="AD1870" s="96"/>
    </row>
    <row r="1871" spans="1:30" s="53" customFormat="1" ht="50" customHeight="1">
      <c r="A1871" s="93" t="s">
        <v>3701</v>
      </c>
      <c r="B1871" s="83"/>
      <c r="C1871" s="53" t="s">
        <v>32</v>
      </c>
      <c r="D1871" s="84" t="s">
        <v>749</v>
      </c>
      <c r="E1871" s="95" t="s">
        <v>3702</v>
      </c>
      <c r="F1871" s="93" t="s">
        <v>46</v>
      </c>
      <c r="G1871" s="75"/>
      <c r="H1871" s="75">
        <f>STOCK[[#This Row],[Precio Final]]</f>
        <v>15</v>
      </c>
      <c r="I1871" s="80">
        <f>STOCK[[#This Row],[Precio Venta Ideal (x1.5)]]</f>
        <v>15.75</v>
      </c>
      <c r="J1871" s="93">
        <v>1</v>
      </c>
      <c r="K1871" s="78">
        <f>SUMIFS(VENTAS[Cantidad],VENTAS[Código del producto Vendido],STOCK[[#This Row],[Code]])</f>
        <v>1</v>
      </c>
      <c r="L1871" s="78">
        <f>STOCK[[#This Row],[Entradas]]-STOCK[[#This Row],[Salidas]]</f>
        <v>0</v>
      </c>
      <c r="M1871" s="75">
        <f>STOCK[[#This Row],[Precio Final]]*10%</f>
        <v>1.5</v>
      </c>
      <c r="N1871" s="54">
        <v>0</v>
      </c>
      <c r="O1871" s="75">
        <v>0</v>
      </c>
      <c r="P1871" s="75">
        <v>9</v>
      </c>
      <c r="Q1871" s="75">
        <v>0</v>
      </c>
      <c r="R1871" s="78">
        <v>0</v>
      </c>
      <c r="S1871" s="75">
        <v>0</v>
      </c>
      <c r="T1871" s="75">
        <f>STOCK[[#This Row],[Costo Unitario (USD)]]+STOCK[[#This Row],[Costo Envío (USD)]]+STOCK[[#This Row],[Comisión 10%]]</f>
        <v>10.5</v>
      </c>
      <c r="U1871" s="53">
        <f>STOCK[[#This Row],[Costo total]]*1.5</f>
        <v>15.75</v>
      </c>
      <c r="V1871" s="53">
        <v>15</v>
      </c>
      <c r="W1871" s="75">
        <f>STOCK[[#This Row],[Precio Final]]-STOCK[[#This Row],[Costo total]]</f>
        <v>4.5</v>
      </c>
      <c r="X1871" s="75">
        <f>STOCK[[#This Row],[Ganancia Unitaria]]*STOCK[[#This Row],[Salidas]]</f>
        <v>4.5</v>
      </c>
      <c r="Y1871" s="75"/>
      <c r="Z1871" s="88"/>
      <c r="AA1871" s="54"/>
      <c r="AB1871" s="54"/>
      <c r="AC1871" s="75"/>
      <c r="AD1871" s="96"/>
    </row>
    <row r="1872" spans="1:30" s="53" customFormat="1" ht="50" customHeight="1">
      <c r="A1872" s="93" t="s">
        <v>3703</v>
      </c>
      <c r="B1872" s="83"/>
      <c r="C1872" s="53" t="s">
        <v>32</v>
      </c>
      <c r="D1872" s="84" t="s">
        <v>779</v>
      </c>
      <c r="E1872" s="95" t="s">
        <v>3704</v>
      </c>
      <c r="F1872" s="93" t="s">
        <v>40</v>
      </c>
      <c r="G1872" s="75"/>
      <c r="H1872" s="75">
        <f>STOCK[[#This Row],[Precio Final]]</f>
        <v>30</v>
      </c>
      <c r="I1872" s="80">
        <f>STOCK[[#This Row],[Precio Venta Ideal (x1.5)]]</f>
        <v>18</v>
      </c>
      <c r="J1872" s="93">
        <v>1</v>
      </c>
      <c r="K1872" s="78">
        <f>SUMIFS(VENTAS[Cantidad],VENTAS[Código del producto Vendido],STOCK[[#This Row],[Code]])</f>
        <v>0</v>
      </c>
      <c r="L1872" s="78">
        <f>STOCK[[#This Row],[Entradas]]-STOCK[[#This Row],[Salidas]]</f>
        <v>1</v>
      </c>
      <c r="M1872" s="75">
        <f>STOCK[[#This Row],[Precio Final]]*10%</f>
        <v>3</v>
      </c>
      <c r="N1872" s="54">
        <v>0</v>
      </c>
      <c r="O1872" s="75">
        <v>0</v>
      </c>
      <c r="P1872" s="75">
        <v>9</v>
      </c>
      <c r="Q1872" s="75">
        <v>0</v>
      </c>
      <c r="R1872" s="78">
        <v>0</v>
      </c>
      <c r="S1872" s="75">
        <v>0</v>
      </c>
      <c r="T1872" s="75">
        <f>STOCK[[#This Row],[Costo Unitario (USD)]]+STOCK[[#This Row],[Costo Envío (USD)]]+STOCK[[#This Row],[Comisión 10%]]</f>
        <v>12</v>
      </c>
      <c r="U1872" s="53">
        <f>STOCK[[#This Row],[Costo total]]*1.5</f>
        <v>18</v>
      </c>
      <c r="V1872" s="53">
        <v>30</v>
      </c>
      <c r="W1872" s="75">
        <f>STOCK[[#This Row],[Precio Final]]-STOCK[[#This Row],[Costo total]]</f>
        <v>18</v>
      </c>
      <c r="X1872" s="75">
        <f>STOCK[[#This Row],[Ganancia Unitaria]]*STOCK[[#This Row],[Salidas]]</f>
        <v>0</v>
      </c>
      <c r="Y1872" s="75"/>
      <c r="Z1872" s="88"/>
      <c r="AA1872" s="54"/>
      <c r="AB1872" s="54"/>
      <c r="AC1872" s="75"/>
      <c r="AD1872" s="96"/>
    </row>
    <row r="1873" spans="1:30" s="53" customFormat="1" ht="50" customHeight="1">
      <c r="A1873" s="93" t="s">
        <v>3705</v>
      </c>
      <c r="B1873" s="83"/>
      <c r="C1873" s="53" t="s">
        <v>32</v>
      </c>
      <c r="D1873" s="84" t="s">
        <v>779</v>
      </c>
      <c r="E1873" s="95" t="s">
        <v>3706</v>
      </c>
      <c r="F1873" s="93" t="s">
        <v>49</v>
      </c>
      <c r="G1873" s="75"/>
      <c r="H1873" s="75">
        <f>STOCK[[#This Row],[Precio Final]]</f>
        <v>25</v>
      </c>
      <c r="I1873" s="80">
        <f>STOCK[[#This Row],[Precio Venta Ideal (x1.5)]]</f>
        <v>17.25</v>
      </c>
      <c r="J1873" s="93">
        <v>1</v>
      </c>
      <c r="K1873" s="78">
        <f>SUMIFS(VENTAS[Cantidad],VENTAS[Código del producto Vendido],STOCK[[#This Row],[Code]])</f>
        <v>0</v>
      </c>
      <c r="L1873" s="78">
        <f>STOCK[[#This Row],[Entradas]]-STOCK[[#This Row],[Salidas]]</f>
        <v>1</v>
      </c>
      <c r="M1873" s="75">
        <f>STOCK[[#This Row],[Precio Final]]*10%</f>
        <v>2.5</v>
      </c>
      <c r="N1873" s="54">
        <v>0</v>
      </c>
      <c r="O1873" s="75">
        <v>0</v>
      </c>
      <c r="P1873" s="75">
        <v>9</v>
      </c>
      <c r="Q1873" s="75">
        <v>0</v>
      </c>
      <c r="R1873" s="78">
        <v>0</v>
      </c>
      <c r="S1873" s="75">
        <v>0</v>
      </c>
      <c r="T1873" s="75">
        <f>STOCK[[#This Row],[Costo Unitario (USD)]]+STOCK[[#This Row],[Costo Envío (USD)]]+STOCK[[#This Row],[Comisión 10%]]</f>
        <v>11.5</v>
      </c>
      <c r="U1873" s="53">
        <f>STOCK[[#This Row],[Costo total]]*1.5</f>
        <v>17.25</v>
      </c>
      <c r="V1873" s="53">
        <v>25</v>
      </c>
      <c r="W1873" s="75">
        <f>STOCK[[#This Row],[Precio Final]]-STOCK[[#This Row],[Costo total]]</f>
        <v>13.5</v>
      </c>
      <c r="X1873" s="75">
        <f>STOCK[[#This Row],[Ganancia Unitaria]]*STOCK[[#This Row],[Salidas]]</f>
        <v>0</v>
      </c>
      <c r="Y1873" s="75"/>
      <c r="Z1873" s="88"/>
      <c r="AA1873" s="54"/>
      <c r="AB1873" s="54"/>
      <c r="AC1873" s="75"/>
      <c r="AD1873" s="96"/>
    </row>
    <row r="1874" spans="1:30" s="53" customFormat="1" ht="50" customHeight="1">
      <c r="A1874" s="93" t="s">
        <v>3707</v>
      </c>
      <c r="B1874" s="83"/>
      <c r="C1874" s="53" t="s">
        <v>32</v>
      </c>
      <c r="D1874" s="84" t="s">
        <v>749</v>
      </c>
      <c r="E1874" s="95" t="s">
        <v>3708</v>
      </c>
      <c r="F1874" s="93" t="s">
        <v>46</v>
      </c>
      <c r="G1874" s="75"/>
      <c r="H1874" s="75">
        <f>STOCK[[#This Row],[Precio Final]]</f>
        <v>18</v>
      </c>
      <c r="I1874" s="80">
        <f>STOCK[[#This Row],[Precio Venta Ideal (x1.5)]]</f>
        <v>16.200000000000003</v>
      </c>
      <c r="J1874" s="93">
        <v>1</v>
      </c>
      <c r="K1874" s="78">
        <f>SUMIFS(VENTAS[Cantidad],VENTAS[Código del producto Vendido],STOCK[[#This Row],[Code]])</f>
        <v>0</v>
      </c>
      <c r="L1874" s="78">
        <f>STOCK[[#This Row],[Entradas]]-STOCK[[#This Row],[Salidas]]</f>
        <v>1</v>
      </c>
      <c r="M1874" s="75">
        <f>STOCK[[#This Row],[Precio Final]]*10%</f>
        <v>1.8</v>
      </c>
      <c r="N1874" s="54">
        <v>0</v>
      </c>
      <c r="O1874" s="75">
        <v>0</v>
      </c>
      <c r="P1874" s="75">
        <v>9</v>
      </c>
      <c r="Q1874" s="75">
        <v>0</v>
      </c>
      <c r="R1874" s="78">
        <v>0</v>
      </c>
      <c r="S1874" s="75">
        <v>0</v>
      </c>
      <c r="T1874" s="75">
        <f>STOCK[[#This Row],[Costo Unitario (USD)]]+STOCK[[#This Row],[Costo Envío (USD)]]+STOCK[[#This Row],[Comisión 10%]]</f>
        <v>10.8</v>
      </c>
      <c r="U1874" s="53">
        <f>STOCK[[#This Row],[Costo total]]*1.5</f>
        <v>16.200000000000003</v>
      </c>
      <c r="V1874" s="53">
        <v>18</v>
      </c>
      <c r="W1874" s="75">
        <f>STOCK[[#This Row],[Precio Final]]-STOCK[[#This Row],[Costo total]]</f>
        <v>7.1999999999999993</v>
      </c>
      <c r="X1874" s="75">
        <f>STOCK[[#This Row],[Ganancia Unitaria]]*STOCK[[#This Row],[Salidas]]</f>
        <v>0</v>
      </c>
      <c r="Y1874" s="75"/>
      <c r="Z1874" s="88"/>
      <c r="AA1874" s="54"/>
      <c r="AB1874" s="54"/>
      <c r="AC1874" s="75"/>
      <c r="AD1874" s="96"/>
    </row>
    <row r="1875" spans="1:30" s="53" customFormat="1" ht="50" customHeight="1">
      <c r="A1875" s="93" t="s">
        <v>3709</v>
      </c>
      <c r="B1875" s="83"/>
      <c r="C1875" s="53" t="s">
        <v>32</v>
      </c>
      <c r="D1875" s="84" t="s">
        <v>749</v>
      </c>
      <c r="E1875" s="95" t="s">
        <v>3710</v>
      </c>
      <c r="F1875" s="93" t="s">
        <v>46</v>
      </c>
      <c r="G1875" s="75"/>
      <c r="H1875" s="75">
        <f>STOCK[[#This Row],[Precio Final]]</f>
        <v>18</v>
      </c>
      <c r="I1875" s="80">
        <f>STOCK[[#This Row],[Precio Venta Ideal (x1.5)]]</f>
        <v>16.200000000000003</v>
      </c>
      <c r="J1875" s="93">
        <v>2</v>
      </c>
      <c r="K1875" s="78">
        <f>SUMIFS(VENTAS[Cantidad],VENTAS[Código del producto Vendido],STOCK[[#This Row],[Code]])</f>
        <v>0</v>
      </c>
      <c r="L1875" s="78">
        <f>STOCK[[#This Row],[Entradas]]-STOCK[[#This Row],[Salidas]]</f>
        <v>2</v>
      </c>
      <c r="M1875" s="75">
        <f>STOCK[[#This Row],[Precio Final]]*10%</f>
        <v>1.8</v>
      </c>
      <c r="N1875" s="54">
        <v>0</v>
      </c>
      <c r="O1875" s="75">
        <v>0</v>
      </c>
      <c r="P1875" s="75">
        <v>9</v>
      </c>
      <c r="Q1875" s="75">
        <v>0</v>
      </c>
      <c r="R1875" s="78">
        <v>0</v>
      </c>
      <c r="S1875" s="75">
        <v>0</v>
      </c>
      <c r="T1875" s="75">
        <f>STOCK[[#This Row],[Costo Unitario (USD)]]+STOCK[[#This Row],[Costo Envío (USD)]]+STOCK[[#This Row],[Comisión 10%]]</f>
        <v>10.8</v>
      </c>
      <c r="U1875" s="53">
        <f>STOCK[[#This Row],[Costo total]]*1.5</f>
        <v>16.200000000000003</v>
      </c>
      <c r="V1875" s="53">
        <v>18</v>
      </c>
      <c r="W1875" s="75">
        <f>STOCK[[#This Row],[Precio Final]]-STOCK[[#This Row],[Costo total]]</f>
        <v>7.1999999999999993</v>
      </c>
      <c r="X1875" s="75">
        <f>STOCK[[#This Row],[Ganancia Unitaria]]*STOCK[[#This Row],[Salidas]]</f>
        <v>0</v>
      </c>
      <c r="Y1875" s="75"/>
      <c r="Z1875" s="88"/>
      <c r="AA1875" s="54"/>
      <c r="AB1875" s="54"/>
      <c r="AC1875" s="75"/>
      <c r="AD1875" s="96"/>
    </row>
    <row r="1876" spans="1:30" s="53" customFormat="1" ht="50" customHeight="1">
      <c r="A1876" s="93" t="s">
        <v>3711</v>
      </c>
      <c r="B1876" s="83"/>
      <c r="C1876" s="53" t="s">
        <v>32</v>
      </c>
      <c r="D1876" s="84"/>
      <c r="E1876" s="95" t="s">
        <v>3712</v>
      </c>
      <c r="F1876" s="93" t="s">
        <v>716</v>
      </c>
      <c r="G1876" s="75"/>
      <c r="H1876" s="75">
        <f>STOCK[[#This Row],[Precio Final]]</f>
        <v>35</v>
      </c>
      <c r="I1876" s="80">
        <f>STOCK[[#This Row],[Precio Venta Ideal (x1.5)]]</f>
        <v>18.75</v>
      </c>
      <c r="J1876" s="93">
        <v>2</v>
      </c>
      <c r="K1876" s="78">
        <f>SUMIFS(VENTAS[Cantidad],VENTAS[Código del producto Vendido],STOCK[[#This Row],[Code]])</f>
        <v>0</v>
      </c>
      <c r="L1876" s="78">
        <f>STOCK[[#This Row],[Entradas]]-STOCK[[#This Row],[Salidas]]</f>
        <v>2</v>
      </c>
      <c r="M1876" s="75">
        <f>STOCK[[#This Row],[Precio Final]]*10%</f>
        <v>3.5</v>
      </c>
      <c r="N1876" s="54">
        <v>0</v>
      </c>
      <c r="O1876" s="75">
        <v>0</v>
      </c>
      <c r="P1876" s="75">
        <v>9</v>
      </c>
      <c r="Q1876" s="75">
        <v>0</v>
      </c>
      <c r="R1876" s="78">
        <v>0</v>
      </c>
      <c r="S1876" s="75">
        <v>0</v>
      </c>
      <c r="T1876" s="75">
        <f>STOCK[[#This Row],[Costo Unitario (USD)]]+STOCK[[#This Row],[Costo Envío (USD)]]+STOCK[[#This Row],[Comisión 10%]]</f>
        <v>12.5</v>
      </c>
      <c r="U1876" s="53">
        <f>STOCK[[#This Row],[Costo total]]*1.5</f>
        <v>18.75</v>
      </c>
      <c r="V1876" s="53">
        <v>35</v>
      </c>
      <c r="W1876" s="75">
        <f>STOCK[[#This Row],[Precio Final]]-STOCK[[#This Row],[Costo total]]</f>
        <v>22.5</v>
      </c>
      <c r="X1876" s="75">
        <f>STOCK[[#This Row],[Ganancia Unitaria]]*STOCK[[#This Row],[Salidas]]</f>
        <v>0</v>
      </c>
      <c r="Y1876" s="75"/>
      <c r="Z1876" s="88"/>
      <c r="AA1876" s="54"/>
      <c r="AB1876" s="54"/>
      <c r="AC1876" s="75"/>
      <c r="AD1876" s="96"/>
    </row>
    <row r="1877" spans="1:30" s="53" customFormat="1" ht="50" customHeight="1">
      <c r="A1877" s="93" t="s">
        <v>3713</v>
      </c>
      <c r="B1877" s="83"/>
      <c r="C1877" s="53" t="s">
        <v>32</v>
      </c>
      <c r="D1877" s="84" t="s">
        <v>749</v>
      </c>
      <c r="E1877" s="95" t="s">
        <v>3714</v>
      </c>
      <c r="F1877" s="93" t="s">
        <v>46</v>
      </c>
      <c r="G1877" s="75"/>
      <c r="H1877" s="75">
        <f>STOCK[[#This Row],[Precio Final]]</f>
        <v>18</v>
      </c>
      <c r="I1877" s="80">
        <f>STOCK[[#This Row],[Precio Venta Ideal (x1.5)]]</f>
        <v>16.200000000000003</v>
      </c>
      <c r="J1877" s="93">
        <v>1</v>
      </c>
      <c r="K1877" s="78">
        <f>SUMIFS(VENTAS[Cantidad],VENTAS[Código del producto Vendido],STOCK[[#This Row],[Code]])</f>
        <v>0</v>
      </c>
      <c r="L1877" s="78">
        <f>STOCK[[#This Row],[Entradas]]-STOCK[[#This Row],[Salidas]]</f>
        <v>1</v>
      </c>
      <c r="M1877" s="75">
        <f>STOCK[[#This Row],[Precio Final]]*10%</f>
        <v>1.8</v>
      </c>
      <c r="N1877" s="54">
        <v>0</v>
      </c>
      <c r="O1877" s="75">
        <v>0</v>
      </c>
      <c r="P1877" s="75">
        <v>9</v>
      </c>
      <c r="Q1877" s="75">
        <v>0</v>
      </c>
      <c r="R1877" s="78">
        <v>0</v>
      </c>
      <c r="S1877" s="75">
        <v>0</v>
      </c>
      <c r="T1877" s="75">
        <f>STOCK[[#This Row],[Costo Unitario (USD)]]+STOCK[[#This Row],[Costo Envío (USD)]]+STOCK[[#This Row],[Comisión 10%]]</f>
        <v>10.8</v>
      </c>
      <c r="U1877" s="53">
        <f>STOCK[[#This Row],[Costo total]]*1.5</f>
        <v>16.200000000000003</v>
      </c>
      <c r="V1877" s="53">
        <v>18</v>
      </c>
      <c r="W1877" s="75">
        <f>STOCK[[#This Row],[Precio Final]]-STOCK[[#This Row],[Costo total]]</f>
        <v>7.1999999999999993</v>
      </c>
      <c r="X1877" s="75">
        <f>STOCK[[#This Row],[Ganancia Unitaria]]*STOCK[[#This Row],[Salidas]]</f>
        <v>0</v>
      </c>
      <c r="Y1877" s="75"/>
      <c r="Z1877" s="88"/>
      <c r="AA1877" s="54"/>
      <c r="AB1877" s="54"/>
      <c r="AC1877" s="75"/>
      <c r="AD1877" s="96"/>
    </row>
    <row r="1878" spans="1:30" s="53" customFormat="1" ht="50" customHeight="1">
      <c r="A1878" s="93" t="s">
        <v>3698</v>
      </c>
      <c r="B1878" s="83"/>
      <c r="C1878" s="53" t="s">
        <v>32</v>
      </c>
      <c r="D1878" s="84" t="s">
        <v>749</v>
      </c>
      <c r="E1878" s="95" t="s">
        <v>3715</v>
      </c>
      <c r="F1878" s="93" t="s">
        <v>42</v>
      </c>
      <c r="G1878" s="75"/>
      <c r="H1878" s="75">
        <f>STOCK[[#This Row],[Precio Final]]</f>
        <v>18</v>
      </c>
      <c r="I1878" s="80">
        <f>STOCK[[#This Row],[Precio Venta Ideal (x1.5)]]</f>
        <v>16.200000000000003</v>
      </c>
      <c r="J1878" s="93">
        <v>2</v>
      </c>
      <c r="K1878" s="78">
        <f>SUMIFS(VENTAS[Cantidad],VENTAS[Código del producto Vendido],STOCK[[#This Row],[Code]])</f>
        <v>0</v>
      </c>
      <c r="L1878" s="78">
        <f>STOCK[[#This Row],[Entradas]]-STOCK[[#This Row],[Salidas]]</f>
        <v>2</v>
      </c>
      <c r="M1878" s="75">
        <f>STOCK[[#This Row],[Precio Final]]*10%</f>
        <v>1.8</v>
      </c>
      <c r="N1878" s="54">
        <v>0</v>
      </c>
      <c r="O1878" s="75">
        <v>0</v>
      </c>
      <c r="P1878" s="75">
        <v>9</v>
      </c>
      <c r="Q1878" s="75">
        <v>0</v>
      </c>
      <c r="R1878" s="78">
        <v>0</v>
      </c>
      <c r="S1878" s="75">
        <v>0</v>
      </c>
      <c r="T1878" s="75">
        <f>STOCK[[#This Row],[Costo Unitario (USD)]]+STOCK[[#This Row],[Costo Envío (USD)]]+STOCK[[#This Row],[Comisión 10%]]</f>
        <v>10.8</v>
      </c>
      <c r="U1878" s="53">
        <f>STOCK[[#This Row],[Costo total]]*1.5</f>
        <v>16.200000000000003</v>
      </c>
      <c r="V1878" s="53">
        <v>18</v>
      </c>
      <c r="W1878" s="75">
        <f>STOCK[[#This Row],[Precio Final]]-STOCK[[#This Row],[Costo total]]</f>
        <v>7.1999999999999993</v>
      </c>
      <c r="X1878" s="75">
        <f>STOCK[[#This Row],[Ganancia Unitaria]]*STOCK[[#This Row],[Salidas]]</f>
        <v>0</v>
      </c>
      <c r="Y1878" s="75"/>
      <c r="Z1878" s="88"/>
      <c r="AA1878" s="54"/>
      <c r="AB1878" s="54"/>
      <c r="AC1878" s="75"/>
      <c r="AD1878" s="96"/>
    </row>
    <row r="1879" spans="1:30" s="53" customFormat="1" ht="50" customHeight="1">
      <c r="A1879" s="93" t="s">
        <v>3716</v>
      </c>
      <c r="B1879" s="83"/>
      <c r="C1879" s="53" t="s">
        <v>32</v>
      </c>
      <c r="D1879" s="84" t="s">
        <v>749</v>
      </c>
      <c r="E1879" s="95" t="s">
        <v>3717</v>
      </c>
      <c r="F1879" s="93" t="s">
        <v>42</v>
      </c>
      <c r="G1879" s="75"/>
      <c r="H1879" s="75">
        <f>STOCK[[#This Row],[Precio Final]]</f>
        <v>18</v>
      </c>
      <c r="I1879" s="80">
        <f>STOCK[[#This Row],[Precio Venta Ideal (x1.5)]]</f>
        <v>16.200000000000003</v>
      </c>
      <c r="J1879" s="93">
        <v>1</v>
      </c>
      <c r="K1879" s="78">
        <f>SUMIFS(VENTAS[Cantidad],VENTAS[Código del producto Vendido],STOCK[[#This Row],[Code]])</f>
        <v>0</v>
      </c>
      <c r="L1879" s="78">
        <f>STOCK[[#This Row],[Entradas]]-STOCK[[#This Row],[Salidas]]</f>
        <v>1</v>
      </c>
      <c r="M1879" s="75">
        <f>STOCK[[#This Row],[Precio Final]]*10%</f>
        <v>1.8</v>
      </c>
      <c r="N1879" s="54">
        <v>0</v>
      </c>
      <c r="O1879" s="75">
        <v>0</v>
      </c>
      <c r="P1879" s="75">
        <v>9</v>
      </c>
      <c r="Q1879" s="75">
        <v>0</v>
      </c>
      <c r="R1879" s="78">
        <v>0</v>
      </c>
      <c r="S1879" s="75">
        <v>0</v>
      </c>
      <c r="T1879" s="75">
        <f>STOCK[[#This Row],[Costo Unitario (USD)]]+STOCK[[#This Row],[Costo Envío (USD)]]+STOCK[[#This Row],[Comisión 10%]]</f>
        <v>10.8</v>
      </c>
      <c r="U1879" s="53">
        <f>STOCK[[#This Row],[Costo total]]*1.5</f>
        <v>16.200000000000003</v>
      </c>
      <c r="V1879" s="53">
        <v>18</v>
      </c>
      <c r="W1879" s="75">
        <f>STOCK[[#This Row],[Precio Final]]-STOCK[[#This Row],[Costo total]]</f>
        <v>7.1999999999999993</v>
      </c>
      <c r="X1879" s="75">
        <f>STOCK[[#This Row],[Ganancia Unitaria]]*STOCK[[#This Row],[Salidas]]</f>
        <v>0</v>
      </c>
      <c r="Y1879" s="75"/>
      <c r="Z1879" s="88"/>
      <c r="AA1879" s="54"/>
      <c r="AB1879" s="54"/>
      <c r="AC1879" s="75"/>
      <c r="AD1879" s="96"/>
    </row>
    <row r="1880" spans="1:30" s="53" customFormat="1" ht="50" customHeight="1">
      <c r="A1880" s="93" t="s">
        <v>3718</v>
      </c>
      <c r="B1880" s="83"/>
      <c r="C1880" s="53" t="s">
        <v>32</v>
      </c>
      <c r="D1880" s="84" t="s">
        <v>779</v>
      </c>
      <c r="E1880" s="95" t="s">
        <v>3719</v>
      </c>
      <c r="F1880" s="93" t="s">
        <v>46</v>
      </c>
      <c r="G1880" s="75"/>
      <c r="H1880" s="75">
        <f>STOCK[[#This Row],[Precio Final]]</f>
        <v>25</v>
      </c>
      <c r="I1880" s="80">
        <f>STOCK[[#This Row],[Precio Venta Ideal (x1.5)]]</f>
        <v>17.25</v>
      </c>
      <c r="J1880" s="93">
        <v>1</v>
      </c>
      <c r="K1880" s="78">
        <f>SUMIFS(VENTAS[Cantidad],VENTAS[Código del producto Vendido],STOCK[[#This Row],[Code]])</f>
        <v>0</v>
      </c>
      <c r="L1880" s="78">
        <f>STOCK[[#This Row],[Entradas]]-STOCK[[#This Row],[Salidas]]</f>
        <v>1</v>
      </c>
      <c r="M1880" s="75">
        <f>STOCK[[#This Row],[Precio Final]]*10%</f>
        <v>2.5</v>
      </c>
      <c r="N1880" s="54">
        <v>0</v>
      </c>
      <c r="O1880" s="75">
        <v>0</v>
      </c>
      <c r="P1880" s="75">
        <v>9</v>
      </c>
      <c r="Q1880" s="75">
        <v>0</v>
      </c>
      <c r="R1880" s="78">
        <v>0</v>
      </c>
      <c r="S1880" s="75">
        <v>0</v>
      </c>
      <c r="T1880" s="75">
        <f>STOCK[[#This Row],[Costo Unitario (USD)]]+STOCK[[#This Row],[Costo Envío (USD)]]+STOCK[[#This Row],[Comisión 10%]]</f>
        <v>11.5</v>
      </c>
      <c r="U1880" s="53">
        <f>STOCK[[#This Row],[Costo total]]*1.5</f>
        <v>17.25</v>
      </c>
      <c r="V1880" s="53">
        <v>25</v>
      </c>
      <c r="W1880" s="75">
        <f>STOCK[[#This Row],[Precio Final]]-STOCK[[#This Row],[Costo total]]</f>
        <v>13.5</v>
      </c>
      <c r="X1880" s="75">
        <f>STOCK[[#This Row],[Ganancia Unitaria]]*STOCK[[#This Row],[Salidas]]</f>
        <v>0</v>
      </c>
      <c r="Y1880" s="75"/>
      <c r="Z1880" s="88"/>
      <c r="AA1880" s="54"/>
      <c r="AB1880" s="54"/>
      <c r="AC1880" s="75"/>
      <c r="AD1880" s="96"/>
    </row>
    <row r="1881" spans="1:30" s="53" customFormat="1" ht="50" customHeight="1">
      <c r="A1881" s="93" t="s">
        <v>3720</v>
      </c>
      <c r="B1881" s="83"/>
      <c r="C1881" s="53" t="s">
        <v>32</v>
      </c>
      <c r="D1881" s="84" t="s">
        <v>779</v>
      </c>
      <c r="E1881" s="95" t="s">
        <v>3721</v>
      </c>
      <c r="F1881" s="93" t="s">
        <v>42</v>
      </c>
      <c r="G1881" s="75"/>
      <c r="H1881" s="75">
        <f>STOCK[[#This Row],[Precio Final]]</f>
        <v>25</v>
      </c>
      <c r="I1881" s="80">
        <f>STOCK[[#This Row],[Precio Venta Ideal (x1.5)]]</f>
        <v>17.25</v>
      </c>
      <c r="J1881" s="93">
        <v>1</v>
      </c>
      <c r="K1881" s="78">
        <f>SUMIFS(VENTAS[Cantidad],VENTAS[Código del producto Vendido],STOCK[[#This Row],[Code]])</f>
        <v>0</v>
      </c>
      <c r="L1881" s="78">
        <f>STOCK[[#This Row],[Entradas]]-STOCK[[#This Row],[Salidas]]</f>
        <v>1</v>
      </c>
      <c r="M1881" s="75">
        <f>STOCK[[#This Row],[Precio Final]]*10%</f>
        <v>2.5</v>
      </c>
      <c r="N1881" s="54">
        <v>0</v>
      </c>
      <c r="O1881" s="75">
        <v>0</v>
      </c>
      <c r="P1881" s="75">
        <v>9</v>
      </c>
      <c r="Q1881" s="75">
        <v>0</v>
      </c>
      <c r="R1881" s="78">
        <v>0</v>
      </c>
      <c r="S1881" s="75">
        <v>0</v>
      </c>
      <c r="T1881" s="75">
        <f>STOCK[[#This Row],[Costo Unitario (USD)]]+STOCK[[#This Row],[Costo Envío (USD)]]+STOCK[[#This Row],[Comisión 10%]]</f>
        <v>11.5</v>
      </c>
      <c r="U1881" s="53">
        <f>STOCK[[#This Row],[Costo total]]*1.5</f>
        <v>17.25</v>
      </c>
      <c r="V1881" s="53">
        <v>25</v>
      </c>
      <c r="W1881" s="75">
        <f>STOCK[[#This Row],[Precio Final]]-STOCK[[#This Row],[Costo total]]</f>
        <v>13.5</v>
      </c>
      <c r="X1881" s="75">
        <f>STOCK[[#This Row],[Ganancia Unitaria]]*STOCK[[#This Row],[Salidas]]</f>
        <v>0</v>
      </c>
      <c r="Y1881" s="75"/>
      <c r="Z1881" s="88"/>
      <c r="AA1881" s="54"/>
      <c r="AB1881" s="54"/>
      <c r="AC1881" s="75"/>
      <c r="AD1881" s="96"/>
    </row>
    <row r="1882" spans="1:30" s="53" customFormat="1" ht="50" customHeight="1">
      <c r="A1882" s="93" t="s">
        <v>3722</v>
      </c>
      <c r="B1882" s="83"/>
      <c r="C1882" s="53" t="s">
        <v>32</v>
      </c>
      <c r="D1882" s="84" t="s">
        <v>749</v>
      </c>
      <c r="E1882" s="95" t="s">
        <v>3723</v>
      </c>
      <c r="F1882" s="93" t="s">
        <v>42</v>
      </c>
      <c r="G1882" s="75"/>
      <c r="H1882" s="75">
        <f>STOCK[[#This Row],[Precio Final]]</f>
        <v>18</v>
      </c>
      <c r="I1882" s="80">
        <f>STOCK[[#This Row],[Precio Venta Ideal (x1.5)]]</f>
        <v>16.200000000000003</v>
      </c>
      <c r="J1882" s="93">
        <v>1</v>
      </c>
      <c r="K1882" s="78">
        <f>SUMIFS(VENTAS[Cantidad],VENTAS[Código del producto Vendido],STOCK[[#This Row],[Code]])</f>
        <v>0</v>
      </c>
      <c r="L1882" s="78">
        <f>STOCK[[#This Row],[Entradas]]-STOCK[[#This Row],[Salidas]]</f>
        <v>1</v>
      </c>
      <c r="M1882" s="75">
        <f>STOCK[[#This Row],[Precio Final]]*10%</f>
        <v>1.8</v>
      </c>
      <c r="N1882" s="54">
        <v>0</v>
      </c>
      <c r="O1882" s="75">
        <v>0</v>
      </c>
      <c r="P1882" s="75">
        <v>9</v>
      </c>
      <c r="Q1882" s="75">
        <v>0</v>
      </c>
      <c r="R1882" s="78">
        <v>0</v>
      </c>
      <c r="S1882" s="75">
        <v>0</v>
      </c>
      <c r="T1882" s="75">
        <f>STOCK[[#This Row],[Costo Unitario (USD)]]+STOCK[[#This Row],[Costo Envío (USD)]]+STOCK[[#This Row],[Comisión 10%]]</f>
        <v>10.8</v>
      </c>
      <c r="U1882" s="53">
        <f>STOCK[[#This Row],[Costo total]]*1.5</f>
        <v>16.200000000000003</v>
      </c>
      <c r="V1882" s="53">
        <v>18</v>
      </c>
      <c r="W1882" s="75">
        <f>STOCK[[#This Row],[Precio Final]]-STOCK[[#This Row],[Costo total]]</f>
        <v>7.1999999999999993</v>
      </c>
      <c r="X1882" s="75">
        <f>STOCK[[#This Row],[Ganancia Unitaria]]*STOCK[[#This Row],[Salidas]]</f>
        <v>0</v>
      </c>
      <c r="Y1882" s="75"/>
      <c r="Z1882" s="88"/>
      <c r="AA1882" s="54"/>
      <c r="AB1882" s="54"/>
      <c r="AC1882" s="75"/>
      <c r="AD1882" s="96"/>
    </row>
    <row r="1883" spans="1:30" s="53" customFormat="1" ht="50" customHeight="1">
      <c r="A1883" s="93" t="s">
        <v>3724</v>
      </c>
      <c r="B1883" s="83"/>
      <c r="C1883" s="53" t="s">
        <v>32</v>
      </c>
      <c r="D1883" s="84" t="s">
        <v>749</v>
      </c>
      <c r="E1883" s="95" t="s">
        <v>3725</v>
      </c>
      <c r="F1883" s="93" t="s">
        <v>49</v>
      </c>
      <c r="G1883" s="75"/>
      <c r="H1883" s="75">
        <f>STOCK[[#This Row],[Precio Final]]</f>
        <v>18</v>
      </c>
      <c r="I1883" s="80">
        <f>STOCK[[#This Row],[Precio Venta Ideal (x1.5)]]</f>
        <v>16.200000000000003</v>
      </c>
      <c r="J1883" s="93">
        <v>1</v>
      </c>
      <c r="K1883" s="78">
        <f>SUMIFS(VENTAS[Cantidad],VENTAS[Código del producto Vendido],STOCK[[#This Row],[Code]])</f>
        <v>0</v>
      </c>
      <c r="L1883" s="78">
        <f>STOCK[[#This Row],[Entradas]]-STOCK[[#This Row],[Salidas]]</f>
        <v>1</v>
      </c>
      <c r="M1883" s="75">
        <f>STOCK[[#This Row],[Precio Final]]*10%</f>
        <v>1.8</v>
      </c>
      <c r="N1883" s="54">
        <v>0</v>
      </c>
      <c r="O1883" s="75">
        <v>0</v>
      </c>
      <c r="P1883" s="75">
        <v>9</v>
      </c>
      <c r="Q1883" s="75">
        <v>0</v>
      </c>
      <c r="R1883" s="78">
        <v>0</v>
      </c>
      <c r="S1883" s="75">
        <v>0</v>
      </c>
      <c r="T1883" s="75">
        <f>STOCK[[#This Row],[Costo Unitario (USD)]]+STOCK[[#This Row],[Costo Envío (USD)]]+STOCK[[#This Row],[Comisión 10%]]</f>
        <v>10.8</v>
      </c>
      <c r="U1883" s="53">
        <f>STOCK[[#This Row],[Costo total]]*1.5</f>
        <v>16.200000000000003</v>
      </c>
      <c r="V1883" s="53">
        <v>18</v>
      </c>
      <c r="W1883" s="75">
        <f>STOCK[[#This Row],[Precio Final]]-STOCK[[#This Row],[Costo total]]</f>
        <v>7.1999999999999993</v>
      </c>
      <c r="X1883" s="75">
        <f>STOCK[[#This Row],[Ganancia Unitaria]]*STOCK[[#This Row],[Salidas]]</f>
        <v>0</v>
      </c>
      <c r="Y1883" s="75"/>
      <c r="Z1883" s="88"/>
      <c r="AA1883" s="54"/>
      <c r="AB1883" s="54"/>
      <c r="AC1883" s="75"/>
      <c r="AD1883" s="96"/>
    </row>
    <row r="1884" spans="1:30" s="53" customFormat="1" ht="50" customHeight="1">
      <c r="A1884" s="93" t="s">
        <v>3726</v>
      </c>
      <c r="B1884" s="83"/>
      <c r="C1884" s="53" t="s">
        <v>32</v>
      </c>
      <c r="D1884" s="84" t="s">
        <v>749</v>
      </c>
      <c r="E1884" s="95" t="s">
        <v>3727</v>
      </c>
      <c r="F1884" s="93" t="s">
        <v>42</v>
      </c>
      <c r="G1884" s="75"/>
      <c r="H1884" s="75">
        <f>STOCK[[#This Row],[Precio Final]]</f>
        <v>18</v>
      </c>
      <c r="I1884" s="80">
        <f>STOCK[[#This Row],[Precio Venta Ideal (x1.5)]]</f>
        <v>16.200000000000003</v>
      </c>
      <c r="J1884" s="93">
        <v>1</v>
      </c>
      <c r="K1884" s="78">
        <f>SUMIFS(VENTAS[Cantidad],VENTAS[Código del producto Vendido],STOCK[[#This Row],[Code]])</f>
        <v>0</v>
      </c>
      <c r="L1884" s="78">
        <f>STOCK[[#This Row],[Entradas]]-STOCK[[#This Row],[Salidas]]</f>
        <v>1</v>
      </c>
      <c r="M1884" s="75">
        <f>STOCK[[#This Row],[Precio Final]]*10%</f>
        <v>1.8</v>
      </c>
      <c r="N1884" s="54">
        <v>0</v>
      </c>
      <c r="O1884" s="75">
        <v>0</v>
      </c>
      <c r="P1884" s="75">
        <v>9</v>
      </c>
      <c r="Q1884" s="75">
        <v>0</v>
      </c>
      <c r="R1884" s="78">
        <v>0</v>
      </c>
      <c r="S1884" s="75">
        <v>0</v>
      </c>
      <c r="T1884" s="75">
        <f>STOCK[[#This Row],[Costo Unitario (USD)]]+STOCK[[#This Row],[Costo Envío (USD)]]+STOCK[[#This Row],[Comisión 10%]]</f>
        <v>10.8</v>
      </c>
      <c r="U1884" s="53">
        <f>STOCK[[#This Row],[Costo total]]*1.5</f>
        <v>16.200000000000003</v>
      </c>
      <c r="V1884" s="53">
        <v>18</v>
      </c>
      <c r="W1884" s="75">
        <f>STOCK[[#This Row],[Precio Final]]-STOCK[[#This Row],[Costo total]]</f>
        <v>7.1999999999999993</v>
      </c>
      <c r="X1884" s="75">
        <f>STOCK[[#This Row],[Ganancia Unitaria]]*STOCK[[#This Row],[Salidas]]</f>
        <v>0</v>
      </c>
      <c r="Y1884" s="75"/>
      <c r="Z1884" s="88"/>
      <c r="AA1884" s="54"/>
      <c r="AB1884" s="54"/>
      <c r="AC1884" s="75"/>
      <c r="AD1884" s="96"/>
    </row>
    <row r="1885" spans="1:30" s="53" customFormat="1" ht="50" customHeight="1">
      <c r="A1885" s="93" t="s">
        <v>3728</v>
      </c>
      <c r="B1885" s="83"/>
      <c r="C1885" s="53" t="s">
        <v>32</v>
      </c>
      <c r="D1885" s="84" t="s">
        <v>749</v>
      </c>
      <c r="E1885" s="95" t="s">
        <v>3729</v>
      </c>
      <c r="F1885" s="93" t="s">
        <v>281</v>
      </c>
      <c r="G1885" s="75"/>
      <c r="H1885" s="75">
        <f>STOCK[[#This Row],[Precio Final]]</f>
        <v>35</v>
      </c>
      <c r="I1885" s="80">
        <f>STOCK[[#This Row],[Precio Venta Ideal (x1.5)]]</f>
        <v>18.75</v>
      </c>
      <c r="J1885" s="93">
        <v>1</v>
      </c>
      <c r="K1885" s="78">
        <f>SUMIFS(VENTAS[Cantidad],VENTAS[Código del producto Vendido],STOCK[[#This Row],[Code]])</f>
        <v>0</v>
      </c>
      <c r="L1885" s="78">
        <f>STOCK[[#This Row],[Entradas]]-STOCK[[#This Row],[Salidas]]</f>
        <v>1</v>
      </c>
      <c r="M1885" s="75">
        <f>STOCK[[#This Row],[Precio Final]]*10%</f>
        <v>3.5</v>
      </c>
      <c r="N1885" s="54">
        <v>0</v>
      </c>
      <c r="O1885" s="75">
        <v>0</v>
      </c>
      <c r="P1885" s="75">
        <v>9</v>
      </c>
      <c r="Q1885" s="75">
        <v>0</v>
      </c>
      <c r="R1885" s="78">
        <v>0</v>
      </c>
      <c r="S1885" s="75">
        <v>0</v>
      </c>
      <c r="T1885" s="75">
        <f>STOCK[[#This Row],[Costo Unitario (USD)]]+STOCK[[#This Row],[Costo Envío (USD)]]+STOCK[[#This Row],[Comisión 10%]]</f>
        <v>12.5</v>
      </c>
      <c r="U1885" s="53">
        <f>STOCK[[#This Row],[Costo total]]*1.5</f>
        <v>18.75</v>
      </c>
      <c r="V1885" s="53">
        <v>35</v>
      </c>
      <c r="W1885" s="75">
        <f>STOCK[[#This Row],[Precio Final]]-STOCK[[#This Row],[Costo total]]</f>
        <v>22.5</v>
      </c>
      <c r="X1885" s="75">
        <f>STOCK[[#This Row],[Ganancia Unitaria]]*STOCK[[#This Row],[Salidas]]</f>
        <v>0</v>
      </c>
      <c r="Y1885" s="75"/>
      <c r="Z1885" s="88"/>
      <c r="AA1885" s="54"/>
      <c r="AB1885" s="54"/>
      <c r="AC1885" s="75"/>
      <c r="AD1885" s="96"/>
    </row>
    <row r="1886" spans="1:30" s="53" customFormat="1" ht="50" customHeight="1">
      <c r="A1886" s="93" t="s">
        <v>3730</v>
      </c>
      <c r="B1886" s="83"/>
      <c r="C1886" s="53" t="s">
        <v>32</v>
      </c>
      <c r="D1886" s="84" t="s">
        <v>749</v>
      </c>
      <c r="E1886" s="95" t="s">
        <v>3731</v>
      </c>
      <c r="F1886" s="93" t="s">
        <v>281</v>
      </c>
      <c r="G1886" s="75"/>
      <c r="H1886" s="75">
        <f>STOCK[[#This Row],[Precio Final]]</f>
        <v>35</v>
      </c>
      <c r="I1886" s="80">
        <f>STOCK[[#This Row],[Precio Venta Ideal (x1.5)]]</f>
        <v>18.75</v>
      </c>
      <c r="J1886" s="93">
        <v>1</v>
      </c>
      <c r="K1886" s="78">
        <f>SUMIFS(VENTAS[Cantidad],VENTAS[Código del producto Vendido],STOCK[[#This Row],[Code]])</f>
        <v>0</v>
      </c>
      <c r="L1886" s="78">
        <f>STOCK[[#This Row],[Entradas]]-STOCK[[#This Row],[Salidas]]</f>
        <v>1</v>
      </c>
      <c r="M1886" s="75">
        <f>STOCK[[#This Row],[Precio Final]]*10%</f>
        <v>3.5</v>
      </c>
      <c r="N1886" s="54">
        <v>0</v>
      </c>
      <c r="O1886" s="75">
        <v>0</v>
      </c>
      <c r="P1886" s="75">
        <v>9</v>
      </c>
      <c r="Q1886" s="75">
        <v>0</v>
      </c>
      <c r="R1886" s="78">
        <v>0</v>
      </c>
      <c r="S1886" s="75">
        <v>0</v>
      </c>
      <c r="T1886" s="75">
        <f>STOCK[[#This Row],[Costo Unitario (USD)]]+STOCK[[#This Row],[Costo Envío (USD)]]+STOCK[[#This Row],[Comisión 10%]]</f>
        <v>12.5</v>
      </c>
      <c r="U1886" s="53">
        <f>STOCK[[#This Row],[Costo total]]*1.5</f>
        <v>18.75</v>
      </c>
      <c r="V1886" s="53">
        <v>35</v>
      </c>
      <c r="W1886" s="75">
        <f>STOCK[[#This Row],[Precio Final]]-STOCK[[#This Row],[Costo total]]</f>
        <v>22.5</v>
      </c>
      <c r="X1886" s="75">
        <f>STOCK[[#This Row],[Ganancia Unitaria]]*STOCK[[#This Row],[Salidas]]</f>
        <v>0</v>
      </c>
      <c r="Y1886" s="75"/>
      <c r="Z1886" s="88"/>
      <c r="AA1886" s="54"/>
      <c r="AB1886" s="54"/>
      <c r="AC1886" s="75"/>
      <c r="AD1886" s="96"/>
    </row>
    <row r="1887" spans="1:30" s="53" customFormat="1" ht="50" customHeight="1">
      <c r="A1887" s="93" t="s">
        <v>3732</v>
      </c>
      <c r="B1887" s="83"/>
      <c r="C1887" s="53" t="s">
        <v>32</v>
      </c>
      <c r="D1887" s="84" t="s">
        <v>749</v>
      </c>
      <c r="E1887" s="95" t="s">
        <v>3733</v>
      </c>
      <c r="F1887" s="93" t="s">
        <v>46</v>
      </c>
      <c r="G1887" s="75"/>
      <c r="H1887" s="75">
        <f>STOCK[[#This Row],[Precio Final]]</f>
        <v>25</v>
      </c>
      <c r="I1887" s="80">
        <f>STOCK[[#This Row],[Precio Venta Ideal (x1.5)]]</f>
        <v>17.25</v>
      </c>
      <c r="J1887" s="93">
        <v>1</v>
      </c>
      <c r="K1887" s="78">
        <f>SUMIFS(VENTAS[Cantidad],VENTAS[Código del producto Vendido],STOCK[[#This Row],[Code]])</f>
        <v>0</v>
      </c>
      <c r="L1887" s="78">
        <f>STOCK[[#This Row],[Entradas]]-STOCK[[#This Row],[Salidas]]</f>
        <v>1</v>
      </c>
      <c r="M1887" s="75">
        <f>STOCK[[#This Row],[Precio Final]]*10%</f>
        <v>2.5</v>
      </c>
      <c r="N1887" s="54">
        <v>0</v>
      </c>
      <c r="O1887" s="75">
        <v>0</v>
      </c>
      <c r="P1887" s="75">
        <v>9</v>
      </c>
      <c r="Q1887" s="75">
        <v>0</v>
      </c>
      <c r="R1887" s="78">
        <v>0</v>
      </c>
      <c r="S1887" s="75">
        <v>0</v>
      </c>
      <c r="T1887" s="75">
        <f>STOCK[[#This Row],[Costo Unitario (USD)]]+STOCK[[#This Row],[Costo Envío (USD)]]+STOCK[[#This Row],[Comisión 10%]]</f>
        <v>11.5</v>
      </c>
      <c r="U1887" s="53">
        <f>STOCK[[#This Row],[Costo total]]*1.5</f>
        <v>17.25</v>
      </c>
      <c r="V1887" s="53">
        <v>25</v>
      </c>
      <c r="W1887" s="75">
        <f>STOCK[[#This Row],[Precio Final]]-STOCK[[#This Row],[Costo total]]</f>
        <v>13.5</v>
      </c>
      <c r="X1887" s="75">
        <f>STOCK[[#This Row],[Ganancia Unitaria]]*STOCK[[#This Row],[Salidas]]</f>
        <v>0</v>
      </c>
      <c r="Y1887" s="75"/>
      <c r="Z1887" s="88"/>
      <c r="AA1887" s="54"/>
      <c r="AB1887" s="54"/>
      <c r="AC1887" s="75"/>
      <c r="AD1887" s="96"/>
    </row>
    <row r="1888" spans="1:30" s="53" customFormat="1" ht="50" customHeight="1">
      <c r="A1888" s="93" t="s">
        <v>3734</v>
      </c>
      <c r="B1888" s="83"/>
      <c r="C1888" s="53" t="s">
        <v>32</v>
      </c>
      <c r="D1888" s="84" t="s">
        <v>749</v>
      </c>
      <c r="E1888" s="95" t="s">
        <v>3735</v>
      </c>
      <c r="F1888" s="93" t="s">
        <v>62</v>
      </c>
      <c r="G1888" s="75"/>
      <c r="H1888" s="75">
        <f>STOCK[[#This Row],[Precio Final]]</f>
        <v>28</v>
      </c>
      <c r="I1888" s="80">
        <f>STOCK[[#This Row],[Precio Venta Ideal (x1.5)]]</f>
        <v>17.700000000000003</v>
      </c>
      <c r="J1888" s="93">
        <v>1</v>
      </c>
      <c r="K1888" s="78">
        <f>SUMIFS(VENTAS[Cantidad],VENTAS[Código del producto Vendido],STOCK[[#This Row],[Code]])</f>
        <v>0</v>
      </c>
      <c r="L1888" s="78">
        <f>STOCK[[#This Row],[Entradas]]-STOCK[[#This Row],[Salidas]]</f>
        <v>1</v>
      </c>
      <c r="M1888" s="75">
        <f>STOCK[[#This Row],[Precio Final]]*10%</f>
        <v>2.8000000000000003</v>
      </c>
      <c r="N1888" s="54">
        <v>0</v>
      </c>
      <c r="O1888" s="75">
        <v>0</v>
      </c>
      <c r="P1888" s="75">
        <v>9</v>
      </c>
      <c r="Q1888" s="75">
        <v>0</v>
      </c>
      <c r="R1888" s="78">
        <v>0</v>
      </c>
      <c r="S1888" s="75">
        <v>0</v>
      </c>
      <c r="T1888" s="75">
        <f>STOCK[[#This Row],[Costo Unitario (USD)]]+STOCK[[#This Row],[Costo Envío (USD)]]+STOCK[[#This Row],[Comisión 10%]]</f>
        <v>11.8</v>
      </c>
      <c r="U1888" s="53">
        <f>STOCK[[#This Row],[Costo total]]*1.5</f>
        <v>17.700000000000003</v>
      </c>
      <c r="V1888" s="53">
        <v>28</v>
      </c>
      <c r="W1888" s="75">
        <f>STOCK[[#This Row],[Precio Final]]-STOCK[[#This Row],[Costo total]]</f>
        <v>16.2</v>
      </c>
      <c r="X1888" s="75">
        <f>STOCK[[#This Row],[Ganancia Unitaria]]*STOCK[[#This Row],[Salidas]]</f>
        <v>0</v>
      </c>
      <c r="Y1888" s="75"/>
      <c r="Z1888" s="88"/>
      <c r="AA1888" s="54"/>
      <c r="AB1888" s="54"/>
      <c r="AC1888" s="75"/>
      <c r="AD1888" s="96"/>
    </row>
    <row r="1889" spans="1:30" s="53" customFormat="1" ht="50" customHeight="1">
      <c r="A1889" s="93" t="s">
        <v>3736</v>
      </c>
      <c r="B1889" s="83"/>
      <c r="C1889" s="53" t="s">
        <v>32</v>
      </c>
      <c r="D1889" s="84" t="s">
        <v>749</v>
      </c>
      <c r="E1889" s="95" t="s">
        <v>3737</v>
      </c>
      <c r="F1889" s="93" t="s">
        <v>62</v>
      </c>
      <c r="G1889" s="75"/>
      <c r="H1889" s="75">
        <f>STOCK[[#This Row],[Precio Final]]</f>
        <v>35</v>
      </c>
      <c r="I1889" s="80">
        <f>STOCK[[#This Row],[Precio Venta Ideal (x1.5)]]</f>
        <v>18.75</v>
      </c>
      <c r="J1889" s="93">
        <v>1</v>
      </c>
      <c r="K1889" s="78">
        <f>SUMIFS(VENTAS[Cantidad],VENTAS[Código del producto Vendido],STOCK[[#This Row],[Code]])</f>
        <v>0</v>
      </c>
      <c r="L1889" s="78">
        <f>STOCK[[#This Row],[Entradas]]-STOCK[[#This Row],[Salidas]]</f>
        <v>1</v>
      </c>
      <c r="M1889" s="75">
        <f>STOCK[[#This Row],[Precio Final]]*10%</f>
        <v>3.5</v>
      </c>
      <c r="N1889" s="54">
        <v>0</v>
      </c>
      <c r="O1889" s="75">
        <v>0</v>
      </c>
      <c r="P1889" s="75">
        <v>9</v>
      </c>
      <c r="Q1889" s="75">
        <v>0</v>
      </c>
      <c r="R1889" s="78">
        <v>0</v>
      </c>
      <c r="S1889" s="75">
        <v>0</v>
      </c>
      <c r="T1889" s="75">
        <f>STOCK[[#This Row],[Costo Unitario (USD)]]+STOCK[[#This Row],[Costo Envío (USD)]]+STOCK[[#This Row],[Comisión 10%]]</f>
        <v>12.5</v>
      </c>
      <c r="U1889" s="53">
        <f>STOCK[[#This Row],[Costo total]]*1.5</f>
        <v>18.75</v>
      </c>
      <c r="V1889" s="53">
        <v>35</v>
      </c>
      <c r="W1889" s="75">
        <f>STOCK[[#This Row],[Precio Final]]-STOCK[[#This Row],[Costo total]]</f>
        <v>22.5</v>
      </c>
      <c r="X1889" s="75">
        <f>STOCK[[#This Row],[Ganancia Unitaria]]*STOCK[[#This Row],[Salidas]]</f>
        <v>0</v>
      </c>
      <c r="Y1889" s="75"/>
      <c r="Z1889" s="88"/>
      <c r="AA1889" s="54"/>
      <c r="AB1889" s="54"/>
      <c r="AC1889" s="75"/>
      <c r="AD1889" s="96"/>
    </row>
    <row r="1890" spans="1:30" s="53" customFormat="1" ht="50" customHeight="1">
      <c r="A1890" s="93" t="s">
        <v>3738</v>
      </c>
      <c r="B1890" s="83"/>
      <c r="C1890" s="53" t="s">
        <v>32</v>
      </c>
      <c r="D1890" s="84" t="s">
        <v>749</v>
      </c>
      <c r="E1890" s="95" t="s">
        <v>3739</v>
      </c>
      <c r="F1890" s="93" t="s">
        <v>716</v>
      </c>
      <c r="G1890" s="75"/>
      <c r="H1890" s="75">
        <f>STOCK[[#This Row],[Precio Final]]</f>
        <v>35</v>
      </c>
      <c r="I1890" s="80">
        <f>STOCK[[#This Row],[Precio Venta Ideal (x1.5)]]</f>
        <v>18.75</v>
      </c>
      <c r="J1890" s="93">
        <v>2</v>
      </c>
      <c r="K1890" s="78">
        <f>SUMIFS(VENTAS[Cantidad],VENTAS[Código del producto Vendido],STOCK[[#This Row],[Code]])</f>
        <v>0</v>
      </c>
      <c r="L1890" s="78">
        <f>STOCK[[#This Row],[Entradas]]-STOCK[[#This Row],[Salidas]]</f>
        <v>2</v>
      </c>
      <c r="M1890" s="75">
        <f>STOCK[[#This Row],[Precio Final]]*10%</f>
        <v>3.5</v>
      </c>
      <c r="N1890" s="54">
        <v>0</v>
      </c>
      <c r="O1890" s="75">
        <v>0</v>
      </c>
      <c r="P1890" s="75">
        <v>9</v>
      </c>
      <c r="Q1890" s="75">
        <v>0</v>
      </c>
      <c r="R1890" s="78">
        <v>0</v>
      </c>
      <c r="S1890" s="75">
        <v>0</v>
      </c>
      <c r="T1890" s="75">
        <f>STOCK[[#This Row],[Costo Unitario (USD)]]+STOCK[[#This Row],[Costo Envío (USD)]]+STOCK[[#This Row],[Comisión 10%]]</f>
        <v>12.5</v>
      </c>
      <c r="U1890" s="53">
        <f>STOCK[[#This Row],[Costo total]]*1.5</f>
        <v>18.75</v>
      </c>
      <c r="V1890" s="53">
        <v>35</v>
      </c>
      <c r="W1890" s="75">
        <f>STOCK[[#This Row],[Precio Final]]-STOCK[[#This Row],[Costo total]]</f>
        <v>22.5</v>
      </c>
      <c r="X1890" s="75">
        <f>STOCK[[#This Row],[Ganancia Unitaria]]*STOCK[[#This Row],[Salidas]]</f>
        <v>0</v>
      </c>
      <c r="Y1890" s="75"/>
      <c r="Z1890" s="88"/>
      <c r="AA1890" s="54"/>
      <c r="AB1890" s="54"/>
      <c r="AC1890" s="75"/>
      <c r="AD1890" s="96"/>
    </row>
    <row r="1891" spans="1:30" s="53" customFormat="1" ht="50" customHeight="1">
      <c r="A1891" s="93" t="s">
        <v>3740</v>
      </c>
      <c r="B1891" s="83"/>
      <c r="C1891" s="53" t="s">
        <v>32</v>
      </c>
      <c r="D1891" s="84" t="s">
        <v>1388</v>
      </c>
      <c r="E1891" s="95" t="s">
        <v>3741</v>
      </c>
      <c r="F1891" s="93" t="s">
        <v>3742</v>
      </c>
      <c r="G1891" s="75"/>
      <c r="H1891" s="75">
        <f>STOCK[[#This Row],[Precio Final]]</f>
        <v>30</v>
      </c>
      <c r="I1891" s="80">
        <f>STOCK[[#This Row],[Precio Venta Ideal (x1.5)]]</f>
        <v>18</v>
      </c>
      <c r="J1891" s="93">
        <v>1</v>
      </c>
      <c r="K1891" s="78">
        <f>SUMIFS(VENTAS[Cantidad],VENTAS[Código del producto Vendido],STOCK[[#This Row],[Code]])</f>
        <v>0</v>
      </c>
      <c r="L1891" s="78">
        <f>STOCK[[#This Row],[Entradas]]-STOCK[[#This Row],[Salidas]]</f>
        <v>1</v>
      </c>
      <c r="M1891" s="75">
        <f>STOCK[[#This Row],[Precio Final]]*10%</f>
        <v>3</v>
      </c>
      <c r="N1891" s="54">
        <v>0</v>
      </c>
      <c r="O1891" s="75">
        <v>0</v>
      </c>
      <c r="P1891" s="75">
        <v>9</v>
      </c>
      <c r="Q1891" s="75">
        <v>0</v>
      </c>
      <c r="R1891" s="78">
        <v>0</v>
      </c>
      <c r="S1891" s="75">
        <v>0</v>
      </c>
      <c r="T1891" s="75">
        <f>STOCK[[#This Row],[Costo Unitario (USD)]]+STOCK[[#This Row],[Costo Envío (USD)]]+STOCK[[#This Row],[Comisión 10%]]</f>
        <v>12</v>
      </c>
      <c r="U1891" s="53">
        <f>STOCK[[#This Row],[Costo total]]*1.5</f>
        <v>18</v>
      </c>
      <c r="V1891" s="53">
        <v>30</v>
      </c>
      <c r="W1891" s="75">
        <f>STOCK[[#This Row],[Precio Final]]-STOCK[[#This Row],[Costo total]]</f>
        <v>18</v>
      </c>
      <c r="X1891" s="75">
        <f>STOCK[[#This Row],[Ganancia Unitaria]]*STOCK[[#This Row],[Salidas]]</f>
        <v>0</v>
      </c>
      <c r="Y1891" s="75"/>
      <c r="Z1891" s="88"/>
      <c r="AA1891" s="54"/>
      <c r="AB1891" s="54"/>
      <c r="AC1891" s="75"/>
      <c r="AD1891" s="96"/>
    </row>
    <row r="1892" spans="1:30" s="53" customFormat="1" ht="50" customHeight="1">
      <c r="A1892" s="93" t="s">
        <v>3743</v>
      </c>
      <c r="B1892" s="83"/>
      <c r="C1892" s="53" t="s">
        <v>32</v>
      </c>
      <c r="D1892" s="84" t="s">
        <v>749</v>
      </c>
      <c r="E1892" s="95" t="s">
        <v>3744</v>
      </c>
      <c r="F1892" s="93" t="s">
        <v>49</v>
      </c>
      <c r="G1892" s="75"/>
      <c r="H1892" s="75">
        <f>STOCK[[#This Row],[Precio Final]]</f>
        <v>35</v>
      </c>
      <c r="I1892" s="80">
        <f>STOCK[[#This Row],[Precio Venta Ideal (x1.5)]]</f>
        <v>18.75</v>
      </c>
      <c r="J1892" s="93">
        <v>1</v>
      </c>
      <c r="K1892" s="78">
        <f>SUMIFS(VENTAS[Cantidad],VENTAS[Código del producto Vendido],STOCK[[#This Row],[Code]])</f>
        <v>0</v>
      </c>
      <c r="L1892" s="78">
        <f>STOCK[[#This Row],[Entradas]]-STOCK[[#This Row],[Salidas]]</f>
        <v>1</v>
      </c>
      <c r="M1892" s="75">
        <f>STOCK[[#This Row],[Precio Final]]*10%</f>
        <v>3.5</v>
      </c>
      <c r="N1892" s="54">
        <v>0</v>
      </c>
      <c r="O1892" s="75">
        <v>0</v>
      </c>
      <c r="P1892" s="75">
        <v>9</v>
      </c>
      <c r="Q1892" s="75">
        <v>0</v>
      </c>
      <c r="R1892" s="78">
        <v>0</v>
      </c>
      <c r="S1892" s="75">
        <v>0</v>
      </c>
      <c r="T1892" s="75">
        <f>STOCK[[#This Row],[Costo Unitario (USD)]]+STOCK[[#This Row],[Costo Envío (USD)]]+STOCK[[#This Row],[Comisión 10%]]</f>
        <v>12.5</v>
      </c>
      <c r="U1892" s="53">
        <f>STOCK[[#This Row],[Costo total]]*1.5</f>
        <v>18.75</v>
      </c>
      <c r="V1892" s="53">
        <v>35</v>
      </c>
      <c r="W1892" s="75">
        <f>STOCK[[#This Row],[Precio Final]]-STOCK[[#This Row],[Costo total]]</f>
        <v>22.5</v>
      </c>
      <c r="X1892" s="75">
        <f>STOCK[[#This Row],[Ganancia Unitaria]]*STOCK[[#This Row],[Salidas]]</f>
        <v>0</v>
      </c>
      <c r="Y1892" s="75"/>
      <c r="Z1892" s="88"/>
      <c r="AA1892" s="54"/>
      <c r="AB1892" s="54"/>
      <c r="AC1892" s="75"/>
      <c r="AD1892" s="96"/>
    </row>
    <row r="1893" spans="1:30" s="53" customFormat="1" ht="50" customHeight="1">
      <c r="A1893" s="93" t="s">
        <v>3745</v>
      </c>
      <c r="B1893" s="83"/>
      <c r="C1893" s="53" t="s">
        <v>32</v>
      </c>
      <c r="D1893" s="84" t="s">
        <v>749</v>
      </c>
      <c r="E1893" s="95" t="s">
        <v>3746</v>
      </c>
      <c r="F1893" s="93" t="s">
        <v>49</v>
      </c>
      <c r="G1893" s="75"/>
      <c r="H1893" s="75">
        <f>STOCK[[#This Row],[Precio Final]]</f>
        <v>18</v>
      </c>
      <c r="I1893" s="80">
        <f>STOCK[[#This Row],[Precio Venta Ideal (x1.5)]]</f>
        <v>16.200000000000003</v>
      </c>
      <c r="J1893" s="93">
        <v>1</v>
      </c>
      <c r="K1893" s="78">
        <f>SUMIFS(VENTAS[Cantidad],VENTAS[Código del producto Vendido],STOCK[[#This Row],[Code]])</f>
        <v>0</v>
      </c>
      <c r="L1893" s="78">
        <f>STOCK[[#This Row],[Entradas]]-STOCK[[#This Row],[Salidas]]</f>
        <v>1</v>
      </c>
      <c r="M1893" s="75">
        <f>STOCK[[#This Row],[Precio Final]]*10%</f>
        <v>1.8</v>
      </c>
      <c r="N1893" s="54">
        <v>0</v>
      </c>
      <c r="O1893" s="75">
        <v>0</v>
      </c>
      <c r="P1893" s="75">
        <v>9</v>
      </c>
      <c r="Q1893" s="75">
        <v>0</v>
      </c>
      <c r="R1893" s="78">
        <v>0</v>
      </c>
      <c r="S1893" s="75">
        <v>0</v>
      </c>
      <c r="T1893" s="75">
        <f>STOCK[[#This Row],[Costo Unitario (USD)]]+STOCK[[#This Row],[Costo Envío (USD)]]+STOCK[[#This Row],[Comisión 10%]]</f>
        <v>10.8</v>
      </c>
      <c r="U1893" s="53">
        <f>STOCK[[#This Row],[Costo total]]*1.5</f>
        <v>16.200000000000003</v>
      </c>
      <c r="V1893" s="53">
        <v>18</v>
      </c>
      <c r="W1893" s="75">
        <f>STOCK[[#This Row],[Precio Final]]-STOCK[[#This Row],[Costo total]]</f>
        <v>7.1999999999999993</v>
      </c>
      <c r="X1893" s="75">
        <f>STOCK[[#This Row],[Ganancia Unitaria]]*STOCK[[#This Row],[Salidas]]</f>
        <v>0</v>
      </c>
      <c r="Y1893" s="75"/>
      <c r="Z1893" s="88"/>
      <c r="AA1893" s="54"/>
      <c r="AB1893" s="54"/>
      <c r="AC1893" s="75"/>
      <c r="AD1893" s="96"/>
    </row>
    <row r="1894" spans="1:30" s="53" customFormat="1" ht="50" customHeight="1">
      <c r="A1894" s="93" t="s">
        <v>3747</v>
      </c>
      <c r="B1894" s="83"/>
      <c r="C1894" s="53" t="s">
        <v>32</v>
      </c>
      <c r="D1894" s="84" t="s">
        <v>749</v>
      </c>
      <c r="E1894" s="95" t="s">
        <v>3748</v>
      </c>
      <c r="F1894" s="93" t="s">
        <v>62</v>
      </c>
      <c r="G1894" s="75"/>
      <c r="H1894" s="75">
        <f>STOCK[[#This Row],[Precio Final]]</f>
        <v>30</v>
      </c>
      <c r="I1894" s="80">
        <f>STOCK[[#This Row],[Precio Venta Ideal (x1.5)]]</f>
        <v>18</v>
      </c>
      <c r="J1894" s="93">
        <v>1</v>
      </c>
      <c r="K1894" s="78">
        <f>SUMIFS(VENTAS[Cantidad],VENTAS[Código del producto Vendido],STOCK[[#This Row],[Code]])</f>
        <v>0</v>
      </c>
      <c r="L1894" s="78">
        <f>STOCK[[#This Row],[Entradas]]-STOCK[[#This Row],[Salidas]]</f>
        <v>1</v>
      </c>
      <c r="M1894" s="75">
        <f>STOCK[[#This Row],[Precio Final]]*10%</f>
        <v>3</v>
      </c>
      <c r="N1894" s="54">
        <v>0</v>
      </c>
      <c r="O1894" s="75">
        <v>0</v>
      </c>
      <c r="P1894" s="75">
        <v>9</v>
      </c>
      <c r="Q1894" s="75">
        <v>0</v>
      </c>
      <c r="R1894" s="78">
        <v>0</v>
      </c>
      <c r="S1894" s="75">
        <v>0</v>
      </c>
      <c r="T1894" s="75">
        <f>STOCK[[#This Row],[Costo Unitario (USD)]]+STOCK[[#This Row],[Costo Envío (USD)]]+STOCK[[#This Row],[Comisión 10%]]</f>
        <v>12</v>
      </c>
      <c r="U1894" s="53">
        <f>STOCK[[#This Row],[Costo total]]*1.5</f>
        <v>18</v>
      </c>
      <c r="V1894" s="53">
        <v>30</v>
      </c>
      <c r="W1894" s="75">
        <f>STOCK[[#This Row],[Precio Final]]-STOCK[[#This Row],[Costo total]]</f>
        <v>18</v>
      </c>
      <c r="X1894" s="75">
        <f>STOCK[[#This Row],[Ganancia Unitaria]]*STOCK[[#This Row],[Salidas]]</f>
        <v>0</v>
      </c>
      <c r="Y1894" s="75"/>
      <c r="Z1894" s="88"/>
      <c r="AA1894" s="54"/>
      <c r="AB1894" s="54"/>
      <c r="AC1894" s="75"/>
      <c r="AD1894" s="96"/>
    </row>
    <row r="1895" spans="1:30" s="53" customFormat="1" ht="50" customHeight="1">
      <c r="A1895" s="93" t="s">
        <v>3749</v>
      </c>
      <c r="B1895" s="83"/>
      <c r="C1895" s="53" t="s">
        <v>32</v>
      </c>
      <c r="D1895" s="84" t="s">
        <v>749</v>
      </c>
      <c r="E1895" s="95" t="s">
        <v>3750</v>
      </c>
      <c r="F1895" s="93" t="s">
        <v>62</v>
      </c>
      <c r="G1895" s="75"/>
      <c r="H1895" s="75">
        <f>STOCK[[#This Row],[Precio Final]]</f>
        <v>35</v>
      </c>
      <c r="I1895" s="80">
        <f>STOCK[[#This Row],[Precio Venta Ideal (x1.5)]]</f>
        <v>18.75</v>
      </c>
      <c r="J1895" s="93">
        <v>1</v>
      </c>
      <c r="K1895" s="78">
        <f>SUMIFS(VENTAS[Cantidad],VENTAS[Código del producto Vendido],STOCK[[#This Row],[Code]])</f>
        <v>0</v>
      </c>
      <c r="L1895" s="78">
        <f>STOCK[[#This Row],[Entradas]]-STOCK[[#This Row],[Salidas]]</f>
        <v>1</v>
      </c>
      <c r="M1895" s="75">
        <f>STOCK[[#This Row],[Precio Final]]*10%</f>
        <v>3.5</v>
      </c>
      <c r="N1895" s="54">
        <v>0</v>
      </c>
      <c r="O1895" s="75">
        <v>0</v>
      </c>
      <c r="P1895" s="75">
        <v>9</v>
      </c>
      <c r="Q1895" s="75">
        <v>0</v>
      </c>
      <c r="R1895" s="78">
        <v>0</v>
      </c>
      <c r="S1895" s="75">
        <v>0</v>
      </c>
      <c r="T1895" s="75">
        <f>STOCK[[#This Row],[Costo Unitario (USD)]]+STOCK[[#This Row],[Costo Envío (USD)]]+STOCK[[#This Row],[Comisión 10%]]</f>
        <v>12.5</v>
      </c>
      <c r="U1895" s="53">
        <f>STOCK[[#This Row],[Costo total]]*1.5</f>
        <v>18.75</v>
      </c>
      <c r="V1895" s="53">
        <v>35</v>
      </c>
      <c r="W1895" s="75">
        <f>STOCK[[#This Row],[Precio Final]]-STOCK[[#This Row],[Costo total]]</f>
        <v>22.5</v>
      </c>
      <c r="X1895" s="75">
        <f>STOCK[[#This Row],[Ganancia Unitaria]]*STOCK[[#This Row],[Salidas]]</f>
        <v>0</v>
      </c>
      <c r="Y1895" s="75"/>
      <c r="Z1895" s="88"/>
      <c r="AA1895" s="54"/>
      <c r="AB1895" s="54"/>
      <c r="AC1895" s="75"/>
      <c r="AD1895" s="96"/>
    </row>
    <row r="1896" spans="1:30" s="53" customFormat="1" ht="50" customHeight="1">
      <c r="A1896" s="93" t="s">
        <v>3751</v>
      </c>
      <c r="B1896" s="83"/>
      <c r="C1896" s="53" t="s">
        <v>32</v>
      </c>
      <c r="D1896" s="84" t="s">
        <v>1388</v>
      </c>
      <c r="E1896" s="95" t="s">
        <v>3752</v>
      </c>
      <c r="F1896" s="93" t="s">
        <v>3753</v>
      </c>
      <c r="G1896" s="75"/>
      <c r="H1896" s="75">
        <f>STOCK[[#This Row],[Precio Final]]</f>
        <v>30</v>
      </c>
      <c r="I1896" s="80">
        <f>STOCK[[#This Row],[Precio Venta Ideal (x1.5)]]</f>
        <v>18</v>
      </c>
      <c r="J1896" s="93">
        <v>1</v>
      </c>
      <c r="K1896" s="78">
        <f>SUMIFS(VENTAS[Cantidad],VENTAS[Código del producto Vendido],STOCK[[#This Row],[Code]])</f>
        <v>0</v>
      </c>
      <c r="L1896" s="78">
        <f>STOCK[[#This Row],[Entradas]]-STOCK[[#This Row],[Salidas]]</f>
        <v>1</v>
      </c>
      <c r="M1896" s="75">
        <f>STOCK[[#This Row],[Precio Final]]*10%</f>
        <v>3</v>
      </c>
      <c r="N1896" s="54">
        <v>0</v>
      </c>
      <c r="O1896" s="75">
        <v>0</v>
      </c>
      <c r="P1896" s="75">
        <v>9</v>
      </c>
      <c r="Q1896" s="75">
        <v>0</v>
      </c>
      <c r="R1896" s="78">
        <v>0</v>
      </c>
      <c r="S1896" s="75">
        <v>0</v>
      </c>
      <c r="T1896" s="75">
        <f>STOCK[[#This Row],[Costo Unitario (USD)]]+STOCK[[#This Row],[Costo Envío (USD)]]+STOCK[[#This Row],[Comisión 10%]]</f>
        <v>12</v>
      </c>
      <c r="U1896" s="53">
        <f>STOCK[[#This Row],[Costo total]]*1.5</f>
        <v>18</v>
      </c>
      <c r="V1896" s="53">
        <v>30</v>
      </c>
      <c r="W1896" s="75">
        <f>STOCK[[#This Row],[Precio Final]]-STOCK[[#This Row],[Costo total]]</f>
        <v>18</v>
      </c>
      <c r="X1896" s="75">
        <f>STOCK[[#This Row],[Ganancia Unitaria]]*STOCK[[#This Row],[Salidas]]</f>
        <v>0</v>
      </c>
      <c r="Y1896" s="75"/>
      <c r="Z1896" s="88"/>
      <c r="AA1896" s="54"/>
      <c r="AB1896" s="54"/>
      <c r="AC1896" s="75"/>
      <c r="AD1896" s="96"/>
    </row>
    <row r="1897" spans="1:30" s="53" customFormat="1" ht="50" customHeight="1">
      <c r="A1897" s="93" t="s">
        <v>3754</v>
      </c>
      <c r="B1897" s="83"/>
      <c r="C1897" s="53" t="s">
        <v>32</v>
      </c>
      <c r="D1897" s="84" t="s">
        <v>749</v>
      </c>
      <c r="E1897" s="95" t="s">
        <v>3755</v>
      </c>
      <c r="F1897" s="93" t="s">
        <v>46</v>
      </c>
      <c r="G1897" s="75"/>
      <c r="H1897" s="75">
        <f>STOCK[[#This Row],[Precio Final]]</f>
        <v>18</v>
      </c>
      <c r="I1897" s="80">
        <f>STOCK[[#This Row],[Precio Venta Ideal (x1.5)]]</f>
        <v>16.200000000000003</v>
      </c>
      <c r="J1897" s="93">
        <v>1</v>
      </c>
      <c r="K1897" s="78">
        <f>SUMIFS(VENTAS[Cantidad],VENTAS[Código del producto Vendido],STOCK[[#This Row],[Code]])</f>
        <v>0</v>
      </c>
      <c r="L1897" s="78">
        <f>STOCK[[#This Row],[Entradas]]-STOCK[[#This Row],[Salidas]]</f>
        <v>1</v>
      </c>
      <c r="M1897" s="75">
        <f>STOCK[[#This Row],[Precio Final]]*10%</f>
        <v>1.8</v>
      </c>
      <c r="N1897" s="54">
        <v>0</v>
      </c>
      <c r="O1897" s="75">
        <v>0</v>
      </c>
      <c r="P1897" s="75">
        <v>9</v>
      </c>
      <c r="Q1897" s="75">
        <v>0</v>
      </c>
      <c r="R1897" s="78">
        <v>0</v>
      </c>
      <c r="S1897" s="75">
        <v>0</v>
      </c>
      <c r="T1897" s="75">
        <f>STOCK[[#This Row],[Costo Unitario (USD)]]+STOCK[[#This Row],[Costo Envío (USD)]]+STOCK[[#This Row],[Comisión 10%]]</f>
        <v>10.8</v>
      </c>
      <c r="U1897" s="53">
        <f>STOCK[[#This Row],[Costo total]]*1.5</f>
        <v>16.200000000000003</v>
      </c>
      <c r="V1897" s="53">
        <v>18</v>
      </c>
      <c r="W1897" s="75">
        <f>STOCK[[#This Row],[Precio Final]]-STOCK[[#This Row],[Costo total]]</f>
        <v>7.1999999999999993</v>
      </c>
      <c r="X1897" s="75">
        <f>STOCK[[#This Row],[Ganancia Unitaria]]*STOCK[[#This Row],[Salidas]]</f>
        <v>0</v>
      </c>
      <c r="Y1897" s="75"/>
      <c r="Z1897" s="88"/>
      <c r="AA1897" s="54"/>
      <c r="AB1897" s="54"/>
      <c r="AC1897" s="75"/>
      <c r="AD1897" s="96"/>
    </row>
    <row r="1898" spans="1:30" s="53" customFormat="1" ht="50" customHeight="1">
      <c r="A1898" s="93" t="s">
        <v>3756</v>
      </c>
      <c r="B1898" s="83"/>
      <c r="C1898" s="53" t="s">
        <v>32</v>
      </c>
      <c r="D1898" s="84" t="s">
        <v>749</v>
      </c>
      <c r="E1898" s="95" t="s">
        <v>3757</v>
      </c>
      <c r="F1898" s="93" t="s">
        <v>49</v>
      </c>
      <c r="G1898" s="75"/>
      <c r="H1898" s="75">
        <f>STOCK[[#This Row],[Precio Final]]</f>
        <v>18</v>
      </c>
      <c r="I1898" s="80">
        <f>STOCK[[#This Row],[Precio Venta Ideal (x1.5)]]</f>
        <v>16.200000000000003</v>
      </c>
      <c r="J1898" s="93">
        <v>1</v>
      </c>
      <c r="K1898" s="78">
        <f>SUMIFS(VENTAS[Cantidad],VENTAS[Código del producto Vendido],STOCK[[#This Row],[Code]])</f>
        <v>0</v>
      </c>
      <c r="L1898" s="78">
        <f>STOCK[[#This Row],[Entradas]]-STOCK[[#This Row],[Salidas]]</f>
        <v>1</v>
      </c>
      <c r="M1898" s="75">
        <f>STOCK[[#This Row],[Precio Final]]*10%</f>
        <v>1.8</v>
      </c>
      <c r="N1898" s="54">
        <v>0</v>
      </c>
      <c r="O1898" s="75">
        <v>0</v>
      </c>
      <c r="P1898" s="75">
        <v>9</v>
      </c>
      <c r="Q1898" s="75">
        <v>0</v>
      </c>
      <c r="R1898" s="78">
        <v>0</v>
      </c>
      <c r="S1898" s="75">
        <v>0</v>
      </c>
      <c r="T1898" s="75">
        <f>STOCK[[#This Row],[Costo Unitario (USD)]]+STOCK[[#This Row],[Costo Envío (USD)]]+STOCK[[#This Row],[Comisión 10%]]</f>
        <v>10.8</v>
      </c>
      <c r="U1898" s="53">
        <f>STOCK[[#This Row],[Costo total]]*1.5</f>
        <v>16.200000000000003</v>
      </c>
      <c r="V1898" s="53">
        <v>18</v>
      </c>
      <c r="W1898" s="75">
        <f>STOCK[[#This Row],[Precio Final]]-STOCK[[#This Row],[Costo total]]</f>
        <v>7.1999999999999993</v>
      </c>
      <c r="X1898" s="75">
        <f>STOCK[[#This Row],[Ganancia Unitaria]]*STOCK[[#This Row],[Salidas]]</f>
        <v>0</v>
      </c>
      <c r="Y1898" s="75"/>
      <c r="Z1898" s="88"/>
      <c r="AA1898" s="54"/>
      <c r="AB1898" s="54"/>
      <c r="AC1898" s="75"/>
      <c r="AD1898" s="96"/>
    </row>
    <row r="1899" spans="1:30" s="53" customFormat="1" ht="50" customHeight="1">
      <c r="A1899" s="93" t="s">
        <v>3758</v>
      </c>
      <c r="B1899" s="83"/>
      <c r="C1899" s="53" t="s">
        <v>32</v>
      </c>
      <c r="D1899" s="84" t="s">
        <v>779</v>
      </c>
      <c r="E1899" s="95" t="s">
        <v>3759</v>
      </c>
      <c r="F1899" s="93" t="s">
        <v>42</v>
      </c>
      <c r="G1899" s="75"/>
      <c r="H1899" s="75">
        <f>STOCK[[#This Row],[Precio Final]]</f>
        <v>15</v>
      </c>
      <c r="I1899" s="80">
        <f>STOCK[[#This Row],[Precio Venta Ideal (x1.5)]]</f>
        <v>15.75</v>
      </c>
      <c r="J1899" s="93">
        <v>1</v>
      </c>
      <c r="K1899" s="78">
        <f>SUMIFS(VENTAS[Cantidad],VENTAS[Código del producto Vendido],STOCK[[#This Row],[Code]])</f>
        <v>0</v>
      </c>
      <c r="L1899" s="78">
        <f>STOCK[[#This Row],[Entradas]]-STOCK[[#This Row],[Salidas]]</f>
        <v>1</v>
      </c>
      <c r="M1899" s="75">
        <f>STOCK[[#This Row],[Precio Final]]*10%</f>
        <v>1.5</v>
      </c>
      <c r="N1899" s="54">
        <v>0</v>
      </c>
      <c r="O1899" s="75">
        <v>0</v>
      </c>
      <c r="P1899" s="75">
        <v>9</v>
      </c>
      <c r="Q1899" s="75">
        <v>0</v>
      </c>
      <c r="R1899" s="78">
        <v>0</v>
      </c>
      <c r="S1899" s="75">
        <v>0</v>
      </c>
      <c r="T1899" s="75">
        <f>STOCK[[#This Row],[Costo Unitario (USD)]]+STOCK[[#This Row],[Costo Envío (USD)]]+STOCK[[#This Row],[Comisión 10%]]</f>
        <v>10.5</v>
      </c>
      <c r="U1899" s="53">
        <f>STOCK[[#This Row],[Costo total]]*1.5</f>
        <v>15.75</v>
      </c>
      <c r="V1899" s="53">
        <v>15</v>
      </c>
      <c r="W1899" s="75">
        <f>STOCK[[#This Row],[Precio Final]]-STOCK[[#This Row],[Costo total]]</f>
        <v>4.5</v>
      </c>
      <c r="X1899" s="75">
        <f>STOCK[[#This Row],[Ganancia Unitaria]]*STOCK[[#This Row],[Salidas]]</f>
        <v>0</v>
      </c>
      <c r="Y1899" s="75"/>
      <c r="Z1899" s="88"/>
      <c r="AA1899" s="54"/>
      <c r="AB1899" s="54"/>
      <c r="AC1899" s="75"/>
      <c r="AD1899" s="96"/>
    </row>
    <row r="1900" spans="1:30" s="53" customFormat="1" ht="50" customHeight="1">
      <c r="A1900" s="93" t="s">
        <v>3760</v>
      </c>
      <c r="B1900" s="83"/>
      <c r="C1900" s="53" t="s">
        <v>32</v>
      </c>
      <c r="D1900" s="84" t="s">
        <v>749</v>
      </c>
      <c r="E1900" s="95" t="s">
        <v>3761</v>
      </c>
      <c r="F1900" s="93" t="s">
        <v>3685</v>
      </c>
      <c r="G1900" s="75"/>
      <c r="H1900" s="75">
        <f>STOCK[[#This Row],[Precio Final]]</f>
        <v>35</v>
      </c>
      <c r="I1900" s="80">
        <f>STOCK[[#This Row],[Precio Venta Ideal (x1.5)]]</f>
        <v>18.75</v>
      </c>
      <c r="J1900" s="93">
        <v>1</v>
      </c>
      <c r="K1900" s="78">
        <f>SUMIFS(VENTAS[Cantidad],VENTAS[Código del producto Vendido],STOCK[[#This Row],[Code]])</f>
        <v>0</v>
      </c>
      <c r="L1900" s="78">
        <f>STOCK[[#This Row],[Entradas]]-STOCK[[#This Row],[Salidas]]</f>
        <v>1</v>
      </c>
      <c r="M1900" s="75">
        <f>STOCK[[#This Row],[Precio Final]]*10%</f>
        <v>3.5</v>
      </c>
      <c r="N1900" s="54">
        <v>0</v>
      </c>
      <c r="O1900" s="75">
        <v>0</v>
      </c>
      <c r="P1900" s="75">
        <v>9</v>
      </c>
      <c r="Q1900" s="75">
        <v>0</v>
      </c>
      <c r="R1900" s="78">
        <v>0</v>
      </c>
      <c r="S1900" s="75">
        <v>0</v>
      </c>
      <c r="T1900" s="75">
        <f>STOCK[[#This Row],[Costo Unitario (USD)]]+STOCK[[#This Row],[Costo Envío (USD)]]+STOCK[[#This Row],[Comisión 10%]]</f>
        <v>12.5</v>
      </c>
      <c r="U1900" s="53">
        <f>STOCK[[#This Row],[Costo total]]*1.5</f>
        <v>18.75</v>
      </c>
      <c r="V1900" s="53">
        <v>35</v>
      </c>
      <c r="W1900" s="75">
        <f>STOCK[[#This Row],[Precio Final]]-STOCK[[#This Row],[Costo total]]</f>
        <v>22.5</v>
      </c>
      <c r="X1900" s="75">
        <f>STOCK[[#This Row],[Ganancia Unitaria]]*STOCK[[#This Row],[Salidas]]</f>
        <v>0</v>
      </c>
      <c r="Y1900" s="75"/>
      <c r="Z1900" s="88"/>
      <c r="AA1900" s="54"/>
      <c r="AB1900" s="54"/>
      <c r="AC1900" s="75"/>
      <c r="AD1900" s="96"/>
    </row>
    <row r="1901" spans="1:30" s="53" customFormat="1" ht="50" customHeight="1">
      <c r="A1901" s="93" t="s">
        <v>3762</v>
      </c>
      <c r="B1901" s="83"/>
      <c r="C1901" s="53" t="s">
        <v>32</v>
      </c>
      <c r="D1901" s="84" t="s">
        <v>749</v>
      </c>
      <c r="E1901" s="95" t="s">
        <v>3763</v>
      </c>
      <c r="F1901" s="93" t="s">
        <v>3764</v>
      </c>
      <c r="G1901" s="75"/>
      <c r="H1901" s="75">
        <f>STOCK[[#This Row],[Precio Final]]</f>
        <v>28</v>
      </c>
      <c r="I1901" s="80">
        <f>STOCK[[#This Row],[Precio Venta Ideal (x1.5)]]</f>
        <v>17.700000000000003</v>
      </c>
      <c r="J1901" s="93">
        <v>1</v>
      </c>
      <c r="K1901" s="78">
        <f>SUMIFS(VENTAS[Cantidad],VENTAS[Código del producto Vendido],STOCK[[#This Row],[Code]])</f>
        <v>0</v>
      </c>
      <c r="L1901" s="78">
        <f>STOCK[[#This Row],[Entradas]]-STOCK[[#This Row],[Salidas]]</f>
        <v>1</v>
      </c>
      <c r="M1901" s="75">
        <f>STOCK[[#This Row],[Precio Final]]*10%</f>
        <v>2.8000000000000003</v>
      </c>
      <c r="N1901" s="54">
        <v>0</v>
      </c>
      <c r="O1901" s="75">
        <v>0</v>
      </c>
      <c r="P1901" s="75">
        <v>9</v>
      </c>
      <c r="Q1901" s="75">
        <v>0</v>
      </c>
      <c r="R1901" s="78">
        <v>0</v>
      </c>
      <c r="S1901" s="75">
        <v>0</v>
      </c>
      <c r="T1901" s="75">
        <f>STOCK[[#This Row],[Costo Unitario (USD)]]+STOCK[[#This Row],[Costo Envío (USD)]]+STOCK[[#This Row],[Comisión 10%]]</f>
        <v>11.8</v>
      </c>
      <c r="U1901" s="53">
        <f>STOCK[[#This Row],[Costo total]]*1.5</f>
        <v>17.700000000000003</v>
      </c>
      <c r="V1901" s="53">
        <v>28</v>
      </c>
      <c r="W1901" s="75">
        <f>STOCK[[#This Row],[Precio Final]]-STOCK[[#This Row],[Costo total]]</f>
        <v>16.2</v>
      </c>
      <c r="X1901" s="75">
        <f>STOCK[[#This Row],[Ganancia Unitaria]]*STOCK[[#This Row],[Salidas]]</f>
        <v>0</v>
      </c>
      <c r="Y1901" s="75"/>
      <c r="Z1901" s="88"/>
      <c r="AA1901" s="54"/>
      <c r="AB1901" s="54"/>
      <c r="AC1901" s="75"/>
      <c r="AD1901" s="96"/>
    </row>
    <row r="1902" spans="1:30" s="53" customFormat="1" ht="50" customHeight="1">
      <c r="A1902" s="93" t="s">
        <v>3765</v>
      </c>
      <c r="B1902" s="83"/>
      <c r="C1902" s="53" t="s">
        <v>32</v>
      </c>
      <c r="D1902" s="84" t="s">
        <v>779</v>
      </c>
      <c r="E1902" s="95" t="s">
        <v>3766</v>
      </c>
      <c r="F1902" s="93" t="s">
        <v>62</v>
      </c>
      <c r="G1902" s="75"/>
      <c r="H1902" s="75">
        <f>STOCK[[#This Row],[Precio Final]]</f>
        <v>20</v>
      </c>
      <c r="I1902" s="80">
        <f>STOCK[[#This Row],[Precio Venta Ideal (x1.5)]]</f>
        <v>16.5</v>
      </c>
      <c r="J1902" s="93">
        <v>1</v>
      </c>
      <c r="K1902" s="78">
        <f>SUMIFS(VENTAS[Cantidad],VENTAS[Código del producto Vendido],STOCK[[#This Row],[Code]])</f>
        <v>0</v>
      </c>
      <c r="L1902" s="78">
        <f>STOCK[[#This Row],[Entradas]]-STOCK[[#This Row],[Salidas]]</f>
        <v>1</v>
      </c>
      <c r="M1902" s="75">
        <f>STOCK[[#This Row],[Precio Final]]*10%</f>
        <v>2</v>
      </c>
      <c r="N1902" s="54">
        <v>0</v>
      </c>
      <c r="O1902" s="75">
        <v>0</v>
      </c>
      <c r="P1902" s="75">
        <v>9</v>
      </c>
      <c r="Q1902" s="75">
        <v>0</v>
      </c>
      <c r="R1902" s="78">
        <v>0</v>
      </c>
      <c r="S1902" s="75">
        <v>0</v>
      </c>
      <c r="T1902" s="75">
        <f>STOCK[[#This Row],[Costo Unitario (USD)]]+STOCK[[#This Row],[Costo Envío (USD)]]+STOCK[[#This Row],[Comisión 10%]]</f>
        <v>11</v>
      </c>
      <c r="U1902" s="53">
        <f>STOCK[[#This Row],[Costo total]]*1.5</f>
        <v>16.5</v>
      </c>
      <c r="V1902" s="53">
        <v>20</v>
      </c>
      <c r="W1902" s="75">
        <f>STOCK[[#This Row],[Precio Final]]-STOCK[[#This Row],[Costo total]]</f>
        <v>9</v>
      </c>
      <c r="X1902" s="75">
        <f>STOCK[[#This Row],[Ganancia Unitaria]]*STOCK[[#This Row],[Salidas]]</f>
        <v>0</v>
      </c>
      <c r="Y1902" s="75"/>
      <c r="Z1902" s="88"/>
      <c r="AA1902" s="54"/>
      <c r="AB1902" s="54"/>
      <c r="AC1902" s="75"/>
      <c r="AD1902" s="96"/>
    </row>
    <row r="1903" spans="1:30" s="53" customFormat="1" ht="50" customHeight="1">
      <c r="A1903" s="93" t="s">
        <v>3767</v>
      </c>
      <c r="B1903" s="83"/>
      <c r="C1903" s="53" t="s">
        <v>32</v>
      </c>
      <c r="D1903" s="84" t="s">
        <v>749</v>
      </c>
      <c r="E1903" s="95" t="s">
        <v>3768</v>
      </c>
      <c r="F1903" s="93" t="s">
        <v>49</v>
      </c>
      <c r="G1903" s="75"/>
      <c r="H1903" s="75">
        <f>STOCK[[#This Row],[Precio Final]]</f>
        <v>18</v>
      </c>
      <c r="I1903" s="80">
        <f>STOCK[[#This Row],[Precio Venta Ideal (x1.5)]]</f>
        <v>16.200000000000003</v>
      </c>
      <c r="J1903" s="93">
        <v>1</v>
      </c>
      <c r="K1903" s="78">
        <f>SUMIFS(VENTAS[Cantidad],VENTAS[Código del producto Vendido],STOCK[[#This Row],[Code]])</f>
        <v>0</v>
      </c>
      <c r="L1903" s="78">
        <f>STOCK[[#This Row],[Entradas]]-STOCK[[#This Row],[Salidas]]</f>
        <v>1</v>
      </c>
      <c r="M1903" s="75">
        <f>STOCK[[#This Row],[Precio Final]]*10%</f>
        <v>1.8</v>
      </c>
      <c r="N1903" s="54">
        <v>0</v>
      </c>
      <c r="O1903" s="75">
        <v>0</v>
      </c>
      <c r="P1903" s="75">
        <v>9</v>
      </c>
      <c r="Q1903" s="75">
        <v>0</v>
      </c>
      <c r="R1903" s="78">
        <v>0</v>
      </c>
      <c r="S1903" s="75">
        <v>0</v>
      </c>
      <c r="T1903" s="75">
        <f>STOCK[[#This Row],[Costo Unitario (USD)]]+STOCK[[#This Row],[Costo Envío (USD)]]+STOCK[[#This Row],[Comisión 10%]]</f>
        <v>10.8</v>
      </c>
      <c r="U1903" s="53">
        <f>STOCK[[#This Row],[Costo total]]*1.5</f>
        <v>16.200000000000003</v>
      </c>
      <c r="V1903" s="53">
        <v>18</v>
      </c>
      <c r="W1903" s="75">
        <f>STOCK[[#This Row],[Precio Final]]-STOCK[[#This Row],[Costo total]]</f>
        <v>7.1999999999999993</v>
      </c>
      <c r="X1903" s="75">
        <f>STOCK[[#This Row],[Ganancia Unitaria]]*STOCK[[#This Row],[Salidas]]</f>
        <v>0</v>
      </c>
      <c r="Y1903" s="75"/>
      <c r="Z1903" s="88"/>
      <c r="AA1903" s="54"/>
      <c r="AB1903" s="54"/>
      <c r="AC1903" s="75"/>
      <c r="AD1903" s="96"/>
    </row>
    <row r="1904" spans="1:30" s="53" customFormat="1" ht="50" customHeight="1">
      <c r="A1904" s="93" t="s">
        <v>3769</v>
      </c>
      <c r="B1904" s="83"/>
      <c r="C1904" s="53" t="s">
        <v>32</v>
      </c>
      <c r="D1904" s="84" t="s">
        <v>749</v>
      </c>
      <c r="E1904" s="95" t="s">
        <v>3770</v>
      </c>
      <c r="F1904" s="93" t="s">
        <v>62</v>
      </c>
      <c r="G1904" s="75"/>
      <c r="H1904" s="75">
        <f>STOCK[[#This Row],[Precio Final]]</f>
        <v>15</v>
      </c>
      <c r="I1904" s="80">
        <f>STOCK[[#This Row],[Precio Venta Ideal (x1.5)]]</f>
        <v>15.75</v>
      </c>
      <c r="J1904" s="93">
        <v>1</v>
      </c>
      <c r="K1904" s="78">
        <f>SUMIFS(VENTAS[Cantidad],VENTAS[Código del producto Vendido],STOCK[[#This Row],[Code]])</f>
        <v>0</v>
      </c>
      <c r="L1904" s="78">
        <f>STOCK[[#This Row],[Entradas]]-STOCK[[#This Row],[Salidas]]</f>
        <v>1</v>
      </c>
      <c r="M1904" s="75">
        <f>STOCK[[#This Row],[Precio Final]]*10%</f>
        <v>1.5</v>
      </c>
      <c r="N1904" s="54">
        <v>0</v>
      </c>
      <c r="O1904" s="75">
        <v>0</v>
      </c>
      <c r="P1904" s="75">
        <v>9</v>
      </c>
      <c r="Q1904" s="75">
        <v>0</v>
      </c>
      <c r="R1904" s="78">
        <v>0</v>
      </c>
      <c r="S1904" s="75">
        <v>0</v>
      </c>
      <c r="T1904" s="75">
        <f>STOCK[[#This Row],[Costo Unitario (USD)]]+STOCK[[#This Row],[Costo Envío (USD)]]+STOCK[[#This Row],[Comisión 10%]]</f>
        <v>10.5</v>
      </c>
      <c r="U1904" s="53">
        <f>STOCK[[#This Row],[Costo total]]*1.5</f>
        <v>15.75</v>
      </c>
      <c r="V1904" s="53">
        <v>15</v>
      </c>
      <c r="W1904" s="75">
        <f>STOCK[[#This Row],[Precio Final]]-STOCK[[#This Row],[Costo total]]</f>
        <v>4.5</v>
      </c>
      <c r="X1904" s="75">
        <f>STOCK[[#This Row],[Ganancia Unitaria]]*STOCK[[#This Row],[Salidas]]</f>
        <v>0</v>
      </c>
      <c r="Y1904" s="75"/>
      <c r="Z1904" s="88"/>
      <c r="AA1904" s="54"/>
      <c r="AB1904" s="54"/>
      <c r="AC1904" s="75"/>
      <c r="AD1904" s="96"/>
    </row>
    <row r="1905" spans="1:30" s="53" customFormat="1" ht="50" customHeight="1">
      <c r="A1905" s="93" t="s">
        <v>3771</v>
      </c>
      <c r="B1905" s="83"/>
      <c r="C1905" s="53" t="s">
        <v>32</v>
      </c>
      <c r="D1905" s="84" t="s">
        <v>749</v>
      </c>
      <c r="E1905" s="95" t="s">
        <v>3772</v>
      </c>
      <c r="F1905" s="93" t="s">
        <v>62</v>
      </c>
      <c r="G1905" s="75"/>
      <c r="H1905" s="75">
        <f>STOCK[[#This Row],[Precio Final]]</f>
        <v>28</v>
      </c>
      <c r="I1905" s="80">
        <f>STOCK[[#This Row],[Precio Venta Ideal (x1.5)]]</f>
        <v>17.700000000000003</v>
      </c>
      <c r="J1905" s="93">
        <v>1</v>
      </c>
      <c r="K1905" s="78">
        <f>SUMIFS(VENTAS[Cantidad],VENTAS[Código del producto Vendido],STOCK[[#This Row],[Code]])</f>
        <v>0</v>
      </c>
      <c r="L1905" s="78">
        <f>STOCK[[#This Row],[Entradas]]-STOCK[[#This Row],[Salidas]]</f>
        <v>1</v>
      </c>
      <c r="M1905" s="75">
        <f>STOCK[[#This Row],[Precio Final]]*10%</f>
        <v>2.8000000000000003</v>
      </c>
      <c r="N1905" s="54">
        <v>0</v>
      </c>
      <c r="O1905" s="75">
        <v>0</v>
      </c>
      <c r="P1905" s="75">
        <v>9</v>
      </c>
      <c r="Q1905" s="75">
        <v>0</v>
      </c>
      <c r="R1905" s="78">
        <v>0</v>
      </c>
      <c r="S1905" s="75">
        <v>0</v>
      </c>
      <c r="T1905" s="75">
        <f>STOCK[[#This Row],[Costo Unitario (USD)]]+STOCK[[#This Row],[Costo Envío (USD)]]+STOCK[[#This Row],[Comisión 10%]]</f>
        <v>11.8</v>
      </c>
      <c r="U1905" s="53">
        <f>STOCK[[#This Row],[Costo total]]*1.5</f>
        <v>17.700000000000003</v>
      </c>
      <c r="V1905" s="53">
        <v>28</v>
      </c>
      <c r="W1905" s="75">
        <f>STOCK[[#This Row],[Precio Final]]-STOCK[[#This Row],[Costo total]]</f>
        <v>16.2</v>
      </c>
      <c r="X1905" s="75">
        <f>STOCK[[#This Row],[Ganancia Unitaria]]*STOCK[[#This Row],[Salidas]]</f>
        <v>0</v>
      </c>
      <c r="Y1905" s="75"/>
      <c r="Z1905" s="88"/>
      <c r="AA1905" s="54"/>
      <c r="AB1905" s="54"/>
      <c r="AC1905" s="75"/>
      <c r="AD1905" s="96"/>
    </row>
    <row r="1906" spans="1:30" s="53" customFormat="1" ht="50" customHeight="1">
      <c r="A1906" s="93" t="s">
        <v>3773</v>
      </c>
      <c r="B1906" s="83"/>
      <c r="C1906" s="53" t="s">
        <v>32</v>
      </c>
      <c r="D1906" s="84" t="s">
        <v>749</v>
      </c>
      <c r="E1906" s="95" t="s">
        <v>3731</v>
      </c>
      <c r="F1906" s="93" t="s">
        <v>716</v>
      </c>
      <c r="G1906" s="75"/>
      <c r="H1906" s="75">
        <f>STOCK[[#This Row],[Precio Final]]</f>
        <v>35</v>
      </c>
      <c r="I1906" s="80">
        <f>STOCK[[#This Row],[Precio Venta Ideal (x1.5)]]</f>
        <v>18.75</v>
      </c>
      <c r="J1906" s="93">
        <v>1</v>
      </c>
      <c r="K1906" s="78">
        <f>SUMIFS(VENTAS[Cantidad],VENTAS[Código del producto Vendido],STOCK[[#This Row],[Code]])</f>
        <v>0</v>
      </c>
      <c r="L1906" s="78">
        <f>STOCK[[#This Row],[Entradas]]-STOCK[[#This Row],[Salidas]]</f>
        <v>1</v>
      </c>
      <c r="M1906" s="75">
        <f>STOCK[[#This Row],[Precio Final]]*10%</f>
        <v>3.5</v>
      </c>
      <c r="N1906" s="54">
        <v>0</v>
      </c>
      <c r="O1906" s="75">
        <v>0</v>
      </c>
      <c r="P1906" s="75">
        <v>9</v>
      </c>
      <c r="Q1906" s="75">
        <v>0</v>
      </c>
      <c r="R1906" s="78">
        <v>0</v>
      </c>
      <c r="S1906" s="75">
        <v>0</v>
      </c>
      <c r="T1906" s="75">
        <f>STOCK[[#This Row],[Costo Unitario (USD)]]+STOCK[[#This Row],[Costo Envío (USD)]]+STOCK[[#This Row],[Comisión 10%]]</f>
        <v>12.5</v>
      </c>
      <c r="U1906" s="53">
        <f>STOCK[[#This Row],[Costo total]]*1.5</f>
        <v>18.75</v>
      </c>
      <c r="V1906" s="53">
        <v>35</v>
      </c>
      <c r="W1906" s="75">
        <f>STOCK[[#This Row],[Precio Final]]-STOCK[[#This Row],[Costo total]]</f>
        <v>22.5</v>
      </c>
      <c r="X1906" s="75">
        <f>STOCK[[#This Row],[Ganancia Unitaria]]*STOCK[[#This Row],[Salidas]]</f>
        <v>0</v>
      </c>
      <c r="Y1906" s="75"/>
      <c r="Z1906" s="88"/>
      <c r="AA1906" s="54"/>
      <c r="AB1906" s="54"/>
      <c r="AC1906" s="75"/>
      <c r="AD1906" s="96"/>
    </row>
    <row r="1907" spans="1:30" s="53" customFormat="1" ht="50" customHeight="1">
      <c r="A1907" s="93" t="s">
        <v>3774</v>
      </c>
      <c r="B1907" s="83"/>
      <c r="C1907" s="53" t="s">
        <v>32</v>
      </c>
      <c r="D1907" s="84" t="s">
        <v>749</v>
      </c>
      <c r="E1907" s="95" t="s">
        <v>3775</v>
      </c>
      <c r="F1907" s="93" t="s">
        <v>49</v>
      </c>
      <c r="G1907" s="75"/>
      <c r="H1907" s="75">
        <f>STOCK[[#This Row],[Precio Final]]</f>
        <v>18</v>
      </c>
      <c r="I1907" s="80">
        <f>STOCK[[#This Row],[Precio Venta Ideal (x1.5)]]</f>
        <v>16.200000000000003</v>
      </c>
      <c r="J1907" s="93">
        <v>2</v>
      </c>
      <c r="K1907" s="78">
        <f>SUMIFS(VENTAS[Cantidad],VENTAS[Código del producto Vendido],STOCK[[#This Row],[Code]])</f>
        <v>0</v>
      </c>
      <c r="L1907" s="78">
        <f>STOCK[[#This Row],[Entradas]]-STOCK[[#This Row],[Salidas]]</f>
        <v>2</v>
      </c>
      <c r="M1907" s="75">
        <f>STOCK[[#This Row],[Precio Final]]*10%</f>
        <v>1.8</v>
      </c>
      <c r="N1907" s="54">
        <v>0</v>
      </c>
      <c r="O1907" s="75">
        <v>0</v>
      </c>
      <c r="P1907" s="75">
        <v>9</v>
      </c>
      <c r="Q1907" s="75">
        <v>0</v>
      </c>
      <c r="R1907" s="78">
        <v>0</v>
      </c>
      <c r="S1907" s="75">
        <v>0</v>
      </c>
      <c r="T1907" s="75">
        <f>STOCK[[#This Row],[Costo Unitario (USD)]]+STOCK[[#This Row],[Costo Envío (USD)]]+STOCK[[#This Row],[Comisión 10%]]</f>
        <v>10.8</v>
      </c>
      <c r="U1907" s="53">
        <f>STOCK[[#This Row],[Costo total]]*1.5</f>
        <v>16.200000000000003</v>
      </c>
      <c r="V1907" s="53">
        <v>18</v>
      </c>
      <c r="W1907" s="75">
        <f>STOCK[[#This Row],[Precio Final]]-STOCK[[#This Row],[Costo total]]</f>
        <v>7.1999999999999993</v>
      </c>
      <c r="X1907" s="75">
        <f>STOCK[[#This Row],[Ganancia Unitaria]]*STOCK[[#This Row],[Salidas]]</f>
        <v>0</v>
      </c>
      <c r="Y1907" s="75"/>
      <c r="Z1907" s="88"/>
      <c r="AA1907" s="54"/>
      <c r="AB1907" s="54"/>
      <c r="AC1907" s="75"/>
      <c r="AD1907" s="96"/>
    </row>
    <row r="1908" spans="1:30" s="53" customFormat="1" ht="50" customHeight="1">
      <c r="A1908" s="93" t="s">
        <v>3776</v>
      </c>
      <c r="B1908" s="83"/>
      <c r="C1908" s="53" t="s">
        <v>32</v>
      </c>
      <c r="D1908" s="84" t="s">
        <v>749</v>
      </c>
      <c r="E1908" s="95" t="s">
        <v>3777</v>
      </c>
      <c r="F1908" s="93" t="s">
        <v>42</v>
      </c>
      <c r="G1908" s="75"/>
      <c r="H1908" s="75">
        <f>STOCK[[#This Row],[Precio Final]]</f>
        <v>18</v>
      </c>
      <c r="I1908" s="80">
        <f>STOCK[[#This Row],[Precio Venta Ideal (x1.5)]]</f>
        <v>16.200000000000003</v>
      </c>
      <c r="J1908" s="93">
        <v>1</v>
      </c>
      <c r="K1908" s="78">
        <f>SUMIFS(VENTAS[Cantidad],VENTAS[Código del producto Vendido],STOCK[[#This Row],[Code]])</f>
        <v>0</v>
      </c>
      <c r="L1908" s="78">
        <f>STOCK[[#This Row],[Entradas]]-STOCK[[#This Row],[Salidas]]</f>
        <v>1</v>
      </c>
      <c r="M1908" s="75">
        <f>STOCK[[#This Row],[Precio Final]]*10%</f>
        <v>1.8</v>
      </c>
      <c r="N1908" s="54">
        <v>0</v>
      </c>
      <c r="O1908" s="75">
        <v>0</v>
      </c>
      <c r="P1908" s="75">
        <v>9</v>
      </c>
      <c r="Q1908" s="75">
        <v>0</v>
      </c>
      <c r="R1908" s="78">
        <v>0</v>
      </c>
      <c r="S1908" s="75">
        <v>0</v>
      </c>
      <c r="T1908" s="75">
        <f>STOCK[[#This Row],[Costo Unitario (USD)]]+STOCK[[#This Row],[Costo Envío (USD)]]+STOCK[[#This Row],[Comisión 10%]]</f>
        <v>10.8</v>
      </c>
      <c r="U1908" s="53">
        <f>STOCK[[#This Row],[Costo total]]*1.5</f>
        <v>16.200000000000003</v>
      </c>
      <c r="V1908" s="53">
        <v>18</v>
      </c>
      <c r="W1908" s="75">
        <f>STOCK[[#This Row],[Precio Final]]-STOCK[[#This Row],[Costo total]]</f>
        <v>7.1999999999999993</v>
      </c>
      <c r="X1908" s="75">
        <f>STOCK[[#This Row],[Ganancia Unitaria]]*STOCK[[#This Row],[Salidas]]</f>
        <v>0</v>
      </c>
      <c r="Y1908" s="75"/>
      <c r="Z1908" s="88"/>
      <c r="AA1908" s="54"/>
      <c r="AB1908" s="54"/>
      <c r="AC1908" s="75"/>
      <c r="AD1908" s="96"/>
    </row>
    <row r="1909" spans="1:30" s="53" customFormat="1" ht="50" customHeight="1">
      <c r="A1909" s="93" t="s">
        <v>3778</v>
      </c>
      <c r="B1909" s="83"/>
      <c r="C1909" s="53" t="s">
        <v>32</v>
      </c>
      <c r="D1909" s="84" t="s">
        <v>749</v>
      </c>
      <c r="E1909" s="95" t="s">
        <v>3779</v>
      </c>
      <c r="F1909" s="93" t="s">
        <v>1408</v>
      </c>
      <c r="G1909" s="75"/>
      <c r="H1909" s="75">
        <f>STOCK[[#This Row],[Precio Final]]</f>
        <v>18</v>
      </c>
      <c r="I1909" s="80">
        <f>STOCK[[#This Row],[Precio Venta Ideal (x1.5)]]</f>
        <v>16.200000000000003</v>
      </c>
      <c r="J1909" s="93">
        <v>1</v>
      </c>
      <c r="K1909" s="78">
        <f>SUMIFS(VENTAS[Cantidad],VENTAS[Código del producto Vendido],STOCK[[#This Row],[Code]])</f>
        <v>0</v>
      </c>
      <c r="L1909" s="78">
        <f>STOCK[[#This Row],[Entradas]]-STOCK[[#This Row],[Salidas]]</f>
        <v>1</v>
      </c>
      <c r="M1909" s="75">
        <f>STOCK[[#This Row],[Precio Final]]*10%</f>
        <v>1.8</v>
      </c>
      <c r="N1909" s="54">
        <v>0</v>
      </c>
      <c r="O1909" s="75">
        <v>0</v>
      </c>
      <c r="P1909" s="75">
        <v>9</v>
      </c>
      <c r="Q1909" s="75">
        <v>0</v>
      </c>
      <c r="R1909" s="78">
        <v>0</v>
      </c>
      <c r="S1909" s="75">
        <v>0</v>
      </c>
      <c r="T1909" s="75">
        <f>STOCK[[#This Row],[Costo Unitario (USD)]]+STOCK[[#This Row],[Costo Envío (USD)]]+STOCK[[#This Row],[Comisión 10%]]</f>
        <v>10.8</v>
      </c>
      <c r="U1909" s="53">
        <f>STOCK[[#This Row],[Costo total]]*1.5</f>
        <v>16.200000000000003</v>
      </c>
      <c r="V1909" s="53">
        <v>18</v>
      </c>
      <c r="W1909" s="75">
        <f>STOCK[[#This Row],[Precio Final]]-STOCK[[#This Row],[Costo total]]</f>
        <v>7.1999999999999993</v>
      </c>
      <c r="X1909" s="75">
        <f>STOCK[[#This Row],[Ganancia Unitaria]]*STOCK[[#This Row],[Salidas]]</f>
        <v>0</v>
      </c>
      <c r="Y1909" s="75"/>
      <c r="Z1909" s="88"/>
      <c r="AA1909" s="54"/>
      <c r="AB1909" s="54"/>
      <c r="AC1909" s="75"/>
      <c r="AD1909" s="96"/>
    </row>
    <row r="1910" spans="1:30" s="53" customFormat="1" ht="50" customHeight="1">
      <c r="A1910" s="93" t="s">
        <v>3780</v>
      </c>
      <c r="B1910" s="83"/>
      <c r="C1910" s="53" t="s">
        <v>32</v>
      </c>
      <c r="D1910" s="84" t="s">
        <v>779</v>
      </c>
      <c r="E1910" s="95" t="s">
        <v>3781</v>
      </c>
      <c r="F1910" s="93" t="s">
        <v>716</v>
      </c>
      <c r="G1910" s="75"/>
      <c r="H1910" s="75">
        <f>STOCK[[#This Row],[Precio Final]]</f>
        <v>20</v>
      </c>
      <c r="I1910" s="80">
        <f>STOCK[[#This Row],[Precio Venta Ideal (x1.5)]]</f>
        <v>16.5</v>
      </c>
      <c r="J1910" s="93">
        <v>1</v>
      </c>
      <c r="K1910" s="78">
        <f>SUMIFS(VENTAS[Cantidad],VENTAS[Código del producto Vendido],STOCK[[#This Row],[Code]])</f>
        <v>1</v>
      </c>
      <c r="L1910" s="78">
        <f>STOCK[[#This Row],[Entradas]]-STOCK[[#This Row],[Salidas]]</f>
        <v>0</v>
      </c>
      <c r="M1910" s="75">
        <f>STOCK[[#This Row],[Precio Final]]*10%</f>
        <v>2</v>
      </c>
      <c r="N1910" s="54">
        <v>0</v>
      </c>
      <c r="O1910" s="75">
        <v>0</v>
      </c>
      <c r="P1910" s="75">
        <v>9</v>
      </c>
      <c r="Q1910" s="75">
        <v>0</v>
      </c>
      <c r="R1910" s="78">
        <v>0</v>
      </c>
      <c r="S1910" s="75">
        <v>0</v>
      </c>
      <c r="T1910" s="75">
        <f>STOCK[[#This Row],[Costo Unitario (USD)]]+STOCK[[#This Row],[Costo Envío (USD)]]+STOCK[[#This Row],[Comisión 10%]]</f>
        <v>11</v>
      </c>
      <c r="U1910" s="53">
        <f>STOCK[[#This Row],[Costo total]]*1.5</f>
        <v>16.5</v>
      </c>
      <c r="V1910" s="53">
        <v>20</v>
      </c>
      <c r="W1910" s="75">
        <f>STOCK[[#This Row],[Precio Final]]-STOCK[[#This Row],[Costo total]]</f>
        <v>9</v>
      </c>
      <c r="X1910" s="75">
        <f>STOCK[[#This Row],[Ganancia Unitaria]]*STOCK[[#This Row],[Salidas]]</f>
        <v>9</v>
      </c>
      <c r="Y1910" s="75"/>
      <c r="Z1910" s="88"/>
      <c r="AA1910" s="54"/>
      <c r="AB1910" s="54"/>
      <c r="AC1910" s="75"/>
      <c r="AD1910" s="96"/>
    </row>
    <row r="1911" spans="1:30" s="53" customFormat="1" ht="50" customHeight="1">
      <c r="A1911" s="93" t="s">
        <v>3782</v>
      </c>
      <c r="B1911" s="83"/>
      <c r="C1911" s="53" t="s">
        <v>32</v>
      </c>
      <c r="D1911" s="84" t="s">
        <v>749</v>
      </c>
      <c r="E1911" s="95" t="s">
        <v>3783</v>
      </c>
      <c r="F1911" s="93" t="s">
        <v>62</v>
      </c>
      <c r="G1911" s="75"/>
      <c r="H1911" s="75">
        <f>STOCK[[#This Row],[Precio Final]]</f>
        <v>18</v>
      </c>
      <c r="I1911" s="80">
        <f>STOCK[[#This Row],[Precio Venta Ideal (x1.5)]]</f>
        <v>16.200000000000003</v>
      </c>
      <c r="J1911" s="93">
        <v>1</v>
      </c>
      <c r="K1911" s="78">
        <f>SUMIFS(VENTAS[Cantidad],VENTAS[Código del producto Vendido],STOCK[[#This Row],[Code]])</f>
        <v>0</v>
      </c>
      <c r="L1911" s="78">
        <f>STOCK[[#This Row],[Entradas]]-STOCK[[#This Row],[Salidas]]</f>
        <v>1</v>
      </c>
      <c r="M1911" s="75">
        <f>STOCK[[#This Row],[Precio Final]]*10%</f>
        <v>1.8</v>
      </c>
      <c r="N1911" s="54">
        <v>0</v>
      </c>
      <c r="O1911" s="75">
        <v>0</v>
      </c>
      <c r="P1911" s="75">
        <v>9</v>
      </c>
      <c r="Q1911" s="75">
        <v>0</v>
      </c>
      <c r="R1911" s="78">
        <v>0</v>
      </c>
      <c r="S1911" s="75">
        <v>0</v>
      </c>
      <c r="T1911" s="75">
        <f>STOCK[[#This Row],[Costo Unitario (USD)]]+STOCK[[#This Row],[Costo Envío (USD)]]+STOCK[[#This Row],[Comisión 10%]]</f>
        <v>10.8</v>
      </c>
      <c r="U1911" s="53">
        <f>STOCK[[#This Row],[Costo total]]*1.5</f>
        <v>16.200000000000003</v>
      </c>
      <c r="V1911" s="53">
        <v>18</v>
      </c>
      <c r="W1911" s="75">
        <f>STOCK[[#This Row],[Precio Final]]-STOCK[[#This Row],[Costo total]]</f>
        <v>7.1999999999999993</v>
      </c>
      <c r="X1911" s="75">
        <f>STOCK[[#This Row],[Ganancia Unitaria]]*STOCK[[#This Row],[Salidas]]</f>
        <v>0</v>
      </c>
      <c r="Y1911" s="75"/>
      <c r="Z1911" s="88"/>
      <c r="AA1911" s="54"/>
      <c r="AB1911" s="54"/>
      <c r="AC1911" s="75"/>
      <c r="AD1911" s="96"/>
    </row>
    <row r="1912" spans="1:30" s="53" customFormat="1" ht="50" customHeight="1">
      <c r="A1912" s="93" t="s">
        <v>3784</v>
      </c>
      <c r="B1912" s="83"/>
      <c r="C1912" s="53" t="s">
        <v>32</v>
      </c>
      <c r="D1912" s="84" t="s">
        <v>1388</v>
      </c>
      <c r="E1912" s="95" t="s">
        <v>3785</v>
      </c>
      <c r="F1912" s="93" t="s">
        <v>1046</v>
      </c>
      <c r="G1912" s="75"/>
      <c r="H1912" s="75">
        <f>STOCK[[#This Row],[Precio Final]]</f>
        <v>30</v>
      </c>
      <c r="I1912" s="80">
        <f>STOCK[[#This Row],[Precio Venta Ideal (x1.5)]]</f>
        <v>18</v>
      </c>
      <c r="J1912" s="93">
        <v>1</v>
      </c>
      <c r="K1912" s="78">
        <f>SUMIFS(VENTAS[Cantidad],VENTAS[Código del producto Vendido],STOCK[[#This Row],[Code]])</f>
        <v>0</v>
      </c>
      <c r="L1912" s="78">
        <f>STOCK[[#This Row],[Entradas]]-STOCK[[#This Row],[Salidas]]</f>
        <v>1</v>
      </c>
      <c r="M1912" s="75">
        <f>STOCK[[#This Row],[Precio Final]]*10%</f>
        <v>3</v>
      </c>
      <c r="N1912" s="54">
        <v>0</v>
      </c>
      <c r="O1912" s="75">
        <v>0</v>
      </c>
      <c r="P1912" s="75">
        <v>9</v>
      </c>
      <c r="Q1912" s="75">
        <v>0</v>
      </c>
      <c r="R1912" s="78">
        <v>0</v>
      </c>
      <c r="S1912" s="75">
        <v>0</v>
      </c>
      <c r="T1912" s="75">
        <f>STOCK[[#This Row],[Costo Unitario (USD)]]+STOCK[[#This Row],[Costo Envío (USD)]]+STOCK[[#This Row],[Comisión 10%]]</f>
        <v>12</v>
      </c>
      <c r="U1912" s="53">
        <f>STOCK[[#This Row],[Costo total]]*1.5</f>
        <v>18</v>
      </c>
      <c r="V1912" s="53">
        <v>30</v>
      </c>
      <c r="W1912" s="75">
        <f>STOCK[[#This Row],[Precio Final]]-STOCK[[#This Row],[Costo total]]</f>
        <v>18</v>
      </c>
      <c r="X1912" s="75">
        <f>STOCK[[#This Row],[Ganancia Unitaria]]*STOCK[[#This Row],[Salidas]]</f>
        <v>0</v>
      </c>
      <c r="Y1912" s="75"/>
      <c r="Z1912" s="88"/>
      <c r="AA1912" s="54"/>
      <c r="AB1912" s="54"/>
      <c r="AC1912" s="75"/>
      <c r="AD1912" s="96"/>
    </row>
    <row r="1913" spans="1:30" s="53" customFormat="1" ht="50" customHeight="1">
      <c r="A1913" s="93" t="s">
        <v>3786</v>
      </c>
      <c r="B1913" s="83"/>
      <c r="C1913" s="53" t="s">
        <v>32</v>
      </c>
      <c r="D1913" s="84" t="s">
        <v>779</v>
      </c>
      <c r="E1913" s="95" t="s">
        <v>3787</v>
      </c>
      <c r="F1913" s="93" t="s">
        <v>1408</v>
      </c>
      <c r="G1913" s="75"/>
      <c r="H1913" s="75">
        <f>STOCK[[#This Row],[Precio Final]]</f>
        <v>15</v>
      </c>
      <c r="I1913" s="80">
        <f>STOCK[[#This Row],[Precio Venta Ideal (x1.5)]]</f>
        <v>15.75</v>
      </c>
      <c r="J1913" s="93">
        <v>1</v>
      </c>
      <c r="K1913" s="78">
        <f>SUMIFS(VENTAS[Cantidad],VENTAS[Código del producto Vendido],STOCK[[#This Row],[Code]])</f>
        <v>0</v>
      </c>
      <c r="L1913" s="78">
        <f>STOCK[[#This Row],[Entradas]]-STOCK[[#This Row],[Salidas]]</f>
        <v>1</v>
      </c>
      <c r="M1913" s="75">
        <f>STOCK[[#This Row],[Precio Final]]*10%</f>
        <v>1.5</v>
      </c>
      <c r="N1913" s="54">
        <v>0</v>
      </c>
      <c r="O1913" s="75">
        <v>0</v>
      </c>
      <c r="P1913" s="75">
        <v>9</v>
      </c>
      <c r="Q1913" s="75">
        <v>0</v>
      </c>
      <c r="R1913" s="78">
        <v>0</v>
      </c>
      <c r="S1913" s="75">
        <v>0</v>
      </c>
      <c r="T1913" s="75">
        <f>STOCK[[#This Row],[Costo Unitario (USD)]]+STOCK[[#This Row],[Costo Envío (USD)]]+STOCK[[#This Row],[Comisión 10%]]</f>
        <v>10.5</v>
      </c>
      <c r="U1913" s="53">
        <f>STOCK[[#This Row],[Costo total]]*1.5</f>
        <v>15.75</v>
      </c>
      <c r="V1913" s="53">
        <v>15</v>
      </c>
      <c r="W1913" s="75">
        <f>STOCK[[#This Row],[Precio Final]]-STOCK[[#This Row],[Costo total]]</f>
        <v>4.5</v>
      </c>
      <c r="X1913" s="75">
        <f>STOCK[[#This Row],[Ganancia Unitaria]]*STOCK[[#This Row],[Salidas]]</f>
        <v>0</v>
      </c>
      <c r="Y1913" s="75"/>
      <c r="Z1913" s="88"/>
      <c r="AA1913" s="54"/>
      <c r="AB1913" s="54"/>
      <c r="AC1913" s="75"/>
      <c r="AD1913" s="96"/>
    </row>
    <row r="1914" spans="1:30" s="53" customFormat="1" ht="50" customHeight="1">
      <c r="A1914" s="93" t="s">
        <v>3788</v>
      </c>
      <c r="B1914" s="83"/>
      <c r="C1914" s="53" t="s">
        <v>32</v>
      </c>
      <c r="D1914" s="84" t="s">
        <v>749</v>
      </c>
      <c r="E1914" s="95" t="s">
        <v>3779</v>
      </c>
      <c r="F1914" s="93" t="s">
        <v>42</v>
      </c>
      <c r="G1914" s="75"/>
      <c r="H1914" s="75">
        <f>STOCK[[#This Row],[Precio Final]]</f>
        <v>18</v>
      </c>
      <c r="I1914" s="80">
        <f>STOCK[[#This Row],[Precio Venta Ideal (x1.5)]]</f>
        <v>16.200000000000003</v>
      </c>
      <c r="J1914" s="93">
        <v>1</v>
      </c>
      <c r="K1914" s="78">
        <f>SUMIFS(VENTAS[Cantidad],VENTAS[Código del producto Vendido],STOCK[[#This Row],[Code]])</f>
        <v>0</v>
      </c>
      <c r="L1914" s="78">
        <f>STOCK[[#This Row],[Entradas]]-STOCK[[#This Row],[Salidas]]</f>
        <v>1</v>
      </c>
      <c r="M1914" s="75">
        <f>STOCK[[#This Row],[Precio Final]]*10%</f>
        <v>1.8</v>
      </c>
      <c r="N1914" s="54">
        <v>0</v>
      </c>
      <c r="O1914" s="75">
        <v>0</v>
      </c>
      <c r="P1914" s="75">
        <v>9</v>
      </c>
      <c r="Q1914" s="75">
        <v>0</v>
      </c>
      <c r="R1914" s="78">
        <v>0</v>
      </c>
      <c r="S1914" s="75">
        <v>0</v>
      </c>
      <c r="T1914" s="75">
        <f>STOCK[[#This Row],[Costo Unitario (USD)]]+STOCK[[#This Row],[Costo Envío (USD)]]+STOCK[[#This Row],[Comisión 10%]]</f>
        <v>10.8</v>
      </c>
      <c r="U1914" s="53">
        <f>STOCK[[#This Row],[Costo total]]*1.5</f>
        <v>16.200000000000003</v>
      </c>
      <c r="V1914" s="53">
        <v>18</v>
      </c>
      <c r="W1914" s="75">
        <f>STOCK[[#This Row],[Precio Final]]-STOCK[[#This Row],[Costo total]]</f>
        <v>7.1999999999999993</v>
      </c>
      <c r="X1914" s="75">
        <f>STOCK[[#This Row],[Ganancia Unitaria]]*STOCK[[#This Row],[Salidas]]</f>
        <v>0</v>
      </c>
      <c r="Y1914" s="75"/>
      <c r="Z1914" s="88"/>
      <c r="AA1914" s="54"/>
      <c r="AB1914" s="54"/>
      <c r="AC1914" s="75"/>
      <c r="AD1914" s="96"/>
    </row>
    <row r="1915" spans="1:30" s="53" customFormat="1" ht="50" customHeight="1">
      <c r="A1915" s="93" t="s">
        <v>3789</v>
      </c>
      <c r="B1915" s="83"/>
      <c r="C1915" s="53" t="s">
        <v>32</v>
      </c>
      <c r="D1915" s="84" t="s">
        <v>749</v>
      </c>
      <c r="E1915" s="95" t="s">
        <v>3790</v>
      </c>
      <c r="F1915" s="93" t="s">
        <v>1408</v>
      </c>
      <c r="G1915" s="75"/>
      <c r="H1915" s="75">
        <f>STOCK[[#This Row],[Precio Final]]</f>
        <v>18</v>
      </c>
      <c r="I1915" s="80">
        <f>STOCK[[#This Row],[Precio Venta Ideal (x1.5)]]</f>
        <v>16.200000000000003</v>
      </c>
      <c r="J1915" s="93">
        <v>1</v>
      </c>
      <c r="K1915" s="78">
        <f>SUMIFS(VENTAS[Cantidad],VENTAS[Código del producto Vendido],STOCK[[#This Row],[Code]])</f>
        <v>0</v>
      </c>
      <c r="L1915" s="78">
        <f>STOCK[[#This Row],[Entradas]]-STOCK[[#This Row],[Salidas]]</f>
        <v>1</v>
      </c>
      <c r="M1915" s="75">
        <f>STOCK[[#This Row],[Precio Final]]*10%</f>
        <v>1.8</v>
      </c>
      <c r="N1915" s="54">
        <v>0</v>
      </c>
      <c r="O1915" s="75">
        <v>0</v>
      </c>
      <c r="P1915" s="75">
        <v>9</v>
      </c>
      <c r="Q1915" s="75">
        <v>0</v>
      </c>
      <c r="R1915" s="78">
        <v>0</v>
      </c>
      <c r="S1915" s="75">
        <v>0</v>
      </c>
      <c r="T1915" s="75">
        <f>STOCK[[#This Row],[Costo Unitario (USD)]]+STOCK[[#This Row],[Costo Envío (USD)]]+STOCK[[#This Row],[Comisión 10%]]</f>
        <v>10.8</v>
      </c>
      <c r="U1915" s="53">
        <f>STOCK[[#This Row],[Costo total]]*1.5</f>
        <v>16.200000000000003</v>
      </c>
      <c r="V1915" s="53">
        <v>18</v>
      </c>
      <c r="W1915" s="75">
        <f>STOCK[[#This Row],[Precio Final]]-STOCK[[#This Row],[Costo total]]</f>
        <v>7.1999999999999993</v>
      </c>
      <c r="X1915" s="75">
        <f>STOCK[[#This Row],[Ganancia Unitaria]]*STOCK[[#This Row],[Salidas]]</f>
        <v>0</v>
      </c>
      <c r="Y1915" s="75"/>
      <c r="Z1915" s="88"/>
      <c r="AA1915" s="54"/>
      <c r="AB1915" s="54"/>
      <c r="AC1915" s="75"/>
      <c r="AD1915" s="96"/>
    </row>
    <row r="1916" spans="1:30" s="53" customFormat="1" ht="50" customHeight="1">
      <c r="A1916" s="93" t="s">
        <v>3791</v>
      </c>
      <c r="B1916" s="83"/>
      <c r="C1916" s="53" t="s">
        <v>32</v>
      </c>
      <c r="D1916" s="84" t="s">
        <v>749</v>
      </c>
      <c r="E1916" s="95" t="s">
        <v>3792</v>
      </c>
      <c r="F1916" s="93" t="s">
        <v>62</v>
      </c>
      <c r="G1916" s="75"/>
      <c r="H1916" s="75">
        <f>STOCK[[#This Row],[Precio Final]]</f>
        <v>18</v>
      </c>
      <c r="I1916" s="80">
        <f>STOCK[[#This Row],[Precio Venta Ideal (x1.5)]]</f>
        <v>16.200000000000003</v>
      </c>
      <c r="J1916" s="93">
        <v>1</v>
      </c>
      <c r="K1916" s="78">
        <f>SUMIFS(VENTAS[Cantidad],VENTAS[Código del producto Vendido],STOCK[[#This Row],[Code]])</f>
        <v>0</v>
      </c>
      <c r="L1916" s="78">
        <f>STOCK[[#This Row],[Entradas]]-STOCK[[#This Row],[Salidas]]</f>
        <v>1</v>
      </c>
      <c r="M1916" s="75">
        <f>STOCK[[#This Row],[Precio Final]]*10%</f>
        <v>1.8</v>
      </c>
      <c r="N1916" s="54">
        <v>0</v>
      </c>
      <c r="O1916" s="75">
        <v>0</v>
      </c>
      <c r="P1916" s="75">
        <v>9</v>
      </c>
      <c r="Q1916" s="75">
        <v>0</v>
      </c>
      <c r="R1916" s="78">
        <v>0</v>
      </c>
      <c r="S1916" s="75">
        <v>0</v>
      </c>
      <c r="T1916" s="75">
        <f>STOCK[[#This Row],[Costo Unitario (USD)]]+STOCK[[#This Row],[Costo Envío (USD)]]+STOCK[[#This Row],[Comisión 10%]]</f>
        <v>10.8</v>
      </c>
      <c r="U1916" s="53">
        <f>STOCK[[#This Row],[Costo total]]*1.5</f>
        <v>16.200000000000003</v>
      </c>
      <c r="V1916" s="53">
        <v>18</v>
      </c>
      <c r="W1916" s="75">
        <f>STOCK[[#This Row],[Precio Final]]-STOCK[[#This Row],[Costo total]]</f>
        <v>7.1999999999999993</v>
      </c>
      <c r="X1916" s="75">
        <f>STOCK[[#This Row],[Ganancia Unitaria]]*STOCK[[#This Row],[Salidas]]</f>
        <v>0</v>
      </c>
      <c r="Y1916" s="75"/>
      <c r="Z1916" s="88"/>
      <c r="AA1916" s="54"/>
      <c r="AB1916" s="54"/>
      <c r="AC1916" s="75"/>
      <c r="AD1916" s="96"/>
    </row>
    <row r="1917" spans="1:30" s="53" customFormat="1" ht="50" customHeight="1">
      <c r="A1917" s="93" t="s">
        <v>3793</v>
      </c>
      <c r="B1917" s="83"/>
      <c r="C1917" s="53" t="s">
        <v>32</v>
      </c>
      <c r="D1917" s="84" t="s">
        <v>749</v>
      </c>
      <c r="E1917" s="95" t="s">
        <v>3663</v>
      </c>
      <c r="F1917" s="93" t="s">
        <v>42</v>
      </c>
      <c r="G1917" s="75"/>
      <c r="H1917" s="75">
        <f>STOCK[[#This Row],[Precio Final]]</f>
        <v>18</v>
      </c>
      <c r="I1917" s="80">
        <f>STOCK[[#This Row],[Precio Venta Ideal (x1.5)]]</f>
        <v>16.200000000000003</v>
      </c>
      <c r="J1917" s="93">
        <v>1</v>
      </c>
      <c r="K1917" s="78">
        <f>SUMIFS(VENTAS[Cantidad],VENTAS[Código del producto Vendido],STOCK[[#This Row],[Code]])</f>
        <v>0</v>
      </c>
      <c r="L1917" s="78">
        <f>STOCK[[#This Row],[Entradas]]-STOCK[[#This Row],[Salidas]]</f>
        <v>1</v>
      </c>
      <c r="M1917" s="75">
        <f>STOCK[[#This Row],[Precio Final]]*10%</f>
        <v>1.8</v>
      </c>
      <c r="N1917" s="54">
        <v>0</v>
      </c>
      <c r="O1917" s="75">
        <v>0</v>
      </c>
      <c r="P1917" s="75">
        <v>9</v>
      </c>
      <c r="Q1917" s="75">
        <v>0</v>
      </c>
      <c r="R1917" s="78">
        <v>0</v>
      </c>
      <c r="S1917" s="75">
        <v>0</v>
      </c>
      <c r="T1917" s="75">
        <f>STOCK[[#This Row],[Costo Unitario (USD)]]+STOCK[[#This Row],[Costo Envío (USD)]]+STOCK[[#This Row],[Comisión 10%]]</f>
        <v>10.8</v>
      </c>
      <c r="U1917" s="53">
        <f>STOCK[[#This Row],[Costo total]]*1.5</f>
        <v>16.200000000000003</v>
      </c>
      <c r="V1917" s="53">
        <v>18</v>
      </c>
      <c r="W1917" s="75">
        <f>STOCK[[#This Row],[Precio Final]]-STOCK[[#This Row],[Costo total]]</f>
        <v>7.1999999999999993</v>
      </c>
      <c r="X1917" s="75">
        <f>STOCK[[#This Row],[Ganancia Unitaria]]*STOCK[[#This Row],[Salidas]]</f>
        <v>0</v>
      </c>
      <c r="Y1917" s="75"/>
      <c r="Z1917" s="88"/>
      <c r="AA1917" s="54"/>
      <c r="AB1917" s="54"/>
      <c r="AC1917" s="75"/>
      <c r="AD1917" s="96"/>
    </row>
    <row r="1918" spans="1:30" s="53" customFormat="1" ht="50" customHeight="1">
      <c r="A1918" s="93" t="s">
        <v>3794</v>
      </c>
      <c r="B1918" s="83"/>
      <c r="C1918" s="53" t="s">
        <v>32</v>
      </c>
      <c r="D1918" s="84" t="s">
        <v>749</v>
      </c>
      <c r="E1918" s="95" t="s">
        <v>3795</v>
      </c>
      <c r="F1918" s="93" t="s">
        <v>1046</v>
      </c>
      <c r="G1918" s="75"/>
      <c r="H1918" s="75">
        <f>STOCK[[#This Row],[Precio Final]]</f>
        <v>15</v>
      </c>
      <c r="I1918" s="80">
        <f>STOCK[[#This Row],[Precio Venta Ideal (x1.5)]]</f>
        <v>15.75</v>
      </c>
      <c r="J1918" s="93">
        <v>1</v>
      </c>
      <c r="K1918" s="78">
        <f>SUMIFS(VENTAS[Cantidad],VENTAS[Código del producto Vendido],STOCK[[#This Row],[Code]])</f>
        <v>0</v>
      </c>
      <c r="L1918" s="78">
        <f>STOCK[[#This Row],[Entradas]]-STOCK[[#This Row],[Salidas]]</f>
        <v>1</v>
      </c>
      <c r="M1918" s="75">
        <f>STOCK[[#This Row],[Precio Final]]*10%</f>
        <v>1.5</v>
      </c>
      <c r="N1918" s="54">
        <v>0</v>
      </c>
      <c r="O1918" s="75">
        <v>0</v>
      </c>
      <c r="P1918" s="75">
        <v>9</v>
      </c>
      <c r="Q1918" s="75">
        <v>0</v>
      </c>
      <c r="R1918" s="78">
        <v>0</v>
      </c>
      <c r="S1918" s="75">
        <v>0</v>
      </c>
      <c r="T1918" s="75">
        <f>STOCK[[#This Row],[Costo Unitario (USD)]]+STOCK[[#This Row],[Costo Envío (USD)]]+STOCK[[#This Row],[Comisión 10%]]</f>
        <v>10.5</v>
      </c>
      <c r="U1918" s="53">
        <f>STOCK[[#This Row],[Costo total]]*1.5</f>
        <v>15.75</v>
      </c>
      <c r="V1918" s="53">
        <v>15</v>
      </c>
      <c r="W1918" s="75">
        <f>STOCK[[#This Row],[Precio Final]]-STOCK[[#This Row],[Costo total]]</f>
        <v>4.5</v>
      </c>
      <c r="X1918" s="75">
        <f>STOCK[[#This Row],[Ganancia Unitaria]]*STOCK[[#This Row],[Salidas]]</f>
        <v>0</v>
      </c>
      <c r="Y1918" s="75"/>
      <c r="Z1918" s="88"/>
      <c r="AA1918" s="54"/>
      <c r="AB1918" s="54"/>
      <c r="AC1918" s="75"/>
      <c r="AD1918" s="96"/>
    </row>
    <row r="1919" spans="1:30" s="53" customFormat="1" ht="50" customHeight="1">
      <c r="A1919" s="93" t="s">
        <v>3796</v>
      </c>
      <c r="B1919" s="83"/>
      <c r="C1919" s="53" t="s">
        <v>32</v>
      </c>
      <c r="D1919" s="84" t="s">
        <v>749</v>
      </c>
      <c r="E1919" s="95" t="s">
        <v>3797</v>
      </c>
      <c r="F1919" s="93" t="s">
        <v>40</v>
      </c>
      <c r="G1919" s="75"/>
      <c r="H1919" s="75">
        <f>STOCK[[#This Row],[Precio Final]]</f>
        <v>15</v>
      </c>
      <c r="I1919" s="80">
        <f>STOCK[[#This Row],[Precio Venta Ideal (x1.5)]]</f>
        <v>15.75</v>
      </c>
      <c r="J1919" s="93">
        <v>1</v>
      </c>
      <c r="K1919" s="78">
        <f>SUMIFS(VENTAS[Cantidad],VENTAS[Código del producto Vendido],STOCK[[#This Row],[Code]])</f>
        <v>0</v>
      </c>
      <c r="L1919" s="78">
        <f>STOCK[[#This Row],[Entradas]]-STOCK[[#This Row],[Salidas]]</f>
        <v>1</v>
      </c>
      <c r="M1919" s="75">
        <f>STOCK[[#This Row],[Precio Final]]*10%</f>
        <v>1.5</v>
      </c>
      <c r="N1919" s="54">
        <v>0</v>
      </c>
      <c r="O1919" s="75">
        <v>0</v>
      </c>
      <c r="P1919" s="75">
        <v>9</v>
      </c>
      <c r="Q1919" s="75">
        <v>0</v>
      </c>
      <c r="R1919" s="78">
        <v>0</v>
      </c>
      <c r="S1919" s="75">
        <v>0</v>
      </c>
      <c r="T1919" s="75">
        <f>STOCK[[#This Row],[Costo Unitario (USD)]]+STOCK[[#This Row],[Costo Envío (USD)]]+STOCK[[#This Row],[Comisión 10%]]</f>
        <v>10.5</v>
      </c>
      <c r="U1919" s="53">
        <f>STOCK[[#This Row],[Costo total]]*1.5</f>
        <v>15.75</v>
      </c>
      <c r="V1919" s="53">
        <v>15</v>
      </c>
      <c r="W1919" s="75">
        <f>STOCK[[#This Row],[Precio Final]]-STOCK[[#This Row],[Costo total]]</f>
        <v>4.5</v>
      </c>
      <c r="X1919" s="75">
        <f>STOCK[[#This Row],[Ganancia Unitaria]]*STOCK[[#This Row],[Salidas]]</f>
        <v>0</v>
      </c>
      <c r="Y1919" s="75"/>
      <c r="Z1919" s="88"/>
      <c r="AA1919" s="54"/>
      <c r="AB1919" s="54"/>
      <c r="AC1919" s="75"/>
      <c r="AD1919" s="96"/>
    </row>
    <row r="1920" spans="1:30" s="53" customFormat="1" ht="50" customHeight="1">
      <c r="A1920" s="93" t="s">
        <v>3798</v>
      </c>
      <c r="B1920" s="83"/>
      <c r="C1920" s="53" t="s">
        <v>32</v>
      </c>
      <c r="D1920" s="84" t="s">
        <v>749</v>
      </c>
      <c r="E1920" s="95" t="s">
        <v>3799</v>
      </c>
      <c r="F1920" s="93" t="s">
        <v>1408</v>
      </c>
      <c r="G1920" s="75"/>
      <c r="H1920" s="75">
        <f>STOCK[[#This Row],[Precio Final]]</f>
        <v>30</v>
      </c>
      <c r="I1920" s="80">
        <f>STOCK[[#This Row],[Precio Venta Ideal (x1.5)]]</f>
        <v>18</v>
      </c>
      <c r="J1920" s="93">
        <v>3</v>
      </c>
      <c r="K1920" s="78">
        <f>SUMIFS(VENTAS[Cantidad],VENTAS[Código del producto Vendido],STOCK[[#This Row],[Code]])</f>
        <v>2</v>
      </c>
      <c r="L1920" s="78">
        <f>STOCK[[#This Row],[Entradas]]-STOCK[[#This Row],[Salidas]]</f>
        <v>1</v>
      </c>
      <c r="M1920" s="75">
        <f>STOCK[[#This Row],[Precio Final]]*10%</f>
        <v>3</v>
      </c>
      <c r="N1920" s="54">
        <v>0</v>
      </c>
      <c r="O1920" s="75">
        <v>0</v>
      </c>
      <c r="P1920" s="75">
        <v>9</v>
      </c>
      <c r="Q1920" s="75">
        <v>0</v>
      </c>
      <c r="R1920" s="78">
        <v>0</v>
      </c>
      <c r="S1920" s="75">
        <v>0</v>
      </c>
      <c r="T1920" s="75">
        <f>STOCK[[#This Row],[Costo Unitario (USD)]]+STOCK[[#This Row],[Costo Envío (USD)]]+STOCK[[#This Row],[Comisión 10%]]</f>
        <v>12</v>
      </c>
      <c r="U1920" s="53">
        <f>STOCK[[#This Row],[Costo total]]*1.5</f>
        <v>18</v>
      </c>
      <c r="V1920" s="53">
        <v>30</v>
      </c>
      <c r="W1920" s="75">
        <f>STOCK[[#This Row],[Precio Final]]-STOCK[[#This Row],[Costo total]]</f>
        <v>18</v>
      </c>
      <c r="X1920" s="75">
        <f>STOCK[[#This Row],[Ganancia Unitaria]]*STOCK[[#This Row],[Salidas]]</f>
        <v>36</v>
      </c>
      <c r="Y1920" s="75"/>
      <c r="Z1920" s="88"/>
      <c r="AA1920" s="54"/>
      <c r="AB1920" s="54"/>
      <c r="AC1920" s="75"/>
      <c r="AD1920" s="96"/>
    </row>
    <row r="1921" spans="1:30" s="53" customFormat="1" ht="50" customHeight="1">
      <c r="A1921" s="93" t="s">
        <v>3800</v>
      </c>
      <c r="B1921" s="83"/>
      <c r="C1921" s="53" t="s">
        <v>32</v>
      </c>
      <c r="D1921" s="84"/>
      <c r="E1921" s="95" t="s">
        <v>3741</v>
      </c>
      <c r="F1921" s="93" t="s">
        <v>3753</v>
      </c>
      <c r="G1921" s="75"/>
      <c r="H1921" s="75">
        <f>STOCK[[#This Row],[Precio Final]]</f>
        <v>30</v>
      </c>
      <c r="I1921" s="80">
        <f>STOCK[[#This Row],[Precio Venta Ideal (x1.5)]]</f>
        <v>18</v>
      </c>
      <c r="J1921" s="93">
        <v>1</v>
      </c>
      <c r="K1921" s="78">
        <f>SUMIFS(VENTAS[Cantidad],VENTAS[Código del producto Vendido],STOCK[[#This Row],[Code]])</f>
        <v>0</v>
      </c>
      <c r="L1921" s="78">
        <f>STOCK[[#This Row],[Entradas]]-STOCK[[#This Row],[Salidas]]</f>
        <v>1</v>
      </c>
      <c r="M1921" s="75">
        <f>STOCK[[#This Row],[Precio Final]]*10%</f>
        <v>3</v>
      </c>
      <c r="N1921" s="54">
        <v>0</v>
      </c>
      <c r="O1921" s="75">
        <v>0</v>
      </c>
      <c r="P1921" s="75">
        <v>9</v>
      </c>
      <c r="Q1921" s="75">
        <v>0</v>
      </c>
      <c r="R1921" s="78">
        <v>0</v>
      </c>
      <c r="S1921" s="75">
        <v>0</v>
      </c>
      <c r="T1921" s="75">
        <f>STOCK[[#This Row],[Costo Unitario (USD)]]+STOCK[[#This Row],[Costo Envío (USD)]]+STOCK[[#This Row],[Comisión 10%]]</f>
        <v>12</v>
      </c>
      <c r="U1921" s="53">
        <f>STOCK[[#This Row],[Costo total]]*1.5</f>
        <v>18</v>
      </c>
      <c r="V1921" s="53">
        <v>30</v>
      </c>
      <c r="W1921" s="75">
        <f>STOCK[[#This Row],[Precio Final]]-STOCK[[#This Row],[Costo total]]</f>
        <v>18</v>
      </c>
      <c r="X1921" s="75">
        <f>STOCK[[#This Row],[Ganancia Unitaria]]*STOCK[[#This Row],[Salidas]]</f>
        <v>0</v>
      </c>
      <c r="Y1921" s="75"/>
      <c r="Z1921" s="88"/>
      <c r="AA1921" s="54"/>
      <c r="AB1921" s="54"/>
      <c r="AC1921" s="75"/>
      <c r="AD1921" s="96"/>
    </row>
    <row r="1922" spans="1:30" s="53" customFormat="1" ht="50" customHeight="1">
      <c r="A1922" s="93" t="s">
        <v>3801</v>
      </c>
      <c r="B1922" s="83"/>
      <c r="C1922" s="53" t="s">
        <v>32</v>
      </c>
      <c r="D1922" s="84" t="s">
        <v>2640</v>
      </c>
      <c r="E1922" s="95" t="s">
        <v>3802</v>
      </c>
      <c r="F1922" s="93" t="s">
        <v>62</v>
      </c>
      <c r="G1922" s="75"/>
      <c r="H1922" s="75">
        <f>STOCK[[#This Row],[Precio Final]]</f>
        <v>30</v>
      </c>
      <c r="I1922" s="80">
        <f>STOCK[[#This Row],[Precio Venta Ideal (x1.5)]]</f>
        <v>18</v>
      </c>
      <c r="J1922" s="93">
        <v>1</v>
      </c>
      <c r="K1922" s="78">
        <f>SUMIFS(VENTAS[Cantidad],VENTAS[Código del producto Vendido],STOCK[[#This Row],[Code]])</f>
        <v>0</v>
      </c>
      <c r="L1922" s="78">
        <f>STOCK[[#This Row],[Entradas]]-STOCK[[#This Row],[Salidas]]</f>
        <v>1</v>
      </c>
      <c r="M1922" s="75">
        <f>STOCK[[#This Row],[Precio Final]]*10%</f>
        <v>3</v>
      </c>
      <c r="N1922" s="54">
        <v>0</v>
      </c>
      <c r="O1922" s="75">
        <v>0</v>
      </c>
      <c r="P1922" s="75">
        <v>9</v>
      </c>
      <c r="Q1922" s="75">
        <v>0</v>
      </c>
      <c r="R1922" s="78">
        <v>0</v>
      </c>
      <c r="S1922" s="75">
        <v>0</v>
      </c>
      <c r="T1922" s="75">
        <f>STOCK[[#This Row],[Costo Unitario (USD)]]+STOCK[[#This Row],[Costo Envío (USD)]]+STOCK[[#This Row],[Comisión 10%]]</f>
        <v>12</v>
      </c>
      <c r="U1922" s="53">
        <f>STOCK[[#This Row],[Costo total]]*1.5</f>
        <v>18</v>
      </c>
      <c r="V1922" s="53">
        <v>30</v>
      </c>
      <c r="W1922" s="75">
        <f>STOCK[[#This Row],[Precio Final]]-STOCK[[#This Row],[Costo total]]</f>
        <v>18</v>
      </c>
      <c r="X1922" s="75">
        <f>STOCK[[#This Row],[Ganancia Unitaria]]*STOCK[[#This Row],[Salidas]]</f>
        <v>0</v>
      </c>
      <c r="Y1922" s="75"/>
      <c r="Z1922" s="88"/>
      <c r="AA1922" s="54"/>
      <c r="AB1922" s="54"/>
      <c r="AC1922" s="75"/>
      <c r="AD1922" s="96"/>
    </row>
    <row r="1923" spans="1:30" s="53" customFormat="1" ht="50" customHeight="1">
      <c r="A1923" s="93" t="s">
        <v>3803</v>
      </c>
      <c r="B1923" s="83"/>
      <c r="C1923" s="53" t="s">
        <v>32</v>
      </c>
      <c r="D1923" s="84" t="s">
        <v>2640</v>
      </c>
      <c r="E1923" s="95" t="s">
        <v>3804</v>
      </c>
      <c r="F1923" s="93" t="s">
        <v>62</v>
      </c>
      <c r="G1923" s="75"/>
      <c r="H1923" s="75">
        <f>STOCK[[#This Row],[Precio Final]]</f>
        <v>20</v>
      </c>
      <c r="I1923" s="80">
        <f>STOCK[[#This Row],[Precio Venta Ideal (x1.5)]]</f>
        <v>16.5</v>
      </c>
      <c r="J1923" s="93">
        <v>1</v>
      </c>
      <c r="K1923" s="78">
        <f>SUMIFS(VENTAS[Cantidad],VENTAS[Código del producto Vendido],STOCK[[#This Row],[Code]])</f>
        <v>0</v>
      </c>
      <c r="L1923" s="78">
        <f>STOCK[[#This Row],[Entradas]]-STOCK[[#This Row],[Salidas]]</f>
        <v>1</v>
      </c>
      <c r="M1923" s="75">
        <f>STOCK[[#This Row],[Precio Final]]*10%</f>
        <v>2</v>
      </c>
      <c r="N1923" s="54">
        <v>0</v>
      </c>
      <c r="O1923" s="75">
        <v>0</v>
      </c>
      <c r="P1923" s="75">
        <v>9</v>
      </c>
      <c r="Q1923" s="75">
        <v>0</v>
      </c>
      <c r="R1923" s="78">
        <v>0</v>
      </c>
      <c r="S1923" s="75">
        <v>0</v>
      </c>
      <c r="T1923" s="75">
        <f>STOCK[[#This Row],[Costo Unitario (USD)]]+STOCK[[#This Row],[Costo Envío (USD)]]+STOCK[[#This Row],[Comisión 10%]]</f>
        <v>11</v>
      </c>
      <c r="U1923" s="53">
        <f>STOCK[[#This Row],[Costo total]]*1.5</f>
        <v>16.5</v>
      </c>
      <c r="V1923" s="53">
        <v>20</v>
      </c>
      <c r="W1923" s="75">
        <f>STOCK[[#This Row],[Precio Final]]-STOCK[[#This Row],[Costo total]]</f>
        <v>9</v>
      </c>
      <c r="X1923" s="75">
        <f>STOCK[[#This Row],[Ganancia Unitaria]]*STOCK[[#This Row],[Salidas]]</f>
        <v>0</v>
      </c>
      <c r="Y1923" s="75"/>
      <c r="Z1923" s="88"/>
      <c r="AA1923" s="54"/>
      <c r="AB1923" s="54"/>
      <c r="AC1923" s="75"/>
      <c r="AD1923" s="96"/>
    </row>
    <row r="1924" spans="1:30" s="53" customFormat="1" ht="50" customHeight="1">
      <c r="A1924" s="93" t="s">
        <v>3805</v>
      </c>
      <c r="B1924" s="83"/>
      <c r="C1924" s="53" t="s">
        <v>32</v>
      </c>
      <c r="D1924" s="84" t="s">
        <v>749</v>
      </c>
      <c r="E1924" s="95" t="s">
        <v>3806</v>
      </c>
      <c r="F1924" s="93" t="s">
        <v>46</v>
      </c>
      <c r="G1924" s="75"/>
      <c r="H1924" s="75">
        <f>STOCK[[#This Row],[Precio Final]]</f>
        <v>35</v>
      </c>
      <c r="I1924" s="80">
        <f>STOCK[[#This Row],[Precio Venta Ideal (x1.5)]]</f>
        <v>18.75</v>
      </c>
      <c r="J1924" s="93">
        <v>1</v>
      </c>
      <c r="K1924" s="78">
        <f>SUMIFS(VENTAS[Cantidad],VENTAS[Código del producto Vendido],STOCK[[#This Row],[Code]])</f>
        <v>0</v>
      </c>
      <c r="L1924" s="78">
        <f>STOCK[[#This Row],[Entradas]]-STOCK[[#This Row],[Salidas]]</f>
        <v>1</v>
      </c>
      <c r="M1924" s="75">
        <f>STOCK[[#This Row],[Precio Final]]*10%</f>
        <v>3.5</v>
      </c>
      <c r="N1924" s="54">
        <v>0</v>
      </c>
      <c r="O1924" s="75">
        <v>0</v>
      </c>
      <c r="P1924" s="75">
        <v>9</v>
      </c>
      <c r="Q1924" s="75">
        <v>0</v>
      </c>
      <c r="R1924" s="78">
        <v>0</v>
      </c>
      <c r="S1924" s="75">
        <v>0</v>
      </c>
      <c r="T1924" s="75">
        <f>STOCK[[#This Row],[Costo Unitario (USD)]]+STOCK[[#This Row],[Costo Envío (USD)]]+STOCK[[#This Row],[Comisión 10%]]</f>
        <v>12.5</v>
      </c>
      <c r="U1924" s="53">
        <f>STOCK[[#This Row],[Costo total]]*1.5</f>
        <v>18.75</v>
      </c>
      <c r="V1924" s="53">
        <v>35</v>
      </c>
      <c r="W1924" s="75">
        <f>STOCK[[#This Row],[Precio Final]]-STOCK[[#This Row],[Costo total]]</f>
        <v>22.5</v>
      </c>
      <c r="X1924" s="75">
        <f>STOCK[[#This Row],[Ganancia Unitaria]]*STOCK[[#This Row],[Salidas]]</f>
        <v>0</v>
      </c>
      <c r="Y1924" s="75"/>
      <c r="Z1924" s="88"/>
      <c r="AA1924" s="54"/>
      <c r="AB1924" s="54"/>
      <c r="AC1924" s="75"/>
      <c r="AD1924" s="96"/>
    </row>
    <row r="1925" spans="1:30" s="53" customFormat="1" ht="50" customHeight="1">
      <c r="A1925" s="93" t="s">
        <v>3807</v>
      </c>
      <c r="B1925" s="83"/>
      <c r="C1925" s="53" t="s">
        <v>32</v>
      </c>
      <c r="D1925" s="84" t="s">
        <v>749</v>
      </c>
      <c r="E1925" s="95" t="s">
        <v>3808</v>
      </c>
      <c r="F1925" s="93" t="s">
        <v>42</v>
      </c>
      <c r="G1925" s="75"/>
      <c r="H1925" s="75">
        <f>STOCK[[#This Row],[Precio Final]]</f>
        <v>35</v>
      </c>
      <c r="I1925" s="80">
        <f>STOCK[[#This Row],[Precio Venta Ideal (x1.5)]]</f>
        <v>18.75</v>
      </c>
      <c r="J1925" s="93">
        <v>1</v>
      </c>
      <c r="K1925" s="78">
        <f>SUMIFS(VENTAS[Cantidad],VENTAS[Código del producto Vendido],STOCK[[#This Row],[Code]])</f>
        <v>0</v>
      </c>
      <c r="L1925" s="78">
        <f>STOCK[[#This Row],[Entradas]]-STOCK[[#This Row],[Salidas]]</f>
        <v>1</v>
      </c>
      <c r="M1925" s="75">
        <f>STOCK[[#This Row],[Precio Final]]*10%</f>
        <v>3.5</v>
      </c>
      <c r="N1925" s="54">
        <v>0</v>
      </c>
      <c r="O1925" s="75">
        <v>0</v>
      </c>
      <c r="P1925" s="75">
        <v>9</v>
      </c>
      <c r="Q1925" s="75">
        <v>0</v>
      </c>
      <c r="R1925" s="78">
        <v>0</v>
      </c>
      <c r="S1925" s="75">
        <v>0</v>
      </c>
      <c r="T1925" s="75">
        <f>STOCK[[#This Row],[Costo Unitario (USD)]]+STOCK[[#This Row],[Costo Envío (USD)]]+STOCK[[#This Row],[Comisión 10%]]</f>
        <v>12.5</v>
      </c>
      <c r="U1925" s="53">
        <f>STOCK[[#This Row],[Costo total]]*1.5</f>
        <v>18.75</v>
      </c>
      <c r="V1925" s="53">
        <v>35</v>
      </c>
      <c r="W1925" s="75">
        <f>STOCK[[#This Row],[Precio Final]]-STOCK[[#This Row],[Costo total]]</f>
        <v>22.5</v>
      </c>
      <c r="X1925" s="75">
        <f>STOCK[[#This Row],[Ganancia Unitaria]]*STOCK[[#This Row],[Salidas]]</f>
        <v>0</v>
      </c>
      <c r="Y1925" s="75"/>
      <c r="Z1925" s="88"/>
      <c r="AA1925" s="54"/>
      <c r="AB1925" s="54"/>
      <c r="AC1925" s="75"/>
      <c r="AD1925" s="96"/>
    </row>
    <row r="1926" spans="1:30" s="53" customFormat="1" ht="50" customHeight="1">
      <c r="A1926" s="93" t="s">
        <v>3809</v>
      </c>
      <c r="B1926" s="83"/>
      <c r="C1926" s="53" t="s">
        <v>32</v>
      </c>
      <c r="D1926" s="84" t="s">
        <v>749</v>
      </c>
      <c r="E1926" s="95" t="s">
        <v>3810</v>
      </c>
      <c r="F1926" s="93" t="s">
        <v>46</v>
      </c>
      <c r="G1926" s="75"/>
      <c r="H1926" s="75">
        <f>STOCK[[#This Row],[Precio Final]]</f>
        <v>35</v>
      </c>
      <c r="I1926" s="80">
        <f>STOCK[[#This Row],[Precio Venta Ideal (x1.5)]]</f>
        <v>18.75</v>
      </c>
      <c r="J1926" s="93">
        <v>1</v>
      </c>
      <c r="K1926" s="78">
        <f>SUMIFS(VENTAS[Cantidad],VENTAS[Código del producto Vendido],STOCK[[#This Row],[Code]])</f>
        <v>0</v>
      </c>
      <c r="L1926" s="78">
        <f>STOCK[[#This Row],[Entradas]]-STOCK[[#This Row],[Salidas]]</f>
        <v>1</v>
      </c>
      <c r="M1926" s="75">
        <f>STOCK[[#This Row],[Precio Final]]*10%</f>
        <v>3.5</v>
      </c>
      <c r="N1926" s="54">
        <v>0</v>
      </c>
      <c r="O1926" s="75">
        <v>0</v>
      </c>
      <c r="P1926" s="75">
        <v>9</v>
      </c>
      <c r="Q1926" s="75">
        <v>0</v>
      </c>
      <c r="R1926" s="78">
        <v>0</v>
      </c>
      <c r="S1926" s="75">
        <v>0</v>
      </c>
      <c r="T1926" s="75">
        <f>STOCK[[#This Row],[Costo Unitario (USD)]]+STOCK[[#This Row],[Costo Envío (USD)]]+STOCK[[#This Row],[Comisión 10%]]</f>
        <v>12.5</v>
      </c>
      <c r="U1926" s="53">
        <f>STOCK[[#This Row],[Costo total]]*1.5</f>
        <v>18.75</v>
      </c>
      <c r="V1926" s="53">
        <v>35</v>
      </c>
      <c r="W1926" s="75">
        <f>STOCK[[#This Row],[Precio Final]]-STOCK[[#This Row],[Costo total]]</f>
        <v>22.5</v>
      </c>
      <c r="X1926" s="75">
        <f>STOCK[[#This Row],[Ganancia Unitaria]]*STOCK[[#This Row],[Salidas]]</f>
        <v>0</v>
      </c>
      <c r="Y1926" s="75"/>
      <c r="Z1926" s="88"/>
      <c r="AA1926" s="54"/>
      <c r="AB1926" s="54"/>
      <c r="AC1926" s="75"/>
      <c r="AD1926" s="96"/>
    </row>
    <row r="1927" spans="1:30" s="53" customFormat="1" ht="50" customHeight="1">
      <c r="A1927" s="93" t="s">
        <v>3811</v>
      </c>
      <c r="B1927" s="83"/>
      <c r="C1927" s="53" t="s">
        <v>32</v>
      </c>
      <c r="D1927" s="84" t="s">
        <v>749</v>
      </c>
      <c r="E1927" s="95" t="s">
        <v>3812</v>
      </c>
      <c r="F1927" s="93" t="s">
        <v>46</v>
      </c>
      <c r="G1927" s="75"/>
      <c r="H1927" s="75">
        <f>STOCK[[#This Row],[Precio Final]]</f>
        <v>35</v>
      </c>
      <c r="I1927" s="80">
        <f>STOCK[[#This Row],[Precio Venta Ideal (x1.5)]]</f>
        <v>18.75</v>
      </c>
      <c r="J1927" s="93">
        <v>1</v>
      </c>
      <c r="K1927" s="78">
        <f>SUMIFS(VENTAS[Cantidad],VENTAS[Código del producto Vendido],STOCK[[#This Row],[Code]])</f>
        <v>0</v>
      </c>
      <c r="L1927" s="78">
        <f>STOCK[[#This Row],[Entradas]]-STOCK[[#This Row],[Salidas]]</f>
        <v>1</v>
      </c>
      <c r="M1927" s="75">
        <f>STOCK[[#This Row],[Precio Final]]*10%</f>
        <v>3.5</v>
      </c>
      <c r="N1927" s="54">
        <v>0</v>
      </c>
      <c r="O1927" s="75">
        <v>0</v>
      </c>
      <c r="P1927" s="75">
        <v>9</v>
      </c>
      <c r="Q1927" s="75">
        <v>0</v>
      </c>
      <c r="R1927" s="78">
        <v>0</v>
      </c>
      <c r="S1927" s="75">
        <v>0</v>
      </c>
      <c r="T1927" s="75">
        <f>STOCK[[#This Row],[Costo Unitario (USD)]]+STOCK[[#This Row],[Costo Envío (USD)]]+STOCK[[#This Row],[Comisión 10%]]</f>
        <v>12.5</v>
      </c>
      <c r="U1927" s="53">
        <f>STOCK[[#This Row],[Costo total]]*1.5</f>
        <v>18.75</v>
      </c>
      <c r="V1927" s="53">
        <v>35</v>
      </c>
      <c r="W1927" s="75">
        <f>STOCK[[#This Row],[Precio Final]]-STOCK[[#This Row],[Costo total]]</f>
        <v>22.5</v>
      </c>
      <c r="X1927" s="75">
        <f>STOCK[[#This Row],[Ganancia Unitaria]]*STOCK[[#This Row],[Salidas]]</f>
        <v>0</v>
      </c>
      <c r="Y1927" s="75"/>
      <c r="Z1927" s="88"/>
      <c r="AA1927" s="54"/>
      <c r="AB1927" s="54"/>
      <c r="AC1927" s="75"/>
      <c r="AD1927" s="96"/>
    </row>
    <row r="1928" spans="1:30" s="53" customFormat="1" ht="50" customHeight="1">
      <c r="A1928" s="93" t="s">
        <v>3813</v>
      </c>
      <c r="B1928" s="83"/>
      <c r="C1928" s="53" t="s">
        <v>32</v>
      </c>
      <c r="D1928" s="84" t="s">
        <v>749</v>
      </c>
      <c r="E1928" s="95" t="s">
        <v>3814</v>
      </c>
      <c r="F1928" s="93" t="s">
        <v>46</v>
      </c>
      <c r="G1928" s="75"/>
      <c r="H1928" s="75">
        <f>STOCK[[#This Row],[Precio Final]]</f>
        <v>35</v>
      </c>
      <c r="I1928" s="80">
        <f>STOCK[[#This Row],[Precio Venta Ideal (x1.5)]]</f>
        <v>18.75</v>
      </c>
      <c r="J1928" s="93">
        <v>1</v>
      </c>
      <c r="K1928" s="78">
        <f>SUMIFS(VENTAS[Cantidad],VENTAS[Código del producto Vendido],STOCK[[#This Row],[Code]])</f>
        <v>0</v>
      </c>
      <c r="L1928" s="78">
        <f>STOCK[[#This Row],[Entradas]]-STOCK[[#This Row],[Salidas]]</f>
        <v>1</v>
      </c>
      <c r="M1928" s="75">
        <f>STOCK[[#This Row],[Precio Final]]*10%</f>
        <v>3.5</v>
      </c>
      <c r="N1928" s="54">
        <v>0</v>
      </c>
      <c r="O1928" s="75">
        <v>0</v>
      </c>
      <c r="P1928" s="75">
        <v>9</v>
      </c>
      <c r="Q1928" s="75">
        <v>0</v>
      </c>
      <c r="R1928" s="78">
        <v>0</v>
      </c>
      <c r="S1928" s="75">
        <v>0</v>
      </c>
      <c r="T1928" s="75">
        <f>STOCK[[#This Row],[Costo Unitario (USD)]]+STOCK[[#This Row],[Costo Envío (USD)]]+STOCK[[#This Row],[Comisión 10%]]</f>
        <v>12.5</v>
      </c>
      <c r="U1928" s="53">
        <f>STOCK[[#This Row],[Costo total]]*1.5</f>
        <v>18.75</v>
      </c>
      <c r="V1928" s="53">
        <v>35</v>
      </c>
      <c r="W1928" s="75">
        <f>STOCK[[#This Row],[Precio Final]]-STOCK[[#This Row],[Costo total]]</f>
        <v>22.5</v>
      </c>
      <c r="X1928" s="75">
        <f>STOCK[[#This Row],[Ganancia Unitaria]]*STOCK[[#This Row],[Salidas]]</f>
        <v>0</v>
      </c>
      <c r="Y1928" s="75"/>
      <c r="Z1928" s="88"/>
      <c r="AA1928" s="54"/>
      <c r="AB1928" s="54"/>
      <c r="AC1928" s="75"/>
      <c r="AD1928" s="96"/>
    </row>
    <row r="1929" spans="1:30" s="53" customFormat="1" ht="50" customHeight="1">
      <c r="A1929" s="93" t="s">
        <v>3815</v>
      </c>
      <c r="B1929" s="83"/>
      <c r="C1929" s="53" t="s">
        <v>32</v>
      </c>
      <c r="D1929" s="84" t="s">
        <v>749</v>
      </c>
      <c r="E1929" s="95" t="s">
        <v>3816</v>
      </c>
      <c r="F1929" s="93" t="s">
        <v>46</v>
      </c>
      <c r="G1929" s="75"/>
      <c r="H1929" s="75">
        <f>STOCK[[#This Row],[Precio Final]]</f>
        <v>35</v>
      </c>
      <c r="I1929" s="80">
        <f>STOCK[[#This Row],[Precio Venta Ideal (x1.5)]]</f>
        <v>18.75</v>
      </c>
      <c r="J1929" s="93">
        <v>1</v>
      </c>
      <c r="K1929" s="78">
        <f>SUMIFS(VENTAS[Cantidad],VENTAS[Código del producto Vendido],STOCK[[#This Row],[Code]])</f>
        <v>0</v>
      </c>
      <c r="L1929" s="78">
        <f>STOCK[[#This Row],[Entradas]]-STOCK[[#This Row],[Salidas]]</f>
        <v>1</v>
      </c>
      <c r="M1929" s="75">
        <f>STOCK[[#This Row],[Precio Final]]*10%</f>
        <v>3.5</v>
      </c>
      <c r="N1929" s="54">
        <v>0</v>
      </c>
      <c r="O1929" s="75">
        <v>0</v>
      </c>
      <c r="P1929" s="75">
        <v>9</v>
      </c>
      <c r="Q1929" s="75">
        <v>0</v>
      </c>
      <c r="R1929" s="78">
        <v>0</v>
      </c>
      <c r="S1929" s="75">
        <v>0</v>
      </c>
      <c r="T1929" s="75">
        <f>STOCK[[#This Row],[Costo Unitario (USD)]]+STOCK[[#This Row],[Costo Envío (USD)]]+STOCK[[#This Row],[Comisión 10%]]</f>
        <v>12.5</v>
      </c>
      <c r="U1929" s="53">
        <f>STOCK[[#This Row],[Costo total]]*1.5</f>
        <v>18.75</v>
      </c>
      <c r="V1929" s="53">
        <v>35</v>
      </c>
      <c r="W1929" s="75">
        <f>STOCK[[#This Row],[Precio Final]]-STOCK[[#This Row],[Costo total]]</f>
        <v>22.5</v>
      </c>
      <c r="X1929" s="75">
        <f>STOCK[[#This Row],[Ganancia Unitaria]]*STOCK[[#This Row],[Salidas]]</f>
        <v>0</v>
      </c>
      <c r="Y1929" s="75"/>
      <c r="Z1929" s="88"/>
      <c r="AA1929" s="54"/>
      <c r="AB1929" s="54"/>
      <c r="AC1929" s="75"/>
      <c r="AD1929" s="96"/>
    </row>
    <row r="1930" spans="1:30" s="53" customFormat="1" ht="50" customHeight="1">
      <c r="A1930" s="93" t="s">
        <v>3817</v>
      </c>
      <c r="B1930" s="83"/>
      <c r="C1930" s="53" t="s">
        <v>32</v>
      </c>
      <c r="D1930" s="84" t="s">
        <v>1212</v>
      </c>
      <c r="E1930" s="98" t="s">
        <v>3818</v>
      </c>
      <c r="F1930" s="99" t="s">
        <v>40</v>
      </c>
      <c r="G1930" s="75"/>
      <c r="H1930" s="75">
        <f>STOCK[[#This Row],[Precio Final]]</f>
        <v>30</v>
      </c>
      <c r="I1930" s="80">
        <f>STOCK[[#This Row],[Precio Venta Ideal (x1.5)]]</f>
        <v>27.945000000000004</v>
      </c>
      <c r="J1930" s="105">
        <v>3</v>
      </c>
      <c r="K1930" s="78">
        <f>SUMIFS(VENTAS[Cantidad],VENTAS[Código del producto Vendido],STOCK[[#This Row],[Code]])</f>
        <v>0</v>
      </c>
      <c r="L1930" s="78">
        <f>STOCK[[#This Row],[Entradas]]-STOCK[[#This Row],[Salidas]]</f>
        <v>3</v>
      </c>
      <c r="M1930" s="75">
        <f>STOCK[[#This Row],[Precio Final]]*10%</f>
        <v>3</v>
      </c>
      <c r="N1930" s="54">
        <v>0</v>
      </c>
      <c r="O1930" s="75">
        <v>0</v>
      </c>
      <c r="P1930" s="107">
        <v>10.63</v>
      </c>
      <c r="Q1930" s="75">
        <v>0</v>
      </c>
      <c r="R1930" s="78">
        <v>0</v>
      </c>
      <c r="S1930" s="111">
        <v>5</v>
      </c>
      <c r="T1930" s="75">
        <f>STOCK[[#This Row],[Costo Unitario (USD)]]+STOCK[[#This Row],[Costo Envío (USD)]]+STOCK[[#This Row],[Comisión 10%]]</f>
        <v>18.630000000000003</v>
      </c>
      <c r="U1930" s="53">
        <f>STOCK[[#This Row],[Costo total]]*1.5</f>
        <v>27.945000000000004</v>
      </c>
      <c r="V1930" s="53">
        <v>30</v>
      </c>
      <c r="W1930" s="75">
        <f>STOCK[[#This Row],[Precio Final]]-STOCK[[#This Row],[Costo total]]</f>
        <v>11.369999999999997</v>
      </c>
      <c r="X1930" s="75">
        <f>STOCK[[#This Row],[Ganancia Unitaria]]*STOCK[[#This Row],[Salidas]]</f>
        <v>0</v>
      </c>
      <c r="Y1930" s="75"/>
      <c r="Z1930" s="88"/>
      <c r="AA1930" s="54"/>
      <c r="AB1930" s="54"/>
      <c r="AC1930" s="75"/>
      <c r="AD1930" s="96"/>
    </row>
    <row r="1931" spans="1:30" s="53" customFormat="1" ht="50" customHeight="1">
      <c r="A1931" s="93" t="s">
        <v>3819</v>
      </c>
      <c r="B1931" s="83"/>
      <c r="C1931" s="53" t="s">
        <v>32</v>
      </c>
      <c r="D1931" s="84" t="s">
        <v>1212</v>
      </c>
      <c r="E1931" s="98" t="s">
        <v>3818</v>
      </c>
      <c r="F1931" s="99" t="s">
        <v>62</v>
      </c>
      <c r="G1931" s="75"/>
      <c r="H1931" s="75">
        <f>STOCK[[#This Row],[Precio Final]]</f>
        <v>30</v>
      </c>
      <c r="I1931" s="80">
        <f>STOCK[[#This Row],[Precio Venta Ideal (x1.5)]]</f>
        <v>27.945000000000004</v>
      </c>
      <c r="J1931" s="105">
        <v>4</v>
      </c>
      <c r="K1931" s="78">
        <f>SUMIFS(VENTAS[Cantidad],VENTAS[Código del producto Vendido],STOCK[[#This Row],[Code]])</f>
        <v>0</v>
      </c>
      <c r="L1931" s="78">
        <f>STOCK[[#This Row],[Entradas]]-STOCK[[#This Row],[Salidas]]</f>
        <v>4</v>
      </c>
      <c r="M1931" s="75">
        <f>STOCK[[#This Row],[Precio Final]]*10%</f>
        <v>3</v>
      </c>
      <c r="N1931" s="54">
        <v>0</v>
      </c>
      <c r="O1931" s="75">
        <v>0</v>
      </c>
      <c r="P1931" s="107">
        <v>10.63</v>
      </c>
      <c r="Q1931" s="75">
        <v>0</v>
      </c>
      <c r="R1931" s="78">
        <v>0</v>
      </c>
      <c r="S1931" s="112">
        <v>5</v>
      </c>
      <c r="T1931" s="75">
        <f>STOCK[[#This Row],[Costo Unitario (USD)]]+STOCK[[#This Row],[Costo Envío (USD)]]+STOCK[[#This Row],[Comisión 10%]]</f>
        <v>18.630000000000003</v>
      </c>
      <c r="U1931" s="53">
        <f>STOCK[[#This Row],[Costo total]]*1.5</f>
        <v>27.945000000000004</v>
      </c>
      <c r="V1931" s="53">
        <v>30</v>
      </c>
      <c r="W1931" s="75">
        <f>STOCK[[#This Row],[Precio Final]]-STOCK[[#This Row],[Costo total]]</f>
        <v>11.369999999999997</v>
      </c>
      <c r="X1931" s="75">
        <f>STOCK[[#This Row],[Ganancia Unitaria]]*STOCK[[#This Row],[Salidas]]</f>
        <v>0</v>
      </c>
      <c r="Y1931" s="75"/>
      <c r="Z1931" s="88"/>
      <c r="AA1931" s="54"/>
      <c r="AB1931" s="54"/>
      <c r="AC1931" s="75"/>
      <c r="AD1931" s="96"/>
    </row>
    <row r="1932" spans="1:30" s="53" customFormat="1" ht="50" customHeight="1">
      <c r="A1932" s="93" t="s">
        <v>3820</v>
      </c>
      <c r="B1932" s="83"/>
      <c r="C1932" s="53" t="s">
        <v>32</v>
      </c>
      <c r="D1932" s="84" t="s">
        <v>1212</v>
      </c>
      <c r="E1932" s="98" t="s">
        <v>3818</v>
      </c>
      <c r="F1932" s="99" t="s">
        <v>49</v>
      </c>
      <c r="G1932" s="75"/>
      <c r="H1932" s="75">
        <f>STOCK[[#This Row],[Precio Final]]</f>
        <v>30</v>
      </c>
      <c r="I1932" s="80">
        <f>STOCK[[#This Row],[Precio Venta Ideal (x1.5)]]</f>
        <v>27.945000000000004</v>
      </c>
      <c r="J1932" s="105">
        <v>4</v>
      </c>
      <c r="K1932" s="78">
        <f>SUMIFS(VENTAS[Cantidad],VENTAS[Código del producto Vendido],STOCK[[#This Row],[Code]])</f>
        <v>1</v>
      </c>
      <c r="L1932" s="78">
        <f>STOCK[[#This Row],[Entradas]]-STOCK[[#This Row],[Salidas]]</f>
        <v>3</v>
      </c>
      <c r="M1932" s="75">
        <f>STOCK[[#This Row],[Precio Final]]*10%</f>
        <v>3</v>
      </c>
      <c r="N1932" s="54">
        <v>0</v>
      </c>
      <c r="O1932" s="75">
        <v>0</v>
      </c>
      <c r="P1932" s="107">
        <v>10.63</v>
      </c>
      <c r="Q1932" s="75">
        <v>0</v>
      </c>
      <c r="R1932" s="78">
        <v>0</v>
      </c>
      <c r="S1932" s="111">
        <v>5</v>
      </c>
      <c r="T1932" s="75">
        <f>STOCK[[#This Row],[Costo Unitario (USD)]]+STOCK[[#This Row],[Costo Envío (USD)]]+STOCK[[#This Row],[Comisión 10%]]</f>
        <v>18.630000000000003</v>
      </c>
      <c r="U1932" s="53">
        <f>STOCK[[#This Row],[Costo total]]*1.5</f>
        <v>27.945000000000004</v>
      </c>
      <c r="V1932" s="53">
        <v>30</v>
      </c>
      <c r="W1932" s="75">
        <f>STOCK[[#This Row],[Precio Final]]-STOCK[[#This Row],[Costo total]]</f>
        <v>11.369999999999997</v>
      </c>
      <c r="X1932" s="75">
        <f>STOCK[[#This Row],[Ganancia Unitaria]]*STOCK[[#This Row],[Salidas]]</f>
        <v>11.369999999999997</v>
      </c>
      <c r="Y1932" s="75"/>
      <c r="Z1932" s="88"/>
      <c r="AA1932" s="54"/>
      <c r="AB1932" s="54"/>
      <c r="AC1932" s="75"/>
      <c r="AD1932" s="96"/>
    </row>
    <row r="1933" spans="1:30" s="53" customFormat="1" ht="50" customHeight="1">
      <c r="A1933" s="93" t="s">
        <v>3821</v>
      </c>
      <c r="B1933" s="83"/>
      <c r="C1933" s="53" t="s">
        <v>32</v>
      </c>
      <c r="D1933" s="84" t="s">
        <v>1212</v>
      </c>
      <c r="E1933" s="98" t="s">
        <v>3818</v>
      </c>
      <c r="F1933" s="99" t="s">
        <v>46</v>
      </c>
      <c r="G1933" s="75"/>
      <c r="H1933" s="75">
        <f>STOCK[[#This Row],[Precio Final]]</f>
        <v>30</v>
      </c>
      <c r="I1933" s="80">
        <f>STOCK[[#This Row],[Precio Venta Ideal (x1.5)]]</f>
        <v>27.945000000000004</v>
      </c>
      <c r="J1933" s="105">
        <v>4</v>
      </c>
      <c r="K1933" s="78">
        <f>SUMIFS(VENTAS[Cantidad],VENTAS[Código del producto Vendido],STOCK[[#This Row],[Code]])</f>
        <v>1</v>
      </c>
      <c r="L1933" s="78">
        <f>STOCK[[#This Row],[Entradas]]-STOCK[[#This Row],[Salidas]]</f>
        <v>3</v>
      </c>
      <c r="M1933" s="75">
        <f>STOCK[[#This Row],[Precio Final]]*10%</f>
        <v>3</v>
      </c>
      <c r="N1933" s="54">
        <v>0</v>
      </c>
      <c r="O1933" s="75">
        <v>0</v>
      </c>
      <c r="P1933" s="107">
        <v>10.63</v>
      </c>
      <c r="Q1933" s="75">
        <v>0</v>
      </c>
      <c r="R1933" s="78">
        <v>0</v>
      </c>
      <c r="S1933" s="112">
        <v>5</v>
      </c>
      <c r="T1933" s="75">
        <f>STOCK[[#This Row],[Costo Unitario (USD)]]+STOCK[[#This Row],[Costo Envío (USD)]]+STOCK[[#This Row],[Comisión 10%]]</f>
        <v>18.630000000000003</v>
      </c>
      <c r="U1933" s="53">
        <f>STOCK[[#This Row],[Costo total]]*1.5</f>
        <v>27.945000000000004</v>
      </c>
      <c r="V1933" s="53">
        <v>30</v>
      </c>
      <c r="W1933" s="75">
        <f>STOCK[[#This Row],[Precio Final]]-STOCK[[#This Row],[Costo total]]</f>
        <v>11.369999999999997</v>
      </c>
      <c r="X1933" s="75">
        <f>STOCK[[#This Row],[Ganancia Unitaria]]*STOCK[[#This Row],[Salidas]]</f>
        <v>11.369999999999997</v>
      </c>
      <c r="Y1933" s="75"/>
      <c r="Z1933" s="88"/>
      <c r="AA1933" s="54"/>
      <c r="AB1933" s="54"/>
      <c r="AC1933" s="75"/>
      <c r="AD1933" s="96"/>
    </row>
    <row r="1934" spans="1:30" s="53" customFormat="1" ht="50" customHeight="1">
      <c r="A1934" s="93" t="s">
        <v>3822</v>
      </c>
      <c r="B1934" s="83"/>
      <c r="C1934" s="53" t="s">
        <v>32</v>
      </c>
      <c r="D1934" s="84" t="s">
        <v>1212</v>
      </c>
      <c r="E1934" s="98" t="s">
        <v>3823</v>
      </c>
      <c r="F1934" s="99" t="s">
        <v>40</v>
      </c>
      <c r="G1934" s="75"/>
      <c r="H1934" s="75">
        <f>STOCK[[#This Row],[Precio Final]]</f>
        <v>30</v>
      </c>
      <c r="I1934" s="80">
        <f>STOCK[[#This Row],[Precio Venta Ideal (x1.5)]]</f>
        <v>29.445000000000004</v>
      </c>
      <c r="J1934" s="105">
        <v>4</v>
      </c>
      <c r="K1934" s="78">
        <f>SUMIFS(VENTAS[Cantidad],VENTAS[Código del producto Vendido],STOCK[[#This Row],[Code]])</f>
        <v>0</v>
      </c>
      <c r="L1934" s="78">
        <f>STOCK[[#This Row],[Entradas]]-STOCK[[#This Row],[Salidas]]</f>
        <v>4</v>
      </c>
      <c r="M1934" s="75">
        <f>STOCK[[#This Row],[Precio Final]]*10%</f>
        <v>3</v>
      </c>
      <c r="N1934" s="54">
        <v>0</v>
      </c>
      <c r="O1934" s="75">
        <v>0</v>
      </c>
      <c r="P1934" s="107">
        <v>11.63</v>
      </c>
      <c r="Q1934" s="75">
        <v>0</v>
      </c>
      <c r="R1934" s="78">
        <v>0</v>
      </c>
      <c r="S1934" s="111">
        <v>5</v>
      </c>
      <c r="T1934" s="75">
        <f>STOCK[[#This Row],[Costo Unitario (USD)]]+STOCK[[#This Row],[Costo Envío (USD)]]+STOCK[[#This Row],[Comisión 10%]]</f>
        <v>19.630000000000003</v>
      </c>
      <c r="U1934" s="53">
        <f>STOCK[[#This Row],[Costo total]]*1.5</f>
        <v>29.445000000000004</v>
      </c>
      <c r="V1934" s="53">
        <v>30</v>
      </c>
      <c r="W1934" s="75">
        <f>STOCK[[#This Row],[Precio Final]]-STOCK[[#This Row],[Costo total]]</f>
        <v>10.369999999999997</v>
      </c>
      <c r="X1934" s="75">
        <f>STOCK[[#This Row],[Ganancia Unitaria]]*STOCK[[#This Row],[Salidas]]</f>
        <v>0</v>
      </c>
      <c r="Y1934" s="75"/>
      <c r="Z1934" s="88"/>
      <c r="AA1934" s="54"/>
      <c r="AB1934" s="54"/>
      <c r="AC1934" s="75"/>
      <c r="AD1934" s="96"/>
    </row>
    <row r="1935" spans="1:30" s="53" customFormat="1" ht="50" customHeight="1">
      <c r="A1935" s="93" t="s">
        <v>3824</v>
      </c>
      <c r="B1935" s="83"/>
      <c r="C1935" s="53" t="s">
        <v>32</v>
      </c>
      <c r="D1935" s="84" t="s">
        <v>1212</v>
      </c>
      <c r="E1935" s="98" t="s">
        <v>3823</v>
      </c>
      <c r="F1935" s="99" t="s">
        <v>62</v>
      </c>
      <c r="G1935" s="75"/>
      <c r="H1935" s="75">
        <f>STOCK[[#This Row],[Precio Final]]</f>
        <v>30</v>
      </c>
      <c r="I1935" s="80">
        <f>STOCK[[#This Row],[Precio Venta Ideal (x1.5)]]</f>
        <v>31.92</v>
      </c>
      <c r="J1935" s="105">
        <v>4</v>
      </c>
      <c r="K1935" s="78">
        <f>SUMIFS(VENTAS[Cantidad],VENTAS[Código del producto Vendido],STOCK[[#This Row],[Code]])</f>
        <v>2</v>
      </c>
      <c r="L1935" s="78">
        <f>STOCK[[#This Row],[Entradas]]-STOCK[[#This Row],[Salidas]]</f>
        <v>2</v>
      </c>
      <c r="M1935" s="75">
        <f>STOCK[[#This Row],[Precio Final]]*10%</f>
        <v>3</v>
      </c>
      <c r="N1935" s="54">
        <v>0</v>
      </c>
      <c r="O1935" s="75">
        <v>0</v>
      </c>
      <c r="P1935" s="107">
        <v>14.28</v>
      </c>
      <c r="Q1935" s="75">
        <v>0</v>
      </c>
      <c r="R1935" s="78">
        <v>0</v>
      </c>
      <c r="S1935" s="112">
        <v>4</v>
      </c>
      <c r="T1935" s="75">
        <f>STOCK[[#This Row],[Costo Unitario (USD)]]+STOCK[[#This Row],[Costo Envío (USD)]]+STOCK[[#This Row],[Comisión 10%]]</f>
        <v>21.28</v>
      </c>
      <c r="U1935" s="53">
        <f>STOCK[[#This Row],[Costo total]]*1.5</f>
        <v>31.92</v>
      </c>
      <c r="V1935" s="53">
        <v>30</v>
      </c>
      <c r="W1935" s="75">
        <f>STOCK[[#This Row],[Precio Final]]-STOCK[[#This Row],[Costo total]]</f>
        <v>8.7199999999999989</v>
      </c>
      <c r="X1935" s="75">
        <f>STOCK[[#This Row],[Ganancia Unitaria]]*STOCK[[#This Row],[Salidas]]</f>
        <v>17.439999999999998</v>
      </c>
      <c r="Y1935" s="75"/>
      <c r="Z1935" s="88"/>
      <c r="AA1935" s="54"/>
      <c r="AB1935" s="54"/>
      <c r="AC1935" s="75"/>
      <c r="AD1935" s="96"/>
    </row>
    <row r="1936" spans="1:30" s="53" customFormat="1" ht="50" customHeight="1">
      <c r="A1936" s="93" t="s">
        <v>3825</v>
      </c>
      <c r="B1936" s="83"/>
      <c r="C1936" s="53" t="s">
        <v>32</v>
      </c>
      <c r="D1936" s="84" t="s">
        <v>1212</v>
      </c>
      <c r="E1936" s="98" t="s">
        <v>3823</v>
      </c>
      <c r="F1936" s="99" t="s">
        <v>49</v>
      </c>
      <c r="G1936" s="75"/>
      <c r="H1936" s="75">
        <f>STOCK[[#This Row],[Precio Final]]</f>
        <v>30</v>
      </c>
      <c r="I1936" s="80">
        <f>STOCK[[#This Row],[Precio Venta Ideal (x1.5)]]</f>
        <v>31.92</v>
      </c>
      <c r="J1936" s="105">
        <v>4</v>
      </c>
      <c r="K1936" s="78">
        <f>SUMIFS(VENTAS[Cantidad],VENTAS[Código del producto Vendido],STOCK[[#This Row],[Code]])</f>
        <v>2</v>
      </c>
      <c r="L1936" s="78">
        <f>STOCK[[#This Row],[Entradas]]-STOCK[[#This Row],[Salidas]]</f>
        <v>2</v>
      </c>
      <c r="M1936" s="75">
        <f>STOCK[[#This Row],[Precio Final]]*10%</f>
        <v>3</v>
      </c>
      <c r="N1936" s="54">
        <v>0</v>
      </c>
      <c r="O1936" s="75">
        <v>0</v>
      </c>
      <c r="P1936" s="107">
        <v>14.28</v>
      </c>
      <c r="Q1936" s="75">
        <v>0</v>
      </c>
      <c r="R1936" s="78">
        <v>0</v>
      </c>
      <c r="S1936" s="111">
        <v>4</v>
      </c>
      <c r="T1936" s="75">
        <f>STOCK[[#This Row],[Costo Unitario (USD)]]+STOCK[[#This Row],[Costo Envío (USD)]]+STOCK[[#This Row],[Comisión 10%]]</f>
        <v>21.28</v>
      </c>
      <c r="U1936" s="53">
        <f>STOCK[[#This Row],[Costo total]]*1.5</f>
        <v>31.92</v>
      </c>
      <c r="V1936" s="53">
        <v>30</v>
      </c>
      <c r="W1936" s="75">
        <f>STOCK[[#This Row],[Precio Final]]-STOCK[[#This Row],[Costo total]]</f>
        <v>8.7199999999999989</v>
      </c>
      <c r="X1936" s="75">
        <f>STOCK[[#This Row],[Ganancia Unitaria]]*STOCK[[#This Row],[Salidas]]</f>
        <v>17.439999999999998</v>
      </c>
      <c r="Y1936" s="75"/>
      <c r="Z1936" s="88"/>
      <c r="AA1936" s="54"/>
      <c r="AB1936" s="54"/>
      <c r="AC1936" s="75"/>
      <c r="AD1936" s="96"/>
    </row>
    <row r="1937" spans="1:30" s="53" customFormat="1" ht="50" customHeight="1">
      <c r="A1937" s="93" t="s">
        <v>3826</v>
      </c>
      <c r="B1937" s="83"/>
      <c r="C1937" s="53" t="s">
        <v>32</v>
      </c>
      <c r="D1937" s="84" t="s">
        <v>2138</v>
      </c>
      <c r="E1937" s="98" t="s">
        <v>3823</v>
      </c>
      <c r="F1937" s="99" t="s">
        <v>46</v>
      </c>
      <c r="G1937" s="75"/>
      <c r="H1937" s="75">
        <f>STOCK[[#This Row],[Precio Final]]</f>
        <v>30</v>
      </c>
      <c r="I1937" s="80">
        <f>STOCK[[#This Row],[Precio Venta Ideal (x1.5)]]</f>
        <v>30.42</v>
      </c>
      <c r="J1937" s="105">
        <v>4</v>
      </c>
      <c r="K1937" s="78">
        <f>SUMIFS(VENTAS[Cantidad],VENTAS[Código del producto Vendido],STOCK[[#This Row],[Code]])</f>
        <v>2</v>
      </c>
      <c r="L1937" s="78">
        <f>STOCK[[#This Row],[Entradas]]-STOCK[[#This Row],[Salidas]]</f>
        <v>2</v>
      </c>
      <c r="M1937" s="75">
        <f>STOCK[[#This Row],[Precio Final]]*10%</f>
        <v>3</v>
      </c>
      <c r="N1937" s="54">
        <v>0</v>
      </c>
      <c r="O1937" s="75">
        <v>0</v>
      </c>
      <c r="P1937" s="107">
        <v>14.28</v>
      </c>
      <c r="Q1937" s="75">
        <v>0</v>
      </c>
      <c r="R1937" s="78">
        <v>0</v>
      </c>
      <c r="S1937" s="112">
        <v>3</v>
      </c>
      <c r="T1937" s="75">
        <f>STOCK[[#This Row],[Costo Unitario (USD)]]+STOCK[[#This Row],[Costo Envío (USD)]]+STOCK[[#This Row],[Comisión 10%]]</f>
        <v>20.28</v>
      </c>
      <c r="U1937" s="53">
        <f>STOCK[[#This Row],[Costo total]]*1.5</f>
        <v>30.42</v>
      </c>
      <c r="V1937" s="53">
        <v>30</v>
      </c>
      <c r="W1937" s="75">
        <f>STOCK[[#This Row],[Precio Final]]-STOCK[[#This Row],[Costo total]]</f>
        <v>9.7199999999999989</v>
      </c>
      <c r="X1937" s="75">
        <f>STOCK[[#This Row],[Ganancia Unitaria]]*STOCK[[#This Row],[Salidas]]</f>
        <v>19.439999999999998</v>
      </c>
      <c r="Y1937" s="75"/>
      <c r="Z1937" s="88"/>
      <c r="AA1937" s="54"/>
      <c r="AB1937" s="54"/>
      <c r="AC1937" s="75"/>
      <c r="AD1937" s="96"/>
    </row>
    <row r="1938" spans="1:30" s="53" customFormat="1" ht="50" customHeight="1">
      <c r="A1938" s="93" t="s">
        <v>3827</v>
      </c>
      <c r="B1938" s="83"/>
      <c r="C1938" s="53" t="s">
        <v>32</v>
      </c>
      <c r="D1938" s="84" t="s">
        <v>1190</v>
      </c>
      <c r="E1938" s="100" t="s">
        <v>3828</v>
      </c>
      <c r="F1938" s="101" t="s">
        <v>40</v>
      </c>
      <c r="G1938" s="75"/>
      <c r="H1938" s="75">
        <f>STOCK[[#This Row],[Precio Final]]</f>
        <v>30</v>
      </c>
      <c r="I1938" s="80">
        <f>STOCK[[#This Row],[Precio Venta Ideal (x1.5)]]</f>
        <v>29.534999999999997</v>
      </c>
      <c r="J1938" s="106">
        <v>5</v>
      </c>
      <c r="K1938" s="78">
        <f>SUMIFS(VENTAS[Cantidad],VENTAS[Código del producto Vendido],STOCK[[#This Row],[Code]])</f>
        <v>2</v>
      </c>
      <c r="L1938" s="78">
        <f>STOCK[[#This Row],[Entradas]]-STOCK[[#This Row],[Salidas]]</f>
        <v>3</v>
      </c>
      <c r="M1938" s="75">
        <f>STOCK[[#This Row],[Precio Final]]*10%</f>
        <v>3</v>
      </c>
      <c r="N1938" s="54">
        <v>0</v>
      </c>
      <c r="O1938" s="75">
        <v>0</v>
      </c>
      <c r="P1938" s="108">
        <v>13.69</v>
      </c>
      <c r="Q1938" s="75">
        <v>0</v>
      </c>
      <c r="R1938" s="78">
        <v>0</v>
      </c>
      <c r="S1938" s="111">
        <v>3</v>
      </c>
      <c r="T1938" s="75">
        <f>STOCK[[#This Row],[Costo Unitario (USD)]]+STOCK[[#This Row],[Costo Envío (USD)]]+STOCK[[#This Row],[Comisión 10%]]</f>
        <v>19.689999999999998</v>
      </c>
      <c r="U1938" s="53">
        <f>STOCK[[#This Row],[Costo total]]*1.5</f>
        <v>29.534999999999997</v>
      </c>
      <c r="V1938" s="53">
        <v>30</v>
      </c>
      <c r="W1938" s="75">
        <f>STOCK[[#This Row],[Precio Final]]-STOCK[[#This Row],[Costo total]]</f>
        <v>10.310000000000002</v>
      </c>
      <c r="X1938" s="75">
        <f>STOCK[[#This Row],[Ganancia Unitaria]]*STOCK[[#This Row],[Salidas]]</f>
        <v>20.620000000000005</v>
      </c>
      <c r="Y1938" s="75"/>
      <c r="Z1938" s="88"/>
      <c r="AA1938" s="54"/>
      <c r="AB1938" s="54"/>
      <c r="AC1938" s="75"/>
      <c r="AD1938" s="96"/>
    </row>
    <row r="1939" spans="1:30" s="53" customFormat="1" ht="50" customHeight="1">
      <c r="A1939" s="93" t="s">
        <v>3829</v>
      </c>
      <c r="B1939" s="83"/>
      <c r="C1939" s="53" t="s">
        <v>32</v>
      </c>
      <c r="D1939" s="84" t="s">
        <v>1190</v>
      </c>
      <c r="E1939" s="100" t="s">
        <v>3828</v>
      </c>
      <c r="F1939" s="102" t="s">
        <v>62</v>
      </c>
      <c r="G1939" s="75"/>
      <c r="H1939" s="75">
        <f>STOCK[[#This Row],[Precio Final]]</f>
        <v>30</v>
      </c>
      <c r="I1939" s="80">
        <f>STOCK[[#This Row],[Precio Venta Ideal (x1.5)]]</f>
        <v>29.534999999999997</v>
      </c>
      <c r="J1939" s="105">
        <v>4</v>
      </c>
      <c r="K1939" s="78">
        <f>SUMIFS(VENTAS[Cantidad],VENTAS[Código del producto Vendido],STOCK[[#This Row],[Code]])</f>
        <v>3</v>
      </c>
      <c r="L1939" s="78">
        <f>STOCK[[#This Row],[Entradas]]-STOCK[[#This Row],[Salidas]]</f>
        <v>1</v>
      </c>
      <c r="M1939" s="75">
        <f>STOCK[[#This Row],[Precio Final]]*10%</f>
        <v>3</v>
      </c>
      <c r="N1939" s="54">
        <v>0</v>
      </c>
      <c r="O1939" s="75">
        <v>0</v>
      </c>
      <c r="P1939" s="109">
        <v>13.69</v>
      </c>
      <c r="Q1939" s="75">
        <v>0</v>
      </c>
      <c r="R1939" s="78">
        <v>0</v>
      </c>
      <c r="S1939" s="112">
        <v>3</v>
      </c>
      <c r="T1939" s="75">
        <f>STOCK[[#This Row],[Costo Unitario (USD)]]+STOCK[[#This Row],[Costo Envío (USD)]]+STOCK[[#This Row],[Comisión 10%]]</f>
        <v>19.689999999999998</v>
      </c>
      <c r="U1939" s="53">
        <f>STOCK[[#This Row],[Costo total]]*1.5</f>
        <v>29.534999999999997</v>
      </c>
      <c r="V1939" s="53">
        <v>30</v>
      </c>
      <c r="W1939" s="75">
        <f>STOCK[[#This Row],[Precio Final]]-STOCK[[#This Row],[Costo total]]</f>
        <v>10.310000000000002</v>
      </c>
      <c r="X1939" s="75">
        <f>STOCK[[#This Row],[Ganancia Unitaria]]*STOCK[[#This Row],[Salidas]]</f>
        <v>30.930000000000007</v>
      </c>
      <c r="Y1939" s="75"/>
      <c r="Z1939" s="88"/>
      <c r="AA1939" s="54"/>
      <c r="AB1939" s="54"/>
      <c r="AC1939" s="75"/>
      <c r="AD1939" s="96"/>
    </row>
    <row r="1940" spans="1:30" s="53" customFormat="1" ht="50" customHeight="1">
      <c r="A1940" s="93" t="s">
        <v>3830</v>
      </c>
      <c r="B1940" s="83"/>
      <c r="C1940" s="53" t="s">
        <v>32</v>
      </c>
      <c r="D1940" s="84" t="s">
        <v>1190</v>
      </c>
      <c r="E1940" s="100" t="s">
        <v>3828</v>
      </c>
      <c r="F1940" s="103" t="s">
        <v>49</v>
      </c>
      <c r="G1940" s="75"/>
      <c r="H1940" s="75">
        <f>STOCK[[#This Row],[Precio Final]]</f>
        <v>30</v>
      </c>
      <c r="I1940" s="80">
        <f>STOCK[[#This Row],[Precio Venta Ideal (x1.5)]]</f>
        <v>29.534999999999997</v>
      </c>
      <c r="J1940" s="103">
        <v>4</v>
      </c>
      <c r="K1940" s="78">
        <f>SUMIFS(VENTAS[Cantidad],VENTAS[Código del producto Vendido],STOCK[[#This Row],[Code]])</f>
        <v>2</v>
      </c>
      <c r="L1940" s="78">
        <f>STOCK[[#This Row],[Entradas]]-STOCK[[#This Row],[Salidas]]</f>
        <v>2</v>
      </c>
      <c r="M1940" s="75">
        <f>STOCK[[#This Row],[Precio Final]]*10%</f>
        <v>3</v>
      </c>
      <c r="N1940" s="54">
        <v>0</v>
      </c>
      <c r="O1940" s="75">
        <v>0</v>
      </c>
      <c r="P1940" s="110">
        <v>13.69</v>
      </c>
      <c r="Q1940" s="75">
        <v>0</v>
      </c>
      <c r="R1940" s="78">
        <v>0</v>
      </c>
      <c r="S1940" s="111">
        <v>3</v>
      </c>
      <c r="T1940" s="75">
        <f>STOCK[[#This Row],[Costo Unitario (USD)]]+STOCK[[#This Row],[Costo Envío (USD)]]+STOCK[[#This Row],[Comisión 10%]]</f>
        <v>19.689999999999998</v>
      </c>
      <c r="U1940" s="53">
        <f>STOCK[[#This Row],[Costo total]]*1.5</f>
        <v>29.534999999999997</v>
      </c>
      <c r="V1940" s="53">
        <v>30</v>
      </c>
      <c r="W1940" s="75">
        <f>STOCK[[#This Row],[Precio Final]]-STOCK[[#This Row],[Costo total]]</f>
        <v>10.310000000000002</v>
      </c>
      <c r="X1940" s="75">
        <f>STOCK[[#This Row],[Ganancia Unitaria]]*STOCK[[#This Row],[Salidas]]</f>
        <v>20.620000000000005</v>
      </c>
      <c r="Y1940" s="75"/>
      <c r="Z1940" s="88"/>
      <c r="AA1940" s="54"/>
      <c r="AB1940" s="54"/>
      <c r="AC1940" s="75"/>
      <c r="AD1940" s="96"/>
    </row>
    <row r="1941" spans="1:30" s="53" customFormat="1" ht="50" customHeight="1">
      <c r="A1941" s="93" t="s">
        <v>3831</v>
      </c>
      <c r="B1941" s="83"/>
      <c r="C1941" s="53" t="s">
        <v>32</v>
      </c>
      <c r="D1941" s="84" t="s">
        <v>2373</v>
      </c>
      <c r="E1941" s="100" t="s">
        <v>3828</v>
      </c>
      <c r="F1941" s="103" t="s">
        <v>46</v>
      </c>
      <c r="G1941" s="75"/>
      <c r="H1941" s="75">
        <f>STOCK[[#This Row],[Precio Final]]</f>
        <v>30</v>
      </c>
      <c r="I1941" s="80">
        <f>STOCK[[#This Row],[Precio Venta Ideal (x1.5)]]</f>
        <v>29.534999999999997</v>
      </c>
      <c r="J1941" s="103">
        <v>4</v>
      </c>
      <c r="K1941" s="78">
        <f>SUMIFS(VENTAS[Cantidad],VENTAS[Código del producto Vendido],STOCK[[#This Row],[Code]])</f>
        <v>1</v>
      </c>
      <c r="L1941" s="78">
        <f>STOCK[[#This Row],[Entradas]]-STOCK[[#This Row],[Salidas]]</f>
        <v>3</v>
      </c>
      <c r="M1941" s="75">
        <f>STOCK[[#This Row],[Precio Final]]*10%</f>
        <v>3</v>
      </c>
      <c r="N1941" s="54">
        <v>0</v>
      </c>
      <c r="O1941" s="75">
        <v>0</v>
      </c>
      <c r="P1941" s="110">
        <v>13.69</v>
      </c>
      <c r="Q1941" s="75">
        <v>0</v>
      </c>
      <c r="R1941" s="78">
        <v>0</v>
      </c>
      <c r="S1941" s="112">
        <v>3</v>
      </c>
      <c r="T1941" s="75">
        <f>STOCK[[#This Row],[Costo Unitario (USD)]]+STOCK[[#This Row],[Costo Envío (USD)]]+STOCK[[#This Row],[Comisión 10%]]</f>
        <v>19.689999999999998</v>
      </c>
      <c r="U1941" s="53">
        <f>STOCK[[#This Row],[Costo total]]*1.5</f>
        <v>29.534999999999997</v>
      </c>
      <c r="V1941" s="53">
        <v>30</v>
      </c>
      <c r="W1941" s="75">
        <f>STOCK[[#This Row],[Precio Final]]-STOCK[[#This Row],[Costo total]]</f>
        <v>10.310000000000002</v>
      </c>
      <c r="X1941" s="75">
        <f>STOCK[[#This Row],[Ganancia Unitaria]]*STOCK[[#This Row],[Salidas]]</f>
        <v>10.310000000000002</v>
      </c>
      <c r="Y1941" s="75"/>
      <c r="Z1941" s="88"/>
      <c r="AA1941" s="54"/>
      <c r="AB1941" s="54"/>
      <c r="AC1941" s="75"/>
      <c r="AD1941" s="96"/>
    </row>
    <row r="1942" spans="1:30" s="53" customFormat="1" ht="50" customHeight="1">
      <c r="A1942" s="93" t="s">
        <v>3832</v>
      </c>
      <c r="B1942" s="83"/>
      <c r="C1942" s="53" t="s">
        <v>32</v>
      </c>
      <c r="D1942" s="84" t="s">
        <v>1190</v>
      </c>
      <c r="E1942" s="100" t="s">
        <v>3833</v>
      </c>
      <c r="F1942" s="103" t="s">
        <v>40</v>
      </c>
      <c r="G1942" s="75"/>
      <c r="H1942" s="75">
        <f>STOCK[[#This Row],[Precio Final]]</f>
        <v>30</v>
      </c>
      <c r="I1942" s="80">
        <f>STOCK[[#This Row],[Precio Venta Ideal (x1.5)]]</f>
        <v>28.679999999999996</v>
      </c>
      <c r="J1942" s="103">
        <v>3</v>
      </c>
      <c r="K1942" s="78">
        <f>SUMIFS(VENTAS[Cantidad],VENTAS[Código del producto Vendido],STOCK[[#This Row],[Code]])</f>
        <v>2</v>
      </c>
      <c r="L1942" s="78">
        <f>STOCK[[#This Row],[Entradas]]-STOCK[[#This Row],[Salidas]]</f>
        <v>1</v>
      </c>
      <c r="M1942" s="75">
        <f>STOCK[[#This Row],[Precio Final]]*10%</f>
        <v>3</v>
      </c>
      <c r="N1942" s="54">
        <v>0</v>
      </c>
      <c r="O1942" s="75">
        <v>0</v>
      </c>
      <c r="P1942" s="110">
        <v>13.12</v>
      </c>
      <c r="Q1942" s="75">
        <v>0</v>
      </c>
      <c r="R1942" s="78">
        <v>0</v>
      </c>
      <c r="S1942" s="111">
        <v>3</v>
      </c>
      <c r="T1942" s="75">
        <f>STOCK[[#This Row],[Costo Unitario (USD)]]+STOCK[[#This Row],[Costo Envío (USD)]]+STOCK[[#This Row],[Comisión 10%]]</f>
        <v>19.119999999999997</v>
      </c>
      <c r="U1942" s="53">
        <f>STOCK[[#This Row],[Costo total]]*1.5</f>
        <v>28.679999999999996</v>
      </c>
      <c r="V1942" s="53">
        <v>30</v>
      </c>
      <c r="W1942" s="75">
        <f>STOCK[[#This Row],[Precio Final]]-STOCK[[#This Row],[Costo total]]</f>
        <v>10.880000000000003</v>
      </c>
      <c r="X1942" s="75">
        <f>STOCK[[#This Row],[Ganancia Unitaria]]*STOCK[[#This Row],[Salidas]]</f>
        <v>21.760000000000005</v>
      </c>
      <c r="Y1942" s="75"/>
      <c r="Z1942" s="88"/>
      <c r="AA1942" s="54"/>
      <c r="AB1942" s="54"/>
      <c r="AC1942" s="75"/>
      <c r="AD1942" s="96"/>
    </row>
    <row r="1943" spans="1:30" s="53" customFormat="1" ht="50" customHeight="1">
      <c r="A1943" s="93" t="s">
        <v>3834</v>
      </c>
      <c r="B1943" s="83"/>
      <c r="C1943" s="53" t="s">
        <v>32</v>
      </c>
      <c r="D1943" s="84" t="s">
        <v>1190</v>
      </c>
      <c r="E1943" s="100" t="s">
        <v>3833</v>
      </c>
      <c r="F1943" s="103" t="s">
        <v>49</v>
      </c>
      <c r="G1943" s="75"/>
      <c r="H1943" s="75">
        <f>STOCK[[#This Row],[Precio Final]]</f>
        <v>30</v>
      </c>
      <c r="I1943" s="80">
        <f>STOCK[[#This Row],[Precio Venta Ideal (x1.5)]]</f>
        <v>28.679999999999996</v>
      </c>
      <c r="J1943" s="103">
        <v>2</v>
      </c>
      <c r="K1943" s="78">
        <f>SUMIFS(VENTAS[Cantidad],VENTAS[Código del producto Vendido],STOCK[[#This Row],[Code]])</f>
        <v>2</v>
      </c>
      <c r="L1943" s="78">
        <f>STOCK[[#This Row],[Entradas]]-STOCK[[#This Row],[Salidas]]</f>
        <v>0</v>
      </c>
      <c r="M1943" s="75">
        <f>STOCK[[#This Row],[Precio Final]]*10%</f>
        <v>3</v>
      </c>
      <c r="N1943" s="54">
        <v>0</v>
      </c>
      <c r="O1943" s="75">
        <v>0</v>
      </c>
      <c r="P1943" s="110">
        <v>13.12</v>
      </c>
      <c r="Q1943" s="75">
        <v>0</v>
      </c>
      <c r="R1943" s="78">
        <v>0</v>
      </c>
      <c r="S1943" s="112">
        <v>3</v>
      </c>
      <c r="T1943" s="75">
        <f>STOCK[[#This Row],[Costo Unitario (USD)]]+STOCK[[#This Row],[Costo Envío (USD)]]+STOCK[[#This Row],[Comisión 10%]]</f>
        <v>19.119999999999997</v>
      </c>
      <c r="U1943" s="53">
        <f>STOCK[[#This Row],[Costo total]]*1.5</f>
        <v>28.679999999999996</v>
      </c>
      <c r="V1943" s="53">
        <v>30</v>
      </c>
      <c r="W1943" s="75">
        <f>STOCK[[#This Row],[Precio Final]]-STOCK[[#This Row],[Costo total]]</f>
        <v>10.880000000000003</v>
      </c>
      <c r="X1943" s="75">
        <f>STOCK[[#This Row],[Ganancia Unitaria]]*STOCK[[#This Row],[Salidas]]</f>
        <v>21.760000000000005</v>
      </c>
      <c r="Y1943" s="75"/>
      <c r="Z1943" s="88"/>
      <c r="AA1943" s="54"/>
      <c r="AB1943" s="54"/>
      <c r="AC1943" s="75"/>
      <c r="AD1943" s="96"/>
    </row>
    <row r="1944" spans="1:30" s="53" customFormat="1" ht="50" customHeight="1">
      <c r="A1944" s="93" t="s">
        <v>3835</v>
      </c>
      <c r="B1944" s="83"/>
      <c r="C1944" s="53" t="s">
        <v>32</v>
      </c>
      <c r="D1944" s="84" t="s">
        <v>2373</v>
      </c>
      <c r="E1944" s="100" t="s">
        <v>3833</v>
      </c>
      <c r="F1944" s="103" t="s">
        <v>46</v>
      </c>
      <c r="G1944" s="75"/>
      <c r="H1944" s="75">
        <f>STOCK[[#This Row],[Precio Final]]</f>
        <v>30</v>
      </c>
      <c r="I1944" s="80">
        <f>STOCK[[#This Row],[Precio Venta Ideal (x1.5)]]</f>
        <v>28.679999999999996</v>
      </c>
      <c r="J1944" s="103">
        <v>3</v>
      </c>
      <c r="K1944" s="78">
        <f>SUMIFS(VENTAS[Cantidad],VENTAS[Código del producto Vendido],STOCK[[#This Row],[Code]])</f>
        <v>1</v>
      </c>
      <c r="L1944" s="78">
        <f>STOCK[[#This Row],[Entradas]]-STOCK[[#This Row],[Salidas]]</f>
        <v>2</v>
      </c>
      <c r="M1944" s="75">
        <f>STOCK[[#This Row],[Precio Final]]*10%</f>
        <v>3</v>
      </c>
      <c r="N1944" s="54">
        <v>0</v>
      </c>
      <c r="O1944" s="75">
        <v>0</v>
      </c>
      <c r="P1944" s="110">
        <v>13.12</v>
      </c>
      <c r="Q1944" s="75">
        <v>0</v>
      </c>
      <c r="R1944" s="78">
        <v>0</v>
      </c>
      <c r="S1944" s="111">
        <v>3</v>
      </c>
      <c r="T1944" s="75">
        <f>STOCK[[#This Row],[Costo Unitario (USD)]]+STOCK[[#This Row],[Costo Envío (USD)]]+STOCK[[#This Row],[Comisión 10%]]</f>
        <v>19.119999999999997</v>
      </c>
      <c r="U1944" s="53">
        <f>STOCK[[#This Row],[Costo total]]*1.5</f>
        <v>28.679999999999996</v>
      </c>
      <c r="V1944" s="53">
        <v>30</v>
      </c>
      <c r="W1944" s="75">
        <f>STOCK[[#This Row],[Precio Final]]-STOCK[[#This Row],[Costo total]]</f>
        <v>10.880000000000003</v>
      </c>
      <c r="X1944" s="75">
        <f>STOCK[[#This Row],[Ganancia Unitaria]]*STOCK[[#This Row],[Salidas]]</f>
        <v>10.880000000000003</v>
      </c>
      <c r="Y1944" s="75"/>
      <c r="Z1944" s="88"/>
      <c r="AA1944" s="54"/>
      <c r="AB1944" s="54"/>
      <c r="AC1944" s="75"/>
      <c r="AD1944" s="96"/>
    </row>
    <row r="1945" spans="1:30" s="53" customFormat="1" ht="50" customHeight="1">
      <c r="A1945" s="93" t="s">
        <v>3836</v>
      </c>
      <c r="B1945" s="83"/>
      <c r="C1945" s="53" t="s">
        <v>32</v>
      </c>
      <c r="D1945" s="84" t="s">
        <v>1190</v>
      </c>
      <c r="E1945" s="104" t="s">
        <v>3837</v>
      </c>
      <c r="F1945" s="103" t="s">
        <v>62</v>
      </c>
      <c r="G1945" s="75"/>
      <c r="H1945" s="75">
        <f>STOCK[[#This Row],[Precio Final]]</f>
        <v>12</v>
      </c>
      <c r="I1945" s="80">
        <f>STOCK[[#This Row],[Precio Venta Ideal (x1.5)]]</f>
        <v>13.484999999999999</v>
      </c>
      <c r="J1945" s="103">
        <v>3</v>
      </c>
      <c r="K1945" s="78">
        <f>SUMIFS(VENTAS[Cantidad],VENTAS[Código del producto Vendido],STOCK[[#This Row],[Code]])</f>
        <v>0</v>
      </c>
      <c r="L1945" s="78">
        <f>STOCK[[#This Row],[Entradas]]-STOCK[[#This Row],[Salidas]]</f>
        <v>3</v>
      </c>
      <c r="M1945" s="75">
        <f>STOCK[[#This Row],[Precio Final]]*10%</f>
        <v>1.2000000000000002</v>
      </c>
      <c r="N1945" s="54">
        <v>0</v>
      </c>
      <c r="O1945" s="75">
        <v>0</v>
      </c>
      <c r="P1945" s="110">
        <v>4.79</v>
      </c>
      <c r="Q1945" s="75">
        <v>0</v>
      </c>
      <c r="R1945" s="78">
        <v>0</v>
      </c>
      <c r="S1945" s="112">
        <v>3</v>
      </c>
      <c r="T1945" s="75">
        <f>STOCK[[#This Row],[Costo Unitario (USD)]]+STOCK[[#This Row],[Costo Envío (USD)]]+STOCK[[#This Row],[Comisión 10%]]</f>
        <v>8.99</v>
      </c>
      <c r="U1945" s="53">
        <f>STOCK[[#This Row],[Costo total]]*1.5</f>
        <v>13.484999999999999</v>
      </c>
      <c r="V1945" s="53">
        <v>12</v>
      </c>
      <c r="W1945" s="75">
        <f>STOCK[[#This Row],[Precio Final]]-STOCK[[#This Row],[Costo total]]</f>
        <v>3.01</v>
      </c>
      <c r="X1945" s="75">
        <f>STOCK[[#This Row],[Ganancia Unitaria]]*STOCK[[#This Row],[Salidas]]</f>
        <v>0</v>
      </c>
      <c r="Y1945" s="75"/>
      <c r="Z1945" s="88"/>
      <c r="AA1945" s="54"/>
      <c r="AB1945" s="54"/>
      <c r="AC1945" s="75"/>
      <c r="AD1945" s="96"/>
    </row>
    <row r="1946" spans="1:30" s="53" customFormat="1" ht="50" customHeight="1">
      <c r="A1946" s="93" t="s">
        <v>3838</v>
      </c>
      <c r="B1946" s="83"/>
      <c r="C1946" s="53" t="s">
        <v>32</v>
      </c>
      <c r="D1946" s="84" t="s">
        <v>1190</v>
      </c>
      <c r="E1946" s="104" t="s">
        <v>3837</v>
      </c>
      <c r="F1946" s="103" t="s">
        <v>49</v>
      </c>
      <c r="G1946" s="75"/>
      <c r="H1946" s="75">
        <f>STOCK[[#This Row],[Precio Final]]</f>
        <v>12</v>
      </c>
      <c r="I1946" s="80">
        <f>STOCK[[#This Row],[Precio Venta Ideal (x1.5)]]</f>
        <v>13.484999999999999</v>
      </c>
      <c r="J1946" s="103">
        <v>3</v>
      </c>
      <c r="K1946" s="78">
        <f>SUMIFS(VENTAS[Cantidad],VENTAS[Código del producto Vendido],STOCK[[#This Row],[Code]])</f>
        <v>1</v>
      </c>
      <c r="L1946" s="78">
        <f>STOCK[[#This Row],[Entradas]]-STOCK[[#This Row],[Salidas]]</f>
        <v>2</v>
      </c>
      <c r="M1946" s="75">
        <f>STOCK[[#This Row],[Precio Final]]*10%</f>
        <v>1.2000000000000002</v>
      </c>
      <c r="N1946" s="54">
        <v>0</v>
      </c>
      <c r="O1946" s="75">
        <v>0</v>
      </c>
      <c r="P1946" s="110">
        <v>4.79</v>
      </c>
      <c r="Q1946" s="75">
        <v>0</v>
      </c>
      <c r="R1946" s="78">
        <v>0</v>
      </c>
      <c r="S1946" s="111">
        <v>3</v>
      </c>
      <c r="T1946" s="75">
        <f>STOCK[[#This Row],[Costo Unitario (USD)]]+STOCK[[#This Row],[Costo Envío (USD)]]+STOCK[[#This Row],[Comisión 10%]]</f>
        <v>8.99</v>
      </c>
      <c r="U1946" s="53">
        <f>STOCK[[#This Row],[Costo total]]*1.5</f>
        <v>13.484999999999999</v>
      </c>
      <c r="V1946" s="53">
        <v>12</v>
      </c>
      <c r="W1946" s="75">
        <f>STOCK[[#This Row],[Precio Final]]-STOCK[[#This Row],[Costo total]]</f>
        <v>3.01</v>
      </c>
      <c r="X1946" s="75">
        <f>STOCK[[#This Row],[Ganancia Unitaria]]*STOCK[[#This Row],[Salidas]]</f>
        <v>3.01</v>
      </c>
      <c r="Y1946" s="75"/>
      <c r="Z1946" s="88"/>
      <c r="AA1946" s="54"/>
      <c r="AB1946" s="54"/>
      <c r="AC1946" s="75"/>
      <c r="AD1946" s="96"/>
    </row>
    <row r="1947" spans="1:30" s="53" customFormat="1" ht="50" customHeight="1">
      <c r="A1947" s="93" t="s">
        <v>3839</v>
      </c>
      <c r="B1947" s="83"/>
      <c r="C1947" s="53" t="s">
        <v>32</v>
      </c>
      <c r="D1947" s="84" t="s">
        <v>2373</v>
      </c>
      <c r="E1947" s="104" t="s">
        <v>3837</v>
      </c>
      <c r="F1947" s="103" t="s">
        <v>46</v>
      </c>
      <c r="G1947" s="75"/>
      <c r="H1947" s="75">
        <f>STOCK[[#This Row],[Precio Final]]</f>
        <v>12</v>
      </c>
      <c r="I1947" s="80">
        <f>STOCK[[#This Row],[Precio Venta Ideal (x1.5)]]</f>
        <v>13.484999999999999</v>
      </c>
      <c r="J1947" s="103">
        <v>3</v>
      </c>
      <c r="K1947" s="78">
        <f>SUMIFS(VENTAS[Cantidad],VENTAS[Código del producto Vendido],STOCK[[#This Row],[Code]])</f>
        <v>0</v>
      </c>
      <c r="L1947" s="78">
        <f>STOCK[[#This Row],[Entradas]]-STOCK[[#This Row],[Salidas]]</f>
        <v>3</v>
      </c>
      <c r="M1947" s="75">
        <f>STOCK[[#This Row],[Precio Final]]*10%</f>
        <v>1.2000000000000002</v>
      </c>
      <c r="N1947" s="54">
        <v>0</v>
      </c>
      <c r="O1947" s="75">
        <v>0</v>
      </c>
      <c r="P1947" s="110">
        <v>4.79</v>
      </c>
      <c r="Q1947" s="75">
        <v>0</v>
      </c>
      <c r="R1947" s="78">
        <v>0</v>
      </c>
      <c r="S1947" s="112">
        <v>3</v>
      </c>
      <c r="T1947" s="75">
        <f>STOCK[[#This Row],[Costo Unitario (USD)]]+STOCK[[#This Row],[Costo Envío (USD)]]+STOCK[[#This Row],[Comisión 10%]]</f>
        <v>8.99</v>
      </c>
      <c r="U1947" s="53">
        <f>STOCK[[#This Row],[Costo total]]*1.5</f>
        <v>13.484999999999999</v>
      </c>
      <c r="V1947" s="53">
        <v>12</v>
      </c>
      <c r="W1947" s="75">
        <f>STOCK[[#This Row],[Precio Final]]-STOCK[[#This Row],[Costo total]]</f>
        <v>3.01</v>
      </c>
      <c r="X1947" s="75">
        <f>STOCK[[#This Row],[Ganancia Unitaria]]*STOCK[[#This Row],[Salidas]]</f>
        <v>0</v>
      </c>
      <c r="Y1947" s="75"/>
      <c r="Z1947" s="88"/>
      <c r="AA1947" s="54"/>
      <c r="AB1947" s="54"/>
      <c r="AC1947" s="75"/>
      <c r="AD1947" s="96"/>
    </row>
    <row r="1948" spans="1:30" s="53" customFormat="1" ht="50" customHeight="1">
      <c r="A1948" s="93" t="s">
        <v>3840</v>
      </c>
      <c r="B1948" s="83"/>
      <c r="C1948" s="53" t="s">
        <v>32</v>
      </c>
      <c r="D1948" s="84" t="s">
        <v>2373</v>
      </c>
      <c r="E1948" s="104" t="s">
        <v>3837</v>
      </c>
      <c r="F1948" s="103" t="s">
        <v>42</v>
      </c>
      <c r="G1948" s="75"/>
      <c r="H1948" s="75">
        <f>STOCK[[#This Row],[Precio Final]]</f>
        <v>12</v>
      </c>
      <c r="I1948" s="80">
        <f>STOCK[[#This Row],[Precio Venta Ideal (x1.5)]]</f>
        <v>13.484999999999999</v>
      </c>
      <c r="J1948" s="103">
        <v>3</v>
      </c>
      <c r="K1948" s="78">
        <f>SUMIFS(VENTAS[Cantidad],VENTAS[Código del producto Vendido],STOCK[[#This Row],[Code]])</f>
        <v>2</v>
      </c>
      <c r="L1948" s="78">
        <f>STOCK[[#This Row],[Entradas]]-STOCK[[#This Row],[Salidas]]</f>
        <v>1</v>
      </c>
      <c r="M1948" s="75">
        <f>STOCK[[#This Row],[Precio Final]]*10%</f>
        <v>1.2000000000000002</v>
      </c>
      <c r="N1948" s="54">
        <v>0</v>
      </c>
      <c r="O1948" s="75">
        <v>0</v>
      </c>
      <c r="P1948" s="110">
        <v>4.79</v>
      </c>
      <c r="Q1948" s="75">
        <v>0</v>
      </c>
      <c r="R1948" s="78">
        <v>0</v>
      </c>
      <c r="S1948" s="111">
        <v>3</v>
      </c>
      <c r="T1948" s="75">
        <f>STOCK[[#This Row],[Costo Unitario (USD)]]+STOCK[[#This Row],[Costo Envío (USD)]]+STOCK[[#This Row],[Comisión 10%]]</f>
        <v>8.99</v>
      </c>
      <c r="U1948" s="53">
        <f>STOCK[[#This Row],[Costo total]]*1.5</f>
        <v>13.484999999999999</v>
      </c>
      <c r="V1948" s="53">
        <v>12</v>
      </c>
      <c r="W1948" s="75">
        <f>STOCK[[#This Row],[Precio Final]]-STOCK[[#This Row],[Costo total]]</f>
        <v>3.01</v>
      </c>
      <c r="X1948" s="75">
        <f>STOCK[[#This Row],[Ganancia Unitaria]]*STOCK[[#This Row],[Salidas]]</f>
        <v>6.02</v>
      </c>
      <c r="Y1948" s="75"/>
      <c r="Z1948" s="88"/>
      <c r="AA1948" s="54"/>
      <c r="AB1948" s="54"/>
      <c r="AC1948" s="75"/>
      <c r="AD1948" s="96"/>
    </row>
    <row r="1949" spans="1:30" s="53" customFormat="1" ht="50" customHeight="1">
      <c r="A1949" s="93" t="s">
        <v>3841</v>
      </c>
      <c r="B1949" s="83"/>
      <c r="C1949" s="53" t="s">
        <v>32</v>
      </c>
      <c r="D1949" s="84" t="s">
        <v>1212</v>
      </c>
      <c r="E1949" s="104" t="s">
        <v>3842</v>
      </c>
      <c r="F1949" s="103" t="s">
        <v>3843</v>
      </c>
      <c r="G1949" s="75"/>
      <c r="H1949" s="75">
        <f>STOCK[[#This Row],[Precio Final]]</f>
        <v>35</v>
      </c>
      <c r="I1949" s="80">
        <f>STOCK[[#This Row],[Precio Venta Ideal (x1.5)]]</f>
        <v>36.480000000000004</v>
      </c>
      <c r="J1949" s="103">
        <v>3</v>
      </c>
      <c r="K1949" s="78">
        <f>SUMIFS(VENTAS[Cantidad],VENTAS[Código del producto Vendido],STOCK[[#This Row],[Code]])</f>
        <v>3</v>
      </c>
      <c r="L1949" s="78">
        <f>STOCK[[#This Row],[Entradas]]-STOCK[[#This Row],[Salidas]]</f>
        <v>0</v>
      </c>
      <c r="M1949" s="75">
        <f>STOCK[[#This Row],[Precio Final]]*10%</f>
        <v>3.5</v>
      </c>
      <c r="N1949" s="54">
        <v>0</v>
      </c>
      <c r="O1949" s="75">
        <v>0</v>
      </c>
      <c r="P1949" s="110">
        <v>13.82</v>
      </c>
      <c r="Q1949" s="75">
        <v>0</v>
      </c>
      <c r="R1949" s="78">
        <v>0</v>
      </c>
      <c r="S1949" s="112">
        <v>7</v>
      </c>
      <c r="T1949" s="75">
        <f>STOCK[[#This Row],[Costo Unitario (USD)]]+STOCK[[#This Row],[Costo Envío (USD)]]+STOCK[[#This Row],[Comisión 10%]]</f>
        <v>24.32</v>
      </c>
      <c r="U1949" s="53">
        <f>STOCK[[#This Row],[Costo total]]*1.5</f>
        <v>36.480000000000004</v>
      </c>
      <c r="V1949" s="53">
        <v>35</v>
      </c>
      <c r="W1949" s="75">
        <f>STOCK[[#This Row],[Precio Final]]-STOCK[[#This Row],[Costo total]]</f>
        <v>10.68</v>
      </c>
      <c r="X1949" s="75">
        <f>STOCK[[#This Row],[Ganancia Unitaria]]*STOCK[[#This Row],[Salidas]]</f>
        <v>32.04</v>
      </c>
      <c r="Y1949" s="75"/>
      <c r="Z1949" s="88"/>
      <c r="AA1949" s="54"/>
      <c r="AB1949" s="54"/>
      <c r="AC1949" s="75"/>
      <c r="AD1949" s="96"/>
    </row>
    <row r="1950" spans="1:30" s="53" customFormat="1" ht="50" customHeight="1">
      <c r="A1950" s="93" t="s">
        <v>3844</v>
      </c>
      <c r="B1950" s="83"/>
      <c r="C1950" s="53" t="s">
        <v>32</v>
      </c>
      <c r="D1950" s="84" t="s">
        <v>1212</v>
      </c>
      <c r="E1950" s="104" t="s">
        <v>3842</v>
      </c>
      <c r="F1950" s="103" t="s">
        <v>3845</v>
      </c>
      <c r="G1950" s="75"/>
      <c r="H1950" s="75">
        <f>STOCK[[#This Row],[Precio Final]]</f>
        <v>35</v>
      </c>
      <c r="I1950" s="80">
        <f>STOCK[[#This Row],[Precio Venta Ideal (x1.5)]]</f>
        <v>36.480000000000004</v>
      </c>
      <c r="J1950" s="103">
        <v>4</v>
      </c>
      <c r="K1950" s="78">
        <f>SUMIFS(VENTAS[Cantidad],VENTAS[Código del producto Vendido],STOCK[[#This Row],[Code]])</f>
        <v>2</v>
      </c>
      <c r="L1950" s="78">
        <f>STOCK[[#This Row],[Entradas]]-STOCK[[#This Row],[Salidas]]</f>
        <v>2</v>
      </c>
      <c r="M1950" s="75">
        <f>STOCK[[#This Row],[Precio Final]]*10%</f>
        <v>3.5</v>
      </c>
      <c r="N1950" s="54">
        <v>0</v>
      </c>
      <c r="O1950" s="75">
        <v>0</v>
      </c>
      <c r="P1950" s="110">
        <v>13.82</v>
      </c>
      <c r="Q1950" s="75">
        <v>0</v>
      </c>
      <c r="R1950" s="78">
        <v>0</v>
      </c>
      <c r="S1950" s="111">
        <v>7</v>
      </c>
      <c r="T1950" s="75">
        <f>STOCK[[#This Row],[Costo Unitario (USD)]]+STOCK[[#This Row],[Costo Envío (USD)]]+STOCK[[#This Row],[Comisión 10%]]</f>
        <v>24.32</v>
      </c>
      <c r="U1950" s="53">
        <f>STOCK[[#This Row],[Costo total]]*1.5</f>
        <v>36.480000000000004</v>
      </c>
      <c r="V1950" s="53">
        <v>35</v>
      </c>
      <c r="W1950" s="75">
        <f>STOCK[[#This Row],[Precio Final]]-STOCK[[#This Row],[Costo total]]</f>
        <v>10.68</v>
      </c>
      <c r="X1950" s="75">
        <f>STOCK[[#This Row],[Ganancia Unitaria]]*STOCK[[#This Row],[Salidas]]</f>
        <v>21.36</v>
      </c>
      <c r="Y1950" s="75"/>
      <c r="Z1950" s="88"/>
      <c r="AA1950" s="54"/>
      <c r="AB1950" s="54"/>
      <c r="AC1950" s="75"/>
      <c r="AD1950" s="96"/>
    </row>
    <row r="1951" spans="1:30" s="53" customFormat="1" ht="50" customHeight="1">
      <c r="A1951" s="93" t="s">
        <v>3846</v>
      </c>
      <c r="B1951" s="83"/>
      <c r="C1951" s="53" t="s">
        <v>32</v>
      </c>
      <c r="D1951" s="84" t="s">
        <v>1212</v>
      </c>
      <c r="E1951" s="104" t="s">
        <v>3842</v>
      </c>
      <c r="F1951" s="103" t="s">
        <v>3847</v>
      </c>
      <c r="G1951" s="75"/>
      <c r="H1951" s="75">
        <f>STOCK[[#This Row],[Precio Final]]</f>
        <v>35</v>
      </c>
      <c r="I1951" s="80">
        <f>STOCK[[#This Row],[Precio Venta Ideal (x1.5)]]</f>
        <v>36.480000000000004</v>
      </c>
      <c r="J1951" s="103">
        <v>4</v>
      </c>
      <c r="K1951" s="78">
        <f>SUMIFS(VENTAS[Cantidad],VENTAS[Código del producto Vendido],STOCK[[#This Row],[Code]])</f>
        <v>0</v>
      </c>
      <c r="L1951" s="78">
        <f>STOCK[[#This Row],[Entradas]]-STOCK[[#This Row],[Salidas]]</f>
        <v>4</v>
      </c>
      <c r="M1951" s="75">
        <f>STOCK[[#This Row],[Precio Final]]*10%</f>
        <v>3.5</v>
      </c>
      <c r="N1951" s="54">
        <v>0</v>
      </c>
      <c r="O1951" s="75">
        <v>0</v>
      </c>
      <c r="P1951" s="110">
        <v>13.82</v>
      </c>
      <c r="Q1951" s="75">
        <v>0</v>
      </c>
      <c r="R1951" s="78">
        <v>0</v>
      </c>
      <c r="S1951" s="112">
        <v>7</v>
      </c>
      <c r="T1951" s="75">
        <f>STOCK[[#This Row],[Costo Unitario (USD)]]+STOCK[[#This Row],[Costo Envío (USD)]]+STOCK[[#This Row],[Comisión 10%]]</f>
        <v>24.32</v>
      </c>
      <c r="U1951" s="53">
        <f>STOCK[[#This Row],[Costo total]]*1.5</f>
        <v>36.480000000000004</v>
      </c>
      <c r="V1951" s="53">
        <v>35</v>
      </c>
      <c r="W1951" s="75">
        <f>STOCK[[#This Row],[Precio Final]]-STOCK[[#This Row],[Costo total]]</f>
        <v>10.68</v>
      </c>
      <c r="X1951" s="75">
        <f>STOCK[[#This Row],[Ganancia Unitaria]]*STOCK[[#This Row],[Salidas]]</f>
        <v>0</v>
      </c>
      <c r="Y1951" s="75"/>
      <c r="Z1951" s="88"/>
      <c r="AA1951" s="54"/>
      <c r="AB1951" s="54"/>
      <c r="AC1951" s="75"/>
      <c r="AD1951" s="96"/>
    </row>
    <row r="1952" spans="1:30" s="53" customFormat="1" ht="50" customHeight="1">
      <c r="A1952" s="93" t="s">
        <v>3848</v>
      </c>
      <c r="B1952" s="83"/>
      <c r="C1952" s="53" t="s">
        <v>32</v>
      </c>
      <c r="D1952" s="84" t="s">
        <v>1212</v>
      </c>
      <c r="E1952" s="104" t="s">
        <v>3842</v>
      </c>
      <c r="F1952" s="103" t="s">
        <v>3849</v>
      </c>
      <c r="G1952" s="75"/>
      <c r="H1952" s="75">
        <f>STOCK[[#This Row],[Precio Final]]</f>
        <v>35</v>
      </c>
      <c r="I1952" s="80">
        <f>STOCK[[#This Row],[Precio Venta Ideal (x1.5)]]</f>
        <v>36.480000000000004</v>
      </c>
      <c r="J1952" s="103">
        <v>4</v>
      </c>
      <c r="K1952" s="78">
        <f>SUMIFS(VENTAS[Cantidad],VENTAS[Código del producto Vendido],STOCK[[#This Row],[Code]])</f>
        <v>0</v>
      </c>
      <c r="L1952" s="78">
        <f>STOCK[[#This Row],[Entradas]]-STOCK[[#This Row],[Salidas]]</f>
        <v>4</v>
      </c>
      <c r="M1952" s="75">
        <f>STOCK[[#This Row],[Precio Final]]*10%</f>
        <v>3.5</v>
      </c>
      <c r="N1952" s="54">
        <v>0</v>
      </c>
      <c r="O1952" s="75">
        <v>0</v>
      </c>
      <c r="P1952" s="110">
        <v>13.82</v>
      </c>
      <c r="Q1952" s="75">
        <v>0</v>
      </c>
      <c r="R1952" s="78">
        <v>0</v>
      </c>
      <c r="S1952" s="111">
        <v>7</v>
      </c>
      <c r="T1952" s="75">
        <f>STOCK[[#This Row],[Costo Unitario (USD)]]+STOCK[[#This Row],[Costo Envío (USD)]]+STOCK[[#This Row],[Comisión 10%]]</f>
        <v>24.32</v>
      </c>
      <c r="U1952" s="53">
        <f>STOCK[[#This Row],[Costo total]]*1.5</f>
        <v>36.480000000000004</v>
      </c>
      <c r="V1952" s="53">
        <v>35</v>
      </c>
      <c r="W1952" s="75">
        <f>STOCK[[#This Row],[Precio Final]]-STOCK[[#This Row],[Costo total]]</f>
        <v>10.68</v>
      </c>
      <c r="X1952" s="75">
        <f>STOCK[[#This Row],[Ganancia Unitaria]]*STOCK[[#This Row],[Salidas]]</f>
        <v>0</v>
      </c>
      <c r="Y1952" s="75"/>
      <c r="Z1952" s="88"/>
      <c r="AA1952" s="54"/>
      <c r="AB1952" s="54"/>
      <c r="AC1952" s="75"/>
      <c r="AD1952" s="96"/>
    </row>
    <row r="1953" spans="1:30" s="53" customFormat="1" ht="50" customHeight="1">
      <c r="A1953" s="93" t="s">
        <v>3850</v>
      </c>
      <c r="B1953" s="83"/>
      <c r="C1953" s="53" t="s">
        <v>32</v>
      </c>
      <c r="D1953" s="84" t="s">
        <v>2119</v>
      </c>
      <c r="E1953" s="104" t="s">
        <v>3851</v>
      </c>
      <c r="F1953" s="103" t="s">
        <v>62</v>
      </c>
      <c r="G1953" s="75"/>
      <c r="H1953" s="75">
        <f>STOCK[[#This Row],[Precio Final]]</f>
        <v>30</v>
      </c>
      <c r="I1953" s="80">
        <f>STOCK[[#This Row],[Precio Venta Ideal (x1.5)]]</f>
        <v>27.179999999999996</v>
      </c>
      <c r="J1953" s="103">
        <v>3</v>
      </c>
      <c r="K1953" s="78">
        <f>SUMIFS(VENTAS[Cantidad],VENTAS[Código del producto Vendido],STOCK[[#This Row],[Code]])</f>
        <v>1</v>
      </c>
      <c r="L1953" s="78">
        <f>STOCK[[#This Row],[Entradas]]-STOCK[[#This Row],[Salidas]]</f>
        <v>2</v>
      </c>
      <c r="M1953" s="75">
        <f>STOCK[[#This Row],[Precio Final]]*10%</f>
        <v>3</v>
      </c>
      <c r="N1953" s="54">
        <v>0</v>
      </c>
      <c r="O1953" s="75">
        <v>0</v>
      </c>
      <c r="P1953" s="110">
        <v>10.119999999999999</v>
      </c>
      <c r="Q1953" s="75">
        <v>0</v>
      </c>
      <c r="R1953" s="78">
        <v>0</v>
      </c>
      <c r="S1953" s="112">
        <v>5</v>
      </c>
      <c r="T1953" s="75">
        <f>STOCK[[#This Row],[Costo Unitario (USD)]]+STOCK[[#This Row],[Costo Envío (USD)]]+STOCK[[#This Row],[Comisión 10%]]</f>
        <v>18.119999999999997</v>
      </c>
      <c r="U1953" s="53">
        <f>STOCK[[#This Row],[Costo total]]*1.5</f>
        <v>27.179999999999996</v>
      </c>
      <c r="V1953" s="53">
        <v>30</v>
      </c>
      <c r="W1953" s="75">
        <f>STOCK[[#This Row],[Precio Final]]-STOCK[[#This Row],[Costo total]]</f>
        <v>11.880000000000003</v>
      </c>
      <c r="X1953" s="75">
        <f>STOCK[[#This Row],[Ganancia Unitaria]]*STOCK[[#This Row],[Salidas]]</f>
        <v>11.880000000000003</v>
      </c>
      <c r="Y1953" s="75"/>
      <c r="Z1953" s="88"/>
      <c r="AA1953" s="54"/>
      <c r="AB1953" s="54"/>
      <c r="AC1953" s="75"/>
      <c r="AD1953" s="96"/>
    </row>
    <row r="1954" spans="1:30" s="53" customFormat="1" ht="50" customHeight="1">
      <c r="A1954" s="93" t="s">
        <v>3852</v>
      </c>
      <c r="B1954" s="83"/>
      <c r="C1954" s="53" t="s">
        <v>32</v>
      </c>
      <c r="D1954" s="84" t="s">
        <v>2119</v>
      </c>
      <c r="E1954" s="104" t="s">
        <v>3851</v>
      </c>
      <c r="F1954" s="103" t="s">
        <v>49</v>
      </c>
      <c r="G1954" s="75"/>
      <c r="H1954" s="75">
        <f>STOCK[[#This Row],[Precio Final]]</f>
        <v>30</v>
      </c>
      <c r="I1954" s="80">
        <f>STOCK[[#This Row],[Precio Venta Ideal (x1.5)]]</f>
        <v>27.179999999999996</v>
      </c>
      <c r="J1954" s="103">
        <v>3</v>
      </c>
      <c r="K1954" s="78">
        <f>SUMIFS(VENTAS[Cantidad],VENTAS[Código del producto Vendido],STOCK[[#This Row],[Code]])</f>
        <v>2</v>
      </c>
      <c r="L1954" s="78">
        <f>STOCK[[#This Row],[Entradas]]-STOCK[[#This Row],[Salidas]]</f>
        <v>1</v>
      </c>
      <c r="M1954" s="75">
        <f>STOCK[[#This Row],[Precio Final]]*10%</f>
        <v>3</v>
      </c>
      <c r="N1954" s="54">
        <v>0</v>
      </c>
      <c r="O1954" s="75">
        <v>0</v>
      </c>
      <c r="P1954" s="110">
        <v>10.119999999999999</v>
      </c>
      <c r="Q1954" s="75">
        <v>0</v>
      </c>
      <c r="R1954" s="78">
        <v>0</v>
      </c>
      <c r="S1954" s="111">
        <v>5</v>
      </c>
      <c r="T1954" s="75">
        <f>STOCK[[#This Row],[Costo Unitario (USD)]]+STOCK[[#This Row],[Costo Envío (USD)]]+STOCK[[#This Row],[Comisión 10%]]</f>
        <v>18.119999999999997</v>
      </c>
      <c r="U1954" s="53">
        <f>STOCK[[#This Row],[Costo total]]*1.5</f>
        <v>27.179999999999996</v>
      </c>
      <c r="V1954" s="53">
        <v>30</v>
      </c>
      <c r="W1954" s="75">
        <f>STOCK[[#This Row],[Precio Final]]-STOCK[[#This Row],[Costo total]]</f>
        <v>11.880000000000003</v>
      </c>
      <c r="X1954" s="75">
        <f>STOCK[[#This Row],[Ganancia Unitaria]]*STOCK[[#This Row],[Salidas]]</f>
        <v>23.760000000000005</v>
      </c>
      <c r="Y1954" s="75"/>
      <c r="Z1954" s="88"/>
      <c r="AA1954" s="54"/>
      <c r="AB1954" s="54"/>
      <c r="AC1954" s="75"/>
      <c r="AD1954" s="96"/>
    </row>
    <row r="1955" spans="1:30" s="53" customFormat="1" ht="50" customHeight="1">
      <c r="A1955" s="93" t="s">
        <v>3853</v>
      </c>
      <c r="B1955" s="83"/>
      <c r="C1955" s="53" t="s">
        <v>32</v>
      </c>
      <c r="D1955" s="84" t="s">
        <v>2119</v>
      </c>
      <c r="E1955" s="104" t="s">
        <v>3851</v>
      </c>
      <c r="F1955" s="103" t="s">
        <v>46</v>
      </c>
      <c r="G1955" s="75"/>
      <c r="H1955" s="75">
        <f>STOCK[[#This Row],[Precio Final]]</f>
        <v>30</v>
      </c>
      <c r="I1955" s="80">
        <f>STOCK[[#This Row],[Precio Venta Ideal (x1.5)]]</f>
        <v>25.679999999999996</v>
      </c>
      <c r="J1955" s="103">
        <v>3</v>
      </c>
      <c r="K1955" s="78">
        <f>SUMIFS(VENTAS[Cantidad],VENTAS[Código del producto Vendido],STOCK[[#This Row],[Code]])</f>
        <v>0</v>
      </c>
      <c r="L1955" s="78">
        <f>STOCK[[#This Row],[Entradas]]-STOCK[[#This Row],[Salidas]]</f>
        <v>3</v>
      </c>
      <c r="M1955" s="75">
        <f>STOCK[[#This Row],[Precio Final]]*10%</f>
        <v>3</v>
      </c>
      <c r="N1955" s="54">
        <v>0</v>
      </c>
      <c r="O1955" s="75">
        <v>0</v>
      </c>
      <c r="P1955" s="110">
        <v>10.119999999999999</v>
      </c>
      <c r="Q1955" s="75">
        <v>0</v>
      </c>
      <c r="R1955" s="78">
        <v>0</v>
      </c>
      <c r="S1955" s="112">
        <v>4</v>
      </c>
      <c r="T1955" s="75">
        <f>STOCK[[#This Row],[Costo Unitario (USD)]]+STOCK[[#This Row],[Costo Envío (USD)]]+STOCK[[#This Row],[Comisión 10%]]</f>
        <v>17.119999999999997</v>
      </c>
      <c r="U1955" s="53">
        <f>STOCK[[#This Row],[Costo total]]*1.5</f>
        <v>25.679999999999996</v>
      </c>
      <c r="V1955" s="53">
        <v>30</v>
      </c>
      <c r="W1955" s="75">
        <f>STOCK[[#This Row],[Precio Final]]-STOCK[[#This Row],[Costo total]]</f>
        <v>12.880000000000003</v>
      </c>
      <c r="X1955" s="75">
        <f>STOCK[[#This Row],[Ganancia Unitaria]]*STOCK[[#This Row],[Salidas]]</f>
        <v>0</v>
      </c>
      <c r="Y1955" s="75"/>
      <c r="Z1955" s="88"/>
      <c r="AA1955" s="54"/>
      <c r="AB1955" s="54"/>
      <c r="AC1955" s="75"/>
      <c r="AD1955" s="96"/>
    </row>
    <row r="1956" spans="1:30" s="53" customFormat="1" ht="50" customHeight="1">
      <c r="A1956" s="93" t="s">
        <v>3854</v>
      </c>
      <c r="B1956" s="83"/>
      <c r="C1956" s="53" t="s">
        <v>32</v>
      </c>
      <c r="D1956" s="84" t="s">
        <v>2898</v>
      </c>
      <c r="E1956" s="104" t="s">
        <v>3855</v>
      </c>
      <c r="F1956" s="103" t="s">
        <v>62</v>
      </c>
      <c r="G1956" s="75"/>
      <c r="H1956" s="75">
        <f>STOCK[[#This Row],[Precio Final]]</f>
        <v>3</v>
      </c>
      <c r="I1956" s="80">
        <f>STOCK[[#This Row],[Precio Venta Ideal (x1.5)]]</f>
        <v>2.625</v>
      </c>
      <c r="J1956" s="103">
        <v>2</v>
      </c>
      <c r="K1956" s="78">
        <f>SUMIFS(VENTAS[Cantidad],VENTAS[Código del producto Vendido],STOCK[[#This Row],[Code]])</f>
        <v>0</v>
      </c>
      <c r="L1956" s="78">
        <f>STOCK[[#This Row],[Entradas]]-STOCK[[#This Row],[Salidas]]</f>
        <v>2</v>
      </c>
      <c r="M1956" s="75">
        <f>STOCK[[#This Row],[Precio Final]]*10%</f>
        <v>0.30000000000000004</v>
      </c>
      <c r="N1956" s="54">
        <v>0</v>
      </c>
      <c r="O1956" s="75">
        <v>0</v>
      </c>
      <c r="P1956" s="110">
        <v>0.95</v>
      </c>
      <c r="Q1956" s="75">
        <v>0</v>
      </c>
      <c r="R1956" s="78">
        <v>0</v>
      </c>
      <c r="S1956" s="111">
        <v>0.5</v>
      </c>
      <c r="T1956" s="75">
        <f>STOCK[[#This Row],[Costo Unitario (USD)]]+STOCK[[#This Row],[Costo Envío (USD)]]+STOCK[[#This Row],[Comisión 10%]]</f>
        <v>1.75</v>
      </c>
      <c r="U1956" s="53">
        <f>STOCK[[#This Row],[Costo total]]*1.5</f>
        <v>2.625</v>
      </c>
      <c r="V1956" s="53">
        <v>3</v>
      </c>
      <c r="W1956" s="75">
        <f>STOCK[[#This Row],[Precio Final]]-STOCK[[#This Row],[Costo total]]</f>
        <v>1.25</v>
      </c>
      <c r="X1956" s="75">
        <f>STOCK[[#This Row],[Ganancia Unitaria]]*STOCK[[#This Row],[Salidas]]</f>
        <v>0</v>
      </c>
      <c r="Y1956" s="75"/>
      <c r="Z1956" s="88"/>
      <c r="AA1956" s="54"/>
      <c r="AB1956" s="54"/>
      <c r="AC1956" s="75"/>
      <c r="AD1956" s="96"/>
    </row>
    <row r="1957" spans="1:30" s="53" customFormat="1" ht="50" customHeight="1">
      <c r="A1957" s="93" t="s">
        <v>3856</v>
      </c>
      <c r="B1957" s="83"/>
      <c r="C1957" s="53" t="s">
        <v>32</v>
      </c>
      <c r="D1957" s="84" t="s">
        <v>2898</v>
      </c>
      <c r="E1957" s="104" t="s">
        <v>3855</v>
      </c>
      <c r="F1957" s="103" t="s">
        <v>49</v>
      </c>
      <c r="G1957" s="75"/>
      <c r="H1957" s="75">
        <f>STOCK[[#This Row],[Precio Final]]</f>
        <v>3</v>
      </c>
      <c r="I1957" s="80">
        <f>STOCK[[#This Row],[Precio Venta Ideal (x1.5)]]</f>
        <v>2.625</v>
      </c>
      <c r="J1957" s="103">
        <v>3</v>
      </c>
      <c r="K1957" s="78">
        <f>SUMIFS(VENTAS[Cantidad],VENTAS[Código del producto Vendido],STOCK[[#This Row],[Code]])</f>
        <v>0</v>
      </c>
      <c r="L1957" s="78">
        <f>STOCK[[#This Row],[Entradas]]-STOCK[[#This Row],[Salidas]]</f>
        <v>3</v>
      </c>
      <c r="M1957" s="75">
        <f>STOCK[[#This Row],[Precio Final]]*10%</f>
        <v>0.30000000000000004</v>
      </c>
      <c r="N1957" s="54">
        <v>0</v>
      </c>
      <c r="O1957" s="75">
        <v>0</v>
      </c>
      <c r="P1957" s="110">
        <v>0.95</v>
      </c>
      <c r="Q1957" s="75">
        <v>0</v>
      </c>
      <c r="R1957" s="78">
        <v>0</v>
      </c>
      <c r="S1957" s="112">
        <v>0.5</v>
      </c>
      <c r="T1957" s="75">
        <f>STOCK[[#This Row],[Costo Unitario (USD)]]+STOCK[[#This Row],[Costo Envío (USD)]]+STOCK[[#This Row],[Comisión 10%]]</f>
        <v>1.75</v>
      </c>
      <c r="U1957" s="53">
        <f>STOCK[[#This Row],[Costo total]]*1.5</f>
        <v>2.625</v>
      </c>
      <c r="V1957" s="53">
        <v>3</v>
      </c>
      <c r="W1957" s="75">
        <f>STOCK[[#This Row],[Precio Final]]-STOCK[[#This Row],[Costo total]]</f>
        <v>1.25</v>
      </c>
      <c r="X1957" s="75">
        <f>STOCK[[#This Row],[Ganancia Unitaria]]*STOCK[[#This Row],[Salidas]]</f>
        <v>0</v>
      </c>
      <c r="Y1957" s="75"/>
      <c r="Z1957" s="88"/>
      <c r="AA1957" s="54"/>
      <c r="AB1957" s="54"/>
      <c r="AC1957" s="75"/>
      <c r="AD1957" s="96"/>
    </row>
    <row r="1958" spans="1:30" s="53" customFormat="1" ht="50" customHeight="1">
      <c r="A1958" s="93" t="s">
        <v>3857</v>
      </c>
      <c r="B1958" s="83"/>
      <c r="C1958" s="53" t="s">
        <v>32</v>
      </c>
      <c r="D1958" s="84" t="s">
        <v>2898</v>
      </c>
      <c r="E1958" s="104" t="s">
        <v>3855</v>
      </c>
      <c r="F1958" s="103" t="s">
        <v>46</v>
      </c>
      <c r="G1958" s="75"/>
      <c r="H1958" s="75">
        <f>STOCK[[#This Row],[Precio Final]]</f>
        <v>3</v>
      </c>
      <c r="I1958" s="80">
        <f>STOCK[[#This Row],[Precio Venta Ideal (x1.5)]]</f>
        <v>2.625</v>
      </c>
      <c r="J1958" s="103">
        <v>3</v>
      </c>
      <c r="K1958" s="78">
        <f>SUMIFS(VENTAS[Cantidad],VENTAS[Código del producto Vendido],STOCK[[#This Row],[Code]])</f>
        <v>1</v>
      </c>
      <c r="L1958" s="78">
        <f>STOCK[[#This Row],[Entradas]]-STOCK[[#This Row],[Salidas]]</f>
        <v>2</v>
      </c>
      <c r="M1958" s="75">
        <f>STOCK[[#This Row],[Precio Final]]*10%</f>
        <v>0.30000000000000004</v>
      </c>
      <c r="N1958" s="54">
        <v>0</v>
      </c>
      <c r="O1958" s="75">
        <v>0</v>
      </c>
      <c r="P1958" s="110">
        <v>0.95</v>
      </c>
      <c r="Q1958" s="75">
        <v>0</v>
      </c>
      <c r="R1958" s="78">
        <v>0</v>
      </c>
      <c r="S1958" s="111">
        <v>0.5</v>
      </c>
      <c r="T1958" s="75">
        <f>STOCK[[#This Row],[Costo Unitario (USD)]]+STOCK[[#This Row],[Costo Envío (USD)]]+STOCK[[#This Row],[Comisión 10%]]</f>
        <v>1.75</v>
      </c>
      <c r="U1958" s="53">
        <f>STOCK[[#This Row],[Costo total]]*1.5</f>
        <v>2.625</v>
      </c>
      <c r="V1958" s="53">
        <v>3</v>
      </c>
      <c r="W1958" s="75">
        <f>STOCK[[#This Row],[Precio Final]]-STOCK[[#This Row],[Costo total]]</f>
        <v>1.25</v>
      </c>
      <c r="X1958" s="75">
        <f>STOCK[[#This Row],[Ganancia Unitaria]]*STOCK[[#This Row],[Salidas]]</f>
        <v>1.25</v>
      </c>
      <c r="Y1958" s="75"/>
      <c r="Z1958" s="88"/>
      <c r="AA1958" s="54"/>
      <c r="AB1958" s="54"/>
      <c r="AC1958" s="75"/>
      <c r="AD1958" s="96"/>
    </row>
    <row r="1959" spans="1:30" s="53" customFormat="1" ht="50" customHeight="1">
      <c r="A1959" s="93" t="s">
        <v>3858</v>
      </c>
      <c r="B1959" s="83"/>
      <c r="C1959" s="53" t="s">
        <v>32</v>
      </c>
      <c r="D1959" s="84" t="s">
        <v>2898</v>
      </c>
      <c r="E1959" s="104" t="s">
        <v>3855</v>
      </c>
      <c r="F1959" s="103" t="s">
        <v>42</v>
      </c>
      <c r="G1959" s="75"/>
      <c r="H1959" s="75">
        <f>STOCK[[#This Row],[Precio Final]]</f>
        <v>3</v>
      </c>
      <c r="I1959" s="80">
        <f>STOCK[[#This Row],[Precio Venta Ideal (x1.5)]]</f>
        <v>2.625</v>
      </c>
      <c r="J1959" s="103">
        <v>3</v>
      </c>
      <c r="K1959" s="78">
        <f>SUMIFS(VENTAS[Cantidad],VENTAS[Código del producto Vendido],STOCK[[#This Row],[Code]])</f>
        <v>1</v>
      </c>
      <c r="L1959" s="78">
        <f>STOCK[[#This Row],[Entradas]]-STOCK[[#This Row],[Salidas]]</f>
        <v>2</v>
      </c>
      <c r="M1959" s="75">
        <f>STOCK[[#This Row],[Precio Final]]*10%</f>
        <v>0.30000000000000004</v>
      </c>
      <c r="N1959" s="54">
        <v>0</v>
      </c>
      <c r="O1959" s="75">
        <v>0</v>
      </c>
      <c r="P1959" s="110">
        <v>0.95</v>
      </c>
      <c r="Q1959" s="75">
        <v>0</v>
      </c>
      <c r="R1959" s="78">
        <v>0</v>
      </c>
      <c r="S1959" s="112">
        <v>0.5</v>
      </c>
      <c r="T1959" s="75">
        <f>STOCK[[#This Row],[Costo Unitario (USD)]]+STOCK[[#This Row],[Costo Envío (USD)]]+STOCK[[#This Row],[Comisión 10%]]</f>
        <v>1.75</v>
      </c>
      <c r="U1959" s="53">
        <f>STOCK[[#This Row],[Costo total]]*1.5</f>
        <v>2.625</v>
      </c>
      <c r="V1959" s="53">
        <v>3</v>
      </c>
      <c r="W1959" s="75">
        <f>STOCK[[#This Row],[Precio Final]]-STOCK[[#This Row],[Costo total]]</f>
        <v>1.25</v>
      </c>
      <c r="X1959" s="75">
        <f>STOCK[[#This Row],[Ganancia Unitaria]]*STOCK[[#This Row],[Salidas]]</f>
        <v>1.25</v>
      </c>
      <c r="Y1959" s="75"/>
      <c r="Z1959" s="88"/>
      <c r="AA1959" s="54"/>
      <c r="AB1959" s="54"/>
      <c r="AC1959" s="75"/>
      <c r="AD1959" s="96"/>
    </row>
    <row r="1960" spans="1:30" s="53" customFormat="1" ht="50" customHeight="1">
      <c r="A1960" s="93" t="s">
        <v>3859</v>
      </c>
      <c r="B1960" s="83"/>
      <c r="C1960" s="53" t="s">
        <v>32</v>
      </c>
      <c r="D1960" s="84" t="s">
        <v>2898</v>
      </c>
      <c r="E1960" s="104" t="s">
        <v>3855</v>
      </c>
      <c r="F1960" s="103" t="s">
        <v>281</v>
      </c>
      <c r="G1960" s="75"/>
      <c r="H1960" s="75">
        <f>STOCK[[#This Row],[Precio Final]]</f>
        <v>3</v>
      </c>
      <c r="I1960" s="80">
        <f>STOCK[[#This Row],[Precio Venta Ideal (x1.5)]]</f>
        <v>2.625</v>
      </c>
      <c r="J1960" s="103">
        <v>3</v>
      </c>
      <c r="K1960" s="78">
        <f>SUMIFS(VENTAS[Cantidad],VENTAS[Código del producto Vendido],STOCK[[#This Row],[Code]])</f>
        <v>0</v>
      </c>
      <c r="L1960" s="78">
        <f>STOCK[[#This Row],[Entradas]]-STOCK[[#This Row],[Salidas]]</f>
        <v>3</v>
      </c>
      <c r="M1960" s="75">
        <f>STOCK[[#This Row],[Precio Final]]*10%</f>
        <v>0.30000000000000004</v>
      </c>
      <c r="N1960" s="54">
        <v>0</v>
      </c>
      <c r="O1960" s="75">
        <v>0</v>
      </c>
      <c r="P1960" s="110">
        <v>0.95</v>
      </c>
      <c r="Q1960" s="75">
        <v>0</v>
      </c>
      <c r="R1960" s="78">
        <v>0</v>
      </c>
      <c r="S1960" s="111">
        <v>0.5</v>
      </c>
      <c r="T1960" s="75">
        <f>STOCK[[#This Row],[Costo Unitario (USD)]]+STOCK[[#This Row],[Costo Envío (USD)]]+STOCK[[#This Row],[Comisión 10%]]</f>
        <v>1.75</v>
      </c>
      <c r="U1960" s="53">
        <f>STOCK[[#This Row],[Costo total]]*1.5</f>
        <v>2.625</v>
      </c>
      <c r="V1960" s="53">
        <v>3</v>
      </c>
      <c r="W1960" s="75">
        <f>STOCK[[#This Row],[Precio Final]]-STOCK[[#This Row],[Costo total]]</f>
        <v>1.25</v>
      </c>
      <c r="X1960" s="75">
        <f>STOCK[[#This Row],[Ganancia Unitaria]]*STOCK[[#This Row],[Salidas]]</f>
        <v>0</v>
      </c>
      <c r="Y1960" s="75"/>
      <c r="Z1960" s="88"/>
      <c r="AA1960" s="54"/>
      <c r="AB1960" s="54"/>
      <c r="AC1960" s="75"/>
      <c r="AD1960" s="96"/>
    </row>
    <row r="1961" spans="1:30" s="53" customFormat="1" ht="50" customHeight="1">
      <c r="A1961" s="93" t="s">
        <v>3860</v>
      </c>
      <c r="B1961" s="83"/>
      <c r="C1961" s="53" t="s">
        <v>32</v>
      </c>
      <c r="D1961" s="84" t="s">
        <v>2898</v>
      </c>
      <c r="E1961" s="104" t="s">
        <v>3861</v>
      </c>
      <c r="F1961" s="103" t="s">
        <v>62</v>
      </c>
      <c r="G1961" s="75"/>
      <c r="H1961" s="75">
        <f>STOCK[[#This Row],[Precio Final]]</f>
        <v>3</v>
      </c>
      <c r="I1961" s="80">
        <f>STOCK[[#This Row],[Precio Venta Ideal (x1.5)]]</f>
        <v>2.625</v>
      </c>
      <c r="J1961" s="103">
        <v>2</v>
      </c>
      <c r="K1961" s="78">
        <f>SUMIFS(VENTAS[Cantidad],VENTAS[Código del producto Vendido],STOCK[[#This Row],[Code]])</f>
        <v>0</v>
      </c>
      <c r="L1961" s="78">
        <f>STOCK[[#This Row],[Entradas]]-STOCK[[#This Row],[Salidas]]</f>
        <v>2</v>
      </c>
      <c r="M1961" s="75">
        <f>STOCK[[#This Row],[Precio Final]]*10%</f>
        <v>0.30000000000000004</v>
      </c>
      <c r="N1961" s="54">
        <v>0</v>
      </c>
      <c r="O1961" s="75">
        <v>0</v>
      </c>
      <c r="P1961" s="110">
        <v>0.95</v>
      </c>
      <c r="Q1961" s="75">
        <v>0</v>
      </c>
      <c r="R1961" s="78">
        <v>0</v>
      </c>
      <c r="S1961" s="112">
        <v>0.5</v>
      </c>
      <c r="T1961" s="75">
        <f>STOCK[[#This Row],[Costo Unitario (USD)]]+STOCK[[#This Row],[Costo Envío (USD)]]+STOCK[[#This Row],[Comisión 10%]]</f>
        <v>1.75</v>
      </c>
      <c r="U1961" s="53">
        <f>STOCK[[#This Row],[Costo total]]*1.5</f>
        <v>2.625</v>
      </c>
      <c r="V1961" s="53">
        <v>3</v>
      </c>
      <c r="W1961" s="75">
        <f>STOCK[[#This Row],[Precio Final]]-STOCK[[#This Row],[Costo total]]</f>
        <v>1.25</v>
      </c>
      <c r="X1961" s="75">
        <f>STOCK[[#This Row],[Ganancia Unitaria]]*STOCK[[#This Row],[Salidas]]</f>
        <v>0</v>
      </c>
      <c r="Y1961" s="75"/>
      <c r="Z1961" s="88"/>
      <c r="AA1961" s="54"/>
      <c r="AB1961" s="54"/>
      <c r="AC1961" s="75"/>
      <c r="AD1961" s="96"/>
    </row>
    <row r="1962" spans="1:30" s="53" customFormat="1" ht="50" customHeight="1">
      <c r="A1962" s="93" t="s">
        <v>3862</v>
      </c>
      <c r="B1962" s="83"/>
      <c r="C1962" s="53" t="s">
        <v>32</v>
      </c>
      <c r="D1962" s="84" t="s">
        <v>2898</v>
      </c>
      <c r="E1962" s="104" t="s">
        <v>3861</v>
      </c>
      <c r="F1962" s="103" t="s">
        <v>49</v>
      </c>
      <c r="G1962" s="75"/>
      <c r="H1962" s="75">
        <f>STOCK[[#This Row],[Precio Final]]</f>
        <v>3</v>
      </c>
      <c r="I1962" s="80">
        <f>STOCK[[#This Row],[Precio Venta Ideal (x1.5)]]</f>
        <v>2.625</v>
      </c>
      <c r="J1962" s="103">
        <v>3</v>
      </c>
      <c r="K1962" s="78">
        <f>SUMIFS(VENTAS[Cantidad],VENTAS[Código del producto Vendido],STOCK[[#This Row],[Code]])</f>
        <v>0</v>
      </c>
      <c r="L1962" s="78">
        <f>STOCK[[#This Row],[Entradas]]-STOCK[[#This Row],[Salidas]]</f>
        <v>3</v>
      </c>
      <c r="M1962" s="75">
        <f>STOCK[[#This Row],[Precio Final]]*10%</f>
        <v>0.30000000000000004</v>
      </c>
      <c r="N1962" s="54">
        <v>0</v>
      </c>
      <c r="O1962" s="75">
        <v>0</v>
      </c>
      <c r="P1962" s="110">
        <v>0.95</v>
      </c>
      <c r="Q1962" s="75">
        <v>0</v>
      </c>
      <c r="R1962" s="78">
        <v>0</v>
      </c>
      <c r="S1962" s="111">
        <v>0.5</v>
      </c>
      <c r="T1962" s="75">
        <f>STOCK[[#This Row],[Costo Unitario (USD)]]+STOCK[[#This Row],[Costo Envío (USD)]]+STOCK[[#This Row],[Comisión 10%]]</f>
        <v>1.75</v>
      </c>
      <c r="U1962" s="53">
        <f>STOCK[[#This Row],[Costo total]]*1.5</f>
        <v>2.625</v>
      </c>
      <c r="V1962" s="53">
        <v>3</v>
      </c>
      <c r="W1962" s="75">
        <f>STOCK[[#This Row],[Precio Final]]-STOCK[[#This Row],[Costo total]]</f>
        <v>1.25</v>
      </c>
      <c r="X1962" s="75">
        <f>STOCK[[#This Row],[Ganancia Unitaria]]*STOCK[[#This Row],[Salidas]]</f>
        <v>0</v>
      </c>
      <c r="Y1962" s="75"/>
      <c r="Z1962" s="88"/>
      <c r="AA1962" s="54"/>
      <c r="AB1962" s="54"/>
      <c r="AC1962" s="75"/>
      <c r="AD1962" s="96"/>
    </row>
    <row r="1963" spans="1:30" s="53" customFormat="1" ht="50" customHeight="1">
      <c r="A1963" s="93" t="s">
        <v>3863</v>
      </c>
      <c r="B1963" s="83"/>
      <c r="C1963" s="53" t="s">
        <v>32</v>
      </c>
      <c r="D1963" s="84" t="s">
        <v>2898</v>
      </c>
      <c r="E1963" s="104" t="s">
        <v>3861</v>
      </c>
      <c r="F1963" s="103" t="s">
        <v>46</v>
      </c>
      <c r="G1963" s="75"/>
      <c r="H1963" s="75">
        <f>STOCK[[#This Row],[Precio Final]]</f>
        <v>3</v>
      </c>
      <c r="I1963" s="80">
        <f>STOCK[[#This Row],[Precio Venta Ideal (x1.5)]]</f>
        <v>2.625</v>
      </c>
      <c r="J1963" s="103">
        <v>3</v>
      </c>
      <c r="K1963" s="78">
        <f>SUMIFS(VENTAS[Cantidad],VENTAS[Código del producto Vendido],STOCK[[#This Row],[Code]])</f>
        <v>1</v>
      </c>
      <c r="L1963" s="78">
        <f>STOCK[[#This Row],[Entradas]]-STOCK[[#This Row],[Salidas]]</f>
        <v>2</v>
      </c>
      <c r="M1963" s="75">
        <f>STOCK[[#This Row],[Precio Final]]*10%</f>
        <v>0.30000000000000004</v>
      </c>
      <c r="N1963" s="54">
        <v>0</v>
      </c>
      <c r="O1963" s="75">
        <v>0</v>
      </c>
      <c r="P1963" s="110">
        <v>0.95</v>
      </c>
      <c r="Q1963" s="75">
        <v>0</v>
      </c>
      <c r="R1963" s="78">
        <v>0</v>
      </c>
      <c r="S1963" s="112">
        <v>0.5</v>
      </c>
      <c r="T1963" s="75">
        <f>STOCK[[#This Row],[Costo Unitario (USD)]]+STOCK[[#This Row],[Costo Envío (USD)]]+STOCK[[#This Row],[Comisión 10%]]</f>
        <v>1.75</v>
      </c>
      <c r="U1963" s="53">
        <f>STOCK[[#This Row],[Costo total]]*1.5</f>
        <v>2.625</v>
      </c>
      <c r="V1963" s="53">
        <v>3</v>
      </c>
      <c r="W1963" s="75">
        <f>STOCK[[#This Row],[Precio Final]]-STOCK[[#This Row],[Costo total]]</f>
        <v>1.25</v>
      </c>
      <c r="X1963" s="75">
        <f>STOCK[[#This Row],[Ganancia Unitaria]]*STOCK[[#This Row],[Salidas]]</f>
        <v>1.25</v>
      </c>
      <c r="Y1963" s="75"/>
      <c r="Z1963" s="88"/>
      <c r="AA1963" s="54"/>
      <c r="AB1963" s="54"/>
      <c r="AC1963" s="75"/>
      <c r="AD1963" s="96"/>
    </row>
    <row r="1964" spans="1:30" s="53" customFormat="1" ht="50" customHeight="1">
      <c r="A1964" s="93" t="s">
        <v>3864</v>
      </c>
      <c r="B1964" s="83"/>
      <c r="C1964" s="53" t="s">
        <v>32</v>
      </c>
      <c r="D1964" s="84" t="s">
        <v>2898</v>
      </c>
      <c r="E1964" s="104" t="s">
        <v>3861</v>
      </c>
      <c r="F1964" s="103" t="s">
        <v>42</v>
      </c>
      <c r="G1964" s="75"/>
      <c r="H1964" s="75">
        <f>STOCK[[#This Row],[Precio Final]]</f>
        <v>3</v>
      </c>
      <c r="I1964" s="80">
        <f>STOCK[[#This Row],[Precio Venta Ideal (x1.5)]]</f>
        <v>2.625</v>
      </c>
      <c r="J1964" s="103">
        <v>3</v>
      </c>
      <c r="K1964" s="78">
        <f>SUMIFS(VENTAS[Cantidad],VENTAS[Código del producto Vendido],STOCK[[#This Row],[Code]])</f>
        <v>1</v>
      </c>
      <c r="L1964" s="78">
        <f>STOCK[[#This Row],[Entradas]]-STOCK[[#This Row],[Salidas]]</f>
        <v>2</v>
      </c>
      <c r="M1964" s="75">
        <f>STOCK[[#This Row],[Precio Final]]*10%</f>
        <v>0.30000000000000004</v>
      </c>
      <c r="N1964" s="54">
        <v>0</v>
      </c>
      <c r="O1964" s="75">
        <v>0</v>
      </c>
      <c r="P1964" s="110">
        <v>0.95</v>
      </c>
      <c r="Q1964" s="75">
        <v>0</v>
      </c>
      <c r="R1964" s="78">
        <v>0</v>
      </c>
      <c r="S1964" s="111">
        <v>0.5</v>
      </c>
      <c r="T1964" s="75">
        <f>STOCK[[#This Row],[Costo Unitario (USD)]]+STOCK[[#This Row],[Costo Envío (USD)]]+STOCK[[#This Row],[Comisión 10%]]</f>
        <v>1.75</v>
      </c>
      <c r="U1964" s="53">
        <f>STOCK[[#This Row],[Costo total]]*1.5</f>
        <v>2.625</v>
      </c>
      <c r="V1964" s="53">
        <v>3</v>
      </c>
      <c r="W1964" s="75">
        <f>STOCK[[#This Row],[Precio Final]]-STOCK[[#This Row],[Costo total]]</f>
        <v>1.25</v>
      </c>
      <c r="X1964" s="75">
        <f>STOCK[[#This Row],[Ganancia Unitaria]]*STOCK[[#This Row],[Salidas]]</f>
        <v>1.25</v>
      </c>
      <c r="Y1964" s="75"/>
      <c r="Z1964" s="88"/>
      <c r="AA1964" s="54"/>
      <c r="AB1964" s="54"/>
      <c r="AC1964" s="75"/>
      <c r="AD1964" s="96"/>
    </row>
    <row r="1965" spans="1:30" s="53" customFormat="1" ht="50" customHeight="1">
      <c r="A1965" s="93" t="s">
        <v>3865</v>
      </c>
      <c r="B1965" s="83"/>
      <c r="C1965" s="53" t="s">
        <v>32</v>
      </c>
      <c r="D1965" s="84" t="s">
        <v>2898</v>
      </c>
      <c r="E1965" s="104" t="s">
        <v>3861</v>
      </c>
      <c r="F1965" s="103" t="s">
        <v>281</v>
      </c>
      <c r="G1965" s="75"/>
      <c r="H1965" s="75">
        <f>STOCK[[#This Row],[Precio Final]]</f>
        <v>3</v>
      </c>
      <c r="I1965" s="80">
        <f>STOCK[[#This Row],[Precio Venta Ideal (x1.5)]]</f>
        <v>2.625</v>
      </c>
      <c r="J1965" s="103">
        <v>3</v>
      </c>
      <c r="K1965" s="78">
        <f>SUMIFS(VENTAS[Cantidad],VENTAS[Código del producto Vendido],STOCK[[#This Row],[Code]])</f>
        <v>0</v>
      </c>
      <c r="L1965" s="78">
        <f>STOCK[[#This Row],[Entradas]]-STOCK[[#This Row],[Salidas]]</f>
        <v>3</v>
      </c>
      <c r="M1965" s="75">
        <f>STOCK[[#This Row],[Precio Final]]*10%</f>
        <v>0.30000000000000004</v>
      </c>
      <c r="N1965" s="54">
        <v>0</v>
      </c>
      <c r="O1965" s="75">
        <v>0</v>
      </c>
      <c r="P1965" s="110">
        <v>0.95</v>
      </c>
      <c r="Q1965" s="75">
        <v>0</v>
      </c>
      <c r="R1965" s="78">
        <v>0</v>
      </c>
      <c r="S1965" s="112">
        <v>0.5</v>
      </c>
      <c r="T1965" s="75">
        <f>STOCK[[#This Row],[Costo Unitario (USD)]]+STOCK[[#This Row],[Costo Envío (USD)]]+STOCK[[#This Row],[Comisión 10%]]</f>
        <v>1.75</v>
      </c>
      <c r="U1965" s="53">
        <f>STOCK[[#This Row],[Costo total]]*1.5</f>
        <v>2.625</v>
      </c>
      <c r="V1965" s="53">
        <v>3</v>
      </c>
      <c r="W1965" s="75">
        <f>STOCK[[#This Row],[Precio Final]]-STOCK[[#This Row],[Costo total]]</f>
        <v>1.25</v>
      </c>
      <c r="X1965" s="75">
        <f>STOCK[[#This Row],[Ganancia Unitaria]]*STOCK[[#This Row],[Salidas]]</f>
        <v>0</v>
      </c>
      <c r="Y1965" s="75"/>
      <c r="Z1965" s="88"/>
      <c r="AA1965" s="54"/>
      <c r="AB1965" s="54"/>
      <c r="AC1965" s="75"/>
      <c r="AD1965" s="96"/>
    </row>
    <row r="1966" spans="1:30" s="53" customFormat="1" ht="50" customHeight="1">
      <c r="A1966" s="93" t="s">
        <v>3866</v>
      </c>
      <c r="B1966" s="83"/>
      <c r="C1966" s="53" t="s">
        <v>32</v>
      </c>
      <c r="D1966" s="84" t="s">
        <v>2898</v>
      </c>
      <c r="E1966" s="104" t="s">
        <v>3867</v>
      </c>
      <c r="F1966" s="103" t="s">
        <v>62</v>
      </c>
      <c r="G1966" s="75"/>
      <c r="H1966" s="75">
        <f>STOCK[[#This Row],[Precio Final]]</f>
        <v>3</v>
      </c>
      <c r="I1966" s="80">
        <f>STOCK[[#This Row],[Precio Venta Ideal (x1.5)]]</f>
        <v>2.625</v>
      </c>
      <c r="J1966" s="103">
        <v>2</v>
      </c>
      <c r="K1966" s="78">
        <f>SUMIFS(VENTAS[Cantidad],VENTAS[Código del producto Vendido],STOCK[[#This Row],[Code]])</f>
        <v>0</v>
      </c>
      <c r="L1966" s="78">
        <f>STOCK[[#This Row],[Entradas]]-STOCK[[#This Row],[Salidas]]</f>
        <v>2</v>
      </c>
      <c r="M1966" s="75">
        <f>STOCK[[#This Row],[Precio Final]]*10%</f>
        <v>0.30000000000000004</v>
      </c>
      <c r="N1966" s="54">
        <v>0</v>
      </c>
      <c r="O1966" s="75">
        <v>0</v>
      </c>
      <c r="P1966" s="110">
        <v>0.95</v>
      </c>
      <c r="Q1966" s="75">
        <v>0</v>
      </c>
      <c r="R1966" s="78">
        <v>0</v>
      </c>
      <c r="S1966" s="111">
        <v>0.5</v>
      </c>
      <c r="T1966" s="75">
        <f>STOCK[[#This Row],[Costo Unitario (USD)]]+STOCK[[#This Row],[Costo Envío (USD)]]+STOCK[[#This Row],[Comisión 10%]]</f>
        <v>1.75</v>
      </c>
      <c r="U1966" s="53">
        <f>STOCK[[#This Row],[Costo total]]*1.5</f>
        <v>2.625</v>
      </c>
      <c r="V1966" s="53">
        <v>3</v>
      </c>
      <c r="W1966" s="75">
        <f>STOCK[[#This Row],[Precio Final]]-STOCK[[#This Row],[Costo total]]</f>
        <v>1.25</v>
      </c>
      <c r="X1966" s="75">
        <f>STOCK[[#This Row],[Ganancia Unitaria]]*STOCK[[#This Row],[Salidas]]</f>
        <v>0</v>
      </c>
      <c r="Y1966" s="75"/>
      <c r="Z1966" s="88"/>
      <c r="AA1966" s="54"/>
      <c r="AB1966" s="54"/>
      <c r="AC1966" s="75"/>
      <c r="AD1966" s="96"/>
    </row>
    <row r="1967" spans="1:30" s="53" customFormat="1" ht="50" customHeight="1">
      <c r="A1967" s="93" t="s">
        <v>3868</v>
      </c>
      <c r="B1967" s="83"/>
      <c r="C1967" s="53" t="s">
        <v>32</v>
      </c>
      <c r="D1967" s="84" t="s">
        <v>2898</v>
      </c>
      <c r="E1967" s="104" t="s">
        <v>3867</v>
      </c>
      <c r="F1967" s="103" t="s">
        <v>49</v>
      </c>
      <c r="G1967" s="75"/>
      <c r="H1967" s="75">
        <f>STOCK[[#This Row],[Precio Final]]</f>
        <v>3</v>
      </c>
      <c r="I1967" s="80">
        <f>STOCK[[#This Row],[Precio Venta Ideal (x1.5)]]</f>
        <v>2.625</v>
      </c>
      <c r="J1967" s="103">
        <v>3</v>
      </c>
      <c r="K1967" s="78">
        <f>SUMIFS(VENTAS[Cantidad],VENTAS[Código del producto Vendido],STOCK[[#This Row],[Code]])</f>
        <v>0</v>
      </c>
      <c r="L1967" s="78">
        <f>STOCK[[#This Row],[Entradas]]-STOCK[[#This Row],[Salidas]]</f>
        <v>3</v>
      </c>
      <c r="M1967" s="75">
        <f>STOCK[[#This Row],[Precio Final]]*10%</f>
        <v>0.30000000000000004</v>
      </c>
      <c r="N1967" s="54">
        <v>0</v>
      </c>
      <c r="O1967" s="75">
        <v>0</v>
      </c>
      <c r="P1967" s="110">
        <v>0.95</v>
      </c>
      <c r="Q1967" s="75">
        <v>0</v>
      </c>
      <c r="R1967" s="78">
        <v>0</v>
      </c>
      <c r="S1967" s="112">
        <v>0.5</v>
      </c>
      <c r="T1967" s="75">
        <f>STOCK[[#This Row],[Costo Unitario (USD)]]+STOCK[[#This Row],[Costo Envío (USD)]]+STOCK[[#This Row],[Comisión 10%]]</f>
        <v>1.75</v>
      </c>
      <c r="U1967" s="53">
        <f>STOCK[[#This Row],[Costo total]]*1.5</f>
        <v>2.625</v>
      </c>
      <c r="V1967" s="53">
        <v>3</v>
      </c>
      <c r="W1967" s="75">
        <f>STOCK[[#This Row],[Precio Final]]-STOCK[[#This Row],[Costo total]]</f>
        <v>1.25</v>
      </c>
      <c r="X1967" s="75">
        <f>STOCK[[#This Row],[Ganancia Unitaria]]*STOCK[[#This Row],[Salidas]]</f>
        <v>0</v>
      </c>
      <c r="Y1967" s="75"/>
      <c r="Z1967" s="88"/>
      <c r="AA1967" s="54"/>
      <c r="AB1967" s="54"/>
      <c r="AC1967" s="75"/>
      <c r="AD1967" s="96"/>
    </row>
    <row r="1968" spans="1:30" s="53" customFormat="1" ht="50" customHeight="1">
      <c r="A1968" s="93" t="s">
        <v>3869</v>
      </c>
      <c r="B1968" s="83"/>
      <c r="C1968" s="53" t="s">
        <v>32</v>
      </c>
      <c r="D1968" s="84" t="s">
        <v>2898</v>
      </c>
      <c r="E1968" s="104" t="s">
        <v>3867</v>
      </c>
      <c r="F1968" s="103" t="s">
        <v>46</v>
      </c>
      <c r="G1968" s="75"/>
      <c r="H1968" s="75">
        <f>STOCK[[#This Row],[Precio Final]]</f>
        <v>3</v>
      </c>
      <c r="I1968" s="80">
        <f>STOCK[[#This Row],[Precio Venta Ideal (x1.5)]]</f>
        <v>2.625</v>
      </c>
      <c r="J1968" s="103">
        <v>3</v>
      </c>
      <c r="K1968" s="78">
        <f>SUMIFS(VENTAS[Cantidad],VENTAS[Código del producto Vendido],STOCK[[#This Row],[Code]])</f>
        <v>0</v>
      </c>
      <c r="L1968" s="78">
        <f>STOCK[[#This Row],[Entradas]]-STOCK[[#This Row],[Salidas]]</f>
        <v>3</v>
      </c>
      <c r="M1968" s="75">
        <f>STOCK[[#This Row],[Precio Final]]*10%</f>
        <v>0.30000000000000004</v>
      </c>
      <c r="N1968" s="54">
        <v>0</v>
      </c>
      <c r="O1968" s="75">
        <v>0</v>
      </c>
      <c r="P1968" s="110">
        <v>0.95</v>
      </c>
      <c r="Q1968" s="75">
        <v>0</v>
      </c>
      <c r="R1968" s="78">
        <v>0</v>
      </c>
      <c r="S1968" s="111">
        <v>0.5</v>
      </c>
      <c r="T1968" s="75">
        <f>STOCK[[#This Row],[Costo Unitario (USD)]]+STOCK[[#This Row],[Costo Envío (USD)]]+STOCK[[#This Row],[Comisión 10%]]</f>
        <v>1.75</v>
      </c>
      <c r="U1968" s="53">
        <f>STOCK[[#This Row],[Costo total]]*1.5</f>
        <v>2.625</v>
      </c>
      <c r="V1968" s="53">
        <v>3</v>
      </c>
      <c r="W1968" s="75">
        <f>STOCK[[#This Row],[Precio Final]]-STOCK[[#This Row],[Costo total]]</f>
        <v>1.25</v>
      </c>
      <c r="X1968" s="75">
        <f>STOCK[[#This Row],[Ganancia Unitaria]]*STOCK[[#This Row],[Salidas]]</f>
        <v>0</v>
      </c>
      <c r="Y1968" s="75"/>
      <c r="Z1968" s="88"/>
      <c r="AA1968" s="54"/>
      <c r="AB1968" s="54"/>
      <c r="AC1968" s="75"/>
      <c r="AD1968" s="96"/>
    </row>
    <row r="1969" spans="1:30" s="53" customFormat="1" ht="50" customHeight="1">
      <c r="A1969" s="93" t="s">
        <v>3870</v>
      </c>
      <c r="B1969" s="83"/>
      <c r="C1969" s="53" t="s">
        <v>32</v>
      </c>
      <c r="D1969" s="84" t="s">
        <v>2898</v>
      </c>
      <c r="E1969" s="104" t="s">
        <v>3867</v>
      </c>
      <c r="F1969" s="103" t="s">
        <v>42</v>
      </c>
      <c r="G1969" s="75"/>
      <c r="H1969" s="75">
        <f>STOCK[[#This Row],[Precio Final]]</f>
        <v>3</v>
      </c>
      <c r="I1969" s="80">
        <f>STOCK[[#This Row],[Precio Venta Ideal (x1.5)]]</f>
        <v>2.625</v>
      </c>
      <c r="J1969" s="103">
        <v>3</v>
      </c>
      <c r="K1969" s="78">
        <f>SUMIFS(VENTAS[Cantidad],VENTAS[Código del producto Vendido],STOCK[[#This Row],[Code]])</f>
        <v>1</v>
      </c>
      <c r="L1969" s="78">
        <f>STOCK[[#This Row],[Entradas]]-STOCK[[#This Row],[Salidas]]</f>
        <v>2</v>
      </c>
      <c r="M1969" s="75">
        <f>STOCK[[#This Row],[Precio Final]]*10%</f>
        <v>0.30000000000000004</v>
      </c>
      <c r="N1969" s="54">
        <v>0</v>
      </c>
      <c r="O1969" s="75">
        <v>0</v>
      </c>
      <c r="P1969" s="110">
        <v>0.95</v>
      </c>
      <c r="Q1969" s="75">
        <v>0</v>
      </c>
      <c r="R1969" s="78">
        <v>0</v>
      </c>
      <c r="S1969" s="112">
        <v>0.5</v>
      </c>
      <c r="T1969" s="75">
        <f>STOCK[[#This Row],[Costo Unitario (USD)]]+STOCK[[#This Row],[Costo Envío (USD)]]+STOCK[[#This Row],[Comisión 10%]]</f>
        <v>1.75</v>
      </c>
      <c r="U1969" s="53">
        <f>STOCK[[#This Row],[Costo total]]*1.5</f>
        <v>2.625</v>
      </c>
      <c r="V1969" s="53">
        <v>3</v>
      </c>
      <c r="W1969" s="75">
        <f>STOCK[[#This Row],[Precio Final]]-STOCK[[#This Row],[Costo total]]</f>
        <v>1.25</v>
      </c>
      <c r="X1969" s="75">
        <f>STOCK[[#This Row],[Ganancia Unitaria]]*STOCK[[#This Row],[Salidas]]</f>
        <v>1.25</v>
      </c>
      <c r="Y1969" s="75"/>
      <c r="Z1969" s="88"/>
      <c r="AA1969" s="54"/>
      <c r="AB1969" s="54"/>
      <c r="AC1969" s="75"/>
      <c r="AD1969" s="96"/>
    </row>
    <row r="1970" spans="1:30" s="53" customFormat="1" ht="50" customHeight="1">
      <c r="A1970" s="93" t="s">
        <v>3871</v>
      </c>
      <c r="B1970" s="83"/>
      <c r="C1970" s="53" t="s">
        <v>32</v>
      </c>
      <c r="D1970" s="84" t="s">
        <v>2898</v>
      </c>
      <c r="E1970" s="104" t="s">
        <v>3867</v>
      </c>
      <c r="F1970" s="103" t="s">
        <v>281</v>
      </c>
      <c r="G1970" s="75"/>
      <c r="H1970" s="75">
        <f>STOCK[[#This Row],[Precio Final]]</f>
        <v>3</v>
      </c>
      <c r="I1970" s="80">
        <f>STOCK[[#This Row],[Precio Venta Ideal (x1.5)]]</f>
        <v>2.625</v>
      </c>
      <c r="J1970" s="103">
        <v>3</v>
      </c>
      <c r="K1970" s="78">
        <f>SUMIFS(VENTAS[Cantidad],VENTAS[Código del producto Vendido],STOCK[[#This Row],[Code]])</f>
        <v>0</v>
      </c>
      <c r="L1970" s="78">
        <f>STOCK[[#This Row],[Entradas]]-STOCK[[#This Row],[Salidas]]</f>
        <v>3</v>
      </c>
      <c r="M1970" s="75">
        <f>STOCK[[#This Row],[Precio Final]]*10%</f>
        <v>0.30000000000000004</v>
      </c>
      <c r="N1970" s="54">
        <v>0</v>
      </c>
      <c r="O1970" s="75">
        <v>0</v>
      </c>
      <c r="P1970" s="110">
        <v>0.95</v>
      </c>
      <c r="Q1970" s="75">
        <v>0</v>
      </c>
      <c r="R1970" s="78">
        <v>0</v>
      </c>
      <c r="S1970" s="111">
        <v>0.5</v>
      </c>
      <c r="T1970" s="75">
        <f>STOCK[[#This Row],[Costo Unitario (USD)]]+STOCK[[#This Row],[Costo Envío (USD)]]+STOCK[[#This Row],[Comisión 10%]]</f>
        <v>1.75</v>
      </c>
      <c r="U1970" s="53">
        <f>STOCK[[#This Row],[Costo total]]*1.5</f>
        <v>2.625</v>
      </c>
      <c r="V1970" s="53">
        <v>3</v>
      </c>
      <c r="W1970" s="75">
        <f>STOCK[[#This Row],[Precio Final]]-STOCK[[#This Row],[Costo total]]</f>
        <v>1.25</v>
      </c>
      <c r="X1970" s="75">
        <f>STOCK[[#This Row],[Ganancia Unitaria]]*STOCK[[#This Row],[Salidas]]</f>
        <v>0</v>
      </c>
      <c r="Y1970" s="75"/>
      <c r="Z1970" s="88"/>
      <c r="AA1970" s="54"/>
      <c r="AB1970" s="54"/>
      <c r="AC1970" s="75"/>
      <c r="AD1970" s="96"/>
    </row>
    <row r="1971" spans="1:30" s="53" customFormat="1" ht="50" customHeight="1">
      <c r="A1971" s="93" t="s">
        <v>3872</v>
      </c>
      <c r="B1971" s="83"/>
      <c r="C1971" s="53" t="s">
        <v>32</v>
      </c>
      <c r="D1971" s="84" t="s">
        <v>2898</v>
      </c>
      <c r="E1971" s="104" t="s">
        <v>3873</v>
      </c>
      <c r="F1971" s="103" t="s">
        <v>62</v>
      </c>
      <c r="G1971" s="75"/>
      <c r="H1971" s="75">
        <f>STOCK[[#This Row],[Precio Final]]</f>
        <v>3</v>
      </c>
      <c r="I1971" s="80">
        <f>STOCK[[#This Row],[Precio Venta Ideal (x1.5)]]</f>
        <v>2.625</v>
      </c>
      <c r="J1971" s="103">
        <v>2</v>
      </c>
      <c r="K1971" s="78">
        <f>SUMIFS(VENTAS[Cantidad],VENTAS[Código del producto Vendido],STOCK[[#This Row],[Code]])</f>
        <v>0</v>
      </c>
      <c r="L1971" s="78">
        <f>STOCK[[#This Row],[Entradas]]-STOCK[[#This Row],[Salidas]]</f>
        <v>2</v>
      </c>
      <c r="M1971" s="75">
        <f>STOCK[[#This Row],[Precio Final]]*10%</f>
        <v>0.30000000000000004</v>
      </c>
      <c r="N1971" s="54">
        <v>0</v>
      </c>
      <c r="O1971" s="75">
        <v>0</v>
      </c>
      <c r="P1971" s="110">
        <v>0.95</v>
      </c>
      <c r="Q1971" s="75">
        <v>0</v>
      </c>
      <c r="R1971" s="78">
        <v>0</v>
      </c>
      <c r="S1971" s="112">
        <v>0.5</v>
      </c>
      <c r="T1971" s="75">
        <f>STOCK[[#This Row],[Costo Unitario (USD)]]+STOCK[[#This Row],[Costo Envío (USD)]]+STOCK[[#This Row],[Comisión 10%]]</f>
        <v>1.75</v>
      </c>
      <c r="U1971" s="53">
        <f>STOCK[[#This Row],[Costo total]]*1.5</f>
        <v>2.625</v>
      </c>
      <c r="V1971" s="53">
        <v>3</v>
      </c>
      <c r="W1971" s="75">
        <f>STOCK[[#This Row],[Precio Final]]-STOCK[[#This Row],[Costo total]]</f>
        <v>1.25</v>
      </c>
      <c r="X1971" s="75">
        <f>STOCK[[#This Row],[Ganancia Unitaria]]*STOCK[[#This Row],[Salidas]]</f>
        <v>0</v>
      </c>
      <c r="Y1971" s="75"/>
      <c r="Z1971" s="88"/>
      <c r="AA1971" s="54"/>
      <c r="AB1971" s="54"/>
      <c r="AC1971" s="75"/>
      <c r="AD1971" s="96"/>
    </row>
    <row r="1972" spans="1:30" s="53" customFormat="1" ht="50" customHeight="1">
      <c r="A1972" s="93" t="s">
        <v>3874</v>
      </c>
      <c r="B1972" s="83"/>
      <c r="C1972" s="53" t="s">
        <v>32</v>
      </c>
      <c r="D1972" s="84" t="s">
        <v>2898</v>
      </c>
      <c r="E1972" s="104" t="s">
        <v>3873</v>
      </c>
      <c r="F1972" s="103" t="s">
        <v>49</v>
      </c>
      <c r="G1972" s="75"/>
      <c r="H1972" s="75">
        <f>STOCK[[#This Row],[Precio Final]]</f>
        <v>3</v>
      </c>
      <c r="I1972" s="80">
        <f>STOCK[[#This Row],[Precio Venta Ideal (x1.5)]]</f>
        <v>2.625</v>
      </c>
      <c r="J1972" s="103">
        <v>3</v>
      </c>
      <c r="K1972" s="78">
        <f>SUMIFS(VENTAS[Cantidad],VENTAS[Código del producto Vendido],STOCK[[#This Row],[Code]])</f>
        <v>0</v>
      </c>
      <c r="L1972" s="78">
        <f>STOCK[[#This Row],[Entradas]]-STOCK[[#This Row],[Salidas]]</f>
        <v>3</v>
      </c>
      <c r="M1972" s="75">
        <f>STOCK[[#This Row],[Precio Final]]*10%</f>
        <v>0.30000000000000004</v>
      </c>
      <c r="N1972" s="54">
        <v>0</v>
      </c>
      <c r="O1972" s="75">
        <v>0</v>
      </c>
      <c r="P1972" s="110">
        <v>0.95</v>
      </c>
      <c r="Q1972" s="75">
        <v>0</v>
      </c>
      <c r="R1972" s="78">
        <v>0</v>
      </c>
      <c r="S1972" s="111">
        <v>0.5</v>
      </c>
      <c r="T1972" s="75">
        <f>STOCK[[#This Row],[Costo Unitario (USD)]]+STOCK[[#This Row],[Costo Envío (USD)]]+STOCK[[#This Row],[Comisión 10%]]</f>
        <v>1.75</v>
      </c>
      <c r="U1972" s="53">
        <f>STOCK[[#This Row],[Costo total]]*1.5</f>
        <v>2.625</v>
      </c>
      <c r="V1972" s="53">
        <v>3</v>
      </c>
      <c r="W1972" s="75">
        <f>STOCK[[#This Row],[Precio Final]]-STOCK[[#This Row],[Costo total]]</f>
        <v>1.25</v>
      </c>
      <c r="X1972" s="75">
        <f>STOCK[[#This Row],[Ganancia Unitaria]]*STOCK[[#This Row],[Salidas]]</f>
        <v>0</v>
      </c>
      <c r="Y1972" s="75"/>
      <c r="Z1972" s="88"/>
      <c r="AA1972" s="54"/>
      <c r="AB1972" s="54"/>
      <c r="AC1972" s="75"/>
      <c r="AD1972" s="96"/>
    </row>
    <row r="1973" spans="1:30" s="53" customFormat="1" ht="50" customHeight="1">
      <c r="A1973" s="93" t="s">
        <v>3875</v>
      </c>
      <c r="B1973" s="83"/>
      <c r="C1973" s="53" t="s">
        <v>32</v>
      </c>
      <c r="D1973" s="84" t="s">
        <v>2898</v>
      </c>
      <c r="E1973" s="104" t="s">
        <v>3873</v>
      </c>
      <c r="F1973" s="103" t="s">
        <v>46</v>
      </c>
      <c r="G1973" s="75"/>
      <c r="H1973" s="75">
        <f>STOCK[[#This Row],[Precio Final]]</f>
        <v>3</v>
      </c>
      <c r="I1973" s="80">
        <f>STOCK[[#This Row],[Precio Venta Ideal (x1.5)]]</f>
        <v>2.625</v>
      </c>
      <c r="J1973" s="103">
        <v>3</v>
      </c>
      <c r="K1973" s="78">
        <f>SUMIFS(VENTAS[Cantidad],VENTAS[Código del producto Vendido],STOCK[[#This Row],[Code]])</f>
        <v>0</v>
      </c>
      <c r="L1973" s="78">
        <f>STOCK[[#This Row],[Entradas]]-STOCK[[#This Row],[Salidas]]</f>
        <v>3</v>
      </c>
      <c r="M1973" s="75">
        <f>STOCK[[#This Row],[Precio Final]]*10%</f>
        <v>0.30000000000000004</v>
      </c>
      <c r="N1973" s="54">
        <v>0</v>
      </c>
      <c r="O1973" s="75">
        <v>0</v>
      </c>
      <c r="P1973" s="110">
        <v>0.95</v>
      </c>
      <c r="Q1973" s="75">
        <v>0</v>
      </c>
      <c r="R1973" s="78">
        <v>0</v>
      </c>
      <c r="S1973" s="112">
        <v>0.5</v>
      </c>
      <c r="T1973" s="75">
        <f>STOCK[[#This Row],[Costo Unitario (USD)]]+STOCK[[#This Row],[Costo Envío (USD)]]+STOCK[[#This Row],[Comisión 10%]]</f>
        <v>1.75</v>
      </c>
      <c r="U1973" s="53">
        <f>STOCK[[#This Row],[Costo total]]*1.5</f>
        <v>2.625</v>
      </c>
      <c r="V1973" s="53">
        <v>3</v>
      </c>
      <c r="W1973" s="75">
        <f>STOCK[[#This Row],[Precio Final]]-STOCK[[#This Row],[Costo total]]</f>
        <v>1.25</v>
      </c>
      <c r="X1973" s="75">
        <f>STOCK[[#This Row],[Ganancia Unitaria]]*STOCK[[#This Row],[Salidas]]</f>
        <v>0</v>
      </c>
      <c r="Y1973" s="75"/>
      <c r="Z1973" s="88"/>
      <c r="AA1973" s="54"/>
      <c r="AB1973" s="54"/>
      <c r="AC1973" s="75"/>
      <c r="AD1973" s="96"/>
    </row>
    <row r="1974" spans="1:30" s="53" customFormat="1" ht="50" customHeight="1">
      <c r="A1974" s="93" t="s">
        <v>3876</v>
      </c>
      <c r="B1974" s="83"/>
      <c r="C1974" s="53" t="s">
        <v>32</v>
      </c>
      <c r="D1974" s="84" t="s">
        <v>2898</v>
      </c>
      <c r="E1974" s="104" t="s">
        <v>3873</v>
      </c>
      <c r="F1974" s="103" t="s">
        <v>42</v>
      </c>
      <c r="G1974" s="75"/>
      <c r="H1974" s="75">
        <f>STOCK[[#This Row],[Precio Final]]</f>
        <v>3</v>
      </c>
      <c r="I1974" s="80">
        <f>STOCK[[#This Row],[Precio Venta Ideal (x1.5)]]</f>
        <v>2.625</v>
      </c>
      <c r="J1974" s="103">
        <v>3</v>
      </c>
      <c r="K1974" s="78">
        <f>SUMIFS(VENTAS[Cantidad],VENTAS[Código del producto Vendido],STOCK[[#This Row],[Code]])</f>
        <v>1</v>
      </c>
      <c r="L1974" s="78">
        <f>STOCK[[#This Row],[Entradas]]-STOCK[[#This Row],[Salidas]]</f>
        <v>2</v>
      </c>
      <c r="M1974" s="75">
        <f>STOCK[[#This Row],[Precio Final]]*10%</f>
        <v>0.30000000000000004</v>
      </c>
      <c r="N1974" s="54">
        <v>0</v>
      </c>
      <c r="O1974" s="75">
        <v>0</v>
      </c>
      <c r="P1974" s="110">
        <v>0.95</v>
      </c>
      <c r="Q1974" s="75">
        <v>0</v>
      </c>
      <c r="R1974" s="78">
        <v>0</v>
      </c>
      <c r="S1974" s="111">
        <v>0.5</v>
      </c>
      <c r="T1974" s="75">
        <f>STOCK[[#This Row],[Costo Unitario (USD)]]+STOCK[[#This Row],[Costo Envío (USD)]]+STOCK[[#This Row],[Comisión 10%]]</f>
        <v>1.75</v>
      </c>
      <c r="U1974" s="53">
        <f>STOCK[[#This Row],[Costo total]]*1.5</f>
        <v>2.625</v>
      </c>
      <c r="V1974" s="53">
        <v>3</v>
      </c>
      <c r="W1974" s="75">
        <f>STOCK[[#This Row],[Precio Final]]-STOCK[[#This Row],[Costo total]]</f>
        <v>1.25</v>
      </c>
      <c r="X1974" s="75">
        <f>STOCK[[#This Row],[Ganancia Unitaria]]*STOCK[[#This Row],[Salidas]]</f>
        <v>1.25</v>
      </c>
      <c r="Y1974" s="75"/>
      <c r="Z1974" s="88"/>
      <c r="AA1974" s="54"/>
      <c r="AB1974" s="54"/>
      <c r="AC1974" s="75"/>
      <c r="AD1974" s="96"/>
    </row>
    <row r="1975" spans="1:30" s="53" customFormat="1" ht="50" customHeight="1">
      <c r="A1975" s="93" t="s">
        <v>3877</v>
      </c>
      <c r="B1975" s="83"/>
      <c r="C1975" s="53" t="s">
        <v>32</v>
      </c>
      <c r="D1975" s="84" t="s">
        <v>2898</v>
      </c>
      <c r="E1975" s="104" t="s">
        <v>3873</v>
      </c>
      <c r="F1975" s="103" t="s">
        <v>281</v>
      </c>
      <c r="G1975" s="75"/>
      <c r="H1975" s="75">
        <f>STOCK[[#This Row],[Precio Final]]</f>
        <v>3</v>
      </c>
      <c r="I1975" s="80">
        <f>STOCK[[#This Row],[Precio Venta Ideal (x1.5)]]</f>
        <v>2.625</v>
      </c>
      <c r="J1975" s="103">
        <v>3</v>
      </c>
      <c r="K1975" s="78">
        <f>SUMIFS(VENTAS[Cantidad],VENTAS[Código del producto Vendido],STOCK[[#This Row],[Code]])</f>
        <v>0</v>
      </c>
      <c r="L1975" s="78">
        <f>STOCK[[#This Row],[Entradas]]-STOCK[[#This Row],[Salidas]]</f>
        <v>3</v>
      </c>
      <c r="M1975" s="75">
        <f>STOCK[[#This Row],[Precio Final]]*10%</f>
        <v>0.30000000000000004</v>
      </c>
      <c r="N1975" s="54">
        <v>0</v>
      </c>
      <c r="O1975" s="75">
        <v>0</v>
      </c>
      <c r="P1975" s="110">
        <v>0.95</v>
      </c>
      <c r="Q1975" s="75">
        <v>0</v>
      </c>
      <c r="R1975" s="78">
        <v>0</v>
      </c>
      <c r="S1975" s="112">
        <v>0.5</v>
      </c>
      <c r="T1975" s="75">
        <f>STOCK[[#This Row],[Costo Unitario (USD)]]+STOCK[[#This Row],[Costo Envío (USD)]]+STOCK[[#This Row],[Comisión 10%]]</f>
        <v>1.75</v>
      </c>
      <c r="U1975" s="53">
        <f>STOCK[[#This Row],[Costo total]]*1.5</f>
        <v>2.625</v>
      </c>
      <c r="V1975" s="53">
        <v>3</v>
      </c>
      <c r="W1975" s="75">
        <f>STOCK[[#This Row],[Precio Final]]-STOCK[[#This Row],[Costo total]]</f>
        <v>1.25</v>
      </c>
      <c r="X1975" s="75">
        <f>STOCK[[#This Row],[Ganancia Unitaria]]*STOCK[[#This Row],[Salidas]]</f>
        <v>0</v>
      </c>
      <c r="Y1975" s="75"/>
      <c r="Z1975" s="88"/>
      <c r="AA1975" s="54"/>
      <c r="AB1975" s="54"/>
      <c r="AC1975" s="75"/>
      <c r="AD1975" s="96"/>
    </row>
    <row r="1976" spans="1:30" s="53" customFormat="1" ht="50" customHeight="1">
      <c r="A1976" s="93" t="s">
        <v>3878</v>
      </c>
      <c r="B1976" s="83"/>
      <c r="C1976" s="53" t="s">
        <v>32</v>
      </c>
      <c r="D1976" s="84" t="s">
        <v>2898</v>
      </c>
      <c r="E1976" s="104" t="s">
        <v>3879</v>
      </c>
      <c r="F1976" s="103" t="s">
        <v>62</v>
      </c>
      <c r="G1976" s="75"/>
      <c r="H1976" s="75">
        <f>STOCK[[#This Row],[Precio Final]]</f>
        <v>3</v>
      </c>
      <c r="I1976" s="80">
        <f>STOCK[[#This Row],[Precio Venta Ideal (x1.5)]]</f>
        <v>2.625</v>
      </c>
      <c r="J1976" s="103">
        <v>2</v>
      </c>
      <c r="K1976" s="78">
        <f>SUMIFS(VENTAS[Cantidad],VENTAS[Código del producto Vendido],STOCK[[#This Row],[Code]])</f>
        <v>0</v>
      </c>
      <c r="L1976" s="78">
        <f>STOCK[[#This Row],[Entradas]]-STOCK[[#This Row],[Salidas]]</f>
        <v>2</v>
      </c>
      <c r="M1976" s="75">
        <f>STOCK[[#This Row],[Precio Final]]*10%</f>
        <v>0.30000000000000004</v>
      </c>
      <c r="N1976" s="54">
        <v>0</v>
      </c>
      <c r="O1976" s="75">
        <v>0</v>
      </c>
      <c r="P1976" s="110">
        <v>0.95</v>
      </c>
      <c r="Q1976" s="75">
        <v>0</v>
      </c>
      <c r="R1976" s="78">
        <v>0</v>
      </c>
      <c r="S1976" s="111">
        <v>0.5</v>
      </c>
      <c r="T1976" s="75">
        <f>STOCK[[#This Row],[Costo Unitario (USD)]]+STOCK[[#This Row],[Costo Envío (USD)]]+STOCK[[#This Row],[Comisión 10%]]</f>
        <v>1.75</v>
      </c>
      <c r="U1976" s="53">
        <f>STOCK[[#This Row],[Costo total]]*1.5</f>
        <v>2.625</v>
      </c>
      <c r="V1976" s="53">
        <v>3</v>
      </c>
      <c r="W1976" s="75">
        <f>STOCK[[#This Row],[Precio Final]]-STOCK[[#This Row],[Costo total]]</f>
        <v>1.25</v>
      </c>
      <c r="X1976" s="75">
        <f>STOCK[[#This Row],[Ganancia Unitaria]]*STOCK[[#This Row],[Salidas]]</f>
        <v>0</v>
      </c>
      <c r="Y1976" s="75"/>
      <c r="Z1976" s="88"/>
      <c r="AA1976" s="54"/>
      <c r="AB1976" s="54"/>
      <c r="AC1976" s="75"/>
      <c r="AD1976" s="96"/>
    </row>
    <row r="1977" spans="1:30" s="53" customFormat="1" ht="50" customHeight="1">
      <c r="A1977" s="93" t="s">
        <v>3880</v>
      </c>
      <c r="B1977" s="83"/>
      <c r="C1977" s="53" t="s">
        <v>32</v>
      </c>
      <c r="D1977" s="84" t="s">
        <v>2898</v>
      </c>
      <c r="E1977" s="104" t="s">
        <v>3879</v>
      </c>
      <c r="F1977" s="103" t="s">
        <v>49</v>
      </c>
      <c r="G1977" s="75"/>
      <c r="H1977" s="75">
        <f>STOCK[[#This Row],[Precio Final]]</f>
        <v>3</v>
      </c>
      <c r="I1977" s="80">
        <f>STOCK[[#This Row],[Precio Venta Ideal (x1.5)]]</f>
        <v>2.625</v>
      </c>
      <c r="J1977" s="103">
        <v>3</v>
      </c>
      <c r="K1977" s="78">
        <f>SUMIFS(VENTAS[Cantidad],VENTAS[Código del producto Vendido],STOCK[[#This Row],[Code]])</f>
        <v>0</v>
      </c>
      <c r="L1977" s="78">
        <f>STOCK[[#This Row],[Entradas]]-STOCK[[#This Row],[Salidas]]</f>
        <v>3</v>
      </c>
      <c r="M1977" s="75">
        <f>STOCK[[#This Row],[Precio Final]]*10%</f>
        <v>0.30000000000000004</v>
      </c>
      <c r="N1977" s="54">
        <v>0</v>
      </c>
      <c r="O1977" s="75">
        <v>0</v>
      </c>
      <c r="P1977" s="110">
        <v>0.95</v>
      </c>
      <c r="Q1977" s="75">
        <v>0</v>
      </c>
      <c r="R1977" s="78">
        <v>0</v>
      </c>
      <c r="S1977" s="112">
        <v>0.5</v>
      </c>
      <c r="T1977" s="75">
        <f>STOCK[[#This Row],[Costo Unitario (USD)]]+STOCK[[#This Row],[Costo Envío (USD)]]+STOCK[[#This Row],[Comisión 10%]]</f>
        <v>1.75</v>
      </c>
      <c r="U1977" s="53">
        <f>STOCK[[#This Row],[Costo total]]*1.5</f>
        <v>2.625</v>
      </c>
      <c r="V1977" s="53">
        <v>3</v>
      </c>
      <c r="W1977" s="75">
        <f>STOCK[[#This Row],[Precio Final]]-STOCK[[#This Row],[Costo total]]</f>
        <v>1.25</v>
      </c>
      <c r="X1977" s="75">
        <f>STOCK[[#This Row],[Ganancia Unitaria]]*STOCK[[#This Row],[Salidas]]</f>
        <v>0</v>
      </c>
      <c r="Y1977" s="75"/>
      <c r="Z1977" s="88"/>
      <c r="AA1977" s="54"/>
      <c r="AB1977" s="54"/>
      <c r="AC1977" s="75"/>
      <c r="AD1977" s="96"/>
    </row>
    <row r="1978" spans="1:30" s="53" customFormat="1" ht="50" customHeight="1">
      <c r="A1978" s="93" t="s">
        <v>3881</v>
      </c>
      <c r="B1978" s="83"/>
      <c r="C1978" s="53" t="s">
        <v>32</v>
      </c>
      <c r="D1978" s="84" t="s">
        <v>2898</v>
      </c>
      <c r="E1978" s="104" t="s">
        <v>3879</v>
      </c>
      <c r="F1978" s="103" t="s">
        <v>46</v>
      </c>
      <c r="G1978" s="75"/>
      <c r="H1978" s="75">
        <f>STOCK[[#This Row],[Precio Final]]</f>
        <v>3</v>
      </c>
      <c r="I1978" s="80">
        <f>STOCK[[#This Row],[Precio Venta Ideal (x1.5)]]</f>
        <v>2.625</v>
      </c>
      <c r="J1978" s="103">
        <v>3</v>
      </c>
      <c r="K1978" s="78">
        <f>SUMIFS(VENTAS[Cantidad],VENTAS[Código del producto Vendido],STOCK[[#This Row],[Code]])</f>
        <v>0</v>
      </c>
      <c r="L1978" s="78">
        <f>STOCK[[#This Row],[Entradas]]-STOCK[[#This Row],[Salidas]]</f>
        <v>3</v>
      </c>
      <c r="M1978" s="75">
        <f>STOCK[[#This Row],[Precio Final]]*10%</f>
        <v>0.30000000000000004</v>
      </c>
      <c r="N1978" s="54">
        <v>0</v>
      </c>
      <c r="O1978" s="75">
        <v>0</v>
      </c>
      <c r="P1978" s="110">
        <v>0.95</v>
      </c>
      <c r="Q1978" s="75">
        <v>0</v>
      </c>
      <c r="R1978" s="78">
        <v>0</v>
      </c>
      <c r="S1978" s="111">
        <v>0.5</v>
      </c>
      <c r="T1978" s="75">
        <f>STOCK[[#This Row],[Costo Unitario (USD)]]+STOCK[[#This Row],[Costo Envío (USD)]]+STOCK[[#This Row],[Comisión 10%]]</f>
        <v>1.75</v>
      </c>
      <c r="U1978" s="53">
        <f>STOCK[[#This Row],[Costo total]]*1.5</f>
        <v>2.625</v>
      </c>
      <c r="V1978" s="53">
        <v>3</v>
      </c>
      <c r="W1978" s="75">
        <f>STOCK[[#This Row],[Precio Final]]-STOCK[[#This Row],[Costo total]]</f>
        <v>1.25</v>
      </c>
      <c r="X1978" s="75">
        <f>STOCK[[#This Row],[Ganancia Unitaria]]*STOCK[[#This Row],[Salidas]]</f>
        <v>0</v>
      </c>
      <c r="Y1978" s="75"/>
      <c r="Z1978" s="88"/>
      <c r="AA1978" s="54"/>
      <c r="AB1978" s="54"/>
      <c r="AC1978" s="75"/>
      <c r="AD1978" s="96"/>
    </row>
    <row r="1979" spans="1:30" s="53" customFormat="1" ht="50" customHeight="1">
      <c r="A1979" s="93" t="s">
        <v>3882</v>
      </c>
      <c r="B1979" s="83"/>
      <c r="C1979" s="53" t="s">
        <v>32</v>
      </c>
      <c r="D1979" s="84" t="s">
        <v>2898</v>
      </c>
      <c r="E1979" s="104" t="s">
        <v>3879</v>
      </c>
      <c r="F1979" s="103" t="s">
        <v>42</v>
      </c>
      <c r="G1979" s="75"/>
      <c r="H1979" s="75">
        <f>STOCK[[#This Row],[Precio Final]]</f>
        <v>3</v>
      </c>
      <c r="I1979" s="80">
        <f>STOCK[[#This Row],[Precio Venta Ideal (x1.5)]]</f>
        <v>2.625</v>
      </c>
      <c r="J1979" s="103">
        <v>3</v>
      </c>
      <c r="K1979" s="78">
        <f>SUMIFS(VENTAS[Cantidad],VENTAS[Código del producto Vendido],STOCK[[#This Row],[Code]])</f>
        <v>1</v>
      </c>
      <c r="L1979" s="78">
        <f>STOCK[[#This Row],[Entradas]]-STOCK[[#This Row],[Salidas]]</f>
        <v>2</v>
      </c>
      <c r="M1979" s="75">
        <f>STOCK[[#This Row],[Precio Final]]*10%</f>
        <v>0.30000000000000004</v>
      </c>
      <c r="N1979" s="54">
        <v>0</v>
      </c>
      <c r="O1979" s="75">
        <v>0</v>
      </c>
      <c r="P1979" s="110">
        <v>0.95</v>
      </c>
      <c r="Q1979" s="75">
        <v>0</v>
      </c>
      <c r="R1979" s="78">
        <v>0</v>
      </c>
      <c r="S1979" s="112">
        <v>0.5</v>
      </c>
      <c r="T1979" s="75">
        <f>STOCK[[#This Row],[Costo Unitario (USD)]]+STOCK[[#This Row],[Costo Envío (USD)]]+STOCK[[#This Row],[Comisión 10%]]</f>
        <v>1.75</v>
      </c>
      <c r="U1979" s="53">
        <f>STOCK[[#This Row],[Costo total]]*1.5</f>
        <v>2.625</v>
      </c>
      <c r="V1979" s="53">
        <v>3</v>
      </c>
      <c r="W1979" s="75">
        <f>STOCK[[#This Row],[Precio Final]]-STOCK[[#This Row],[Costo total]]</f>
        <v>1.25</v>
      </c>
      <c r="X1979" s="75">
        <f>STOCK[[#This Row],[Ganancia Unitaria]]*STOCK[[#This Row],[Salidas]]</f>
        <v>1.25</v>
      </c>
      <c r="Y1979" s="75"/>
      <c r="Z1979" s="88"/>
      <c r="AA1979" s="54"/>
      <c r="AB1979" s="54"/>
      <c r="AC1979" s="75"/>
      <c r="AD1979" s="96"/>
    </row>
    <row r="1980" spans="1:30" s="53" customFormat="1" ht="50" customHeight="1">
      <c r="A1980" s="93" t="s">
        <v>3883</v>
      </c>
      <c r="B1980" s="83"/>
      <c r="C1980" s="53" t="s">
        <v>32</v>
      </c>
      <c r="D1980" s="84" t="s">
        <v>2898</v>
      </c>
      <c r="E1980" s="104" t="s">
        <v>3879</v>
      </c>
      <c r="F1980" s="103" t="s">
        <v>281</v>
      </c>
      <c r="G1980" s="75"/>
      <c r="H1980" s="75">
        <f>STOCK[[#This Row],[Precio Final]]</f>
        <v>3</v>
      </c>
      <c r="I1980" s="80">
        <f>STOCK[[#This Row],[Precio Venta Ideal (x1.5)]]</f>
        <v>2.625</v>
      </c>
      <c r="J1980" s="103">
        <v>3</v>
      </c>
      <c r="K1980" s="78">
        <f>SUMIFS(VENTAS[Cantidad],VENTAS[Código del producto Vendido],STOCK[[#This Row],[Code]])</f>
        <v>0</v>
      </c>
      <c r="L1980" s="78">
        <f>STOCK[[#This Row],[Entradas]]-STOCK[[#This Row],[Salidas]]</f>
        <v>3</v>
      </c>
      <c r="M1980" s="75">
        <f>STOCK[[#This Row],[Precio Final]]*10%</f>
        <v>0.30000000000000004</v>
      </c>
      <c r="N1980" s="54">
        <v>0</v>
      </c>
      <c r="O1980" s="75">
        <v>0</v>
      </c>
      <c r="P1980" s="110">
        <v>0.95</v>
      </c>
      <c r="Q1980" s="75">
        <v>0</v>
      </c>
      <c r="R1980" s="78">
        <v>0</v>
      </c>
      <c r="S1980" s="111">
        <v>0.5</v>
      </c>
      <c r="T1980" s="75">
        <f>STOCK[[#This Row],[Costo Unitario (USD)]]+STOCK[[#This Row],[Costo Envío (USD)]]+STOCK[[#This Row],[Comisión 10%]]</f>
        <v>1.75</v>
      </c>
      <c r="U1980" s="53">
        <f>STOCK[[#This Row],[Costo total]]*1.5</f>
        <v>2.625</v>
      </c>
      <c r="V1980" s="53">
        <v>3</v>
      </c>
      <c r="W1980" s="75">
        <f>STOCK[[#This Row],[Precio Final]]-STOCK[[#This Row],[Costo total]]</f>
        <v>1.25</v>
      </c>
      <c r="X1980" s="75">
        <f>STOCK[[#This Row],[Ganancia Unitaria]]*STOCK[[#This Row],[Salidas]]</f>
        <v>0</v>
      </c>
      <c r="Y1980" s="75"/>
      <c r="Z1980" s="88"/>
      <c r="AA1980" s="54"/>
      <c r="AB1980" s="54"/>
      <c r="AC1980" s="75"/>
      <c r="AD1980" s="96"/>
    </row>
    <row r="1981" spans="1:30" s="53" customFormat="1" ht="50" customHeight="1">
      <c r="A1981" s="93" t="s">
        <v>3884</v>
      </c>
      <c r="B1981" s="83"/>
      <c r="C1981" s="53" t="s">
        <v>32</v>
      </c>
      <c r="D1981" s="84" t="s">
        <v>2898</v>
      </c>
      <c r="E1981" s="104" t="s">
        <v>3885</v>
      </c>
      <c r="F1981" s="103" t="s">
        <v>62</v>
      </c>
      <c r="G1981" s="75"/>
      <c r="H1981" s="75">
        <f>STOCK[[#This Row],[Precio Final]]</f>
        <v>3</v>
      </c>
      <c r="I1981" s="80">
        <f>STOCK[[#This Row],[Precio Venta Ideal (x1.5)]]</f>
        <v>2.5499999999999998</v>
      </c>
      <c r="J1981" s="103">
        <v>4</v>
      </c>
      <c r="K1981" s="78">
        <f>SUMIFS(VENTAS[Cantidad],VENTAS[Código del producto Vendido],STOCK[[#This Row],[Code]])</f>
        <v>0</v>
      </c>
      <c r="L1981" s="78">
        <f>STOCK[[#This Row],[Entradas]]-STOCK[[#This Row],[Salidas]]</f>
        <v>4</v>
      </c>
      <c r="M1981" s="75">
        <f>STOCK[[#This Row],[Precio Final]]*10%</f>
        <v>0.30000000000000004</v>
      </c>
      <c r="N1981" s="54">
        <v>0</v>
      </c>
      <c r="O1981" s="75">
        <v>0</v>
      </c>
      <c r="P1981" s="110">
        <v>0.9</v>
      </c>
      <c r="Q1981" s="75">
        <v>0</v>
      </c>
      <c r="R1981" s="78">
        <v>0</v>
      </c>
      <c r="S1981" s="112">
        <v>0.5</v>
      </c>
      <c r="T1981" s="75">
        <f>STOCK[[#This Row],[Costo Unitario (USD)]]+STOCK[[#This Row],[Costo Envío (USD)]]+STOCK[[#This Row],[Comisión 10%]]</f>
        <v>1.7</v>
      </c>
      <c r="U1981" s="53">
        <f>STOCK[[#This Row],[Costo total]]*1.5</f>
        <v>2.5499999999999998</v>
      </c>
      <c r="V1981" s="53">
        <v>3</v>
      </c>
      <c r="W1981" s="75">
        <f>STOCK[[#This Row],[Precio Final]]-STOCK[[#This Row],[Costo total]]</f>
        <v>1.3</v>
      </c>
      <c r="X1981" s="75">
        <f>STOCK[[#This Row],[Ganancia Unitaria]]*STOCK[[#This Row],[Salidas]]</f>
        <v>0</v>
      </c>
      <c r="Y1981" s="75"/>
      <c r="Z1981" s="88"/>
      <c r="AA1981" s="54"/>
      <c r="AB1981" s="54"/>
      <c r="AC1981" s="75"/>
      <c r="AD1981" s="96"/>
    </row>
    <row r="1982" spans="1:30" s="53" customFormat="1" ht="50" customHeight="1">
      <c r="A1982" s="93" t="s">
        <v>3886</v>
      </c>
      <c r="B1982" s="83"/>
      <c r="C1982" s="53" t="s">
        <v>32</v>
      </c>
      <c r="D1982" s="84" t="s">
        <v>2898</v>
      </c>
      <c r="E1982" s="104" t="s">
        <v>3885</v>
      </c>
      <c r="F1982" s="103" t="s">
        <v>49</v>
      </c>
      <c r="G1982" s="75"/>
      <c r="H1982" s="75">
        <f>STOCK[[#This Row],[Precio Final]]</f>
        <v>3</v>
      </c>
      <c r="I1982" s="80">
        <f>STOCK[[#This Row],[Precio Venta Ideal (x1.5)]]</f>
        <v>2.5499999999999998</v>
      </c>
      <c r="J1982" s="103">
        <v>4</v>
      </c>
      <c r="K1982" s="78">
        <f>SUMIFS(VENTAS[Cantidad],VENTAS[Código del producto Vendido],STOCK[[#This Row],[Code]])</f>
        <v>0</v>
      </c>
      <c r="L1982" s="78">
        <f>STOCK[[#This Row],[Entradas]]-STOCK[[#This Row],[Salidas]]</f>
        <v>4</v>
      </c>
      <c r="M1982" s="75">
        <f>STOCK[[#This Row],[Precio Final]]*10%</f>
        <v>0.30000000000000004</v>
      </c>
      <c r="N1982" s="54">
        <v>0</v>
      </c>
      <c r="O1982" s="75">
        <v>0</v>
      </c>
      <c r="P1982" s="110">
        <v>0.9</v>
      </c>
      <c r="Q1982" s="75">
        <v>0</v>
      </c>
      <c r="R1982" s="78">
        <v>0</v>
      </c>
      <c r="S1982" s="111">
        <v>0.5</v>
      </c>
      <c r="T1982" s="75">
        <f>STOCK[[#This Row],[Costo Unitario (USD)]]+STOCK[[#This Row],[Costo Envío (USD)]]+STOCK[[#This Row],[Comisión 10%]]</f>
        <v>1.7</v>
      </c>
      <c r="U1982" s="53">
        <f>STOCK[[#This Row],[Costo total]]*1.5</f>
        <v>2.5499999999999998</v>
      </c>
      <c r="V1982" s="53">
        <v>3</v>
      </c>
      <c r="W1982" s="75">
        <f>STOCK[[#This Row],[Precio Final]]-STOCK[[#This Row],[Costo total]]</f>
        <v>1.3</v>
      </c>
      <c r="X1982" s="75">
        <f>STOCK[[#This Row],[Ganancia Unitaria]]*STOCK[[#This Row],[Salidas]]</f>
        <v>0</v>
      </c>
      <c r="Y1982" s="75"/>
      <c r="Z1982" s="88"/>
      <c r="AA1982" s="54"/>
      <c r="AB1982" s="54"/>
      <c r="AC1982" s="75"/>
      <c r="AD1982" s="96"/>
    </row>
    <row r="1983" spans="1:30" s="53" customFormat="1" ht="50" customHeight="1">
      <c r="A1983" s="93" t="s">
        <v>3887</v>
      </c>
      <c r="B1983" s="83"/>
      <c r="C1983" s="53" t="s">
        <v>32</v>
      </c>
      <c r="D1983" s="84" t="s">
        <v>2898</v>
      </c>
      <c r="E1983" s="104" t="s">
        <v>3885</v>
      </c>
      <c r="F1983" s="103" t="s">
        <v>46</v>
      </c>
      <c r="G1983" s="75"/>
      <c r="H1983" s="75">
        <f>STOCK[[#This Row],[Precio Final]]</f>
        <v>3</v>
      </c>
      <c r="I1983" s="80">
        <f>STOCK[[#This Row],[Precio Venta Ideal (x1.5)]]</f>
        <v>2.5499999999999998</v>
      </c>
      <c r="J1983" s="103">
        <v>4</v>
      </c>
      <c r="K1983" s="78">
        <f>SUMIFS(VENTAS[Cantidad],VENTAS[Código del producto Vendido],STOCK[[#This Row],[Code]])</f>
        <v>0</v>
      </c>
      <c r="L1983" s="78">
        <f>STOCK[[#This Row],[Entradas]]-STOCK[[#This Row],[Salidas]]</f>
        <v>4</v>
      </c>
      <c r="M1983" s="75">
        <f>STOCK[[#This Row],[Precio Final]]*10%</f>
        <v>0.30000000000000004</v>
      </c>
      <c r="N1983" s="54">
        <v>0</v>
      </c>
      <c r="O1983" s="75">
        <v>0</v>
      </c>
      <c r="P1983" s="110">
        <v>0.9</v>
      </c>
      <c r="Q1983" s="75">
        <v>0</v>
      </c>
      <c r="R1983" s="78">
        <v>0</v>
      </c>
      <c r="S1983" s="112">
        <v>0.5</v>
      </c>
      <c r="T1983" s="75">
        <f>STOCK[[#This Row],[Costo Unitario (USD)]]+STOCK[[#This Row],[Costo Envío (USD)]]+STOCK[[#This Row],[Comisión 10%]]</f>
        <v>1.7</v>
      </c>
      <c r="U1983" s="53">
        <f>STOCK[[#This Row],[Costo total]]*1.5</f>
        <v>2.5499999999999998</v>
      </c>
      <c r="V1983" s="53">
        <v>3</v>
      </c>
      <c r="W1983" s="75">
        <f>STOCK[[#This Row],[Precio Final]]-STOCK[[#This Row],[Costo total]]</f>
        <v>1.3</v>
      </c>
      <c r="X1983" s="75">
        <f>STOCK[[#This Row],[Ganancia Unitaria]]*STOCK[[#This Row],[Salidas]]</f>
        <v>0</v>
      </c>
      <c r="Y1983" s="75"/>
      <c r="Z1983" s="88"/>
      <c r="AA1983" s="54"/>
      <c r="AB1983" s="54"/>
      <c r="AC1983" s="75"/>
      <c r="AD1983" s="96"/>
    </row>
    <row r="1984" spans="1:30" s="53" customFormat="1" ht="50" customHeight="1">
      <c r="A1984" s="93" t="s">
        <v>3888</v>
      </c>
      <c r="B1984" s="83"/>
      <c r="C1984" s="53" t="s">
        <v>32</v>
      </c>
      <c r="D1984" s="84" t="s">
        <v>2898</v>
      </c>
      <c r="E1984" s="104" t="s">
        <v>3889</v>
      </c>
      <c r="F1984" s="103" t="s">
        <v>62</v>
      </c>
      <c r="G1984" s="75"/>
      <c r="H1984" s="75">
        <f>STOCK[[#This Row],[Precio Final]]</f>
        <v>3</v>
      </c>
      <c r="I1984" s="80">
        <f>STOCK[[#This Row],[Precio Venta Ideal (x1.5)]]</f>
        <v>2.5499999999999998</v>
      </c>
      <c r="J1984" s="103">
        <v>4</v>
      </c>
      <c r="K1984" s="78">
        <f>SUMIFS(VENTAS[Cantidad],VENTAS[Código del producto Vendido],STOCK[[#This Row],[Code]])</f>
        <v>0</v>
      </c>
      <c r="L1984" s="78">
        <f>STOCK[[#This Row],[Entradas]]-STOCK[[#This Row],[Salidas]]</f>
        <v>4</v>
      </c>
      <c r="M1984" s="75">
        <f>STOCK[[#This Row],[Precio Final]]*10%</f>
        <v>0.30000000000000004</v>
      </c>
      <c r="N1984" s="54">
        <v>0</v>
      </c>
      <c r="O1984" s="75">
        <v>0</v>
      </c>
      <c r="P1984" s="110">
        <v>0.9</v>
      </c>
      <c r="Q1984" s="75">
        <v>0</v>
      </c>
      <c r="R1984" s="78">
        <v>0</v>
      </c>
      <c r="S1984" s="111">
        <v>0.5</v>
      </c>
      <c r="T1984" s="75">
        <f>STOCK[[#This Row],[Costo Unitario (USD)]]+STOCK[[#This Row],[Costo Envío (USD)]]+STOCK[[#This Row],[Comisión 10%]]</f>
        <v>1.7</v>
      </c>
      <c r="U1984" s="53">
        <f>STOCK[[#This Row],[Costo total]]*1.5</f>
        <v>2.5499999999999998</v>
      </c>
      <c r="V1984" s="53">
        <v>3</v>
      </c>
      <c r="W1984" s="75">
        <f>STOCK[[#This Row],[Precio Final]]-STOCK[[#This Row],[Costo total]]</f>
        <v>1.3</v>
      </c>
      <c r="X1984" s="75">
        <f>STOCK[[#This Row],[Ganancia Unitaria]]*STOCK[[#This Row],[Salidas]]</f>
        <v>0</v>
      </c>
      <c r="Y1984" s="75"/>
      <c r="Z1984" s="88"/>
      <c r="AA1984" s="54"/>
      <c r="AB1984" s="54"/>
      <c r="AC1984" s="75"/>
      <c r="AD1984" s="96"/>
    </row>
    <row r="1985" spans="1:30" s="53" customFormat="1" ht="50" customHeight="1">
      <c r="A1985" s="93" t="s">
        <v>3890</v>
      </c>
      <c r="B1985" s="83"/>
      <c r="C1985" s="53" t="s">
        <v>32</v>
      </c>
      <c r="D1985" s="84" t="s">
        <v>2898</v>
      </c>
      <c r="E1985" s="104" t="s">
        <v>3889</v>
      </c>
      <c r="F1985" s="103" t="s">
        <v>49</v>
      </c>
      <c r="G1985" s="75"/>
      <c r="H1985" s="75">
        <f>STOCK[[#This Row],[Precio Final]]</f>
        <v>3</v>
      </c>
      <c r="I1985" s="80">
        <f>STOCK[[#This Row],[Precio Venta Ideal (x1.5)]]</f>
        <v>2.5499999999999998</v>
      </c>
      <c r="J1985" s="103">
        <v>4</v>
      </c>
      <c r="K1985" s="78">
        <f>SUMIFS(VENTAS[Cantidad],VENTAS[Código del producto Vendido],STOCK[[#This Row],[Code]])</f>
        <v>0</v>
      </c>
      <c r="L1985" s="78">
        <f>STOCK[[#This Row],[Entradas]]-STOCK[[#This Row],[Salidas]]</f>
        <v>4</v>
      </c>
      <c r="M1985" s="75">
        <f>STOCK[[#This Row],[Precio Final]]*10%</f>
        <v>0.30000000000000004</v>
      </c>
      <c r="N1985" s="54">
        <v>0</v>
      </c>
      <c r="O1985" s="75">
        <v>0</v>
      </c>
      <c r="P1985" s="110">
        <v>0.9</v>
      </c>
      <c r="Q1985" s="75">
        <v>0</v>
      </c>
      <c r="R1985" s="78">
        <v>0</v>
      </c>
      <c r="S1985" s="112">
        <v>0.5</v>
      </c>
      <c r="T1985" s="75">
        <f>STOCK[[#This Row],[Costo Unitario (USD)]]+STOCK[[#This Row],[Costo Envío (USD)]]+STOCK[[#This Row],[Comisión 10%]]</f>
        <v>1.7</v>
      </c>
      <c r="U1985" s="53">
        <f>STOCK[[#This Row],[Costo total]]*1.5</f>
        <v>2.5499999999999998</v>
      </c>
      <c r="V1985" s="53">
        <v>3</v>
      </c>
      <c r="W1985" s="75">
        <f>STOCK[[#This Row],[Precio Final]]-STOCK[[#This Row],[Costo total]]</f>
        <v>1.3</v>
      </c>
      <c r="X1985" s="75">
        <f>STOCK[[#This Row],[Ganancia Unitaria]]*STOCK[[#This Row],[Salidas]]</f>
        <v>0</v>
      </c>
      <c r="Y1985" s="75"/>
      <c r="Z1985" s="88"/>
      <c r="AA1985" s="54"/>
      <c r="AB1985" s="54"/>
      <c r="AC1985" s="75"/>
      <c r="AD1985" s="96"/>
    </row>
    <row r="1986" spans="1:30" s="53" customFormat="1" ht="50" customHeight="1">
      <c r="A1986" s="93" t="s">
        <v>3891</v>
      </c>
      <c r="B1986" s="83"/>
      <c r="C1986" s="53" t="s">
        <v>32</v>
      </c>
      <c r="D1986" s="84" t="s">
        <v>2898</v>
      </c>
      <c r="E1986" s="104" t="s">
        <v>3889</v>
      </c>
      <c r="F1986" s="103" t="s">
        <v>46</v>
      </c>
      <c r="G1986" s="75"/>
      <c r="H1986" s="75">
        <f>STOCK[[#This Row],[Precio Final]]</f>
        <v>3</v>
      </c>
      <c r="I1986" s="80">
        <f>STOCK[[#This Row],[Precio Venta Ideal (x1.5)]]</f>
        <v>2.5499999999999998</v>
      </c>
      <c r="J1986" s="103">
        <v>4</v>
      </c>
      <c r="K1986" s="78">
        <f>SUMIFS(VENTAS[Cantidad],VENTAS[Código del producto Vendido],STOCK[[#This Row],[Code]])</f>
        <v>0</v>
      </c>
      <c r="L1986" s="78">
        <f>STOCK[[#This Row],[Entradas]]-STOCK[[#This Row],[Salidas]]</f>
        <v>4</v>
      </c>
      <c r="M1986" s="75">
        <f>STOCK[[#This Row],[Precio Final]]*10%</f>
        <v>0.30000000000000004</v>
      </c>
      <c r="N1986" s="54">
        <v>0</v>
      </c>
      <c r="O1986" s="75">
        <v>0</v>
      </c>
      <c r="P1986" s="110">
        <v>0.9</v>
      </c>
      <c r="Q1986" s="75">
        <v>0</v>
      </c>
      <c r="R1986" s="78">
        <v>0</v>
      </c>
      <c r="S1986" s="111">
        <v>0.5</v>
      </c>
      <c r="T1986" s="75">
        <f>STOCK[[#This Row],[Costo Unitario (USD)]]+STOCK[[#This Row],[Costo Envío (USD)]]+STOCK[[#This Row],[Comisión 10%]]</f>
        <v>1.7</v>
      </c>
      <c r="U1986" s="53">
        <f>STOCK[[#This Row],[Costo total]]*1.5</f>
        <v>2.5499999999999998</v>
      </c>
      <c r="V1986" s="53">
        <v>3</v>
      </c>
      <c r="W1986" s="75">
        <f>STOCK[[#This Row],[Precio Final]]-STOCK[[#This Row],[Costo total]]</f>
        <v>1.3</v>
      </c>
      <c r="X1986" s="75">
        <f>STOCK[[#This Row],[Ganancia Unitaria]]*STOCK[[#This Row],[Salidas]]</f>
        <v>0</v>
      </c>
      <c r="Y1986" s="75"/>
      <c r="Z1986" s="88"/>
      <c r="AA1986" s="54"/>
      <c r="AB1986" s="54"/>
      <c r="AC1986" s="75"/>
      <c r="AD1986" s="96"/>
    </row>
    <row r="1987" spans="1:30" s="53" customFormat="1" ht="50" customHeight="1">
      <c r="A1987" s="93" t="s">
        <v>3892</v>
      </c>
      <c r="B1987" s="83"/>
      <c r="C1987" s="53" t="s">
        <v>32</v>
      </c>
      <c r="D1987" s="84" t="s">
        <v>2898</v>
      </c>
      <c r="E1987" s="104" t="s">
        <v>3893</v>
      </c>
      <c r="F1987" s="103" t="s">
        <v>62</v>
      </c>
      <c r="G1987" s="75"/>
      <c r="H1987" s="75">
        <f>STOCK[[#This Row],[Precio Final]]</f>
        <v>3</v>
      </c>
      <c r="I1987" s="80">
        <f>STOCK[[#This Row],[Precio Venta Ideal (x1.5)]]</f>
        <v>2.5499999999999998</v>
      </c>
      <c r="J1987" s="103">
        <v>4</v>
      </c>
      <c r="K1987" s="78">
        <f>SUMIFS(VENTAS[Cantidad],VENTAS[Código del producto Vendido],STOCK[[#This Row],[Code]])</f>
        <v>0</v>
      </c>
      <c r="L1987" s="78">
        <f>STOCK[[#This Row],[Entradas]]-STOCK[[#This Row],[Salidas]]</f>
        <v>4</v>
      </c>
      <c r="M1987" s="75">
        <f>STOCK[[#This Row],[Precio Final]]*10%</f>
        <v>0.30000000000000004</v>
      </c>
      <c r="N1987" s="54">
        <v>0</v>
      </c>
      <c r="O1987" s="75">
        <v>0</v>
      </c>
      <c r="P1987" s="110">
        <v>0.9</v>
      </c>
      <c r="Q1987" s="75">
        <v>0</v>
      </c>
      <c r="R1987" s="78">
        <v>0</v>
      </c>
      <c r="S1987" s="112">
        <v>0.5</v>
      </c>
      <c r="T1987" s="75">
        <f>STOCK[[#This Row],[Costo Unitario (USD)]]+STOCK[[#This Row],[Costo Envío (USD)]]+STOCK[[#This Row],[Comisión 10%]]</f>
        <v>1.7</v>
      </c>
      <c r="U1987" s="53">
        <f>STOCK[[#This Row],[Costo total]]*1.5</f>
        <v>2.5499999999999998</v>
      </c>
      <c r="V1987" s="53">
        <v>3</v>
      </c>
      <c r="W1987" s="75">
        <f>STOCK[[#This Row],[Precio Final]]-STOCK[[#This Row],[Costo total]]</f>
        <v>1.3</v>
      </c>
      <c r="X1987" s="75">
        <f>STOCK[[#This Row],[Ganancia Unitaria]]*STOCK[[#This Row],[Salidas]]</f>
        <v>0</v>
      </c>
      <c r="Y1987" s="75"/>
      <c r="Z1987" s="88"/>
      <c r="AA1987" s="54"/>
      <c r="AB1987" s="54"/>
      <c r="AC1987" s="75"/>
      <c r="AD1987" s="96"/>
    </row>
    <row r="1988" spans="1:30" s="53" customFormat="1" ht="50" customHeight="1">
      <c r="A1988" s="93" t="s">
        <v>3894</v>
      </c>
      <c r="B1988" s="83"/>
      <c r="C1988" s="53" t="s">
        <v>32</v>
      </c>
      <c r="D1988" s="84" t="s">
        <v>2898</v>
      </c>
      <c r="E1988" s="104" t="s">
        <v>3893</v>
      </c>
      <c r="F1988" s="103" t="s">
        <v>49</v>
      </c>
      <c r="G1988" s="75"/>
      <c r="H1988" s="75">
        <f>STOCK[[#This Row],[Precio Final]]</f>
        <v>3</v>
      </c>
      <c r="I1988" s="80">
        <f>STOCK[[#This Row],[Precio Venta Ideal (x1.5)]]</f>
        <v>2.5499999999999998</v>
      </c>
      <c r="J1988" s="103">
        <v>4</v>
      </c>
      <c r="K1988" s="78">
        <f>SUMIFS(VENTAS[Cantidad],VENTAS[Código del producto Vendido],STOCK[[#This Row],[Code]])</f>
        <v>0</v>
      </c>
      <c r="L1988" s="78">
        <f>STOCK[[#This Row],[Entradas]]-STOCK[[#This Row],[Salidas]]</f>
        <v>4</v>
      </c>
      <c r="M1988" s="75">
        <f>STOCK[[#This Row],[Precio Final]]*10%</f>
        <v>0.30000000000000004</v>
      </c>
      <c r="N1988" s="54">
        <v>0</v>
      </c>
      <c r="O1988" s="75">
        <v>0</v>
      </c>
      <c r="P1988" s="110">
        <v>0.9</v>
      </c>
      <c r="Q1988" s="75">
        <v>0</v>
      </c>
      <c r="R1988" s="78">
        <v>0</v>
      </c>
      <c r="S1988" s="111">
        <v>0.5</v>
      </c>
      <c r="T1988" s="75">
        <f>STOCK[[#This Row],[Costo Unitario (USD)]]+STOCK[[#This Row],[Costo Envío (USD)]]+STOCK[[#This Row],[Comisión 10%]]</f>
        <v>1.7</v>
      </c>
      <c r="U1988" s="53">
        <f>STOCK[[#This Row],[Costo total]]*1.5</f>
        <v>2.5499999999999998</v>
      </c>
      <c r="V1988" s="53">
        <v>3</v>
      </c>
      <c r="W1988" s="75">
        <f>STOCK[[#This Row],[Precio Final]]-STOCK[[#This Row],[Costo total]]</f>
        <v>1.3</v>
      </c>
      <c r="X1988" s="75">
        <f>STOCK[[#This Row],[Ganancia Unitaria]]*STOCK[[#This Row],[Salidas]]</f>
        <v>0</v>
      </c>
      <c r="Y1988" s="75"/>
      <c r="Z1988" s="88"/>
      <c r="AA1988" s="54"/>
      <c r="AB1988" s="54"/>
      <c r="AC1988" s="75"/>
      <c r="AD1988" s="96"/>
    </row>
    <row r="1989" spans="1:30" s="53" customFormat="1" ht="50" customHeight="1">
      <c r="A1989" s="93" t="s">
        <v>3895</v>
      </c>
      <c r="B1989" s="83"/>
      <c r="C1989" s="53" t="s">
        <v>32</v>
      </c>
      <c r="D1989" s="84" t="s">
        <v>2898</v>
      </c>
      <c r="E1989" s="104" t="s">
        <v>3893</v>
      </c>
      <c r="F1989" s="103" t="s">
        <v>46</v>
      </c>
      <c r="G1989" s="75"/>
      <c r="H1989" s="75">
        <f>STOCK[[#This Row],[Precio Final]]</f>
        <v>3</v>
      </c>
      <c r="I1989" s="80">
        <f>STOCK[[#This Row],[Precio Venta Ideal (x1.5)]]</f>
        <v>2.5499999999999998</v>
      </c>
      <c r="J1989" s="103">
        <v>4</v>
      </c>
      <c r="K1989" s="78">
        <f>SUMIFS(VENTAS[Cantidad],VENTAS[Código del producto Vendido],STOCK[[#This Row],[Code]])</f>
        <v>0</v>
      </c>
      <c r="L1989" s="78">
        <f>STOCK[[#This Row],[Entradas]]-STOCK[[#This Row],[Salidas]]</f>
        <v>4</v>
      </c>
      <c r="M1989" s="75">
        <f>STOCK[[#This Row],[Precio Final]]*10%</f>
        <v>0.30000000000000004</v>
      </c>
      <c r="N1989" s="54">
        <v>0</v>
      </c>
      <c r="O1989" s="75">
        <v>0</v>
      </c>
      <c r="P1989" s="110">
        <v>0.9</v>
      </c>
      <c r="Q1989" s="75">
        <v>0</v>
      </c>
      <c r="R1989" s="78">
        <v>0</v>
      </c>
      <c r="S1989" s="112">
        <v>0.5</v>
      </c>
      <c r="T1989" s="75">
        <f>STOCK[[#This Row],[Costo Unitario (USD)]]+STOCK[[#This Row],[Costo Envío (USD)]]+STOCK[[#This Row],[Comisión 10%]]</f>
        <v>1.7</v>
      </c>
      <c r="U1989" s="53">
        <f>STOCK[[#This Row],[Costo total]]*1.5</f>
        <v>2.5499999999999998</v>
      </c>
      <c r="V1989" s="53">
        <v>3</v>
      </c>
      <c r="W1989" s="75">
        <f>STOCK[[#This Row],[Precio Final]]-STOCK[[#This Row],[Costo total]]</f>
        <v>1.3</v>
      </c>
      <c r="X1989" s="75">
        <f>STOCK[[#This Row],[Ganancia Unitaria]]*STOCK[[#This Row],[Salidas]]</f>
        <v>0</v>
      </c>
      <c r="Y1989" s="75"/>
      <c r="Z1989" s="88"/>
      <c r="AA1989" s="54"/>
      <c r="AB1989" s="54"/>
      <c r="AC1989" s="75"/>
      <c r="AD1989" s="96"/>
    </row>
    <row r="1990" spans="1:30" s="53" customFormat="1" ht="50" customHeight="1">
      <c r="A1990" s="93" t="s">
        <v>3896</v>
      </c>
      <c r="B1990" s="83"/>
      <c r="C1990" s="53" t="s">
        <v>32</v>
      </c>
      <c r="D1990" s="84" t="s">
        <v>2898</v>
      </c>
      <c r="E1990" s="104" t="s">
        <v>3897</v>
      </c>
      <c r="F1990" s="103" t="s">
        <v>62</v>
      </c>
      <c r="G1990" s="75"/>
      <c r="H1990" s="75">
        <f>STOCK[[#This Row],[Precio Final]]</f>
        <v>3</v>
      </c>
      <c r="I1990" s="80">
        <f>STOCK[[#This Row],[Precio Venta Ideal (x1.5)]]</f>
        <v>2.5499999999999998</v>
      </c>
      <c r="J1990" s="103">
        <v>4</v>
      </c>
      <c r="K1990" s="78">
        <f>SUMIFS(VENTAS[Cantidad],VENTAS[Código del producto Vendido],STOCK[[#This Row],[Code]])</f>
        <v>0</v>
      </c>
      <c r="L1990" s="78">
        <f>STOCK[[#This Row],[Entradas]]-STOCK[[#This Row],[Salidas]]</f>
        <v>4</v>
      </c>
      <c r="M1990" s="75">
        <f>STOCK[[#This Row],[Precio Final]]*10%</f>
        <v>0.30000000000000004</v>
      </c>
      <c r="N1990" s="54">
        <v>0</v>
      </c>
      <c r="O1990" s="75">
        <v>0</v>
      </c>
      <c r="P1990" s="110">
        <v>0.9</v>
      </c>
      <c r="Q1990" s="75">
        <v>0</v>
      </c>
      <c r="R1990" s="78">
        <v>0</v>
      </c>
      <c r="S1990" s="111">
        <v>0.5</v>
      </c>
      <c r="T1990" s="75">
        <f>STOCK[[#This Row],[Costo Unitario (USD)]]+STOCK[[#This Row],[Costo Envío (USD)]]+STOCK[[#This Row],[Comisión 10%]]</f>
        <v>1.7</v>
      </c>
      <c r="U1990" s="53">
        <f>STOCK[[#This Row],[Costo total]]*1.5</f>
        <v>2.5499999999999998</v>
      </c>
      <c r="V1990" s="53">
        <v>3</v>
      </c>
      <c r="W1990" s="75">
        <f>STOCK[[#This Row],[Precio Final]]-STOCK[[#This Row],[Costo total]]</f>
        <v>1.3</v>
      </c>
      <c r="X1990" s="75">
        <f>STOCK[[#This Row],[Ganancia Unitaria]]*STOCK[[#This Row],[Salidas]]</f>
        <v>0</v>
      </c>
      <c r="Y1990" s="75"/>
      <c r="Z1990" s="88"/>
      <c r="AA1990" s="54"/>
      <c r="AB1990" s="54"/>
      <c r="AC1990" s="75"/>
      <c r="AD1990" s="96"/>
    </row>
    <row r="1991" spans="1:30" s="53" customFormat="1" ht="50" customHeight="1">
      <c r="A1991" s="93" t="s">
        <v>3898</v>
      </c>
      <c r="B1991" s="83"/>
      <c r="C1991" s="53" t="s">
        <v>32</v>
      </c>
      <c r="D1991" s="84" t="s">
        <v>2898</v>
      </c>
      <c r="E1991" s="104" t="s">
        <v>3897</v>
      </c>
      <c r="F1991" s="103" t="s">
        <v>49</v>
      </c>
      <c r="G1991" s="75"/>
      <c r="H1991" s="75">
        <f>STOCK[[#This Row],[Precio Final]]</f>
        <v>3</v>
      </c>
      <c r="I1991" s="80">
        <f>STOCK[[#This Row],[Precio Venta Ideal (x1.5)]]</f>
        <v>2.5499999999999998</v>
      </c>
      <c r="J1991" s="103">
        <v>4</v>
      </c>
      <c r="K1991" s="78">
        <f>SUMIFS(VENTAS[Cantidad],VENTAS[Código del producto Vendido],STOCK[[#This Row],[Code]])</f>
        <v>0</v>
      </c>
      <c r="L1991" s="78">
        <f>STOCK[[#This Row],[Entradas]]-STOCK[[#This Row],[Salidas]]</f>
        <v>4</v>
      </c>
      <c r="M1991" s="75">
        <f>STOCK[[#This Row],[Precio Final]]*10%</f>
        <v>0.30000000000000004</v>
      </c>
      <c r="N1991" s="54">
        <v>0</v>
      </c>
      <c r="O1991" s="75">
        <v>0</v>
      </c>
      <c r="P1991" s="110">
        <v>0.9</v>
      </c>
      <c r="Q1991" s="75">
        <v>0</v>
      </c>
      <c r="R1991" s="78">
        <v>0</v>
      </c>
      <c r="S1991" s="112">
        <v>0.5</v>
      </c>
      <c r="T1991" s="75">
        <f>STOCK[[#This Row],[Costo Unitario (USD)]]+STOCK[[#This Row],[Costo Envío (USD)]]+STOCK[[#This Row],[Comisión 10%]]</f>
        <v>1.7</v>
      </c>
      <c r="U1991" s="53">
        <f>STOCK[[#This Row],[Costo total]]*1.5</f>
        <v>2.5499999999999998</v>
      </c>
      <c r="V1991" s="53">
        <v>3</v>
      </c>
      <c r="W1991" s="75">
        <f>STOCK[[#This Row],[Precio Final]]-STOCK[[#This Row],[Costo total]]</f>
        <v>1.3</v>
      </c>
      <c r="X1991" s="75">
        <f>STOCK[[#This Row],[Ganancia Unitaria]]*STOCK[[#This Row],[Salidas]]</f>
        <v>0</v>
      </c>
      <c r="Y1991" s="75"/>
      <c r="Z1991" s="88"/>
      <c r="AA1991" s="54"/>
      <c r="AB1991" s="54"/>
      <c r="AC1991" s="75"/>
      <c r="AD1991" s="96"/>
    </row>
    <row r="1992" spans="1:30" s="53" customFormat="1" ht="50" customHeight="1">
      <c r="A1992" s="93" t="s">
        <v>3899</v>
      </c>
      <c r="B1992" s="83"/>
      <c r="C1992" s="53" t="s">
        <v>32</v>
      </c>
      <c r="D1992" s="84" t="s">
        <v>2898</v>
      </c>
      <c r="E1992" s="104" t="s">
        <v>3897</v>
      </c>
      <c r="F1992" s="103" t="s">
        <v>46</v>
      </c>
      <c r="G1992" s="75"/>
      <c r="H1992" s="75">
        <f>STOCK[[#This Row],[Precio Final]]</f>
        <v>3</v>
      </c>
      <c r="I1992" s="80">
        <f>STOCK[[#This Row],[Precio Venta Ideal (x1.5)]]</f>
        <v>2.5499999999999998</v>
      </c>
      <c r="J1992" s="103">
        <v>4</v>
      </c>
      <c r="K1992" s="78">
        <f>SUMIFS(VENTAS[Cantidad],VENTAS[Código del producto Vendido],STOCK[[#This Row],[Code]])</f>
        <v>0</v>
      </c>
      <c r="L1992" s="78">
        <f>STOCK[[#This Row],[Entradas]]-STOCK[[#This Row],[Salidas]]</f>
        <v>4</v>
      </c>
      <c r="M1992" s="75">
        <f>STOCK[[#This Row],[Precio Final]]*10%</f>
        <v>0.30000000000000004</v>
      </c>
      <c r="N1992" s="54">
        <v>0</v>
      </c>
      <c r="O1992" s="75">
        <v>0</v>
      </c>
      <c r="P1992" s="110">
        <v>0.9</v>
      </c>
      <c r="Q1992" s="75">
        <v>0</v>
      </c>
      <c r="R1992" s="78">
        <v>0</v>
      </c>
      <c r="S1992" s="111">
        <v>0.5</v>
      </c>
      <c r="T1992" s="75">
        <f>STOCK[[#This Row],[Costo Unitario (USD)]]+STOCK[[#This Row],[Costo Envío (USD)]]+STOCK[[#This Row],[Comisión 10%]]</f>
        <v>1.7</v>
      </c>
      <c r="U1992" s="53">
        <f>STOCK[[#This Row],[Costo total]]*1.5</f>
        <v>2.5499999999999998</v>
      </c>
      <c r="V1992" s="53">
        <v>3</v>
      </c>
      <c r="W1992" s="75">
        <f>STOCK[[#This Row],[Precio Final]]-STOCK[[#This Row],[Costo total]]</f>
        <v>1.3</v>
      </c>
      <c r="X1992" s="75">
        <f>STOCK[[#This Row],[Ganancia Unitaria]]*STOCK[[#This Row],[Salidas]]</f>
        <v>0</v>
      </c>
      <c r="Y1992" s="75"/>
      <c r="Z1992" s="88"/>
      <c r="AA1992" s="54"/>
      <c r="AB1992" s="54"/>
      <c r="AC1992" s="75"/>
      <c r="AD1992" s="96"/>
    </row>
    <row r="1993" spans="1:30" s="53" customFormat="1" ht="50" customHeight="1">
      <c r="A1993" s="93" t="s">
        <v>3900</v>
      </c>
      <c r="B1993" s="83"/>
      <c r="C1993" s="53" t="s">
        <v>32</v>
      </c>
      <c r="D1993" s="84" t="s">
        <v>2898</v>
      </c>
      <c r="E1993" s="104" t="s">
        <v>3901</v>
      </c>
      <c r="F1993" s="103" t="s">
        <v>62</v>
      </c>
      <c r="G1993" s="75"/>
      <c r="H1993" s="75">
        <f>STOCK[[#This Row],[Precio Final]]</f>
        <v>3</v>
      </c>
      <c r="I1993" s="80">
        <f>STOCK[[#This Row],[Precio Venta Ideal (x1.5)]]</f>
        <v>2.5499999999999998</v>
      </c>
      <c r="J1993" s="103">
        <v>4</v>
      </c>
      <c r="K1993" s="78">
        <f>SUMIFS(VENTAS[Cantidad],VENTAS[Código del producto Vendido],STOCK[[#This Row],[Code]])</f>
        <v>0</v>
      </c>
      <c r="L1993" s="78">
        <f>STOCK[[#This Row],[Entradas]]-STOCK[[#This Row],[Salidas]]</f>
        <v>4</v>
      </c>
      <c r="M1993" s="75">
        <f>STOCK[[#This Row],[Precio Final]]*10%</f>
        <v>0.30000000000000004</v>
      </c>
      <c r="N1993" s="54">
        <v>0</v>
      </c>
      <c r="O1993" s="75">
        <v>0</v>
      </c>
      <c r="P1993" s="110">
        <v>0.9</v>
      </c>
      <c r="Q1993" s="75">
        <v>0</v>
      </c>
      <c r="R1993" s="78">
        <v>0</v>
      </c>
      <c r="S1993" s="112">
        <v>0.5</v>
      </c>
      <c r="T1993" s="75">
        <f>STOCK[[#This Row],[Costo Unitario (USD)]]+STOCK[[#This Row],[Costo Envío (USD)]]+STOCK[[#This Row],[Comisión 10%]]</f>
        <v>1.7</v>
      </c>
      <c r="U1993" s="53">
        <f>STOCK[[#This Row],[Costo total]]*1.5</f>
        <v>2.5499999999999998</v>
      </c>
      <c r="V1993" s="53">
        <v>3</v>
      </c>
      <c r="W1993" s="75">
        <f>STOCK[[#This Row],[Precio Final]]-STOCK[[#This Row],[Costo total]]</f>
        <v>1.3</v>
      </c>
      <c r="X1993" s="75">
        <f>STOCK[[#This Row],[Ganancia Unitaria]]*STOCK[[#This Row],[Salidas]]</f>
        <v>0</v>
      </c>
      <c r="Y1993" s="75"/>
      <c r="Z1993" s="88"/>
      <c r="AA1993" s="54"/>
      <c r="AB1993" s="54"/>
      <c r="AC1993" s="75"/>
      <c r="AD1993" s="96"/>
    </row>
    <row r="1994" spans="1:30" s="53" customFormat="1" ht="50" customHeight="1">
      <c r="A1994" s="93" t="s">
        <v>3902</v>
      </c>
      <c r="B1994" s="83"/>
      <c r="C1994" s="53" t="s">
        <v>32</v>
      </c>
      <c r="D1994" s="84" t="s">
        <v>2898</v>
      </c>
      <c r="E1994" s="104" t="s">
        <v>3901</v>
      </c>
      <c r="F1994" s="103" t="s">
        <v>49</v>
      </c>
      <c r="G1994" s="75"/>
      <c r="H1994" s="75">
        <f>STOCK[[#This Row],[Precio Final]]</f>
        <v>3</v>
      </c>
      <c r="I1994" s="80">
        <f>STOCK[[#This Row],[Precio Venta Ideal (x1.5)]]</f>
        <v>2.5499999999999998</v>
      </c>
      <c r="J1994" s="103">
        <v>4</v>
      </c>
      <c r="K1994" s="78">
        <f>SUMIFS(VENTAS[Cantidad],VENTAS[Código del producto Vendido],STOCK[[#This Row],[Code]])</f>
        <v>0</v>
      </c>
      <c r="L1994" s="78">
        <f>STOCK[[#This Row],[Entradas]]-STOCK[[#This Row],[Salidas]]</f>
        <v>4</v>
      </c>
      <c r="M1994" s="75">
        <f>STOCK[[#This Row],[Precio Final]]*10%</f>
        <v>0.30000000000000004</v>
      </c>
      <c r="N1994" s="54">
        <v>0</v>
      </c>
      <c r="O1994" s="75">
        <v>0</v>
      </c>
      <c r="P1994" s="110">
        <v>0.9</v>
      </c>
      <c r="Q1994" s="75">
        <v>0</v>
      </c>
      <c r="R1994" s="78">
        <v>0</v>
      </c>
      <c r="S1994" s="111">
        <v>0.5</v>
      </c>
      <c r="T1994" s="75">
        <f>STOCK[[#This Row],[Costo Unitario (USD)]]+STOCK[[#This Row],[Costo Envío (USD)]]+STOCK[[#This Row],[Comisión 10%]]</f>
        <v>1.7</v>
      </c>
      <c r="U1994" s="53">
        <f>STOCK[[#This Row],[Costo total]]*1.5</f>
        <v>2.5499999999999998</v>
      </c>
      <c r="V1994" s="53">
        <v>3</v>
      </c>
      <c r="W1994" s="75">
        <f>STOCK[[#This Row],[Precio Final]]-STOCK[[#This Row],[Costo total]]</f>
        <v>1.3</v>
      </c>
      <c r="X1994" s="75">
        <f>STOCK[[#This Row],[Ganancia Unitaria]]*STOCK[[#This Row],[Salidas]]</f>
        <v>0</v>
      </c>
      <c r="Y1994" s="75"/>
      <c r="Z1994" s="88"/>
      <c r="AA1994" s="54"/>
      <c r="AB1994" s="54"/>
      <c r="AC1994" s="75"/>
      <c r="AD1994" s="96"/>
    </row>
    <row r="1995" spans="1:30" s="53" customFormat="1" ht="50" customHeight="1">
      <c r="A1995" s="93" t="s">
        <v>3903</v>
      </c>
      <c r="B1995" s="83"/>
      <c r="C1995" s="53" t="s">
        <v>32</v>
      </c>
      <c r="D1995" s="84" t="s">
        <v>2898</v>
      </c>
      <c r="E1995" s="104" t="s">
        <v>3901</v>
      </c>
      <c r="F1995" s="103" t="s">
        <v>46</v>
      </c>
      <c r="G1995" s="75"/>
      <c r="H1995" s="75">
        <f>STOCK[[#This Row],[Precio Final]]</f>
        <v>3</v>
      </c>
      <c r="I1995" s="80">
        <f>STOCK[[#This Row],[Precio Venta Ideal (x1.5)]]</f>
        <v>2.5499999999999998</v>
      </c>
      <c r="J1995" s="103">
        <v>4</v>
      </c>
      <c r="K1995" s="78">
        <f>SUMIFS(VENTAS[Cantidad],VENTAS[Código del producto Vendido],STOCK[[#This Row],[Code]])</f>
        <v>0</v>
      </c>
      <c r="L1995" s="78">
        <f>STOCK[[#This Row],[Entradas]]-STOCK[[#This Row],[Salidas]]</f>
        <v>4</v>
      </c>
      <c r="M1995" s="75">
        <f>STOCK[[#This Row],[Precio Final]]*10%</f>
        <v>0.30000000000000004</v>
      </c>
      <c r="N1995" s="54">
        <v>0</v>
      </c>
      <c r="O1995" s="75">
        <v>0</v>
      </c>
      <c r="P1995" s="110">
        <v>0.9</v>
      </c>
      <c r="Q1995" s="75">
        <v>0</v>
      </c>
      <c r="R1995" s="78">
        <v>0</v>
      </c>
      <c r="S1995" s="112">
        <v>0.5</v>
      </c>
      <c r="T1995" s="75">
        <f>STOCK[[#This Row],[Costo Unitario (USD)]]+STOCK[[#This Row],[Costo Envío (USD)]]+STOCK[[#This Row],[Comisión 10%]]</f>
        <v>1.7</v>
      </c>
      <c r="U1995" s="53">
        <f>STOCK[[#This Row],[Costo total]]*1.5</f>
        <v>2.5499999999999998</v>
      </c>
      <c r="V1995" s="53">
        <v>3</v>
      </c>
      <c r="W1995" s="75">
        <f>STOCK[[#This Row],[Precio Final]]-STOCK[[#This Row],[Costo total]]</f>
        <v>1.3</v>
      </c>
      <c r="X1995" s="75">
        <f>STOCK[[#This Row],[Ganancia Unitaria]]*STOCK[[#This Row],[Salidas]]</f>
        <v>0</v>
      </c>
      <c r="Y1995" s="75"/>
      <c r="Z1995" s="88"/>
      <c r="AA1995" s="54"/>
      <c r="AB1995" s="54"/>
      <c r="AC1995" s="75"/>
      <c r="AD1995" s="96"/>
    </row>
    <row r="1996" spans="1:30" s="53" customFormat="1" ht="50" customHeight="1">
      <c r="A1996" s="93" t="s">
        <v>3904</v>
      </c>
      <c r="B1996" s="83"/>
      <c r="C1996" s="53" t="s">
        <v>32</v>
      </c>
      <c r="D1996" s="84" t="s">
        <v>2898</v>
      </c>
      <c r="E1996" s="104" t="s">
        <v>3905</v>
      </c>
      <c r="F1996" s="103" t="s">
        <v>62</v>
      </c>
      <c r="G1996" s="75"/>
      <c r="H1996" s="75">
        <f>STOCK[[#This Row],[Precio Final]]</f>
        <v>3</v>
      </c>
      <c r="I1996" s="80">
        <f>STOCK[[#This Row],[Precio Venta Ideal (x1.5)]]</f>
        <v>2.7</v>
      </c>
      <c r="J1996" s="103">
        <v>2</v>
      </c>
      <c r="K1996" s="78">
        <f>SUMIFS(VENTAS[Cantidad],VENTAS[Código del producto Vendido],STOCK[[#This Row],[Code]])</f>
        <v>0</v>
      </c>
      <c r="L1996" s="78">
        <f>STOCK[[#This Row],[Entradas]]-STOCK[[#This Row],[Salidas]]</f>
        <v>2</v>
      </c>
      <c r="M1996" s="75">
        <f>STOCK[[#This Row],[Precio Final]]*10%</f>
        <v>0.30000000000000004</v>
      </c>
      <c r="N1996" s="54">
        <v>0</v>
      </c>
      <c r="O1996" s="75">
        <v>0</v>
      </c>
      <c r="P1996" s="110">
        <v>1</v>
      </c>
      <c r="Q1996" s="75">
        <v>0</v>
      </c>
      <c r="R1996" s="78">
        <v>0</v>
      </c>
      <c r="S1996" s="111">
        <v>0.5</v>
      </c>
      <c r="T1996" s="75">
        <f>STOCK[[#This Row],[Costo Unitario (USD)]]+STOCK[[#This Row],[Costo Envío (USD)]]+STOCK[[#This Row],[Comisión 10%]]</f>
        <v>1.8</v>
      </c>
      <c r="U1996" s="53">
        <f>STOCK[[#This Row],[Costo total]]*1.5</f>
        <v>2.7</v>
      </c>
      <c r="V1996" s="53">
        <v>3</v>
      </c>
      <c r="W1996" s="75">
        <f>STOCK[[#This Row],[Precio Final]]-STOCK[[#This Row],[Costo total]]</f>
        <v>1.2</v>
      </c>
      <c r="X1996" s="75">
        <f>STOCK[[#This Row],[Ganancia Unitaria]]*STOCK[[#This Row],[Salidas]]</f>
        <v>0</v>
      </c>
      <c r="Y1996" s="75"/>
      <c r="Z1996" s="88"/>
      <c r="AA1996" s="54"/>
      <c r="AB1996" s="54"/>
      <c r="AC1996" s="75"/>
      <c r="AD1996" s="96"/>
    </row>
    <row r="1997" spans="1:30" s="53" customFormat="1" ht="50" customHeight="1">
      <c r="A1997" s="93" t="s">
        <v>3906</v>
      </c>
      <c r="B1997" s="83"/>
      <c r="C1997" s="53" t="s">
        <v>32</v>
      </c>
      <c r="D1997" s="84" t="s">
        <v>2898</v>
      </c>
      <c r="E1997" s="104" t="s">
        <v>3905</v>
      </c>
      <c r="F1997" s="103" t="s">
        <v>49</v>
      </c>
      <c r="G1997" s="75"/>
      <c r="H1997" s="75">
        <f>STOCK[[#This Row],[Precio Final]]</f>
        <v>3</v>
      </c>
      <c r="I1997" s="80">
        <f>STOCK[[#This Row],[Precio Venta Ideal (x1.5)]]</f>
        <v>2.7</v>
      </c>
      <c r="J1997" s="103">
        <v>2</v>
      </c>
      <c r="K1997" s="78">
        <f>SUMIFS(VENTAS[Cantidad],VENTAS[Código del producto Vendido],STOCK[[#This Row],[Code]])</f>
        <v>0</v>
      </c>
      <c r="L1997" s="78">
        <f>STOCK[[#This Row],[Entradas]]-STOCK[[#This Row],[Salidas]]</f>
        <v>2</v>
      </c>
      <c r="M1997" s="75">
        <f>STOCK[[#This Row],[Precio Final]]*10%</f>
        <v>0.30000000000000004</v>
      </c>
      <c r="N1997" s="54">
        <v>0</v>
      </c>
      <c r="O1997" s="75">
        <v>0</v>
      </c>
      <c r="P1997" s="110">
        <v>1</v>
      </c>
      <c r="Q1997" s="75">
        <v>0</v>
      </c>
      <c r="R1997" s="78">
        <v>0</v>
      </c>
      <c r="S1997" s="112">
        <v>0.5</v>
      </c>
      <c r="T1997" s="75">
        <f>STOCK[[#This Row],[Costo Unitario (USD)]]+STOCK[[#This Row],[Costo Envío (USD)]]+STOCK[[#This Row],[Comisión 10%]]</f>
        <v>1.8</v>
      </c>
      <c r="U1997" s="53">
        <f>STOCK[[#This Row],[Costo total]]*1.5</f>
        <v>2.7</v>
      </c>
      <c r="V1997" s="53">
        <v>3</v>
      </c>
      <c r="W1997" s="75">
        <f>STOCK[[#This Row],[Precio Final]]-STOCK[[#This Row],[Costo total]]</f>
        <v>1.2</v>
      </c>
      <c r="X1997" s="75">
        <f>STOCK[[#This Row],[Ganancia Unitaria]]*STOCK[[#This Row],[Salidas]]</f>
        <v>0</v>
      </c>
      <c r="Y1997" s="75"/>
      <c r="Z1997" s="88"/>
      <c r="AA1997" s="54"/>
      <c r="AB1997" s="54"/>
      <c r="AC1997" s="75"/>
      <c r="AD1997" s="96"/>
    </row>
    <row r="1998" spans="1:30" s="53" customFormat="1" ht="50" customHeight="1">
      <c r="A1998" s="93" t="s">
        <v>3907</v>
      </c>
      <c r="B1998" s="83"/>
      <c r="C1998" s="53" t="s">
        <v>32</v>
      </c>
      <c r="D1998" s="84" t="s">
        <v>2898</v>
      </c>
      <c r="E1998" s="104" t="s">
        <v>3905</v>
      </c>
      <c r="F1998" s="103" t="s">
        <v>46</v>
      </c>
      <c r="G1998" s="75"/>
      <c r="H1998" s="75">
        <f>STOCK[[#This Row],[Precio Final]]</f>
        <v>3</v>
      </c>
      <c r="I1998" s="80">
        <f>STOCK[[#This Row],[Precio Venta Ideal (x1.5)]]</f>
        <v>2.7</v>
      </c>
      <c r="J1998" s="103">
        <v>3</v>
      </c>
      <c r="K1998" s="78">
        <f>SUMIFS(VENTAS[Cantidad],VENTAS[Código del producto Vendido],STOCK[[#This Row],[Code]])</f>
        <v>0</v>
      </c>
      <c r="L1998" s="78">
        <f>STOCK[[#This Row],[Entradas]]-STOCK[[#This Row],[Salidas]]</f>
        <v>3</v>
      </c>
      <c r="M1998" s="75">
        <f>STOCK[[#This Row],[Precio Final]]*10%</f>
        <v>0.30000000000000004</v>
      </c>
      <c r="N1998" s="54">
        <v>0</v>
      </c>
      <c r="O1998" s="75">
        <v>0</v>
      </c>
      <c r="P1998" s="110">
        <v>1</v>
      </c>
      <c r="Q1998" s="75">
        <v>0</v>
      </c>
      <c r="R1998" s="78">
        <v>0</v>
      </c>
      <c r="S1998" s="111">
        <v>0.5</v>
      </c>
      <c r="T1998" s="75">
        <f>STOCK[[#This Row],[Costo Unitario (USD)]]+STOCK[[#This Row],[Costo Envío (USD)]]+STOCK[[#This Row],[Comisión 10%]]</f>
        <v>1.8</v>
      </c>
      <c r="U1998" s="53">
        <f>STOCK[[#This Row],[Costo total]]*1.5</f>
        <v>2.7</v>
      </c>
      <c r="V1998" s="53">
        <v>3</v>
      </c>
      <c r="W1998" s="75">
        <f>STOCK[[#This Row],[Precio Final]]-STOCK[[#This Row],[Costo total]]</f>
        <v>1.2</v>
      </c>
      <c r="X1998" s="75">
        <f>STOCK[[#This Row],[Ganancia Unitaria]]*STOCK[[#This Row],[Salidas]]</f>
        <v>0</v>
      </c>
      <c r="Y1998" s="75"/>
      <c r="Z1998" s="88"/>
      <c r="AA1998" s="54"/>
      <c r="AB1998" s="54"/>
      <c r="AC1998" s="75"/>
      <c r="AD1998" s="96"/>
    </row>
    <row r="1999" spans="1:30" s="53" customFormat="1" ht="50" customHeight="1">
      <c r="A1999" s="93" t="s">
        <v>3908</v>
      </c>
      <c r="B1999" s="83"/>
      <c r="C1999" s="53" t="s">
        <v>32</v>
      </c>
      <c r="D1999" s="84" t="s">
        <v>2898</v>
      </c>
      <c r="E1999" s="104" t="s">
        <v>3905</v>
      </c>
      <c r="F1999" s="103" t="s">
        <v>42</v>
      </c>
      <c r="G1999" s="75"/>
      <c r="H1999" s="75">
        <f>STOCK[[#This Row],[Precio Final]]</f>
        <v>3</v>
      </c>
      <c r="I1999" s="80">
        <f>STOCK[[#This Row],[Precio Venta Ideal (x1.5)]]</f>
        <v>2.7</v>
      </c>
      <c r="J1999" s="103">
        <v>3</v>
      </c>
      <c r="K1999" s="78">
        <f>SUMIFS(VENTAS[Cantidad],VENTAS[Código del producto Vendido],STOCK[[#This Row],[Code]])</f>
        <v>0</v>
      </c>
      <c r="L1999" s="78">
        <f>STOCK[[#This Row],[Entradas]]-STOCK[[#This Row],[Salidas]]</f>
        <v>3</v>
      </c>
      <c r="M1999" s="75">
        <f>STOCK[[#This Row],[Precio Final]]*10%</f>
        <v>0.30000000000000004</v>
      </c>
      <c r="N1999" s="54">
        <v>0</v>
      </c>
      <c r="O1999" s="75">
        <v>0</v>
      </c>
      <c r="P1999" s="110">
        <v>1</v>
      </c>
      <c r="Q1999" s="75">
        <v>0</v>
      </c>
      <c r="R1999" s="78">
        <v>0</v>
      </c>
      <c r="S1999" s="112">
        <v>0.5</v>
      </c>
      <c r="T1999" s="75">
        <f>STOCK[[#This Row],[Costo Unitario (USD)]]+STOCK[[#This Row],[Costo Envío (USD)]]+STOCK[[#This Row],[Comisión 10%]]</f>
        <v>1.8</v>
      </c>
      <c r="U1999" s="53">
        <f>STOCK[[#This Row],[Costo total]]*1.5</f>
        <v>2.7</v>
      </c>
      <c r="V1999" s="53">
        <v>3</v>
      </c>
      <c r="W1999" s="75">
        <f>STOCK[[#This Row],[Precio Final]]-STOCK[[#This Row],[Costo total]]</f>
        <v>1.2</v>
      </c>
      <c r="X1999" s="75">
        <f>STOCK[[#This Row],[Ganancia Unitaria]]*STOCK[[#This Row],[Salidas]]</f>
        <v>0</v>
      </c>
      <c r="Y1999" s="75"/>
      <c r="Z1999" s="88"/>
      <c r="AA1999" s="54"/>
      <c r="AB1999" s="54"/>
      <c r="AC1999" s="75"/>
      <c r="AD1999" s="96"/>
    </row>
    <row r="2000" spans="1:30" s="53" customFormat="1" ht="50" customHeight="1">
      <c r="A2000" s="93" t="s">
        <v>3909</v>
      </c>
      <c r="B2000" s="83"/>
      <c r="C2000" s="53" t="s">
        <v>32</v>
      </c>
      <c r="D2000" s="84" t="s">
        <v>2898</v>
      </c>
      <c r="E2000" s="104" t="s">
        <v>3910</v>
      </c>
      <c r="F2000" s="103" t="s">
        <v>62</v>
      </c>
      <c r="G2000" s="75"/>
      <c r="H2000" s="75">
        <f>STOCK[[#This Row],[Precio Final]]</f>
        <v>3</v>
      </c>
      <c r="I2000" s="80">
        <f>STOCK[[#This Row],[Precio Venta Ideal (x1.5)]]</f>
        <v>2.7</v>
      </c>
      <c r="J2000" s="103">
        <v>2</v>
      </c>
      <c r="K2000" s="78">
        <f>SUMIFS(VENTAS[Cantidad],VENTAS[Código del producto Vendido],STOCK[[#This Row],[Code]])</f>
        <v>0</v>
      </c>
      <c r="L2000" s="78">
        <f>STOCK[[#This Row],[Entradas]]-STOCK[[#This Row],[Salidas]]</f>
        <v>2</v>
      </c>
      <c r="M2000" s="75">
        <f>STOCK[[#This Row],[Precio Final]]*10%</f>
        <v>0.30000000000000004</v>
      </c>
      <c r="N2000" s="54">
        <v>0</v>
      </c>
      <c r="O2000" s="75">
        <v>0</v>
      </c>
      <c r="P2000" s="110">
        <v>1</v>
      </c>
      <c r="Q2000" s="75">
        <v>0</v>
      </c>
      <c r="R2000" s="78">
        <v>0</v>
      </c>
      <c r="S2000" s="111">
        <v>0.5</v>
      </c>
      <c r="T2000" s="75">
        <f>STOCK[[#This Row],[Costo Unitario (USD)]]+STOCK[[#This Row],[Costo Envío (USD)]]+STOCK[[#This Row],[Comisión 10%]]</f>
        <v>1.8</v>
      </c>
      <c r="U2000" s="53">
        <f>STOCK[[#This Row],[Costo total]]*1.5</f>
        <v>2.7</v>
      </c>
      <c r="V2000" s="53">
        <v>3</v>
      </c>
      <c r="W2000" s="75">
        <f>STOCK[[#This Row],[Precio Final]]-STOCK[[#This Row],[Costo total]]</f>
        <v>1.2</v>
      </c>
      <c r="X2000" s="75">
        <f>STOCK[[#This Row],[Ganancia Unitaria]]*STOCK[[#This Row],[Salidas]]</f>
        <v>0</v>
      </c>
      <c r="Y2000" s="75"/>
      <c r="Z2000" s="88"/>
      <c r="AA2000" s="54"/>
      <c r="AB2000" s="54"/>
      <c r="AC2000" s="75"/>
      <c r="AD2000" s="96"/>
    </row>
    <row r="2001" spans="1:30" s="53" customFormat="1" ht="50" customHeight="1">
      <c r="A2001" s="93" t="s">
        <v>3911</v>
      </c>
      <c r="B2001" s="83"/>
      <c r="C2001" s="53" t="s">
        <v>32</v>
      </c>
      <c r="D2001" s="84" t="s">
        <v>2898</v>
      </c>
      <c r="E2001" s="104" t="s">
        <v>3910</v>
      </c>
      <c r="F2001" s="103" t="s">
        <v>49</v>
      </c>
      <c r="G2001" s="75"/>
      <c r="H2001" s="75">
        <f>STOCK[[#This Row],[Precio Final]]</f>
        <v>3</v>
      </c>
      <c r="I2001" s="80">
        <f>STOCK[[#This Row],[Precio Venta Ideal (x1.5)]]</f>
        <v>2.7</v>
      </c>
      <c r="J2001" s="103">
        <v>2</v>
      </c>
      <c r="K2001" s="78">
        <f>SUMIFS(VENTAS[Cantidad],VENTAS[Código del producto Vendido],STOCK[[#This Row],[Code]])</f>
        <v>0</v>
      </c>
      <c r="L2001" s="78">
        <f>STOCK[[#This Row],[Entradas]]-STOCK[[#This Row],[Salidas]]</f>
        <v>2</v>
      </c>
      <c r="M2001" s="75">
        <f>STOCK[[#This Row],[Precio Final]]*10%</f>
        <v>0.30000000000000004</v>
      </c>
      <c r="N2001" s="54">
        <v>0</v>
      </c>
      <c r="O2001" s="75">
        <v>0</v>
      </c>
      <c r="P2001" s="110">
        <v>1</v>
      </c>
      <c r="Q2001" s="75">
        <v>0</v>
      </c>
      <c r="R2001" s="78">
        <v>0</v>
      </c>
      <c r="S2001" s="112">
        <v>0.5</v>
      </c>
      <c r="T2001" s="75">
        <f>STOCK[[#This Row],[Costo Unitario (USD)]]+STOCK[[#This Row],[Costo Envío (USD)]]+STOCK[[#This Row],[Comisión 10%]]</f>
        <v>1.8</v>
      </c>
      <c r="U2001" s="53">
        <f>STOCK[[#This Row],[Costo total]]*1.5</f>
        <v>2.7</v>
      </c>
      <c r="V2001" s="53">
        <v>3</v>
      </c>
      <c r="W2001" s="75">
        <f>STOCK[[#This Row],[Precio Final]]-STOCK[[#This Row],[Costo total]]</f>
        <v>1.2</v>
      </c>
      <c r="X2001" s="75">
        <f>STOCK[[#This Row],[Ganancia Unitaria]]*STOCK[[#This Row],[Salidas]]</f>
        <v>0</v>
      </c>
      <c r="Y2001" s="75"/>
      <c r="Z2001" s="88"/>
      <c r="AA2001" s="54"/>
      <c r="AB2001" s="54"/>
      <c r="AC2001" s="75"/>
      <c r="AD2001" s="96"/>
    </row>
    <row r="2002" spans="1:30" s="53" customFormat="1" ht="50" customHeight="1">
      <c r="A2002" s="93" t="s">
        <v>3912</v>
      </c>
      <c r="B2002" s="83"/>
      <c r="C2002" s="53" t="s">
        <v>32</v>
      </c>
      <c r="D2002" s="84" t="s">
        <v>2898</v>
      </c>
      <c r="E2002" s="104" t="s">
        <v>3910</v>
      </c>
      <c r="F2002" s="103" t="s">
        <v>46</v>
      </c>
      <c r="G2002" s="75"/>
      <c r="H2002" s="75">
        <f>STOCK[[#This Row],[Precio Final]]</f>
        <v>3</v>
      </c>
      <c r="I2002" s="80">
        <f>STOCK[[#This Row],[Precio Venta Ideal (x1.5)]]</f>
        <v>2.7</v>
      </c>
      <c r="J2002" s="103">
        <v>3</v>
      </c>
      <c r="K2002" s="78">
        <f>SUMIFS(VENTAS[Cantidad],VENTAS[Código del producto Vendido],STOCK[[#This Row],[Code]])</f>
        <v>0</v>
      </c>
      <c r="L2002" s="78">
        <f>STOCK[[#This Row],[Entradas]]-STOCK[[#This Row],[Salidas]]</f>
        <v>3</v>
      </c>
      <c r="M2002" s="75">
        <f>STOCK[[#This Row],[Precio Final]]*10%</f>
        <v>0.30000000000000004</v>
      </c>
      <c r="N2002" s="54">
        <v>0</v>
      </c>
      <c r="O2002" s="75">
        <v>0</v>
      </c>
      <c r="P2002" s="110">
        <v>1</v>
      </c>
      <c r="Q2002" s="75">
        <v>0</v>
      </c>
      <c r="R2002" s="78">
        <v>0</v>
      </c>
      <c r="S2002" s="111">
        <v>0.5</v>
      </c>
      <c r="T2002" s="75">
        <f>STOCK[[#This Row],[Costo Unitario (USD)]]+STOCK[[#This Row],[Costo Envío (USD)]]+STOCK[[#This Row],[Comisión 10%]]</f>
        <v>1.8</v>
      </c>
      <c r="U2002" s="53">
        <f>STOCK[[#This Row],[Costo total]]*1.5</f>
        <v>2.7</v>
      </c>
      <c r="V2002" s="53">
        <v>3</v>
      </c>
      <c r="W2002" s="75">
        <f>STOCK[[#This Row],[Precio Final]]-STOCK[[#This Row],[Costo total]]</f>
        <v>1.2</v>
      </c>
      <c r="X2002" s="75">
        <f>STOCK[[#This Row],[Ganancia Unitaria]]*STOCK[[#This Row],[Salidas]]</f>
        <v>0</v>
      </c>
      <c r="Y2002" s="75"/>
      <c r="Z2002" s="88"/>
      <c r="AA2002" s="54"/>
      <c r="AB2002" s="54"/>
      <c r="AC2002" s="75"/>
      <c r="AD2002" s="96"/>
    </row>
    <row r="2003" spans="1:30" s="53" customFormat="1" ht="50" customHeight="1">
      <c r="A2003" s="93" t="s">
        <v>3913</v>
      </c>
      <c r="B2003" s="83"/>
      <c r="C2003" s="53" t="s">
        <v>32</v>
      </c>
      <c r="D2003" s="84" t="s">
        <v>2898</v>
      </c>
      <c r="E2003" s="104" t="s">
        <v>3910</v>
      </c>
      <c r="F2003" s="103" t="s">
        <v>42</v>
      </c>
      <c r="G2003" s="75"/>
      <c r="H2003" s="75">
        <f>STOCK[[#This Row],[Precio Final]]</f>
        <v>3</v>
      </c>
      <c r="I2003" s="80">
        <f>STOCK[[#This Row],[Precio Venta Ideal (x1.5)]]</f>
        <v>2.7</v>
      </c>
      <c r="J2003" s="103">
        <v>3</v>
      </c>
      <c r="K2003" s="78">
        <f>SUMIFS(VENTAS[Cantidad],VENTAS[Código del producto Vendido],STOCK[[#This Row],[Code]])</f>
        <v>0</v>
      </c>
      <c r="L2003" s="78">
        <f>STOCK[[#This Row],[Entradas]]-STOCK[[#This Row],[Salidas]]</f>
        <v>3</v>
      </c>
      <c r="M2003" s="75">
        <f>STOCK[[#This Row],[Precio Final]]*10%</f>
        <v>0.30000000000000004</v>
      </c>
      <c r="N2003" s="54">
        <v>0</v>
      </c>
      <c r="O2003" s="75">
        <v>0</v>
      </c>
      <c r="P2003" s="110">
        <v>1</v>
      </c>
      <c r="Q2003" s="75">
        <v>0</v>
      </c>
      <c r="R2003" s="78">
        <v>0</v>
      </c>
      <c r="S2003" s="112">
        <v>0.5</v>
      </c>
      <c r="T2003" s="75">
        <f>STOCK[[#This Row],[Costo Unitario (USD)]]+STOCK[[#This Row],[Costo Envío (USD)]]+STOCK[[#This Row],[Comisión 10%]]</f>
        <v>1.8</v>
      </c>
      <c r="U2003" s="53">
        <f>STOCK[[#This Row],[Costo total]]*1.5</f>
        <v>2.7</v>
      </c>
      <c r="V2003" s="53">
        <v>3</v>
      </c>
      <c r="W2003" s="75">
        <f>STOCK[[#This Row],[Precio Final]]-STOCK[[#This Row],[Costo total]]</f>
        <v>1.2</v>
      </c>
      <c r="X2003" s="75">
        <f>STOCK[[#This Row],[Ganancia Unitaria]]*STOCK[[#This Row],[Salidas]]</f>
        <v>0</v>
      </c>
      <c r="Y2003" s="75"/>
      <c r="Z2003" s="88"/>
      <c r="AA2003" s="54"/>
      <c r="AB2003" s="54"/>
      <c r="AC2003" s="75"/>
      <c r="AD2003" s="96"/>
    </row>
    <row r="2004" spans="1:30" s="53" customFormat="1" ht="50" customHeight="1">
      <c r="A2004" s="93" t="s">
        <v>3914</v>
      </c>
      <c r="B2004" s="83"/>
      <c r="C2004" s="53" t="s">
        <v>32</v>
      </c>
      <c r="D2004" s="84" t="s">
        <v>2898</v>
      </c>
      <c r="E2004" s="104" t="s">
        <v>3915</v>
      </c>
      <c r="F2004" s="103" t="s">
        <v>62</v>
      </c>
      <c r="G2004" s="75"/>
      <c r="H2004" s="75">
        <f>STOCK[[#This Row],[Precio Final]]</f>
        <v>3</v>
      </c>
      <c r="I2004" s="80">
        <f>STOCK[[#This Row],[Precio Venta Ideal (x1.5)]]</f>
        <v>2.7</v>
      </c>
      <c r="J2004" s="103">
        <v>2</v>
      </c>
      <c r="K2004" s="78">
        <f>SUMIFS(VENTAS[Cantidad],VENTAS[Código del producto Vendido],STOCK[[#This Row],[Code]])</f>
        <v>0</v>
      </c>
      <c r="L2004" s="78">
        <f>STOCK[[#This Row],[Entradas]]-STOCK[[#This Row],[Salidas]]</f>
        <v>2</v>
      </c>
      <c r="M2004" s="75">
        <f>STOCK[[#This Row],[Precio Final]]*10%</f>
        <v>0.30000000000000004</v>
      </c>
      <c r="N2004" s="54">
        <v>0</v>
      </c>
      <c r="O2004" s="75">
        <v>0</v>
      </c>
      <c r="P2004" s="110">
        <v>1</v>
      </c>
      <c r="Q2004" s="75">
        <v>0</v>
      </c>
      <c r="R2004" s="78">
        <v>0</v>
      </c>
      <c r="S2004" s="111">
        <v>0.5</v>
      </c>
      <c r="T2004" s="75">
        <f>STOCK[[#This Row],[Costo Unitario (USD)]]+STOCK[[#This Row],[Costo Envío (USD)]]+STOCK[[#This Row],[Comisión 10%]]</f>
        <v>1.8</v>
      </c>
      <c r="U2004" s="53">
        <f>STOCK[[#This Row],[Costo total]]*1.5</f>
        <v>2.7</v>
      </c>
      <c r="V2004" s="53">
        <v>3</v>
      </c>
      <c r="W2004" s="75">
        <f>STOCK[[#This Row],[Precio Final]]-STOCK[[#This Row],[Costo total]]</f>
        <v>1.2</v>
      </c>
      <c r="X2004" s="75">
        <f>STOCK[[#This Row],[Ganancia Unitaria]]*STOCK[[#This Row],[Salidas]]</f>
        <v>0</v>
      </c>
      <c r="Y2004" s="75"/>
      <c r="Z2004" s="88"/>
      <c r="AA2004" s="54"/>
      <c r="AB2004" s="54"/>
      <c r="AC2004" s="75"/>
      <c r="AD2004" s="96"/>
    </row>
    <row r="2005" spans="1:30" s="53" customFormat="1" ht="50" customHeight="1">
      <c r="A2005" s="93" t="s">
        <v>3916</v>
      </c>
      <c r="B2005" s="83"/>
      <c r="C2005" s="53" t="s">
        <v>32</v>
      </c>
      <c r="D2005" s="84" t="s">
        <v>2898</v>
      </c>
      <c r="E2005" s="104" t="s">
        <v>3915</v>
      </c>
      <c r="F2005" s="103" t="s">
        <v>49</v>
      </c>
      <c r="G2005" s="75"/>
      <c r="H2005" s="75">
        <f>STOCK[[#This Row],[Precio Final]]</f>
        <v>3</v>
      </c>
      <c r="I2005" s="80">
        <f>STOCK[[#This Row],[Precio Venta Ideal (x1.5)]]</f>
        <v>2.7</v>
      </c>
      <c r="J2005" s="103">
        <v>2</v>
      </c>
      <c r="K2005" s="78">
        <f>SUMIFS(VENTAS[Cantidad],VENTAS[Código del producto Vendido],STOCK[[#This Row],[Code]])</f>
        <v>0</v>
      </c>
      <c r="L2005" s="78">
        <f>STOCK[[#This Row],[Entradas]]-STOCK[[#This Row],[Salidas]]</f>
        <v>2</v>
      </c>
      <c r="M2005" s="75">
        <f>STOCK[[#This Row],[Precio Final]]*10%</f>
        <v>0.30000000000000004</v>
      </c>
      <c r="N2005" s="54">
        <v>0</v>
      </c>
      <c r="O2005" s="75">
        <v>0</v>
      </c>
      <c r="P2005" s="110">
        <v>1</v>
      </c>
      <c r="Q2005" s="75">
        <v>0</v>
      </c>
      <c r="R2005" s="78">
        <v>0</v>
      </c>
      <c r="S2005" s="112">
        <v>0.5</v>
      </c>
      <c r="T2005" s="75">
        <f>STOCK[[#This Row],[Costo Unitario (USD)]]+STOCK[[#This Row],[Costo Envío (USD)]]+STOCK[[#This Row],[Comisión 10%]]</f>
        <v>1.8</v>
      </c>
      <c r="U2005" s="53">
        <f>STOCK[[#This Row],[Costo total]]*1.5</f>
        <v>2.7</v>
      </c>
      <c r="V2005" s="53">
        <v>3</v>
      </c>
      <c r="W2005" s="75">
        <f>STOCK[[#This Row],[Precio Final]]-STOCK[[#This Row],[Costo total]]</f>
        <v>1.2</v>
      </c>
      <c r="X2005" s="75">
        <f>STOCK[[#This Row],[Ganancia Unitaria]]*STOCK[[#This Row],[Salidas]]</f>
        <v>0</v>
      </c>
      <c r="Y2005" s="75"/>
      <c r="Z2005" s="88"/>
      <c r="AA2005" s="54"/>
      <c r="AB2005" s="54"/>
      <c r="AC2005" s="75"/>
      <c r="AD2005" s="96"/>
    </row>
    <row r="2006" spans="1:30" s="53" customFormat="1" ht="50" customHeight="1">
      <c r="A2006" s="93" t="s">
        <v>3917</v>
      </c>
      <c r="B2006" s="83"/>
      <c r="C2006" s="53" t="s">
        <v>32</v>
      </c>
      <c r="D2006" s="84" t="s">
        <v>2898</v>
      </c>
      <c r="E2006" s="104" t="s">
        <v>3915</v>
      </c>
      <c r="F2006" s="103" t="s">
        <v>46</v>
      </c>
      <c r="G2006" s="75"/>
      <c r="H2006" s="75">
        <f>STOCK[[#This Row],[Precio Final]]</f>
        <v>3</v>
      </c>
      <c r="I2006" s="80">
        <f>STOCK[[#This Row],[Precio Venta Ideal (x1.5)]]</f>
        <v>2.7</v>
      </c>
      <c r="J2006" s="103">
        <v>3</v>
      </c>
      <c r="K2006" s="78">
        <f>SUMIFS(VENTAS[Cantidad],VENTAS[Código del producto Vendido],STOCK[[#This Row],[Code]])</f>
        <v>0</v>
      </c>
      <c r="L2006" s="78">
        <f>STOCK[[#This Row],[Entradas]]-STOCK[[#This Row],[Salidas]]</f>
        <v>3</v>
      </c>
      <c r="M2006" s="75">
        <f>STOCK[[#This Row],[Precio Final]]*10%</f>
        <v>0.30000000000000004</v>
      </c>
      <c r="N2006" s="54">
        <v>0</v>
      </c>
      <c r="O2006" s="75">
        <v>0</v>
      </c>
      <c r="P2006" s="110">
        <v>1</v>
      </c>
      <c r="Q2006" s="75">
        <v>0</v>
      </c>
      <c r="R2006" s="78">
        <v>0</v>
      </c>
      <c r="S2006" s="111">
        <v>0.5</v>
      </c>
      <c r="T2006" s="75">
        <f>STOCK[[#This Row],[Costo Unitario (USD)]]+STOCK[[#This Row],[Costo Envío (USD)]]+STOCK[[#This Row],[Comisión 10%]]</f>
        <v>1.8</v>
      </c>
      <c r="U2006" s="53">
        <f>STOCK[[#This Row],[Costo total]]*1.5</f>
        <v>2.7</v>
      </c>
      <c r="V2006" s="53">
        <v>3</v>
      </c>
      <c r="W2006" s="75">
        <f>STOCK[[#This Row],[Precio Final]]-STOCK[[#This Row],[Costo total]]</f>
        <v>1.2</v>
      </c>
      <c r="X2006" s="75">
        <f>STOCK[[#This Row],[Ganancia Unitaria]]*STOCK[[#This Row],[Salidas]]</f>
        <v>0</v>
      </c>
      <c r="Y2006" s="75"/>
      <c r="Z2006" s="88"/>
      <c r="AA2006" s="54"/>
      <c r="AB2006" s="54"/>
      <c r="AC2006" s="75"/>
      <c r="AD2006" s="96"/>
    </row>
    <row r="2007" spans="1:30" s="53" customFormat="1" ht="50" customHeight="1">
      <c r="A2007" s="93" t="s">
        <v>3918</v>
      </c>
      <c r="B2007" s="83"/>
      <c r="C2007" s="53" t="s">
        <v>32</v>
      </c>
      <c r="D2007" s="84" t="s">
        <v>2898</v>
      </c>
      <c r="E2007" s="104" t="s">
        <v>3915</v>
      </c>
      <c r="F2007" s="103" t="s">
        <v>42</v>
      </c>
      <c r="G2007" s="75"/>
      <c r="H2007" s="75">
        <f>STOCK[[#This Row],[Precio Final]]</f>
        <v>3</v>
      </c>
      <c r="I2007" s="80">
        <f>STOCK[[#This Row],[Precio Venta Ideal (x1.5)]]</f>
        <v>2.7</v>
      </c>
      <c r="J2007" s="103">
        <v>3</v>
      </c>
      <c r="K2007" s="78">
        <f>SUMIFS(VENTAS[Cantidad],VENTAS[Código del producto Vendido],STOCK[[#This Row],[Code]])</f>
        <v>0</v>
      </c>
      <c r="L2007" s="78">
        <f>STOCK[[#This Row],[Entradas]]-STOCK[[#This Row],[Salidas]]</f>
        <v>3</v>
      </c>
      <c r="M2007" s="75">
        <f>STOCK[[#This Row],[Precio Final]]*10%</f>
        <v>0.30000000000000004</v>
      </c>
      <c r="N2007" s="54">
        <v>0</v>
      </c>
      <c r="O2007" s="75">
        <v>0</v>
      </c>
      <c r="P2007" s="110">
        <v>1</v>
      </c>
      <c r="Q2007" s="75">
        <v>0</v>
      </c>
      <c r="R2007" s="78">
        <v>0</v>
      </c>
      <c r="S2007" s="112">
        <v>0.5</v>
      </c>
      <c r="T2007" s="75">
        <f>STOCK[[#This Row],[Costo Unitario (USD)]]+STOCK[[#This Row],[Costo Envío (USD)]]+STOCK[[#This Row],[Comisión 10%]]</f>
        <v>1.8</v>
      </c>
      <c r="U2007" s="53">
        <f>STOCK[[#This Row],[Costo total]]*1.5</f>
        <v>2.7</v>
      </c>
      <c r="V2007" s="53">
        <v>3</v>
      </c>
      <c r="W2007" s="75">
        <f>STOCK[[#This Row],[Precio Final]]-STOCK[[#This Row],[Costo total]]</f>
        <v>1.2</v>
      </c>
      <c r="X2007" s="75">
        <f>STOCK[[#This Row],[Ganancia Unitaria]]*STOCK[[#This Row],[Salidas]]</f>
        <v>0</v>
      </c>
      <c r="Y2007" s="75"/>
      <c r="Z2007" s="88"/>
      <c r="AA2007" s="54"/>
      <c r="AB2007" s="54"/>
      <c r="AC2007" s="75"/>
      <c r="AD2007" s="96"/>
    </row>
    <row r="2008" spans="1:30" s="53" customFormat="1" ht="50" customHeight="1">
      <c r="A2008" s="93" t="s">
        <v>3919</v>
      </c>
      <c r="B2008" s="83"/>
      <c r="C2008" s="53" t="s">
        <v>32</v>
      </c>
      <c r="D2008" s="84" t="s">
        <v>2898</v>
      </c>
      <c r="E2008" s="104" t="s">
        <v>3920</v>
      </c>
      <c r="F2008" s="103" t="s">
        <v>62</v>
      </c>
      <c r="G2008" s="75"/>
      <c r="H2008" s="75">
        <f>STOCK[[#This Row],[Precio Final]]</f>
        <v>3</v>
      </c>
      <c r="I2008" s="80">
        <f>STOCK[[#This Row],[Precio Venta Ideal (x1.5)]]</f>
        <v>2.7</v>
      </c>
      <c r="J2008" s="103">
        <v>2</v>
      </c>
      <c r="K2008" s="78">
        <f>SUMIFS(VENTAS[Cantidad],VENTAS[Código del producto Vendido],STOCK[[#This Row],[Code]])</f>
        <v>0</v>
      </c>
      <c r="L2008" s="78">
        <f>STOCK[[#This Row],[Entradas]]-STOCK[[#This Row],[Salidas]]</f>
        <v>2</v>
      </c>
      <c r="M2008" s="75">
        <f>STOCK[[#This Row],[Precio Final]]*10%</f>
        <v>0.30000000000000004</v>
      </c>
      <c r="N2008" s="54">
        <v>0</v>
      </c>
      <c r="O2008" s="75">
        <v>0</v>
      </c>
      <c r="P2008" s="110">
        <v>1</v>
      </c>
      <c r="Q2008" s="75">
        <v>0</v>
      </c>
      <c r="R2008" s="78">
        <v>0</v>
      </c>
      <c r="S2008" s="111">
        <v>0.5</v>
      </c>
      <c r="T2008" s="75">
        <f>STOCK[[#This Row],[Costo Unitario (USD)]]+STOCK[[#This Row],[Costo Envío (USD)]]+STOCK[[#This Row],[Comisión 10%]]</f>
        <v>1.8</v>
      </c>
      <c r="U2008" s="53">
        <f>STOCK[[#This Row],[Costo total]]*1.5</f>
        <v>2.7</v>
      </c>
      <c r="V2008" s="53">
        <v>3</v>
      </c>
      <c r="W2008" s="75">
        <f>STOCK[[#This Row],[Precio Final]]-STOCK[[#This Row],[Costo total]]</f>
        <v>1.2</v>
      </c>
      <c r="X2008" s="75">
        <f>STOCK[[#This Row],[Ganancia Unitaria]]*STOCK[[#This Row],[Salidas]]</f>
        <v>0</v>
      </c>
      <c r="Y2008" s="75"/>
      <c r="Z2008" s="88"/>
      <c r="AA2008" s="54"/>
      <c r="AB2008" s="54"/>
      <c r="AC2008" s="75"/>
      <c r="AD2008" s="96"/>
    </row>
    <row r="2009" spans="1:30" s="53" customFormat="1" ht="50" customHeight="1">
      <c r="A2009" s="93" t="s">
        <v>3921</v>
      </c>
      <c r="B2009" s="83"/>
      <c r="C2009" s="53" t="s">
        <v>32</v>
      </c>
      <c r="D2009" s="84" t="s">
        <v>2898</v>
      </c>
      <c r="E2009" s="104" t="s">
        <v>3920</v>
      </c>
      <c r="F2009" s="103" t="s">
        <v>49</v>
      </c>
      <c r="G2009" s="75"/>
      <c r="H2009" s="75">
        <f>STOCK[[#This Row],[Precio Final]]</f>
        <v>3</v>
      </c>
      <c r="I2009" s="80">
        <f>STOCK[[#This Row],[Precio Venta Ideal (x1.5)]]</f>
        <v>2.7</v>
      </c>
      <c r="J2009" s="103">
        <v>2</v>
      </c>
      <c r="K2009" s="78">
        <f>SUMIFS(VENTAS[Cantidad],VENTAS[Código del producto Vendido],STOCK[[#This Row],[Code]])</f>
        <v>0</v>
      </c>
      <c r="L2009" s="78">
        <f>STOCK[[#This Row],[Entradas]]-STOCK[[#This Row],[Salidas]]</f>
        <v>2</v>
      </c>
      <c r="M2009" s="75">
        <f>STOCK[[#This Row],[Precio Final]]*10%</f>
        <v>0.30000000000000004</v>
      </c>
      <c r="N2009" s="54">
        <v>0</v>
      </c>
      <c r="O2009" s="75">
        <v>0</v>
      </c>
      <c r="P2009" s="110">
        <v>1</v>
      </c>
      <c r="Q2009" s="75">
        <v>0</v>
      </c>
      <c r="R2009" s="78">
        <v>0</v>
      </c>
      <c r="S2009" s="112">
        <v>0.5</v>
      </c>
      <c r="T2009" s="75">
        <f>STOCK[[#This Row],[Costo Unitario (USD)]]+STOCK[[#This Row],[Costo Envío (USD)]]+STOCK[[#This Row],[Comisión 10%]]</f>
        <v>1.8</v>
      </c>
      <c r="U2009" s="53">
        <f>STOCK[[#This Row],[Costo total]]*1.5</f>
        <v>2.7</v>
      </c>
      <c r="V2009" s="53">
        <v>3</v>
      </c>
      <c r="W2009" s="75">
        <f>STOCK[[#This Row],[Precio Final]]-STOCK[[#This Row],[Costo total]]</f>
        <v>1.2</v>
      </c>
      <c r="X2009" s="75">
        <f>STOCK[[#This Row],[Ganancia Unitaria]]*STOCK[[#This Row],[Salidas]]</f>
        <v>0</v>
      </c>
      <c r="Y2009" s="75"/>
      <c r="Z2009" s="88"/>
      <c r="AA2009" s="54"/>
      <c r="AB2009" s="54"/>
      <c r="AC2009" s="75"/>
      <c r="AD2009" s="96"/>
    </row>
    <row r="2010" spans="1:30" s="53" customFormat="1" ht="50" customHeight="1">
      <c r="A2010" s="93" t="s">
        <v>3922</v>
      </c>
      <c r="B2010" s="83"/>
      <c r="C2010" s="53" t="s">
        <v>32</v>
      </c>
      <c r="D2010" s="84" t="s">
        <v>2898</v>
      </c>
      <c r="E2010" s="104" t="s">
        <v>3920</v>
      </c>
      <c r="F2010" s="103" t="s">
        <v>46</v>
      </c>
      <c r="G2010" s="75"/>
      <c r="H2010" s="75">
        <f>STOCK[[#This Row],[Precio Final]]</f>
        <v>3</v>
      </c>
      <c r="I2010" s="80">
        <f>STOCK[[#This Row],[Precio Venta Ideal (x1.5)]]</f>
        <v>2.7</v>
      </c>
      <c r="J2010" s="103">
        <v>3</v>
      </c>
      <c r="K2010" s="78">
        <f>SUMIFS(VENTAS[Cantidad],VENTAS[Código del producto Vendido],STOCK[[#This Row],[Code]])</f>
        <v>0</v>
      </c>
      <c r="L2010" s="78">
        <f>STOCK[[#This Row],[Entradas]]-STOCK[[#This Row],[Salidas]]</f>
        <v>3</v>
      </c>
      <c r="M2010" s="75">
        <f>STOCK[[#This Row],[Precio Final]]*10%</f>
        <v>0.30000000000000004</v>
      </c>
      <c r="N2010" s="54">
        <v>0</v>
      </c>
      <c r="O2010" s="75">
        <v>0</v>
      </c>
      <c r="P2010" s="110">
        <v>1</v>
      </c>
      <c r="Q2010" s="75">
        <v>0</v>
      </c>
      <c r="R2010" s="78">
        <v>0</v>
      </c>
      <c r="S2010" s="111">
        <v>0.5</v>
      </c>
      <c r="T2010" s="75">
        <f>STOCK[[#This Row],[Costo Unitario (USD)]]+STOCK[[#This Row],[Costo Envío (USD)]]+STOCK[[#This Row],[Comisión 10%]]</f>
        <v>1.8</v>
      </c>
      <c r="U2010" s="53">
        <f>STOCK[[#This Row],[Costo total]]*1.5</f>
        <v>2.7</v>
      </c>
      <c r="V2010" s="53">
        <v>3</v>
      </c>
      <c r="W2010" s="75">
        <f>STOCK[[#This Row],[Precio Final]]-STOCK[[#This Row],[Costo total]]</f>
        <v>1.2</v>
      </c>
      <c r="X2010" s="75">
        <f>STOCK[[#This Row],[Ganancia Unitaria]]*STOCK[[#This Row],[Salidas]]</f>
        <v>0</v>
      </c>
      <c r="Y2010" s="75"/>
      <c r="Z2010" s="88"/>
      <c r="AA2010" s="54"/>
      <c r="AB2010" s="54"/>
      <c r="AC2010" s="75"/>
      <c r="AD2010" s="96"/>
    </row>
    <row r="2011" spans="1:30" s="53" customFormat="1" ht="50" customHeight="1">
      <c r="A2011" s="93" t="s">
        <v>3923</v>
      </c>
      <c r="B2011" s="83"/>
      <c r="C2011" s="53" t="s">
        <v>32</v>
      </c>
      <c r="D2011" s="84" t="s">
        <v>2898</v>
      </c>
      <c r="E2011" s="104" t="s">
        <v>3920</v>
      </c>
      <c r="F2011" s="103" t="s">
        <v>42</v>
      </c>
      <c r="G2011" s="75"/>
      <c r="H2011" s="75">
        <f>STOCK[[#This Row],[Precio Final]]</f>
        <v>3</v>
      </c>
      <c r="I2011" s="80">
        <f>STOCK[[#This Row],[Precio Venta Ideal (x1.5)]]</f>
        <v>2.7</v>
      </c>
      <c r="J2011" s="103">
        <v>3</v>
      </c>
      <c r="K2011" s="78">
        <f>SUMIFS(VENTAS[Cantidad],VENTAS[Código del producto Vendido],STOCK[[#This Row],[Code]])</f>
        <v>0</v>
      </c>
      <c r="L2011" s="78">
        <f>STOCK[[#This Row],[Entradas]]-STOCK[[#This Row],[Salidas]]</f>
        <v>3</v>
      </c>
      <c r="M2011" s="75">
        <f>STOCK[[#This Row],[Precio Final]]*10%</f>
        <v>0.30000000000000004</v>
      </c>
      <c r="N2011" s="54">
        <v>0</v>
      </c>
      <c r="O2011" s="75">
        <v>0</v>
      </c>
      <c r="P2011" s="110">
        <v>1</v>
      </c>
      <c r="Q2011" s="75">
        <v>0</v>
      </c>
      <c r="R2011" s="78">
        <v>0</v>
      </c>
      <c r="S2011" s="112">
        <v>0.5</v>
      </c>
      <c r="T2011" s="75">
        <f>STOCK[[#This Row],[Costo Unitario (USD)]]+STOCK[[#This Row],[Costo Envío (USD)]]+STOCK[[#This Row],[Comisión 10%]]</f>
        <v>1.8</v>
      </c>
      <c r="U2011" s="53">
        <f>STOCK[[#This Row],[Costo total]]*1.5</f>
        <v>2.7</v>
      </c>
      <c r="V2011" s="53">
        <v>3</v>
      </c>
      <c r="W2011" s="75">
        <f>STOCK[[#This Row],[Precio Final]]-STOCK[[#This Row],[Costo total]]</f>
        <v>1.2</v>
      </c>
      <c r="X2011" s="75">
        <f>STOCK[[#This Row],[Ganancia Unitaria]]*STOCK[[#This Row],[Salidas]]</f>
        <v>0</v>
      </c>
      <c r="Y2011" s="75"/>
      <c r="Z2011" s="88"/>
      <c r="AA2011" s="54"/>
      <c r="AB2011" s="54"/>
      <c r="AC2011" s="75"/>
      <c r="AD2011" s="96"/>
    </row>
    <row r="2012" spans="1:30" s="53" customFormat="1" ht="50" customHeight="1">
      <c r="A2012" s="93" t="s">
        <v>3924</v>
      </c>
      <c r="B2012" s="83"/>
      <c r="C2012" s="53" t="s">
        <v>32</v>
      </c>
      <c r="D2012" s="84" t="s">
        <v>2898</v>
      </c>
      <c r="E2012" s="104" t="s">
        <v>3925</v>
      </c>
      <c r="F2012" s="103" t="s">
        <v>62</v>
      </c>
      <c r="G2012" s="75"/>
      <c r="H2012" s="75">
        <f>STOCK[[#This Row],[Precio Final]]</f>
        <v>3</v>
      </c>
      <c r="I2012" s="80">
        <f>STOCK[[#This Row],[Precio Venta Ideal (x1.5)]]</f>
        <v>2.7</v>
      </c>
      <c r="J2012" s="87">
        <v>3</v>
      </c>
      <c r="K2012" s="78">
        <f>SUMIFS(VENTAS[Cantidad],VENTAS[Código del producto Vendido],STOCK[[#This Row],[Code]])</f>
        <v>0</v>
      </c>
      <c r="L2012" s="78">
        <f>STOCK[[#This Row],[Entradas]]-STOCK[[#This Row],[Salidas]]</f>
        <v>3</v>
      </c>
      <c r="M2012" s="75">
        <f>STOCK[[#This Row],[Precio Final]]*10%</f>
        <v>0.30000000000000004</v>
      </c>
      <c r="N2012" s="54">
        <v>0</v>
      </c>
      <c r="O2012" s="75">
        <v>0</v>
      </c>
      <c r="P2012" s="110">
        <v>1</v>
      </c>
      <c r="Q2012" s="75">
        <v>0</v>
      </c>
      <c r="R2012" s="78">
        <v>0</v>
      </c>
      <c r="S2012" s="111">
        <v>0.5</v>
      </c>
      <c r="T2012" s="75">
        <f>STOCK[[#This Row],[Costo Unitario (USD)]]+STOCK[[#This Row],[Costo Envío (USD)]]+STOCK[[#This Row],[Comisión 10%]]</f>
        <v>1.8</v>
      </c>
      <c r="U2012" s="53">
        <f>STOCK[[#This Row],[Costo total]]*1.5</f>
        <v>2.7</v>
      </c>
      <c r="V2012" s="53">
        <v>3</v>
      </c>
      <c r="W2012" s="75">
        <f>STOCK[[#This Row],[Precio Final]]-STOCK[[#This Row],[Costo total]]</f>
        <v>1.2</v>
      </c>
      <c r="X2012" s="75">
        <f>STOCK[[#This Row],[Ganancia Unitaria]]*STOCK[[#This Row],[Salidas]]</f>
        <v>0</v>
      </c>
      <c r="Y2012" s="75"/>
      <c r="Z2012" s="88"/>
      <c r="AA2012" s="54"/>
      <c r="AB2012" s="54"/>
      <c r="AC2012" s="75"/>
      <c r="AD2012" s="96"/>
    </row>
    <row r="2013" spans="1:30" s="53" customFormat="1" ht="50" customHeight="1">
      <c r="A2013" s="93" t="s">
        <v>3926</v>
      </c>
      <c r="B2013" s="83"/>
      <c r="C2013" s="53" t="s">
        <v>32</v>
      </c>
      <c r="D2013" s="84" t="s">
        <v>2898</v>
      </c>
      <c r="E2013" s="104" t="s">
        <v>3925</v>
      </c>
      <c r="F2013" s="103" t="s">
        <v>49</v>
      </c>
      <c r="G2013" s="75"/>
      <c r="H2013" s="75">
        <f>STOCK[[#This Row],[Precio Final]]</f>
        <v>3</v>
      </c>
      <c r="I2013" s="80">
        <f>STOCK[[#This Row],[Precio Venta Ideal (x1.5)]]</f>
        <v>2.7</v>
      </c>
      <c r="J2013" s="87">
        <v>3</v>
      </c>
      <c r="K2013" s="78">
        <f>SUMIFS(VENTAS[Cantidad],VENTAS[Código del producto Vendido],STOCK[[#This Row],[Code]])</f>
        <v>0</v>
      </c>
      <c r="L2013" s="78">
        <f>STOCK[[#This Row],[Entradas]]-STOCK[[#This Row],[Salidas]]</f>
        <v>3</v>
      </c>
      <c r="M2013" s="75">
        <f>STOCK[[#This Row],[Precio Final]]*10%</f>
        <v>0.30000000000000004</v>
      </c>
      <c r="N2013" s="54">
        <v>0</v>
      </c>
      <c r="O2013" s="75">
        <v>0</v>
      </c>
      <c r="P2013" s="110">
        <v>1</v>
      </c>
      <c r="Q2013" s="75">
        <v>0</v>
      </c>
      <c r="R2013" s="78">
        <v>0</v>
      </c>
      <c r="S2013" s="112">
        <v>0.5</v>
      </c>
      <c r="T2013" s="75">
        <f>STOCK[[#This Row],[Costo Unitario (USD)]]+STOCK[[#This Row],[Costo Envío (USD)]]+STOCK[[#This Row],[Comisión 10%]]</f>
        <v>1.8</v>
      </c>
      <c r="U2013" s="53">
        <f>STOCK[[#This Row],[Costo total]]*1.5</f>
        <v>2.7</v>
      </c>
      <c r="V2013" s="53">
        <v>3</v>
      </c>
      <c r="W2013" s="75">
        <f>STOCK[[#This Row],[Precio Final]]-STOCK[[#This Row],[Costo total]]</f>
        <v>1.2</v>
      </c>
      <c r="X2013" s="75">
        <f>STOCK[[#This Row],[Ganancia Unitaria]]*STOCK[[#This Row],[Salidas]]</f>
        <v>0</v>
      </c>
      <c r="Y2013" s="75"/>
      <c r="Z2013" s="88"/>
      <c r="AA2013" s="54"/>
      <c r="AB2013" s="54"/>
      <c r="AC2013" s="75"/>
      <c r="AD2013" s="96"/>
    </row>
    <row r="2014" spans="1:30" s="53" customFormat="1" ht="50" customHeight="1">
      <c r="A2014" s="93" t="s">
        <v>3927</v>
      </c>
      <c r="B2014" s="83"/>
      <c r="C2014" s="53" t="s">
        <v>32</v>
      </c>
      <c r="D2014" s="84" t="s">
        <v>2898</v>
      </c>
      <c r="E2014" s="104" t="s">
        <v>3925</v>
      </c>
      <c r="F2014" s="103" t="s">
        <v>46</v>
      </c>
      <c r="G2014" s="75"/>
      <c r="H2014" s="75">
        <f>STOCK[[#This Row],[Precio Final]]</f>
        <v>3</v>
      </c>
      <c r="I2014" s="80">
        <f>STOCK[[#This Row],[Precio Venta Ideal (x1.5)]]</f>
        <v>2.7</v>
      </c>
      <c r="J2014" s="87">
        <v>3</v>
      </c>
      <c r="K2014" s="78">
        <f>SUMIFS(VENTAS[Cantidad],VENTAS[Código del producto Vendido],STOCK[[#This Row],[Code]])</f>
        <v>0</v>
      </c>
      <c r="L2014" s="78">
        <f>STOCK[[#This Row],[Entradas]]-STOCK[[#This Row],[Salidas]]</f>
        <v>3</v>
      </c>
      <c r="M2014" s="75">
        <f>STOCK[[#This Row],[Precio Final]]*10%</f>
        <v>0.30000000000000004</v>
      </c>
      <c r="N2014" s="54">
        <v>0</v>
      </c>
      <c r="O2014" s="75">
        <v>0</v>
      </c>
      <c r="P2014" s="110">
        <v>1</v>
      </c>
      <c r="Q2014" s="75">
        <v>0</v>
      </c>
      <c r="R2014" s="78">
        <v>0</v>
      </c>
      <c r="S2014" s="111">
        <v>0.5</v>
      </c>
      <c r="T2014" s="75">
        <f>STOCK[[#This Row],[Costo Unitario (USD)]]+STOCK[[#This Row],[Costo Envío (USD)]]+STOCK[[#This Row],[Comisión 10%]]</f>
        <v>1.8</v>
      </c>
      <c r="U2014" s="53">
        <f>STOCK[[#This Row],[Costo total]]*1.5</f>
        <v>2.7</v>
      </c>
      <c r="V2014" s="53">
        <v>3</v>
      </c>
      <c r="W2014" s="75">
        <f>STOCK[[#This Row],[Precio Final]]-STOCK[[#This Row],[Costo total]]</f>
        <v>1.2</v>
      </c>
      <c r="X2014" s="75">
        <f>STOCK[[#This Row],[Ganancia Unitaria]]*STOCK[[#This Row],[Salidas]]</f>
        <v>0</v>
      </c>
      <c r="Y2014" s="75"/>
      <c r="Z2014" s="88"/>
      <c r="AA2014" s="54"/>
      <c r="AB2014" s="54"/>
      <c r="AC2014" s="75"/>
      <c r="AD2014" s="96"/>
    </row>
    <row r="2015" spans="1:30" s="53" customFormat="1" ht="50" customHeight="1">
      <c r="A2015" s="93" t="s">
        <v>3928</v>
      </c>
      <c r="B2015" s="83"/>
      <c r="C2015" s="53" t="s">
        <v>32</v>
      </c>
      <c r="D2015" s="84" t="s">
        <v>2898</v>
      </c>
      <c r="E2015" s="104" t="s">
        <v>3925</v>
      </c>
      <c r="F2015" s="103" t="s">
        <v>42</v>
      </c>
      <c r="G2015" s="75"/>
      <c r="H2015" s="75">
        <f>STOCK[[#This Row],[Precio Final]]</f>
        <v>3</v>
      </c>
      <c r="I2015" s="80">
        <f>STOCK[[#This Row],[Precio Venta Ideal (x1.5)]]</f>
        <v>2.7</v>
      </c>
      <c r="J2015" s="87">
        <v>3</v>
      </c>
      <c r="K2015" s="78">
        <f>SUMIFS(VENTAS[Cantidad],VENTAS[Código del producto Vendido],STOCK[[#This Row],[Code]])</f>
        <v>0</v>
      </c>
      <c r="L2015" s="78">
        <f>STOCK[[#This Row],[Entradas]]-STOCK[[#This Row],[Salidas]]</f>
        <v>3</v>
      </c>
      <c r="M2015" s="75">
        <f>STOCK[[#This Row],[Precio Final]]*10%</f>
        <v>0.30000000000000004</v>
      </c>
      <c r="N2015" s="54">
        <v>0</v>
      </c>
      <c r="O2015" s="75">
        <v>0</v>
      </c>
      <c r="P2015" s="110">
        <v>1</v>
      </c>
      <c r="Q2015" s="75">
        <v>0</v>
      </c>
      <c r="R2015" s="78">
        <v>0</v>
      </c>
      <c r="S2015" s="112">
        <v>0.5</v>
      </c>
      <c r="T2015" s="75">
        <f>STOCK[[#This Row],[Costo Unitario (USD)]]+STOCK[[#This Row],[Costo Envío (USD)]]+STOCK[[#This Row],[Comisión 10%]]</f>
        <v>1.8</v>
      </c>
      <c r="U2015" s="53">
        <f>STOCK[[#This Row],[Costo total]]*1.5</f>
        <v>2.7</v>
      </c>
      <c r="V2015" s="53">
        <v>3</v>
      </c>
      <c r="W2015" s="75">
        <f>STOCK[[#This Row],[Precio Final]]-STOCK[[#This Row],[Costo total]]</f>
        <v>1.2</v>
      </c>
      <c r="X2015" s="75">
        <f>STOCK[[#This Row],[Ganancia Unitaria]]*STOCK[[#This Row],[Salidas]]</f>
        <v>0</v>
      </c>
      <c r="Y2015" s="75"/>
      <c r="Z2015" s="88"/>
      <c r="AA2015" s="54"/>
      <c r="AB2015" s="54"/>
      <c r="AC2015" s="75"/>
      <c r="AD2015" s="96"/>
    </row>
    <row r="2016" spans="1:30" s="53" customFormat="1" ht="50" customHeight="1">
      <c r="A2016" s="93" t="s">
        <v>3929</v>
      </c>
      <c r="B2016" s="83"/>
      <c r="D2016" s="84" t="s">
        <v>488</v>
      </c>
      <c r="E2016" s="85" t="s">
        <v>3930</v>
      </c>
      <c r="F2016" s="93" t="s">
        <v>2818</v>
      </c>
      <c r="G2016" s="75"/>
      <c r="H2016" s="75">
        <f>STOCK[[#This Row],[Precio Final]]</f>
        <v>25</v>
      </c>
      <c r="I2016" s="80">
        <f>STOCK[[#This Row],[Precio Venta Ideal (x1.5)]]</f>
        <v>21.465</v>
      </c>
      <c r="J2016" s="87">
        <v>7</v>
      </c>
      <c r="K2016" s="78">
        <f>SUMIFS(VENTAS[Cantidad],VENTAS[Código del producto Vendido],STOCK[[#This Row],[Code]])</f>
        <v>4</v>
      </c>
      <c r="L2016" s="78">
        <f>STOCK[[#This Row],[Entradas]]-STOCK[[#This Row],[Salidas]]</f>
        <v>3</v>
      </c>
      <c r="M2016" s="75">
        <f>STOCK[[#This Row],[Precio Final]]*10%</f>
        <v>2.5</v>
      </c>
      <c r="N2016" s="54">
        <v>0</v>
      </c>
      <c r="O2016" s="75">
        <v>0</v>
      </c>
      <c r="P2016" s="75">
        <v>9.56</v>
      </c>
      <c r="Q2016" s="75">
        <v>0</v>
      </c>
      <c r="R2016" s="78">
        <v>0</v>
      </c>
      <c r="S2016" s="75">
        <v>2.25</v>
      </c>
      <c r="T2016" s="75">
        <f>STOCK[[#This Row],[Costo Unitario (USD)]]+STOCK[[#This Row],[Costo Envío (USD)]]+STOCK[[#This Row],[Comisión 10%]]</f>
        <v>14.31</v>
      </c>
      <c r="U2016" s="53">
        <f>STOCK[[#This Row],[Costo total]]*1.5</f>
        <v>21.465</v>
      </c>
      <c r="V2016" s="53">
        <v>25</v>
      </c>
      <c r="W2016" s="75">
        <f>STOCK[[#This Row],[Precio Final]]-STOCK[[#This Row],[Costo total]]</f>
        <v>10.69</v>
      </c>
      <c r="X2016" s="75">
        <f>STOCK[[#This Row],[Ganancia Unitaria]]*STOCK[[#This Row],[Salidas]]</f>
        <v>42.76</v>
      </c>
      <c r="Y2016" s="75" t="s">
        <v>3931</v>
      </c>
      <c r="Z2016" s="88"/>
      <c r="AA2016" s="54"/>
      <c r="AB2016" s="54"/>
      <c r="AC2016" s="75"/>
      <c r="AD2016" s="96"/>
    </row>
    <row r="2017" spans="1:30" s="53" customFormat="1" ht="50" customHeight="1">
      <c r="A2017" s="93" t="s">
        <v>3932</v>
      </c>
      <c r="B2017" s="83"/>
      <c r="D2017" s="84" t="s">
        <v>488</v>
      </c>
      <c r="E2017" s="85" t="s">
        <v>3933</v>
      </c>
      <c r="F2017" s="93" t="s">
        <v>2818</v>
      </c>
      <c r="G2017" s="75"/>
      <c r="H2017" s="75">
        <f>STOCK[[#This Row],[Precio Final]]</f>
        <v>25</v>
      </c>
      <c r="I2017" s="80">
        <f>STOCK[[#This Row],[Precio Venta Ideal (x1.5)]]</f>
        <v>20.91</v>
      </c>
      <c r="J2017" s="87">
        <v>10</v>
      </c>
      <c r="K2017" s="78">
        <f>SUMIFS(VENTAS[Cantidad],VENTAS[Código del producto Vendido],STOCK[[#This Row],[Code]])</f>
        <v>5</v>
      </c>
      <c r="L2017" s="78">
        <f>STOCK[[#This Row],[Entradas]]-STOCK[[#This Row],[Salidas]]</f>
        <v>5</v>
      </c>
      <c r="M2017" s="75">
        <f>STOCK[[#This Row],[Precio Final]]*10%</f>
        <v>2.5</v>
      </c>
      <c r="N2017" s="54">
        <v>0</v>
      </c>
      <c r="O2017" s="75">
        <v>0</v>
      </c>
      <c r="P2017" s="75">
        <v>9.19</v>
      </c>
      <c r="Q2017" s="75">
        <v>0</v>
      </c>
      <c r="R2017" s="78">
        <v>0</v>
      </c>
      <c r="S2017" s="75">
        <v>2.25</v>
      </c>
      <c r="T2017" s="75">
        <f>STOCK[[#This Row],[Costo Unitario (USD)]]+STOCK[[#This Row],[Costo Envío (USD)]]+STOCK[[#This Row],[Comisión 10%]]</f>
        <v>13.94</v>
      </c>
      <c r="U2017" s="53">
        <f>STOCK[[#This Row],[Costo total]]*1.5</f>
        <v>20.91</v>
      </c>
      <c r="V2017" s="53">
        <v>25</v>
      </c>
      <c r="W2017" s="75">
        <f>STOCK[[#This Row],[Precio Final]]-STOCK[[#This Row],[Costo total]]</f>
        <v>11.06</v>
      </c>
      <c r="X2017" s="75">
        <f>STOCK[[#This Row],[Ganancia Unitaria]]*STOCK[[#This Row],[Salidas]]</f>
        <v>55.300000000000004</v>
      </c>
      <c r="Y2017" s="75"/>
      <c r="Z2017" s="88"/>
      <c r="AA2017" s="54"/>
      <c r="AB2017" s="54"/>
      <c r="AC2017" s="75"/>
      <c r="AD2017" s="96"/>
    </row>
    <row r="2018" spans="1:30" s="53" customFormat="1" ht="50" customHeight="1">
      <c r="A2018" s="93" t="s">
        <v>3934</v>
      </c>
      <c r="B2018" s="83"/>
      <c r="D2018" s="84" t="s">
        <v>488</v>
      </c>
      <c r="E2018" s="85" t="s">
        <v>3935</v>
      </c>
      <c r="F2018" s="93" t="s">
        <v>2823</v>
      </c>
      <c r="G2018" s="75"/>
      <c r="H2018" s="75">
        <f>STOCK[[#This Row],[Precio Final]]</f>
        <v>25</v>
      </c>
      <c r="I2018" s="80">
        <f>STOCK[[#This Row],[Precio Venta Ideal (x1.5)]]</f>
        <v>19.350000000000001</v>
      </c>
      <c r="J2018" s="87">
        <v>9</v>
      </c>
      <c r="K2018" s="78">
        <f>SUMIFS(VENTAS[Cantidad],VENTAS[Código del producto Vendido],STOCK[[#This Row],[Code]])</f>
        <v>4</v>
      </c>
      <c r="L2018" s="78">
        <f>STOCK[[#This Row],[Entradas]]-STOCK[[#This Row],[Salidas]]</f>
        <v>5</v>
      </c>
      <c r="M2018" s="75">
        <f>STOCK[[#This Row],[Precio Final]]*10%</f>
        <v>2.5</v>
      </c>
      <c r="N2018" s="54">
        <v>0</v>
      </c>
      <c r="O2018" s="75">
        <v>0</v>
      </c>
      <c r="P2018" s="75">
        <v>8.15</v>
      </c>
      <c r="Q2018" s="75">
        <v>0</v>
      </c>
      <c r="R2018" s="78">
        <v>0</v>
      </c>
      <c r="S2018" s="75">
        <v>2.25</v>
      </c>
      <c r="T2018" s="75">
        <f>STOCK[[#This Row],[Costo Unitario (USD)]]+STOCK[[#This Row],[Costo Envío (USD)]]+STOCK[[#This Row],[Comisión 10%]]</f>
        <v>12.9</v>
      </c>
      <c r="U2018" s="53">
        <f>STOCK[[#This Row],[Costo total]]*1.5</f>
        <v>19.350000000000001</v>
      </c>
      <c r="V2018" s="53">
        <v>25</v>
      </c>
      <c r="W2018" s="75">
        <f>STOCK[[#This Row],[Precio Final]]-STOCK[[#This Row],[Costo total]]</f>
        <v>12.1</v>
      </c>
      <c r="X2018" s="75">
        <f>STOCK[[#This Row],[Ganancia Unitaria]]*STOCK[[#This Row],[Salidas]]</f>
        <v>48.4</v>
      </c>
      <c r="Y2018" s="75"/>
      <c r="Z2018" s="88"/>
      <c r="AA2018" s="54"/>
      <c r="AB2018" s="54"/>
      <c r="AC2018" s="75"/>
      <c r="AD2018" s="96"/>
    </row>
    <row r="2019" spans="1:30" s="53" customFormat="1" ht="50" customHeight="1">
      <c r="A2019" s="93" t="s">
        <v>3936</v>
      </c>
      <c r="B2019" s="83"/>
      <c r="D2019" s="84" t="s">
        <v>488</v>
      </c>
      <c r="E2019" s="85" t="s">
        <v>3937</v>
      </c>
      <c r="F2019" s="93" t="s">
        <v>2823</v>
      </c>
      <c r="G2019" s="75"/>
      <c r="H2019" s="75">
        <f>STOCK[[#This Row],[Precio Final]]</f>
        <v>25</v>
      </c>
      <c r="I2019" s="80">
        <f>STOCK[[#This Row],[Precio Venta Ideal (x1.5)]]</f>
        <v>21.69</v>
      </c>
      <c r="J2019" s="87">
        <v>7</v>
      </c>
      <c r="K2019" s="78">
        <f>SUMIFS(VENTAS[Cantidad],VENTAS[Código del producto Vendido],STOCK[[#This Row],[Code]])</f>
        <v>2</v>
      </c>
      <c r="L2019" s="78">
        <f>STOCK[[#This Row],[Entradas]]-STOCK[[#This Row],[Salidas]]</f>
        <v>5</v>
      </c>
      <c r="M2019" s="75">
        <f>STOCK[[#This Row],[Precio Final]]*10%</f>
        <v>2.5</v>
      </c>
      <c r="N2019" s="54">
        <v>0</v>
      </c>
      <c r="O2019" s="75">
        <v>0</v>
      </c>
      <c r="P2019" s="75">
        <v>9.7100000000000009</v>
      </c>
      <c r="Q2019" s="75">
        <v>0</v>
      </c>
      <c r="R2019" s="78">
        <v>0</v>
      </c>
      <c r="S2019" s="75">
        <v>2.25</v>
      </c>
      <c r="T2019" s="75">
        <f>STOCK[[#This Row],[Costo Unitario (USD)]]+STOCK[[#This Row],[Costo Envío (USD)]]+STOCK[[#This Row],[Comisión 10%]]</f>
        <v>14.46</v>
      </c>
      <c r="U2019" s="53">
        <f>STOCK[[#This Row],[Costo total]]*1.5</f>
        <v>21.69</v>
      </c>
      <c r="V2019" s="53">
        <v>25</v>
      </c>
      <c r="W2019" s="75">
        <f>STOCK[[#This Row],[Precio Final]]-STOCK[[#This Row],[Costo total]]</f>
        <v>10.54</v>
      </c>
      <c r="X2019" s="75">
        <f>STOCK[[#This Row],[Ganancia Unitaria]]*STOCK[[#This Row],[Salidas]]</f>
        <v>21.08</v>
      </c>
      <c r="Y2019" s="75"/>
      <c r="Z2019" s="88"/>
      <c r="AA2019" s="54"/>
      <c r="AB2019" s="54"/>
      <c r="AC2019" s="75"/>
      <c r="AD2019" s="96"/>
    </row>
    <row r="2020" spans="1:30" s="53" customFormat="1" ht="50" customHeight="1">
      <c r="A2020" s="93" t="s">
        <v>3938</v>
      </c>
      <c r="B2020" s="83"/>
      <c r="D2020" s="84" t="s">
        <v>488</v>
      </c>
      <c r="E2020" s="85" t="s">
        <v>3939</v>
      </c>
      <c r="F2020" s="93" t="s">
        <v>2818</v>
      </c>
      <c r="G2020" s="75"/>
      <c r="H2020" s="75">
        <f>STOCK[[#This Row],[Precio Final]]</f>
        <v>25</v>
      </c>
      <c r="I2020" s="80">
        <f>STOCK[[#This Row],[Precio Venta Ideal (x1.5)]]</f>
        <v>21.674999999999997</v>
      </c>
      <c r="J2020" s="87">
        <v>4</v>
      </c>
      <c r="K2020" s="78">
        <f>SUMIFS(VENTAS[Cantidad],VENTAS[Código del producto Vendido],STOCK[[#This Row],[Code]])</f>
        <v>4</v>
      </c>
      <c r="L2020" s="78">
        <f>STOCK[[#This Row],[Entradas]]-STOCK[[#This Row],[Salidas]]</f>
        <v>0</v>
      </c>
      <c r="M2020" s="75">
        <f>STOCK[[#This Row],[Precio Final]]*10%</f>
        <v>2.5</v>
      </c>
      <c r="N2020" s="54">
        <v>0</v>
      </c>
      <c r="O2020" s="75">
        <v>0</v>
      </c>
      <c r="P2020" s="75">
        <v>9.6999999999999993</v>
      </c>
      <c r="Q2020" s="75">
        <v>0</v>
      </c>
      <c r="R2020" s="78">
        <v>0</v>
      </c>
      <c r="S2020" s="75">
        <v>2.25</v>
      </c>
      <c r="T2020" s="75">
        <f>STOCK[[#This Row],[Costo Unitario (USD)]]+STOCK[[#This Row],[Costo Envío (USD)]]+STOCK[[#This Row],[Comisión 10%]]</f>
        <v>14.45</v>
      </c>
      <c r="U2020" s="53">
        <f>STOCK[[#This Row],[Costo total]]*1.5</f>
        <v>21.674999999999997</v>
      </c>
      <c r="V2020" s="53">
        <v>25</v>
      </c>
      <c r="W2020" s="75">
        <f>STOCK[[#This Row],[Precio Final]]-STOCK[[#This Row],[Costo total]]</f>
        <v>10.55</v>
      </c>
      <c r="X2020" s="75">
        <f>STOCK[[#This Row],[Ganancia Unitaria]]*STOCK[[#This Row],[Salidas]]</f>
        <v>42.2</v>
      </c>
      <c r="Y2020" s="75"/>
      <c r="Z2020" s="88"/>
      <c r="AA2020" s="54"/>
      <c r="AB2020" s="54"/>
      <c r="AC2020" s="75"/>
      <c r="AD2020" s="96"/>
    </row>
    <row r="2021" spans="1:30" s="53" customFormat="1" ht="50" customHeight="1">
      <c r="A2021" s="93" t="s">
        <v>3940</v>
      </c>
      <c r="B2021" s="83"/>
      <c r="D2021" s="84" t="s">
        <v>488</v>
      </c>
      <c r="E2021" s="85" t="s">
        <v>3941</v>
      </c>
      <c r="F2021" s="93" t="s">
        <v>2823</v>
      </c>
      <c r="G2021" s="75"/>
      <c r="H2021" s="75">
        <f>STOCK[[#This Row],[Precio Final]]</f>
        <v>25</v>
      </c>
      <c r="I2021" s="80">
        <f>STOCK[[#This Row],[Precio Venta Ideal (x1.5)]]</f>
        <v>21.015000000000001</v>
      </c>
      <c r="J2021" s="87">
        <v>4</v>
      </c>
      <c r="K2021" s="78">
        <f>SUMIFS(VENTAS[Cantidad],VENTAS[Código del producto Vendido],STOCK[[#This Row],[Code]])</f>
        <v>4</v>
      </c>
      <c r="L2021" s="78">
        <f>STOCK[[#This Row],[Entradas]]-STOCK[[#This Row],[Salidas]]</f>
        <v>0</v>
      </c>
      <c r="M2021" s="75">
        <f>STOCK[[#This Row],[Precio Final]]*10%</f>
        <v>2.5</v>
      </c>
      <c r="N2021" s="54">
        <v>0</v>
      </c>
      <c r="O2021" s="75">
        <v>0</v>
      </c>
      <c r="P2021" s="75">
        <v>9.26</v>
      </c>
      <c r="Q2021" s="75">
        <v>0</v>
      </c>
      <c r="R2021" s="78">
        <v>0</v>
      </c>
      <c r="S2021" s="75">
        <v>2.25</v>
      </c>
      <c r="T2021" s="75">
        <f>STOCK[[#This Row],[Costo Unitario (USD)]]+STOCK[[#This Row],[Costo Envío (USD)]]+STOCK[[#This Row],[Comisión 10%]]</f>
        <v>14.01</v>
      </c>
      <c r="U2021" s="53">
        <f>STOCK[[#This Row],[Costo total]]*1.5</f>
        <v>21.015000000000001</v>
      </c>
      <c r="V2021" s="53">
        <v>25</v>
      </c>
      <c r="W2021" s="75">
        <f>STOCK[[#This Row],[Precio Final]]-STOCK[[#This Row],[Costo total]]</f>
        <v>10.99</v>
      </c>
      <c r="X2021" s="75">
        <f>STOCK[[#This Row],[Ganancia Unitaria]]*STOCK[[#This Row],[Salidas]]</f>
        <v>43.96</v>
      </c>
      <c r="Y2021" s="75"/>
      <c r="Z2021" s="88"/>
      <c r="AA2021" s="54"/>
      <c r="AB2021" s="54"/>
      <c r="AC2021" s="75"/>
      <c r="AD2021" s="96"/>
    </row>
    <row r="2022" spans="1:30" s="53" customFormat="1" ht="50" customHeight="1">
      <c r="A2022" s="93" t="s">
        <v>3942</v>
      </c>
      <c r="B2022" s="83"/>
      <c r="D2022" s="84" t="s">
        <v>488</v>
      </c>
      <c r="E2022" s="85" t="s">
        <v>3943</v>
      </c>
      <c r="F2022" s="93" t="s">
        <v>2823</v>
      </c>
      <c r="G2022" s="75"/>
      <c r="H2022" s="75">
        <f>STOCK[[#This Row],[Precio Final]]</f>
        <v>25</v>
      </c>
      <c r="I2022" s="80">
        <f>STOCK[[#This Row],[Precio Venta Ideal (x1.5)]]</f>
        <v>20.955000000000002</v>
      </c>
      <c r="J2022" s="87">
        <v>12</v>
      </c>
      <c r="K2022" s="78">
        <f>SUMIFS(VENTAS[Cantidad],VENTAS[Código del producto Vendido],STOCK[[#This Row],[Code]])</f>
        <v>2</v>
      </c>
      <c r="L2022" s="78">
        <f>STOCK[[#This Row],[Entradas]]-STOCK[[#This Row],[Salidas]]</f>
        <v>10</v>
      </c>
      <c r="M2022" s="75">
        <f>STOCK[[#This Row],[Precio Final]]*10%</f>
        <v>2.5</v>
      </c>
      <c r="N2022" s="54">
        <v>0</v>
      </c>
      <c r="O2022" s="75">
        <v>0</v>
      </c>
      <c r="P2022" s="75">
        <v>9.2200000000000006</v>
      </c>
      <c r="Q2022" s="75">
        <v>0</v>
      </c>
      <c r="R2022" s="78">
        <v>0</v>
      </c>
      <c r="S2022" s="75">
        <v>2.25</v>
      </c>
      <c r="T2022" s="75">
        <f>STOCK[[#This Row],[Costo Unitario (USD)]]+STOCK[[#This Row],[Costo Envío (USD)]]+STOCK[[#This Row],[Comisión 10%]]</f>
        <v>13.97</v>
      </c>
      <c r="U2022" s="53">
        <f>STOCK[[#This Row],[Costo total]]*1.5</f>
        <v>20.955000000000002</v>
      </c>
      <c r="V2022" s="53">
        <v>25</v>
      </c>
      <c r="W2022" s="75">
        <f>STOCK[[#This Row],[Precio Final]]-STOCK[[#This Row],[Costo total]]</f>
        <v>11.03</v>
      </c>
      <c r="X2022" s="75">
        <f>STOCK[[#This Row],[Ganancia Unitaria]]*STOCK[[#This Row],[Salidas]]</f>
        <v>22.06</v>
      </c>
      <c r="Y2022" s="75"/>
      <c r="Z2022" s="88"/>
      <c r="AA2022" s="54"/>
      <c r="AB2022" s="54"/>
      <c r="AC2022" s="75"/>
      <c r="AD2022" s="96"/>
    </row>
    <row r="2023" spans="1:30" s="53" customFormat="1" ht="50" customHeight="1">
      <c r="A2023" s="93" t="s">
        <v>3944</v>
      </c>
      <c r="B2023" s="83"/>
      <c r="D2023" s="84" t="s">
        <v>1226</v>
      </c>
      <c r="E2023" s="85" t="s">
        <v>3945</v>
      </c>
      <c r="F2023" s="93" t="s">
        <v>3946</v>
      </c>
      <c r="G2023" s="75"/>
      <c r="H2023" s="75">
        <f>STOCK[[#This Row],[Precio Final]]</f>
        <v>35</v>
      </c>
      <c r="I2023" s="80">
        <f>STOCK[[#This Row],[Precio Venta Ideal (x1.5)]]</f>
        <v>35.625</v>
      </c>
      <c r="J2023" s="87">
        <v>2</v>
      </c>
      <c r="K2023" s="78">
        <f>SUMIFS(VENTAS[Cantidad],VENTAS[Código del producto Vendido],STOCK[[#This Row],[Code]])</f>
        <v>0</v>
      </c>
      <c r="L2023" s="78">
        <f>STOCK[[#This Row],[Entradas]]-STOCK[[#This Row],[Salidas]]</f>
        <v>2</v>
      </c>
      <c r="M2023" s="75">
        <f>STOCK[[#This Row],[Precio Final]]*10%</f>
        <v>3.5</v>
      </c>
      <c r="N2023" s="54">
        <v>0</v>
      </c>
      <c r="O2023" s="75">
        <v>0</v>
      </c>
      <c r="P2023" s="75">
        <v>18</v>
      </c>
      <c r="Q2023" s="75">
        <v>0</v>
      </c>
      <c r="R2023" s="78">
        <v>0</v>
      </c>
      <c r="S2023" s="75">
        <v>2.25</v>
      </c>
      <c r="T2023" s="75">
        <f>STOCK[[#This Row],[Costo Unitario (USD)]]+STOCK[[#This Row],[Costo Envío (USD)]]+STOCK[[#This Row],[Comisión 10%]]</f>
        <v>23.75</v>
      </c>
      <c r="U2023" s="53">
        <f>STOCK[[#This Row],[Costo total]]*1.5</f>
        <v>35.625</v>
      </c>
      <c r="V2023" s="53">
        <v>35</v>
      </c>
      <c r="W2023" s="75">
        <f>STOCK[[#This Row],[Precio Final]]-STOCK[[#This Row],[Costo total]]</f>
        <v>11.25</v>
      </c>
      <c r="X2023" s="75">
        <f>STOCK[[#This Row],[Ganancia Unitaria]]*STOCK[[#This Row],[Salidas]]</f>
        <v>0</v>
      </c>
      <c r="Y2023" s="75"/>
      <c r="Z2023" s="88"/>
      <c r="AA2023" s="54"/>
      <c r="AB2023" s="54"/>
      <c r="AC2023" s="75"/>
      <c r="AD2023" s="96"/>
    </row>
    <row r="2024" spans="1:30" s="53" customFormat="1" ht="50" customHeight="1">
      <c r="A2024" s="93" t="s">
        <v>3947</v>
      </c>
      <c r="B2024" s="83"/>
      <c r="D2024" s="84" t="s">
        <v>1226</v>
      </c>
      <c r="E2024" s="85" t="s">
        <v>3948</v>
      </c>
      <c r="F2024" s="93" t="s">
        <v>3946</v>
      </c>
      <c r="G2024" s="75"/>
      <c r="H2024" s="75">
        <f>STOCK[[#This Row],[Precio Final]]</f>
        <v>40</v>
      </c>
      <c r="I2024" s="80">
        <f>STOCK[[#This Row],[Precio Venta Ideal (x1.5)]]</f>
        <v>36.375</v>
      </c>
      <c r="J2024" s="87">
        <v>2</v>
      </c>
      <c r="K2024" s="78">
        <f>SUMIFS(VENTAS[Cantidad],VENTAS[Código del producto Vendido],STOCK[[#This Row],[Code]])</f>
        <v>1</v>
      </c>
      <c r="L2024" s="78">
        <f>STOCK[[#This Row],[Entradas]]-STOCK[[#This Row],[Salidas]]</f>
        <v>1</v>
      </c>
      <c r="M2024" s="75">
        <f>STOCK[[#This Row],[Precio Final]]*10%</f>
        <v>4</v>
      </c>
      <c r="N2024" s="54">
        <v>0</v>
      </c>
      <c r="O2024" s="75">
        <v>0</v>
      </c>
      <c r="P2024" s="75">
        <v>18</v>
      </c>
      <c r="Q2024" s="75">
        <v>0</v>
      </c>
      <c r="R2024" s="78">
        <v>0</v>
      </c>
      <c r="S2024" s="75">
        <v>2.25</v>
      </c>
      <c r="T2024" s="75">
        <f>STOCK[[#This Row],[Costo Unitario (USD)]]+STOCK[[#This Row],[Costo Envío (USD)]]+STOCK[[#This Row],[Comisión 10%]]</f>
        <v>24.25</v>
      </c>
      <c r="U2024" s="53">
        <f>STOCK[[#This Row],[Costo total]]*1.5</f>
        <v>36.375</v>
      </c>
      <c r="V2024" s="53">
        <v>40</v>
      </c>
      <c r="W2024" s="75">
        <f>STOCK[[#This Row],[Precio Final]]-STOCK[[#This Row],[Costo total]]</f>
        <v>15.75</v>
      </c>
      <c r="X2024" s="75">
        <f>STOCK[[#This Row],[Ganancia Unitaria]]*STOCK[[#This Row],[Salidas]]</f>
        <v>15.75</v>
      </c>
      <c r="Y2024" s="75"/>
      <c r="Z2024" s="88"/>
      <c r="AA2024" s="54"/>
      <c r="AB2024" s="54"/>
      <c r="AC2024" s="75"/>
      <c r="AD2024" s="96"/>
    </row>
    <row r="2025" spans="1:30" s="53" customFormat="1" ht="50" customHeight="1">
      <c r="A2025" s="93" t="s">
        <v>3949</v>
      </c>
      <c r="B2025" s="83"/>
      <c r="D2025" s="84" t="s">
        <v>1226</v>
      </c>
      <c r="E2025" s="85" t="s">
        <v>3948</v>
      </c>
      <c r="F2025" s="93" t="s">
        <v>3950</v>
      </c>
      <c r="G2025" s="75"/>
      <c r="H2025" s="75">
        <f>STOCK[[#This Row],[Precio Final]]</f>
        <v>40</v>
      </c>
      <c r="I2025" s="80">
        <f>STOCK[[#This Row],[Precio Venta Ideal (x1.5)]]</f>
        <v>36.375</v>
      </c>
      <c r="J2025" s="87">
        <v>3</v>
      </c>
      <c r="K2025" s="78">
        <f>SUMIFS(VENTAS[Cantidad],VENTAS[Código del producto Vendido],STOCK[[#This Row],[Code]])</f>
        <v>3</v>
      </c>
      <c r="L2025" s="78">
        <f>STOCK[[#This Row],[Entradas]]-STOCK[[#This Row],[Salidas]]</f>
        <v>0</v>
      </c>
      <c r="M2025" s="75">
        <f>STOCK[[#This Row],[Precio Final]]*10%</f>
        <v>4</v>
      </c>
      <c r="N2025" s="54">
        <v>0</v>
      </c>
      <c r="O2025" s="75">
        <v>0</v>
      </c>
      <c r="P2025" s="75">
        <v>18</v>
      </c>
      <c r="Q2025" s="75">
        <v>0</v>
      </c>
      <c r="R2025" s="78">
        <v>0</v>
      </c>
      <c r="S2025" s="75">
        <v>2.25</v>
      </c>
      <c r="T2025" s="75">
        <f>STOCK[[#This Row],[Costo Unitario (USD)]]+STOCK[[#This Row],[Costo Envío (USD)]]+STOCK[[#This Row],[Comisión 10%]]</f>
        <v>24.25</v>
      </c>
      <c r="U2025" s="53">
        <f>STOCK[[#This Row],[Costo total]]*1.5</f>
        <v>36.375</v>
      </c>
      <c r="V2025" s="53">
        <v>40</v>
      </c>
      <c r="W2025" s="75">
        <f>STOCK[[#This Row],[Precio Final]]-STOCK[[#This Row],[Costo total]]</f>
        <v>15.75</v>
      </c>
      <c r="X2025" s="75">
        <f>STOCK[[#This Row],[Ganancia Unitaria]]*STOCK[[#This Row],[Salidas]]</f>
        <v>47.25</v>
      </c>
      <c r="Y2025" s="75"/>
      <c r="Z2025" s="88"/>
      <c r="AA2025" s="54"/>
      <c r="AB2025" s="54"/>
      <c r="AC2025" s="75"/>
      <c r="AD2025" s="96"/>
    </row>
    <row r="2026" spans="1:30" s="53" customFormat="1" ht="50" customHeight="1">
      <c r="A2026" s="93" t="s">
        <v>3951</v>
      </c>
      <c r="B2026" s="83"/>
      <c r="D2026" s="84" t="s">
        <v>1226</v>
      </c>
      <c r="E2026" s="85" t="s">
        <v>3948</v>
      </c>
      <c r="F2026" s="93" t="s">
        <v>3952</v>
      </c>
      <c r="G2026" s="75"/>
      <c r="H2026" s="75">
        <f>STOCK[[#This Row],[Precio Final]]</f>
        <v>40</v>
      </c>
      <c r="I2026" s="80">
        <f>STOCK[[#This Row],[Precio Venta Ideal (x1.5)]]</f>
        <v>36.375</v>
      </c>
      <c r="J2026" s="87">
        <v>4</v>
      </c>
      <c r="K2026" s="78">
        <f>SUMIFS(VENTAS[Cantidad],VENTAS[Código del producto Vendido],STOCK[[#This Row],[Code]])</f>
        <v>3</v>
      </c>
      <c r="L2026" s="78">
        <f>STOCK[[#This Row],[Entradas]]-STOCK[[#This Row],[Salidas]]</f>
        <v>1</v>
      </c>
      <c r="M2026" s="75">
        <f>STOCK[[#This Row],[Precio Final]]*10%</f>
        <v>4</v>
      </c>
      <c r="N2026" s="54">
        <v>0</v>
      </c>
      <c r="O2026" s="75">
        <v>0</v>
      </c>
      <c r="P2026" s="75">
        <v>18</v>
      </c>
      <c r="Q2026" s="75">
        <v>0</v>
      </c>
      <c r="R2026" s="78">
        <v>0</v>
      </c>
      <c r="S2026" s="75">
        <v>2.25</v>
      </c>
      <c r="T2026" s="75">
        <f>STOCK[[#This Row],[Costo Unitario (USD)]]+STOCK[[#This Row],[Costo Envío (USD)]]+STOCK[[#This Row],[Comisión 10%]]</f>
        <v>24.25</v>
      </c>
      <c r="U2026" s="53">
        <f>STOCK[[#This Row],[Costo total]]*1.5</f>
        <v>36.375</v>
      </c>
      <c r="V2026" s="53">
        <v>40</v>
      </c>
      <c r="W2026" s="75">
        <f>STOCK[[#This Row],[Precio Final]]-STOCK[[#This Row],[Costo total]]</f>
        <v>15.75</v>
      </c>
      <c r="X2026" s="75">
        <f>STOCK[[#This Row],[Ganancia Unitaria]]*STOCK[[#This Row],[Salidas]]</f>
        <v>47.25</v>
      </c>
      <c r="Y2026" s="75"/>
      <c r="Z2026" s="88"/>
      <c r="AA2026" s="54"/>
      <c r="AB2026" s="54"/>
      <c r="AC2026" s="75"/>
      <c r="AD2026" s="96"/>
    </row>
    <row r="2027" spans="1:30" s="53" customFormat="1" ht="50" customHeight="1">
      <c r="A2027" s="93" t="s">
        <v>3953</v>
      </c>
      <c r="B2027" s="83"/>
      <c r="D2027" s="84" t="s">
        <v>1226</v>
      </c>
      <c r="E2027" s="85" t="s">
        <v>3948</v>
      </c>
      <c r="F2027" s="93" t="s">
        <v>3954</v>
      </c>
      <c r="G2027" s="75"/>
      <c r="H2027" s="75">
        <f>STOCK[[#This Row],[Precio Final]]</f>
        <v>40</v>
      </c>
      <c r="I2027" s="80">
        <f>STOCK[[#This Row],[Precio Venta Ideal (x1.5)]]</f>
        <v>36.375</v>
      </c>
      <c r="J2027" s="87">
        <v>3</v>
      </c>
      <c r="K2027" s="78">
        <f>SUMIFS(VENTAS[Cantidad],VENTAS[Código del producto Vendido],STOCK[[#This Row],[Code]])</f>
        <v>3</v>
      </c>
      <c r="L2027" s="78">
        <f>STOCK[[#This Row],[Entradas]]-STOCK[[#This Row],[Salidas]]</f>
        <v>0</v>
      </c>
      <c r="M2027" s="75">
        <f>STOCK[[#This Row],[Precio Final]]*10%</f>
        <v>4</v>
      </c>
      <c r="N2027" s="54">
        <v>0</v>
      </c>
      <c r="O2027" s="75">
        <v>0</v>
      </c>
      <c r="P2027" s="75">
        <v>18</v>
      </c>
      <c r="Q2027" s="75">
        <v>0</v>
      </c>
      <c r="R2027" s="78">
        <v>0</v>
      </c>
      <c r="S2027" s="75">
        <v>2.25</v>
      </c>
      <c r="T2027" s="75">
        <f>STOCK[[#This Row],[Costo Unitario (USD)]]+STOCK[[#This Row],[Costo Envío (USD)]]+STOCK[[#This Row],[Comisión 10%]]</f>
        <v>24.25</v>
      </c>
      <c r="U2027" s="53">
        <f>STOCK[[#This Row],[Costo total]]*1.5</f>
        <v>36.375</v>
      </c>
      <c r="V2027" s="53">
        <v>40</v>
      </c>
      <c r="W2027" s="75">
        <f>STOCK[[#This Row],[Precio Final]]-STOCK[[#This Row],[Costo total]]</f>
        <v>15.75</v>
      </c>
      <c r="X2027" s="75">
        <f>STOCK[[#This Row],[Ganancia Unitaria]]*STOCK[[#This Row],[Salidas]]</f>
        <v>47.25</v>
      </c>
      <c r="Y2027" s="75"/>
      <c r="Z2027" s="88"/>
      <c r="AA2027" s="54"/>
      <c r="AB2027" s="54"/>
      <c r="AC2027" s="75"/>
      <c r="AD2027" s="96"/>
    </row>
    <row r="2028" spans="1:30" s="53" customFormat="1" ht="50" customHeight="1">
      <c r="A2028" s="93" t="s">
        <v>3955</v>
      </c>
      <c r="B2028" s="83"/>
      <c r="D2028" s="84" t="s">
        <v>1226</v>
      </c>
      <c r="E2028" s="85" t="s">
        <v>3948</v>
      </c>
      <c r="F2028" s="93" t="s">
        <v>3956</v>
      </c>
      <c r="G2028" s="75"/>
      <c r="H2028" s="75">
        <f>STOCK[[#This Row],[Precio Final]]</f>
        <v>40</v>
      </c>
      <c r="I2028" s="80">
        <f>STOCK[[#This Row],[Precio Venta Ideal (x1.5)]]</f>
        <v>36.375</v>
      </c>
      <c r="J2028" s="87">
        <v>2</v>
      </c>
      <c r="K2028" s="78">
        <f>SUMIFS(VENTAS[Cantidad],VENTAS[Código del producto Vendido],STOCK[[#This Row],[Code]])</f>
        <v>2</v>
      </c>
      <c r="L2028" s="78">
        <f>STOCK[[#This Row],[Entradas]]-STOCK[[#This Row],[Salidas]]</f>
        <v>0</v>
      </c>
      <c r="M2028" s="75">
        <f>STOCK[[#This Row],[Precio Final]]*10%</f>
        <v>4</v>
      </c>
      <c r="N2028" s="54">
        <v>0</v>
      </c>
      <c r="O2028" s="75">
        <v>0</v>
      </c>
      <c r="P2028" s="75">
        <v>18</v>
      </c>
      <c r="Q2028" s="75">
        <v>0</v>
      </c>
      <c r="R2028" s="78">
        <v>0</v>
      </c>
      <c r="S2028" s="75">
        <v>2.25</v>
      </c>
      <c r="T2028" s="75">
        <f>STOCK[[#This Row],[Costo Unitario (USD)]]+STOCK[[#This Row],[Costo Envío (USD)]]+STOCK[[#This Row],[Comisión 10%]]</f>
        <v>24.25</v>
      </c>
      <c r="U2028" s="53">
        <f>STOCK[[#This Row],[Costo total]]*1.5</f>
        <v>36.375</v>
      </c>
      <c r="V2028" s="53">
        <v>40</v>
      </c>
      <c r="W2028" s="75">
        <f>STOCK[[#This Row],[Precio Final]]-STOCK[[#This Row],[Costo total]]</f>
        <v>15.75</v>
      </c>
      <c r="X2028" s="75">
        <f>STOCK[[#This Row],[Ganancia Unitaria]]*STOCK[[#This Row],[Salidas]]</f>
        <v>31.5</v>
      </c>
      <c r="Y2028" s="75"/>
      <c r="Z2028" s="88"/>
      <c r="AA2028" s="54"/>
      <c r="AB2028" s="54"/>
      <c r="AC2028" s="75"/>
      <c r="AD2028" s="96"/>
    </row>
    <row r="2029" spans="1:30" s="53" customFormat="1" ht="50" customHeight="1">
      <c r="A2029" s="93" t="s">
        <v>3957</v>
      </c>
      <c r="B2029" s="83"/>
      <c r="D2029" s="84" t="s">
        <v>1226</v>
      </c>
      <c r="E2029" s="85" t="s">
        <v>3958</v>
      </c>
      <c r="F2029" s="93" t="s">
        <v>3946</v>
      </c>
      <c r="G2029" s="75"/>
      <c r="H2029" s="75">
        <f>STOCK[[#This Row],[Precio Final]]</f>
        <v>30</v>
      </c>
      <c r="I2029" s="80">
        <f>STOCK[[#This Row],[Precio Venta Ideal (x1.5)]]</f>
        <v>20.625</v>
      </c>
      <c r="J2029" s="87">
        <v>2</v>
      </c>
      <c r="K2029" s="78">
        <f>SUMIFS(VENTAS[Cantidad],VENTAS[Código del producto Vendido],STOCK[[#This Row],[Code]])</f>
        <v>2</v>
      </c>
      <c r="L2029" s="78">
        <f>STOCK[[#This Row],[Entradas]]-STOCK[[#This Row],[Salidas]]</f>
        <v>0</v>
      </c>
      <c r="M2029" s="75">
        <f>STOCK[[#This Row],[Precio Final]]*10%</f>
        <v>3</v>
      </c>
      <c r="N2029" s="54">
        <v>0</v>
      </c>
      <c r="O2029" s="75">
        <v>0</v>
      </c>
      <c r="P2029" s="54">
        <v>8.5</v>
      </c>
      <c r="Q2029" s="75">
        <v>0</v>
      </c>
      <c r="R2029" s="78">
        <v>0</v>
      </c>
      <c r="S2029" s="75">
        <v>2.25</v>
      </c>
      <c r="T2029" s="75">
        <f>STOCK[[#This Row],[Costo Unitario (USD)]]+STOCK[[#This Row],[Costo Envío (USD)]]+STOCK[[#This Row],[Comisión 10%]]</f>
        <v>13.75</v>
      </c>
      <c r="U2029" s="53">
        <f>STOCK[[#This Row],[Costo total]]*1.5</f>
        <v>20.625</v>
      </c>
      <c r="V2029" s="53">
        <v>30</v>
      </c>
      <c r="W2029" s="75">
        <f>STOCK[[#This Row],[Precio Final]]-STOCK[[#This Row],[Costo total]]</f>
        <v>16.25</v>
      </c>
      <c r="X2029" s="75">
        <f>STOCK[[#This Row],[Ganancia Unitaria]]*STOCK[[#This Row],[Salidas]]</f>
        <v>32.5</v>
      </c>
      <c r="Y2029" s="75"/>
      <c r="Z2029" s="88"/>
      <c r="AA2029" s="54"/>
      <c r="AB2029" s="54"/>
      <c r="AC2029" s="75"/>
      <c r="AD2029" s="96"/>
    </row>
    <row r="2030" spans="1:30" s="53" customFormat="1" ht="50" customHeight="1">
      <c r="A2030" s="93" t="s">
        <v>3959</v>
      </c>
      <c r="B2030" s="113"/>
      <c r="C2030" s="54"/>
      <c r="D2030" s="84" t="s">
        <v>1226</v>
      </c>
      <c r="E2030" s="85" t="s">
        <v>3958</v>
      </c>
      <c r="F2030" s="115" t="s">
        <v>3950</v>
      </c>
      <c r="G2030" s="54"/>
      <c r="H2030" s="75">
        <f>STOCK[[#This Row],[Precio Final]]</f>
        <v>30</v>
      </c>
      <c r="I2030" s="80">
        <f>STOCK[[#This Row],[Precio Venta Ideal (x1.5)]]</f>
        <v>20.625</v>
      </c>
      <c r="J2030" s="117">
        <v>2</v>
      </c>
      <c r="K2030" s="78">
        <f>SUMIFS(VENTAS[Cantidad],VENTAS[Código del producto Vendido],STOCK[[#This Row],[Code]])</f>
        <v>1</v>
      </c>
      <c r="L2030" s="78">
        <f>STOCK[[#This Row],[Entradas]]-STOCK[[#This Row],[Salidas]]</f>
        <v>1</v>
      </c>
      <c r="M2030" s="75">
        <f>STOCK[[#This Row],[Precio Final]]*10%</f>
        <v>3</v>
      </c>
      <c r="N2030" s="54">
        <v>0</v>
      </c>
      <c r="O2030" s="75">
        <v>0</v>
      </c>
      <c r="P2030" s="54">
        <v>8.5</v>
      </c>
      <c r="Q2030" s="75">
        <v>0</v>
      </c>
      <c r="R2030" s="78">
        <v>0</v>
      </c>
      <c r="S2030" s="75">
        <v>2.25</v>
      </c>
      <c r="T2030" s="75">
        <f>STOCK[[#This Row],[Costo Unitario (USD)]]+STOCK[[#This Row],[Costo Envío (USD)]]+STOCK[[#This Row],[Comisión 10%]]</f>
        <v>13.75</v>
      </c>
      <c r="U2030" s="53">
        <f>STOCK[[#This Row],[Costo total]]*1.5</f>
        <v>20.625</v>
      </c>
      <c r="V2030" s="54">
        <v>30</v>
      </c>
      <c r="W2030" s="75">
        <f>STOCK[[#This Row],[Precio Final]]-STOCK[[#This Row],[Costo total]]</f>
        <v>16.25</v>
      </c>
      <c r="X2030" s="75">
        <f>STOCK[[#This Row],[Ganancia Unitaria]]*STOCK[[#This Row],[Salidas]]</f>
        <v>16.25</v>
      </c>
      <c r="Y2030" s="54"/>
      <c r="Z2030" s="118"/>
      <c r="AA2030" s="54"/>
      <c r="AB2030" s="54"/>
      <c r="AC2030" s="54"/>
      <c r="AD2030" s="96"/>
    </row>
    <row r="2031" spans="1:30" s="53" customFormat="1" ht="50" customHeight="1">
      <c r="A2031" s="93" t="s">
        <v>3960</v>
      </c>
      <c r="B2031" s="113"/>
      <c r="C2031" s="54"/>
      <c r="D2031" s="84" t="s">
        <v>1226</v>
      </c>
      <c r="E2031" s="85" t="s">
        <v>3958</v>
      </c>
      <c r="F2031" s="115" t="s">
        <v>3961</v>
      </c>
      <c r="G2031" s="54"/>
      <c r="H2031" s="75">
        <f>STOCK[[#This Row],[Precio Final]]</f>
        <v>30</v>
      </c>
      <c r="I2031" s="80">
        <f>STOCK[[#This Row],[Precio Venta Ideal (x1.5)]]</f>
        <v>20.625</v>
      </c>
      <c r="J2031" s="117">
        <v>3</v>
      </c>
      <c r="K2031" s="78">
        <f>SUMIFS(VENTAS[Cantidad],VENTAS[Código del producto Vendido],STOCK[[#This Row],[Code]])</f>
        <v>1</v>
      </c>
      <c r="L2031" s="78">
        <f>STOCK[[#This Row],[Entradas]]-STOCK[[#This Row],[Salidas]]</f>
        <v>2</v>
      </c>
      <c r="M2031" s="75">
        <f>STOCK[[#This Row],[Precio Final]]*10%</f>
        <v>3</v>
      </c>
      <c r="N2031" s="54">
        <v>0</v>
      </c>
      <c r="O2031" s="75">
        <v>0</v>
      </c>
      <c r="P2031" s="54">
        <v>8.5</v>
      </c>
      <c r="Q2031" s="75">
        <v>0</v>
      </c>
      <c r="R2031" s="78">
        <v>0</v>
      </c>
      <c r="S2031" s="75">
        <v>2.25</v>
      </c>
      <c r="T2031" s="75">
        <f>STOCK[[#This Row],[Costo Unitario (USD)]]+STOCK[[#This Row],[Costo Envío (USD)]]+STOCK[[#This Row],[Comisión 10%]]</f>
        <v>13.75</v>
      </c>
      <c r="U2031" s="53">
        <f>STOCK[[#This Row],[Costo total]]*1.5</f>
        <v>20.625</v>
      </c>
      <c r="V2031" s="54">
        <v>30</v>
      </c>
      <c r="W2031" s="75">
        <f>STOCK[[#This Row],[Precio Final]]-STOCK[[#This Row],[Costo total]]</f>
        <v>16.25</v>
      </c>
      <c r="X2031" s="75">
        <f>STOCK[[#This Row],[Ganancia Unitaria]]*STOCK[[#This Row],[Salidas]]</f>
        <v>16.25</v>
      </c>
      <c r="Y2031" s="54"/>
      <c r="Z2031" s="118"/>
      <c r="AA2031" s="54"/>
      <c r="AB2031" s="54"/>
      <c r="AC2031" s="54"/>
      <c r="AD2031" s="96"/>
    </row>
    <row r="2032" spans="1:30" s="53" customFormat="1" ht="50" customHeight="1">
      <c r="A2032" s="93" t="s">
        <v>3962</v>
      </c>
      <c r="B2032" s="113"/>
      <c r="C2032" s="54"/>
      <c r="D2032" s="84" t="s">
        <v>1226</v>
      </c>
      <c r="E2032" s="85" t="s">
        <v>3958</v>
      </c>
      <c r="F2032" s="115" t="s">
        <v>3954</v>
      </c>
      <c r="G2032" s="54"/>
      <c r="H2032" s="75">
        <f>STOCK[[#This Row],[Precio Final]]</f>
        <v>30</v>
      </c>
      <c r="I2032" s="80">
        <f>STOCK[[#This Row],[Precio Venta Ideal (x1.5)]]</f>
        <v>20.625</v>
      </c>
      <c r="J2032" s="117">
        <v>2</v>
      </c>
      <c r="K2032" s="78">
        <f>SUMIFS(VENTAS[Cantidad],VENTAS[Código del producto Vendido],STOCK[[#This Row],[Code]])</f>
        <v>2</v>
      </c>
      <c r="L2032" s="78">
        <f>STOCK[[#This Row],[Entradas]]-STOCK[[#This Row],[Salidas]]</f>
        <v>0</v>
      </c>
      <c r="M2032" s="75">
        <f>STOCK[[#This Row],[Precio Final]]*10%</f>
        <v>3</v>
      </c>
      <c r="N2032" s="54">
        <v>0</v>
      </c>
      <c r="O2032" s="75">
        <v>0</v>
      </c>
      <c r="P2032" s="54">
        <v>8.5</v>
      </c>
      <c r="Q2032" s="75">
        <v>0</v>
      </c>
      <c r="R2032" s="78">
        <v>0</v>
      </c>
      <c r="S2032" s="75">
        <v>2.25</v>
      </c>
      <c r="T2032" s="75">
        <f>STOCK[[#This Row],[Costo Unitario (USD)]]+STOCK[[#This Row],[Costo Envío (USD)]]+STOCK[[#This Row],[Comisión 10%]]</f>
        <v>13.75</v>
      </c>
      <c r="U2032" s="53">
        <f>STOCK[[#This Row],[Costo total]]*1.5</f>
        <v>20.625</v>
      </c>
      <c r="V2032" s="54">
        <v>30</v>
      </c>
      <c r="W2032" s="75">
        <f>STOCK[[#This Row],[Precio Final]]-STOCK[[#This Row],[Costo total]]</f>
        <v>16.25</v>
      </c>
      <c r="X2032" s="75">
        <f>STOCK[[#This Row],[Ganancia Unitaria]]*STOCK[[#This Row],[Salidas]]</f>
        <v>32.5</v>
      </c>
      <c r="Y2032" s="54"/>
      <c r="Z2032" s="118"/>
      <c r="AA2032" s="54"/>
      <c r="AB2032" s="54"/>
      <c r="AC2032" s="54"/>
      <c r="AD2032" s="96"/>
    </row>
    <row r="2033" spans="1:30" s="53" customFormat="1" ht="50" customHeight="1">
      <c r="A2033" s="93" t="s">
        <v>3963</v>
      </c>
      <c r="B2033" s="113"/>
      <c r="C2033" s="54"/>
      <c r="D2033" s="84" t="s">
        <v>1226</v>
      </c>
      <c r="E2033" s="85" t="s">
        <v>3958</v>
      </c>
      <c r="F2033" s="115" t="s">
        <v>3956</v>
      </c>
      <c r="G2033" s="54"/>
      <c r="H2033" s="75">
        <f>STOCK[[#This Row],[Precio Final]]</f>
        <v>30</v>
      </c>
      <c r="I2033" s="80">
        <f>STOCK[[#This Row],[Precio Venta Ideal (x1.5)]]</f>
        <v>20.625</v>
      </c>
      <c r="J2033" s="117">
        <v>2</v>
      </c>
      <c r="K2033" s="78">
        <f>SUMIFS(VENTAS[Cantidad],VENTAS[Código del producto Vendido],STOCK[[#This Row],[Code]])</f>
        <v>0</v>
      </c>
      <c r="L2033" s="78">
        <f>STOCK[[#This Row],[Entradas]]-STOCK[[#This Row],[Salidas]]</f>
        <v>2</v>
      </c>
      <c r="M2033" s="75">
        <f>STOCK[[#This Row],[Precio Final]]*10%</f>
        <v>3</v>
      </c>
      <c r="N2033" s="54">
        <v>0</v>
      </c>
      <c r="O2033" s="75">
        <v>0</v>
      </c>
      <c r="P2033" s="54">
        <v>8.5</v>
      </c>
      <c r="Q2033" s="75">
        <v>0</v>
      </c>
      <c r="R2033" s="78">
        <v>0</v>
      </c>
      <c r="S2033" s="75">
        <v>2.25</v>
      </c>
      <c r="T2033" s="75">
        <f>STOCK[[#This Row],[Costo Unitario (USD)]]+STOCK[[#This Row],[Costo Envío (USD)]]+STOCK[[#This Row],[Comisión 10%]]</f>
        <v>13.75</v>
      </c>
      <c r="U2033" s="53">
        <f>STOCK[[#This Row],[Costo total]]*1.5</f>
        <v>20.625</v>
      </c>
      <c r="V2033" s="54">
        <v>30</v>
      </c>
      <c r="W2033" s="75">
        <f>STOCK[[#This Row],[Precio Final]]-STOCK[[#This Row],[Costo total]]</f>
        <v>16.25</v>
      </c>
      <c r="X2033" s="75">
        <f>STOCK[[#This Row],[Ganancia Unitaria]]*STOCK[[#This Row],[Salidas]]</f>
        <v>0</v>
      </c>
      <c r="Y2033" s="54"/>
      <c r="Z2033" s="118"/>
      <c r="AA2033" s="54"/>
      <c r="AB2033" s="54"/>
      <c r="AC2033" s="54"/>
      <c r="AD2033" s="96"/>
    </row>
    <row r="2034" spans="1:30" s="53" customFormat="1" ht="50" customHeight="1">
      <c r="A2034" s="93" t="s">
        <v>3964</v>
      </c>
      <c r="B2034" s="113"/>
      <c r="C2034" s="54"/>
      <c r="D2034" s="84" t="s">
        <v>1226</v>
      </c>
      <c r="E2034" s="85" t="s">
        <v>3965</v>
      </c>
      <c r="F2034" s="115" t="s">
        <v>3950</v>
      </c>
      <c r="G2034" s="54"/>
      <c r="H2034" s="75">
        <f>STOCK[[#This Row],[Precio Final]]</f>
        <v>30</v>
      </c>
      <c r="I2034" s="80">
        <f>STOCK[[#This Row],[Precio Venta Ideal (x1.5)]]</f>
        <v>20.625</v>
      </c>
      <c r="J2034" s="117">
        <v>2</v>
      </c>
      <c r="K2034" s="78">
        <f>SUMIFS(VENTAS[Cantidad],VENTAS[Código del producto Vendido],STOCK[[#This Row],[Code]])</f>
        <v>0</v>
      </c>
      <c r="L2034" s="78">
        <f>STOCK[[#This Row],[Entradas]]-STOCK[[#This Row],[Salidas]]</f>
        <v>2</v>
      </c>
      <c r="M2034" s="75">
        <f>STOCK[[#This Row],[Precio Final]]*10%</f>
        <v>3</v>
      </c>
      <c r="N2034" s="54">
        <v>0</v>
      </c>
      <c r="O2034" s="75">
        <v>0</v>
      </c>
      <c r="P2034" s="54">
        <v>8.5</v>
      </c>
      <c r="Q2034" s="75">
        <v>0</v>
      </c>
      <c r="R2034" s="78">
        <v>0</v>
      </c>
      <c r="S2034" s="75">
        <v>2.25</v>
      </c>
      <c r="T2034" s="75">
        <f>STOCK[[#This Row],[Costo Unitario (USD)]]+STOCK[[#This Row],[Costo Envío (USD)]]+STOCK[[#This Row],[Comisión 10%]]</f>
        <v>13.75</v>
      </c>
      <c r="U2034" s="53">
        <f>STOCK[[#This Row],[Costo total]]*1.5</f>
        <v>20.625</v>
      </c>
      <c r="V2034" s="54">
        <v>30</v>
      </c>
      <c r="W2034" s="75">
        <f>STOCK[[#This Row],[Precio Final]]-STOCK[[#This Row],[Costo total]]</f>
        <v>16.25</v>
      </c>
      <c r="X2034" s="75">
        <f>STOCK[[#This Row],[Ganancia Unitaria]]*STOCK[[#This Row],[Salidas]]</f>
        <v>0</v>
      </c>
      <c r="Y2034" s="54"/>
      <c r="Z2034" s="118"/>
      <c r="AA2034" s="54"/>
      <c r="AB2034" s="54"/>
      <c r="AC2034" s="54"/>
      <c r="AD2034" s="96"/>
    </row>
    <row r="2035" spans="1:30" s="53" customFormat="1" ht="50" customHeight="1">
      <c r="A2035" s="93" t="s">
        <v>3966</v>
      </c>
      <c r="B2035" s="113"/>
      <c r="C2035" s="54"/>
      <c r="D2035" s="84" t="s">
        <v>1226</v>
      </c>
      <c r="E2035" s="85" t="s">
        <v>3965</v>
      </c>
      <c r="F2035" s="115" t="s">
        <v>3961</v>
      </c>
      <c r="G2035" s="54"/>
      <c r="H2035" s="75">
        <f>STOCK[[#This Row],[Precio Final]]</f>
        <v>30</v>
      </c>
      <c r="I2035" s="80">
        <f>STOCK[[#This Row],[Precio Venta Ideal (x1.5)]]</f>
        <v>20.625</v>
      </c>
      <c r="J2035" s="117">
        <v>3</v>
      </c>
      <c r="K2035" s="78">
        <f>SUMIFS(VENTAS[Cantidad],VENTAS[Código del producto Vendido],STOCK[[#This Row],[Code]])</f>
        <v>3</v>
      </c>
      <c r="L2035" s="78">
        <f>STOCK[[#This Row],[Entradas]]-STOCK[[#This Row],[Salidas]]</f>
        <v>0</v>
      </c>
      <c r="M2035" s="75">
        <f>STOCK[[#This Row],[Precio Final]]*10%</f>
        <v>3</v>
      </c>
      <c r="N2035" s="54">
        <v>0</v>
      </c>
      <c r="O2035" s="75">
        <v>0</v>
      </c>
      <c r="P2035" s="54">
        <v>8.5</v>
      </c>
      <c r="Q2035" s="75">
        <v>0</v>
      </c>
      <c r="R2035" s="78">
        <v>0</v>
      </c>
      <c r="S2035" s="75">
        <v>2.25</v>
      </c>
      <c r="T2035" s="75">
        <f>STOCK[[#This Row],[Costo Unitario (USD)]]+STOCK[[#This Row],[Costo Envío (USD)]]+STOCK[[#This Row],[Comisión 10%]]</f>
        <v>13.75</v>
      </c>
      <c r="U2035" s="53">
        <f>STOCK[[#This Row],[Costo total]]*1.5</f>
        <v>20.625</v>
      </c>
      <c r="V2035" s="54">
        <v>30</v>
      </c>
      <c r="W2035" s="75">
        <f>STOCK[[#This Row],[Precio Final]]-STOCK[[#This Row],[Costo total]]</f>
        <v>16.25</v>
      </c>
      <c r="X2035" s="75">
        <f>STOCK[[#This Row],[Ganancia Unitaria]]*STOCK[[#This Row],[Salidas]]</f>
        <v>48.75</v>
      </c>
      <c r="Y2035" s="54"/>
      <c r="Z2035" s="118"/>
      <c r="AA2035" s="54"/>
      <c r="AB2035" s="54"/>
      <c r="AC2035" s="54"/>
      <c r="AD2035" s="96"/>
    </row>
    <row r="2036" spans="1:30" s="53" customFormat="1" ht="50" customHeight="1">
      <c r="A2036" s="93" t="s">
        <v>3967</v>
      </c>
      <c r="B2036" s="113"/>
      <c r="C2036" s="54"/>
      <c r="D2036" s="84" t="s">
        <v>1226</v>
      </c>
      <c r="E2036" s="116" t="s">
        <v>3968</v>
      </c>
      <c r="F2036" s="115" t="s">
        <v>3952</v>
      </c>
      <c r="G2036" s="54"/>
      <c r="H2036" s="75">
        <f>STOCK[[#This Row],[Precio Final]]</f>
        <v>40</v>
      </c>
      <c r="I2036" s="80">
        <f>STOCK[[#This Row],[Precio Venta Ideal (x1.5)]]</f>
        <v>26.625</v>
      </c>
      <c r="J2036" s="117">
        <v>3</v>
      </c>
      <c r="K2036" s="78">
        <f>SUMIFS(VENTAS[Cantidad],VENTAS[Código del producto Vendido],STOCK[[#This Row],[Code]])</f>
        <v>2</v>
      </c>
      <c r="L2036" s="78">
        <f>STOCK[[#This Row],[Entradas]]-STOCK[[#This Row],[Salidas]]</f>
        <v>1</v>
      </c>
      <c r="M2036" s="75">
        <f>STOCK[[#This Row],[Precio Final]]*10%</f>
        <v>4</v>
      </c>
      <c r="N2036" s="54">
        <v>0</v>
      </c>
      <c r="O2036" s="75">
        <v>0</v>
      </c>
      <c r="P2036" s="54">
        <v>11.5</v>
      </c>
      <c r="Q2036" s="75">
        <v>0</v>
      </c>
      <c r="R2036" s="78">
        <v>0</v>
      </c>
      <c r="S2036" s="75">
        <v>2.25</v>
      </c>
      <c r="T2036" s="75">
        <f>STOCK[[#This Row],[Costo Unitario (USD)]]+STOCK[[#This Row],[Costo Envío (USD)]]+STOCK[[#This Row],[Comisión 10%]]</f>
        <v>17.75</v>
      </c>
      <c r="U2036" s="53">
        <f>STOCK[[#This Row],[Costo total]]*1.5</f>
        <v>26.625</v>
      </c>
      <c r="V2036" s="54">
        <v>40</v>
      </c>
      <c r="W2036" s="75">
        <f>STOCK[[#This Row],[Precio Final]]-STOCK[[#This Row],[Costo total]]</f>
        <v>22.25</v>
      </c>
      <c r="X2036" s="75">
        <f>STOCK[[#This Row],[Ganancia Unitaria]]*STOCK[[#This Row],[Salidas]]</f>
        <v>44.5</v>
      </c>
      <c r="Y2036" s="54"/>
      <c r="Z2036" s="118"/>
      <c r="AA2036" s="54"/>
      <c r="AB2036" s="54"/>
      <c r="AC2036" s="54"/>
      <c r="AD2036" s="96"/>
    </row>
    <row r="2037" spans="1:30" s="53" customFormat="1" ht="50" customHeight="1">
      <c r="A2037" s="93" t="s">
        <v>3969</v>
      </c>
      <c r="B2037" s="113"/>
      <c r="C2037" s="54"/>
      <c r="D2037" s="84" t="s">
        <v>1226</v>
      </c>
      <c r="E2037" s="116" t="s">
        <v>3968</v>
      </c>
      <c r="F2037" s="115" t="s">
        <v>3950</v>
      </c>
      <c r="G2037" s="54"/>
      <c r="H2037" s="75">
        <f>STOCK[[#This Row],[Precio Final]]</f>
        <v>40</v>
      </c>
      <c r="I2037" s="80">
        <f>STOCK[[#This Row],[Precio Venta Ideal (x1.5)]]</f>
        <v>26.625</v>
      </c>
      <c r="J2037" s="117">
        <v>3</v>
      </c>
      <c r="K2037" s="78">
        <f>SUMIFS(VENTAS[Cantidad],VENTAS[Código del producto Vendido],STOCK[[#This Row],[Code]])</f>
        <v>3</v>
      </c>
      <c r="L2037" s="78">
        <f>STOCK[[#This Row],[Entradas]]-STOCK[[#This Row],[Salidas]]</f>
        <v>0</v>
      </c>
      <c r="M2037" s="75">
        <f>STOCK[[#This Row],[Precio Final]]*10%</f>
        <v>4</v>
      </c>
      <c r="N2037" s="54">
        <v>0</v>
      </c>
      <c r="O2037" s="75">
        <v>0</v>
      </c>
      <c r="P2037" s="54">
        <v>11.5</v>
      </c>
      <c r="Q2037" s="75">
        <v>0</v>
      </c>
      <c r="R2037" s="78">
        <v>0</v>
      </c>
      <c r="S2037" s="75">
        <v>2.25</v>
      </c>
      <c r="T2037" s="75">
        <f>STOCK[[#This Row],[Costo Unitario (USD)]]+STOCK[[#This Row],[Costo Envío (USD)]]+STOCK[[#This Row],[Comisión 10%]]</f>
        <v>17.75</v>
      </c>
      <c r="U2037" s="53">
        <f>STOCK[[#This Row],[Costo total]]*1.5</f>
        <v>26.625</v>
      </c>
      <c r="V2037" s="54">
        <v>40</v>
      </c>
      <c r="W2037" s="75">
        <f>STOCK[[#This Row],[Precio Final]]-STOCK[[#This Row],[Costo total]]</f>
        <v>22.25</v>
      </c>
      <c r="X2037" s="75">
        <f>STOCK[[#This Row],[Ganancia Unitaria]]*STOCK[[#This Row],[Salidas]]</f>
        <v>66.75</v>
      </c>
      <c r="Y2037" s="54"/>
      <c r="Z2037" s="118"/>
      <c r="AA2037" s="54"/>
      <c r="AB2037" s="54"/>
      <c r="AC2037" s="54"/>
      <c r="AD2037" s="96"/>
    </row>
    <row r="2038" spans="1:30" s="53" customFormat="1" ht="50" customHeight="1">
      <c r="A2038" s="93" t="s">
        <v>3970</v>
      </c>
      <c r="B2038" s="113"/>
      <c r="C2038" s="54"/>
      <c r="D2038" s="84" t="s">
        <v>1226</v>
      </c>
      <c r="E2038" s="116" t="s">
        <v>3971</v>
      </c>
      <c r="F2038" s="115" t="s">
        <v>3946</v>
      </c>
      <c r="G2038" s="54"/>
      <c r="H2038" s="75">
        <f>STOCK[[#This Row],[Precio Final]]</f>
        <v>35</v>
      </c>
      <c r="I2038" s="80">
        <f>STOCK[[#This Row],[Precio Venta Ideal (x1.5)]]</f>
        <v>22.875</v>
      </c>
      <c r="J2038" s="117">
        <v>3</v>
      </c>
      <c r="K2038" s="78">
        <f>SUMIFS(VENTAS[Cantidad],VENTAS[Código del producto Vendido],STOCK[[#This Row],[Code]])</f>
        <v>1</v>
      </c>
      <c r="L2038" s="78">
        <f>STOCK[[#This Row],[Entradas]]-STOCK[[#This Row],[Salidas]]</f>
        <v>2</v>
      </c>
      <c r="M2038" s="75">
        <f>STOCK[[#This Row],[Precio Final]]*10%</f>
        <v>3.5</v>
      </c>
      <c r="N2038" s="54">
        <v>0</v>
      </c>
      <c r="O2038" s="75">
        <v>0</v>
      </c>
      <c r="P2038" s="54">
        <v>9.5</v>
      </c>
      <c r="Q2038" s="75">
        <v>0</v>
      </c>
      <c r="R2038" s="78">
        <v>0</v>
      </c>
      <c r="S2038" s="75">
        <v>2.25</v>
      </c>
      <c r="T2038" s="75">
        <f>STOCK[[#This Row],[Costo Unitario (USD)]]+STOCK[[#This Row],[Costo Envío (USD)]]+STOCK[[#This Row],[Comisión 10%]]</f>
        <v>15.25</v>
      </c>
      <c r="U2038" s="53">
        <f>STOCK[[#This Row],[Costo total]]*1.5</f>
        <v>22.875</v>
      </c>
      <c r="V2038" s="54">
        <v>35</v>
      </c>
      <c r="W2038" s="75">
        <f>STOCK[[#This Row],[Precio Final]]-STOCK[[#This Row],[Costo total]]</f>
        <v>19.75</v>
      </c>
      <c r="X2038" s="75">
        <f>STOCK[[#This Row],[Ganancia Unitaria]]*STOCK[[#This Row],[Salidas]]</f>
        <v>19.75</v>
      </c>
      <c r="Y2038" s="54"/>
      <c r="Z2038" s="118"/>
      <c r="AA2038" s="54"/>
      <c r="AB2038" s="54"/>
      <c r="AC2038" s="54"/>
      <c r="AD2038" s="96"/>
    </row>
    <row r="2039" spans="1:30" s="53" customFormat="1" ht="50" customHeight="1">
      <c r="A2039" s="93" t="s">
        <v>3972</v>
      </c>
      <c r="B2039" s="113"/>
      <c r="C2039" s="54"/>
      <c r="D2039" s="84" t="s">
        <v>1226</v>
      </c>
      <c r="E2039" s="116" t="s">
        <v>3971</v>
      </c>
      <c r="F2039" s="115" t="s">
        <v>3950</v>
      </c>
      <c r="G2039" s="54"/>
      <c r="H2039" s="75">
        <f>STOCK[[#This Row],[Precio Final]]</f>
        <v>35</v>
      </c>
      <c r="I2039" s="80">
        <f>STOCK[[#This Row],[Precio Venta Ideal (x1.5)]]</f>
        <v>22.875</v>
      </c>
      <c r="J2039" s="117">
        <v>3</v>
      </c>
      <c r="K2039" s="78">
        <f>SUMIFS(VENTAS[Cantidad],VENTAS[Código del producto Vendido],STOCK[[#This Row],[Code]])</f>
        <v>3</v>
      </c>
      <c r="L2039" s="78">
        <f>STOCK[[#This Row],[Entradas]]-STOCK[[#This Row],[Salidas]]</f>
        <v>0</v>
      </c>
      <c r="M2039" s="75">
        <f>STOCK[[#This Row],[Precio Final]]*10%</f>
        <v>3.5</v>
      </c>
      <c r="N2039" s="54">
        <v>0</v>
      </c>
      <c r="O2039" s="75">
        <v>0</v>
      </c>
      <c r="P2039" s="54">
        <v>9.5</v>
      </c>
      <c r="Q2039" s="75">
        <v>0</v>
      </c>
      <c r="R2039" s="78">
        <v>0</v>
      </c>
      <c r="S2039" s="75">
        <v>2.25</v>
      </c>
      <c r="T2039" s="75">
        <f>STOCK[[#This Row],[Costo Unitario (USD)]]+STOCK[[#This Row],[Costo Envío (USD)]]+STOCK[[#This Row],[Comisión 10%]]</f>
        <v>15.25</v>
      </c>
      <c r="U2039" s="53">
        <f>STOCK[[#This Row],[Costo total]]*1.5</f>
        <v>22.875</v>
      </c>
      <c r="V2039" s="54">
        <v>35</v>
      </c>
      <c r="W2039" s="75">
        <f>STOCK[[#This Row],[Precio Final]]-STOCK[[#This Row],[Costo total]]</f>
        <v>19.75</v>
      </c>
      <c r="X2039" s="75">
        <f>STOCK[[#This Row],[Ganancia Unitaria]]*STOCK[[#This Row],[Salidas]]</f>
        <v>59.25</v>
      </c>
      <c r="Y2039" s="54"/>
      <c r="Z2039" s="118"/>
      <c r="AA2039" s="54"/>
      <c r="AB2039" s="54"/>
      <c r="AC2039" s="54"/>
      <c r="AD2039" s="96"/>
    </row>
    <row r="2040" spans="1:30" s="53" customFormat="1" ht="50" customHeight="1">
      <c r="A2040" s="93" t="s">
        <v>3973</v>
      </c>
      <c r="B2040" s="113"/>
      <c r="C2040" s="54"/>
      <c r="D2040" s="84" t="s">
        <v>1226</v>
      </c>
      <c r="E2040" s="116" t="s">
        <v>3971</v>
      </c>
      <c r="F2040" s="115" t="s">
        <v>3961</v>
      </c>
      <c r="G2040" s="54"/>
      <c r="H2040" s="75">
        <f>STOCK[[#This Row],[Precio Final]]</f>
        <v>35</v>
      </c>
      <c r="I2040" s="80">
        <f>STOCK[[#This Row],[Precio Venta Ideal (x1.5)]]</f>
        <v>22.875</v>
      </c>
      <c r="J2040" s="117">
        <v>3</v>
      </c>
      <c r="K2040" s="78">
        <f>SUMIFS(VENTAS[Cantidad],VENTAS[Código del producto Vendido],STOCK[[#This Row],[Code]])</f>
        <v>3</v>
      </c>
      <c r="L2040" s="78">
        <f>STOCK[[#This Row],[Entradas]]-STOCK[[#This Row],[Salidas]]</f>
        <v>0</v>
      </c>
      <c r="M2040" s="75">
        <f>STOCK[[#This Row],[Precio Final]]*10%</f>
        <v>3.5</v>
      </c>
      <c r="N2040" s="54">
        <v>0</v>
      </c>
      <c r="O2040" s="75">
        <v>0</v>
      </c>
      <c r="P2040" s="54">
        <v>9.5</v>
      </c>
      <c r="Q2040" s="75">
        <v>0</v>
      </c>
      <c r="R2040" s="78">
        <v>0</v>
      </c>
      <c r="S2040" s="75">
        <v>2.25</v>
      </c>
      <c r="T2040" s="75">
        <f>STOCK[[#This Row],[Costo Unitario (USD)]]+STOCK[[#This Row],[Costo Envío (USD)]]+STOCK[[#This Row],[Comisión 10%]]</f>
        <v>15.25</v>
      </c>
      <c r="U2040" s="53">
        <f>STOCK[[#This Row],[Costo total]]*1.5</f>
        <v>22.875</v>
      </c>
      <c r="V2040" s="54">
        <v>35</v>
      </c>
      <c r="W2040" s="75">
        <f>STOCK[[#This Row],[Precio Final]]-STOCK[[#This Row],[Costo total]]</f>
        <v>19.75</v>
      </c>
      <c r="X2040" s="75">
        <f>STOCK[[#This Row],[Ganancia Unitaria]]*STOCK[[#This Row],[Salidas]]</f>
        <v>59.25</v>
      </c>
      <c r="Y2040" s="54"/>
      <c r="Z2040" s="118"/>
      <c r="AA2040" s="54"/>
      <c r="AB2040" s="54"/>
      <c r="AC2040" s="54"/>
      <c r="AD2040" s="96"/>
    </row>
    <row r="2041" spans="1:30" s="53" customFormat="1" ht="50" customHeight="1">
      <c r="A2041" s="93" t="s">
        <v>3974</v>
      </c>
      <c r="B2041" s="113"/>
      <c r="C2041" s="54"/>
      <c r="D2041" s="84" t="s">
        <v>1226</v>
      </c>
      <c r="E2041" s="116" t="s">
        <v>3971</v>
      </c>
      <c r="F2041" s="115" t="s">
        <v>3954</v>
      </c>
      <c r="G2041" s="54"/>
      <c r="H2041" s="75">
        <f>STOCK[[#This Row],[Precio Final]]</f>
        <v>35</v>
      </c>
      <c r="I2041" s="80">
        <f>STOCK[[#This Row],[Precio Venta Ideal (x1.5)]]</f>
        <v>22.875</v>
      </c>
      <c r="J2041" s="117">
        <v>3</v>
      </c>
      <c r="K2041" s="78">
        <f>SUMIFS(VENTAS[Cantidad],VENTAS[Código del producto Vendido],STOCK[[#This Row],[Code]])</f>
        <v>1</v>
      </c>
      <c r="L2041" s="78">
        <f>STOCK[[#This Row],[Entradas]]-STOCK[[#This Row],[Salidas]]</f>
        <v>2</v>
      </c>
      <c r="M2041" s="75">
        <f>STOCK[[#This Row],[Precio Final]]*10%</f>
        <v>3.5</v>
      </c>
      <c r="N2041" s="54">
        <v>0</v>
      </c>
      <c r="O2041" s="75">
        <v>0</v>
      </c>
      <c r="P2041" s="54">
        <v>9.5</v>
      </c>
      <c r="Q2041" s="75">
        <v>0</v>
      </c>
      <c r="R2041" s="78">
        <v>0</v>
      </c>
      <c r="S2041" s="75">
        <v>2.25</v>
      </c>
      <c r="T2041" s="75">
        <f>STOCK[[#This Row],[Costo Unitario (USD)]]+STOCK[[#This Row],[Costo Envío (USD)]]+STOCK[[#This Row],[Comisión 10%]]</f>
        <v>15.25</v>
      </c>
      <c r="U2041" s="53">
        <f>STOCK[[#This Row],[Costo total]]*1.5</f>
        <v>22.875</v>
      </c>
      <c r="V2041" s="54">
        <v>35</v>
      </c>
      <c r="W2041" s="75">
        <f>STOCK[[#This Row],[Precio Final]]-STOCK[[#This Row],[Costo total]]</f>
        <v>19.75</v>
      </c>
      <c r="X2041" s="75">
        <f>STOCK[[#This Row],[Ganancia Unitaria]]*STOCK[[#This Row],[Salidas]]</f>
        <v>19.75</v>
      </c>
      <c r="Y2041" s="54"/>
      <c r="Z2041" s="118"/>
      <c r="AA2041" s="54"/>
      <c r="AB2041" s="54"/>
      <c r="AC2041" s="54"/>
      <c r="AD2041" s="96"/>
    </row>
    <row r="2042" spans="1:30" s="53" customFormat="1" ht="50" customHeight="1">
      <c r="A2042" s="93" t="s">
        <v>3975</v>
      </c>
      <c r="B2042" s="113"/>
      <c r="C2042" s="54"/>
      <c r="D2042" s="114" t="s">
        <v>174</v>
      </c>
      <c r="E2042" s="116" t="s">
        <v>3976</v>
      </c>
      <c r="F2042" s="115" t="s">
        <v>62</v>
      </c>
      <c r="G2042" s="54"/>
      <c r="H2042" s="75">
        <f>STOCK[[#This Row],[Precio Final]]</f>
        <v>12</v>
      </c>
      <c r="I2042" s="80">
        <f>STOCK[[#This Row],[Precio Venta Ideal (x1.5)]]</f>
        <v>12.555000000000001</v>
      </c>
      <c r="J2042" s="117">
        <v>3</v>
      </c>
      <c r="K2042" s="78">
        <f>SUMIFS(VENTAS[Cantidad],VENTAS[Código del producto Vendido],STOCK[[#This Row],[Code]])</f>
        <v>0</v>
      </c>
      <c r="L2042" s="78">
        <f>STOCK[[#This Row],[Entradas]]-STOCK[[#This Row],[Salidas]]</f>
        <v>3</v>
      </c>
      <c r="M2042" s="75">
        <f>STOCK[[#This Row],[Precio Final]]*10%</f>
        <v>1.2000000000000002</v>
      </c>
      <c r="N2042" s="54">
        <v>0</v>
      </c>
      <c r="O2042" s="75">
        <v>0</v>
      </c>
      <c r="P2042" s="54">
        <v>4.92</v>
      </c>
      <c r="Q2042" s="75">
        <v>0</v>
      </c>
      <c r="R2042" s="78">
        <v>0</v>
      </c>
      <c r="S2042" s="75">
        <v>2.25</v>
      </c>
      <c r="T2042" s="75">
        <f>STOCK[[#This Row],[Costo Unitario (USD)]]+STOCK[[#This Row],[Costo Envío (USD)]]+STOCK[[#This Row],[Comisión 10%]]</f>
        <v>8.370000000000001</v>
      </c>
      <c r="U2042" s="53">
        <f>STOCK[[#This Row],[Costo total]]*1.5</f>
        <v>12.555000000000001</v>
      </c>
      <c r="V2042" s="54">
        <v>12</v>
      </c>
      <c r="W2042" s="75">
        <f>STOCK[[#This Row],[Precio Final]]-STOCK[[#This Row],[Costo total]]</f>
        <v>3.629999999999999</v>
      </c>
      <c r="X2042" s="75">
        <f>STOCK[[#This Row],[Ganancia Unitaria]]*STOCK[[#This Row],[Salidas]]</f>
        <v>0</v>
      </c>
      <c r="Y2042" s="54"/>
      <c r="Z2042" s="118"/>
      <c r="AA2042" s="54"/>
      <c r="AB2042" s="54"/>
      <c r="AC2042" s="54"/>
      <c r="AD2042" s="96"/>
    </row>
    <row r="2043" spans="1:30" s="53" customFormat="1" ht="50" customHeight="1">
      <c r="A2043" s="93" t="s">
        <v>3977</v>
      </c>
      <c r="B2043" s="113"/>
      <c r="C2043" s="54"/>
      <c r="D2043" s="114" t="s">
        <v>174</v>
      </c>
      <c r="E2043" s="116" t="s">
        <v>3976</v>
      </c>
      <c r="F2043" s="115" t="s">
        <v>49</v>
      </c>
      <c r="G2043" s="54"/>
      <c r="H2043" s="75">
        <f>STOCK[[#This Row],[Precio Final]]</f>
        <v>12</v>
      </c>
      <c r="I2043" s="80">
        <f>STOCK[[#This Row],[Precio Venta Ideal (x1.5)]]</f>
        <v>12.555000000000001</v>
      </c>
      <c r="J2043" s="117">
        <v>3</v>
      </c>
      <c r="K2043" s="78">
        <f>SUMIFS(VENTAS[Cantidad],VENTAS[Código del producto Vendido],STOCK[[#This Row],[Code]])</f>
        <v>1</v>
      </c>
      <c r="L2043" s="78">
        <f>STOCK[[#This Row],[Entradas]]-STOCK[[#This Row],[Salidas]]</f>
        <v>2</v>
      </c>
      <c r="M2043" s="75">
        <f>STOCK[[#This Row],[Precio Final]]*10%</f>
        <v>1.2000000000000002</v>
      </c>
      <c r="N2043" s="54">
        <v>0</v>
      </c>
      <c r="O2043" s="75">
        <v>0</v>
      </c>
      <c r="P2043" s="54">
        <v>4.92</v>
      </c>
      <c r="Q2043" s="75">
        <v>0</v>
      </c>
      <c r="R2043" s="78">
        <v>0</v>
      </c>
      <c r="S2043" s="75">
        <v>2.25</v>
      </c>
      <c r="T2043" s="75">
        <f>STOCK[[#This Row],[Costo Unitario (USD)]]+STOCK[[#This Row],[Costo Envío (USD)]]+STOCK[[#This Row],[Comisión 10%]]</f>
        <v>8.370000000000001</v>
      </c>
      <c r="U2043" s="53">
        <f>STOCK[[#This Row],[Costo total]]*1.5</f>
        <v>12.555000000000001</v>
      </c>
      <c r="V2043" s="54">
        <v>12</v>
      </c>
      <c r="W2043" s="75">
        <f>STOCK[[#This Row],[Precio Final]]-STOCK[[#This Row],[Costo total]]</f>
        <v>3.629999999999999</v>
      </c>
      <c r="X2043" s="75">
        <f>STOCK[[#This Row],[Ganancia Unitaria]]*STOCK[[#This Row],[Salidas]]</f>
        <v>3.629999999999999</v>
      </c>
      <c r="Y2043" s="54"/>
      <c r="Z2043" s="118"/>
      <c r="AA2043" s="54"/>
      <c r="AB2043" s="54"/>
      <c r="AC2043" s="54"/>
      <c r="AD2043" s="96"/>
    </row>
    <row r="2044" spans="1:30" s="53" customFormat="1" ht="50" customHeight="1">
      <c r="A2044" s="93" t="s">
        <v>3978</v>
      </c>
      <c r="B2044" s="113"/>
      <c r="C2044" s="54"/>
      <c r="D2044" s="114" t="s">
        <v>174</v>
      </c>
      <c r="E2044" s="116" t="s">
        <v>3976</v>
      </c>
      <c r="F2044" s="115" t="s">
        <v>46</v>
      </c>
      <c r="G2044" s="54"/>
      <c r="H2044" s="75">
        <f>STOCK[[#This Row],[Precio Final]]</f>
        <v>12</v>
      </c>
      <c r="I2044" s="80">
        <f>STOCK[[#This Row],[Precio Venta Ideal (x1.5)]]</f>
        <v>12.555000000000001</v>
      </c>
      <c r="J2044" s="117">
        <v>3</v>
      </c>
      <c r="K2044" s="78">
        <f>SUMIFS(VENTAS[Cantidad],VENTAS[Código del producto Vendido],STOCK[[#This Row],[Code]])</f>
        <v>1</v>
      </c>
      <c r="L2044" s="78">
        <f>STOCK[[#This Row],[Entradas]]-STOCK[[#This Row],[Salidas]]</f>
        <v>2</v>
      </c>
      <c r="M2044" s="75">
        <f>STOCK[[#This Row],[Precio Final]]*10%</f>
        <v>1.2000000000000002</v>
      </c>
      <c r="N2044" s="54">
        <v>0</v>
      </c>
      <c r="O2044" s="75">
        <v>0</v>
      </c>
      <c r="P2044" s="54">
        <v>4.92</v>
      </c>
      <c r="Q2044" s="75">
        <v>0</v>
      </c>
      <c r="R2044" s="78">
        <v>0</v>
      </c>
      <c r="S2044" s="75">
        <v>2.25</v>
      </c>
      <c r="T2044" s="75">
        <f>STOCK[[#This Row],[Costo Unitario (USD)]]+STOCK[[#This Row],[Costo Envío (USD)]]+STOCK[[#This Row],[Comisión 10%]]</f>
        <v>8.370000000000001</v>
      </c>
      <c r="U2044" s="53">
        <f>STOCK[[#This Row],[Costo total]]*1.5</f>
        <v>12.555000000000001</v>
      </c>
      <c r="V2044" s="54">
        <v>12</v>
      </c>
      <c r="W2044" s="75">
        <f>STOCK[[#This Row],[Precio Final]]-STOCK[[#This Row],[Costo total]]</f>
        <v>3.629999999999999</v>
      </c>
      <c r="X2044" s="75">
        <f>STOCK[[#This Row],[Ganancia Unitaria]]*STOCK[[#This Row],[Salidas]]</f>
        <v>3.629999999999999</v>
      </c>
      <c r="Y2044" s="54"/>
      <c r="Z2044" s="118"/>
      <c r="AA2044" s="54"/>
      <c r="AB2044" s="54"/>
      <c r="AC2044" s="54"/>
      <c r="AD2044" s="96"/>
    </row>
    <row r="2045" spans="1:30" s="53" customFormat="1" ht="50" customHeight="1">
      <c r="A2045" s="93" t="s">
        <v>3979</v>
      </c>
      <c r="B2045" s="113"/>
      <c r="C2045" s="54"/>
      <c r="D2045" s="114" t="s">
        <v>174</v>
      </c>
      <c r="E2045" s="116" t="s">
        <v>3976</v>
      </c>
      <c r="F2045" s="115" t="s">
        <v>42</v>
      </c>
      <c r="G2045" s="54"/>
      <c r="H2045" s="75">
        <f>STOCK[[#This Row],[Precio Final]]</f>
        <v>12</v>
      </c>
      <c r="I2045" s="80">
        <f>STOCK[[#This Row],[Precio Venta Ideal (x1.5)]]</f>
        <v>12.555000000000001</v>
      </c>
      <c r="J2045" s="117">
        <v>3</v>
      </c>
      <c r="K2045" s="78">
        <f>SUMIFS(VENTAS[Cantidad],VENTAS[Código del producto Vendido],STOCK[[#This Row],[Code]])</f>
        <v>0</v>
      </c>
      <c r="L2045" s="78">
        <f>STOCK[[#This Row],[Entradas]]-STOCK[[#This Row],[Salidas]]</f>
        <v>3</v>
      </c>
      <c r="M2045" s="75">
        <f>STOCK[[#This Row],[Precio Final]]*10%</f>
        <v>1.2000000000000002</v>
      </c>
      <c r="N2045" s="54">
        <v>0</v>
      </c>
      <c r="O2045" s="75">
        <v>0</v>
      </c>
      <c r="P2045" s="54">
        <v>4.92</v>
      </c>
      <c r="Q2045" s="75">
        <v>0</v>
      </c>
      <c r="R2045" s="78">
        <v>0</v>
      </c>
      <c r="S2045" s="75">
        <v>2.25</v>
      </c>
      <c r="T2045" s="75">
        <f>STOCK[[#This Row],[Costo Unitario (USD)]]+STOCK[[#This Row],[Costo Envío (USD)]]+STOCK[[#This Row],[Comisión 10%]]</f>
        <v>8.370000000000001</v>
      </c>
      <c r="U2045" s="53">
        <f>STOCK[[#This Row],[Costo total]]*1.5</f>
        <v>12.555000000000001</v>
      </c>
      <c r="V2045" s="54">
        <v>12</v>
      </c>
      <c r="W2045" s="75">
        <f>STOCK[[#This Row],[Precio Final]]-STOCK[[#This Row],[Costo total]]</f>
        <v>3.629999999999999</v>
      </c>
      <c r="X2045" s="75">
        <f>STOCK[[#This Row],[Ganancia Unitaria]]*STOCK[[#This Row],[Salidas]]</f>
        <v>0</v>
      </c>
      <c r="Y2045" s="54"/>
      <c r="Z2045" s="118"/>
      <c r="AA2045" s="54"/>
      <c r="AB2045" s="54"/>
      <c r="AC2045" s="54"/>
      <c r="AD2045" s="96"/>
    </row>
    <row r="2046" spans="1:30" s="53" customFormat="1" ht="50" customHeight="1">
      <c r="A2046" s="93" t="s">
        <v>3980</v>
      </c>
      <c r="B2046" s="113"/>
      <c r="C2046" s="54"/>
      <c r="D2046" s="114" t="s">
        <v>44</v>
      </c>
      <c r="E2046" s="116" t="s">
        <v>3981</v>
      </c>
      <c r="F2046" s="115" t="s">
        <v>40</v>
      </c>
      <c r="G2046" s="54"/>
      <c r="H2046" s="75">
        <f>STOCK[[#This Row],[Precio Final]]</f>
        <v>30</v>
      </c>
      <c r="I2046" s="80">
        <f>STOCK[[#This Row],[Precio Venta Ideal (x1.5)]]</f>
        <v>30.360000000000003</v>
      </c>
      <c r="J2046" s="117">
        <v>2</v>
      </c>
      <c r="K2046" s="78">
        <f>SUMIFS(VENTAS[Cantidad],VENTAS[Código del producto Vendido],STOCK[[#This Row],[Code]])</f>
        <v>1</v>
      </c>
      <c r="L2046" s="78">
        <f>STOCK[[#This Row],[Entradas]]-STOCK[[#This Row],[Salidas]]</f>
        <v>1</v>
      </c>
      <c r="M2046" s="75">
        <f>STOCK[[#This Row],[Precio Final]]*10%</f>
        <v>3</v>
      </c>
      <c r="N2046" s="54">
        <v>0</v>
      </c>
      <c r="O2046" s="75">
        <v>0</v>
      </c>
      <c r="P2046" s="54">
        <v>14.99</v>
      </c>
      <c r="Q2046" s="75">
        <v>0</v>
      </c>
      <c r="R2046" s="78">
        <v>0</v>
      </c>
      <c r="S2046" s="75">
        <v>2.25</v>
      </c>
      <c r="T2046" s="75">
        <f>STOCK[[#This Row],[Costo Unitario (USD)]]+STOCK[[#This Row],[Costo Envío (USD)]]+STOCK[[#This Row],[Comisión 10%]]</f>
        <v>20.240000000000002</v>
      </c>
      <c r="U2046" s="53">
        <f>STOCK[[#This Row],[Costo total]]*1.5</f>
        <v>30.360000000000003</v>
      </c>
      <c r="V2046" s="54">
        <v>30</v>
      </c>
      <c r="W2046" s="75">
        <f>STOCK[[#This Row],[Precio Final]]-STOCK[[#This Row],[Costo total]]</f>
        <v>9.759999999999998</v>
      </c>
      <c r="X2046" s="75">
        <f>STOCK[[#This Row],[Ganancia Unitaria]]*STOCK[[#This Row],[Salidas]]</f>
        <v>9.759999999999998</v>
      </c>
      <c r="Y2046" s="54"/>
      <c r="Z2046" s="118"/>
      <c r="AA2046" s="54"/>
      <c r="AB2046" s="54"/>
      <c r="AC2046" s="54"/>
      <c r="AD2046" s="96"/>
    </row>
    <row r="2047" spans="1:30" s="53" customFormat="1" ht="50" customHeight="1">
      <c r="A2047" s="93" t="s">
        <v>3982</v>
      </c>
      <c r="B2047" s="113"/>
      <c r="C2047" s="54"/>
      <c r="D2047" s="114" t="s">
        <v>44</v>
      </c>
      <c r="E2047" s="116" t="s">
        <v>3983</v>
      </c>
      <c r="F2047" s="115" t="s">
        <v>49</v>
      </c>
      <c r="G2047" s="54"/>
      <c r="H2047" s="75">
        <f>STOCK[[#This Row],[Precio Final]]</f>
        <v>30</v>
      </c>
      <c r="I2047" s="80">
        <f>STOCK[[#This Row],[Precio Venta Ideal (x1.5)]]</f>
        <v>30.360000000000003</v>
      </c>
      <c r="J2047" s="117">
        <v>2</v>
      </c>
      <c r="K2047" s="78">
        <f>SUMIFS(VENTAS[Cantidad],VENTAS[Código del producto Vendido],STOCK[[#This Row],[Code]])</f>
        <v>1</v>
      </c>
      <c r="L2047" s="78">
        <f>STOCK[[#This Row],[Entradas]]-STOCK[[#This Row],[Salidas]]</f>
        <v>1</v>
      </c>
      <c r="M2047" s="75">
        <f>STOCK[[#This Row],[Precio Final]]*10%</f>
        <v>3</v>
      </c>
      <c r="N2047" s="54">
        <v>0</v>
      </c>
      <c r="O2047" s="75">
        <v>0</v>
      </c>
      <c r="P2047" s="54">
        <v>14.99</v>
      </c>
      <c r="Q2047" s="75">
        <v>0</v>
      </c>
      <c r="R2047" s="78">
        <v>0</v>
      </c>
      <c r="S2047" s="75">
        <v>2.25</v>
      </c>
      <c r="T2047" s="75">
        <f>STOCK[[#This Row],[Costo Unitario (USD)]]+STOCK[[#This Row],[Costo Envío (USD)]]+STOCK[[#This Row],[Comisión 10%]]</f>
        <v>20.240000000000002</v>
      </c>
      <c r="U2047" s="53">
        <f>STOCK[[#This Row],[Costo total]]*1.5</f>
        <v>30.360000000000003</v>
      </c>
      <c r="V2047" s="54">
        <v>30</v>
      </c>
      <c r="W2047" s="75">
        <f>STOCK[[#This Row],[Precio Final]]-STOCK[[#This Row],[Costo total]]</f>
        <v>9.759999999999998</v>
      </c>
      <c r="X2047" s="75">
        <f>STOCK[[#This Row],[Ganancia Unitaria]]*STOCK[[#This Row],[Salidas]]</f>
        <v>9.759999999999998</v>
      </c>
      <c r="Y2047" s="54"/>
      <c r="Z2047" s="118"/>
      <c r="AA2047" s="54"/>
      <c r="AB2047" s="54"/>
      <c r="AC2047" s="54"/>
      <c r="AD2047" s="96"/>
    </row>
    <row r="2048" spans="1:30" s="53" customFormat="1" ht="50" customHeight="1">
      <c r="A2048" s="93" t="s">
        <v>3984</v>
      </c>
      <c r="B2048" s="113"/>
      <c r="C2048" s="54"/>
      <c r="D2048" s="114" t="s">
        <v>44</v>
      </c>
      <c r="E2048" s="116" t="s">
        <v>3983</v>
      </c>
      <c r="F2048" s="115" t="s">
        <v>42</v>
      </c>
      <c r="G2048" s="54"/>
      <c r="H2048" s="75">
        <f>STOCK[[#This Row],[Precio Final]]</f>
        <v>30</v>
      </c>
      <c r="I2048" s="80">
        <f>STOCK[[#This Row],[Precio Venta Ideal (x1.5)]]</f>
        <v>24.735000000000003</v>
      </c>
      <c r="J2048" s="117">
        <v>1</v>
      </c>
      <c r="K2048" s="78">
        <f>SUMIFS(VENTAS[Cantidad],VENTAS[Código del producto Vendido],STOCK[[#This Row],[Code]])</f>
        <v>0</v>
      </c>
      <c r="L2048" s="78">
        <f>STOCK[[#This Row],[Entradas]]-STOCK[[#This Row],[Salidas]]</f>
        <v>1</v>
      </c>
      <c r="M2048" s="75">
        <f>STOCK[[#This Row],[Precio Final]]*10%</f>
        <v>3</v>
      </c>
      <c r="N2048" s="54">
        <v>0</v>
      </c>
      <c r="O2048" s="75">
        <v>0</v>
      </c>
      <c r="P2048" s="54">
        <v>11.24</v>
      </c>
      <c r="Q2048" s="75">
        <v>0</v>
      </c>
      <c r="R2048" s="78">
        <v>0</v>
      </c>
      <c r="S2048" s="75">
        <v>2.25</v>
      </c>
      <c r="T2048" s="75">
        <f>STOCK[[#This Row],[Costo Unitario (USD)]]+STOCK[[#This Row],[Costo Envío (USD)]]+STOCK[[#This Row],[Comisión 10%]]</f>
        <v>16.490000000000002</v>
      </c>
      <c r="U2048" s="53">
        <f>STOCK[[#This Row],[Costo total]]*1.5</f>
        <v>24.735000000000003</v>
      </c>
      <c r="V2048" s="54">
        <v>30</v>
      </c>
      <c r="W2048" s="75">
        <f>STOCK[[#This Row],[Precio Final]]-STOCK[[#This Row],[Costo total]]</f>
        <v>13.509999999999998</v>
      </c>
      <c r="X2048" s="75">
        <f>STOCK[[#This Row],[Ganancia Unitaria]]*STOCK[[#This Row],[Salidas]]</f>
        <v>0</v>
      </c>
      <c r="Y2048" s="54"/>
      <c r="Z2048" s="118"/>
      <c r="AA2048" s="54"/>
      <c r="AB2048" s="54"/>
      <c r="AC2048" s="54"/>
      <c r="AD2048" s="96"/>
    </row>
    <row r="2049" spans="1:30" s="53" customFormat="1" ht="50" customHeight="1">
      <c r="A2049" s="93" t="s">
        <v>3985</v>
      </c>
      <c r="B2049" s="113"/>
      <c r="C2049" s="54"/>
      <c r="D2049" s="114" t="s">
        <v>44</v>
      </c>
      <c r="E2049" s="116" t="s">
        <v>3983</v>
      </c>
      <c r="F2049" s="115" t="s">
        <v>46</v>
      </c>
      <c r="G2049" s="54"/>
      <c r="H2049" s="75">
        <f>STOCK[[#This Row],[Precio Final]]</f>
        <v>30</v>
      </c>
      <c r="I2049" s="80">
        <f>STOCK[[#This Row],[Precio Venta Ideal (x1.5)]]</f>
        <v>30.360000000000003</v>
      </c>
      <c r="J2049" s="117">
        <v>2</v>
      </c>
      <c r="K2049" s="78">
        <f>SUMIFS(VENTAS[Cantidad],VENTAS[Código del producto Vendido],STOCK[[#This Row],[Code]])</f>
        <v>0</v>
      </c>
      <c r="L2049" s="78">
        <f>STOCK[[#This Row],[Entradas]]-STOCK[[#This Row],[Salidas]]</f>
        <v>2</v>
      </c>
      <c r="M2049" s="75">
        <f>STOCK[[#This Row],[Precio Final]]*10%</f>
        <v>3</v>
      </c>
      <c r="N2049" s="54">
        <v>0</v>
      </c>
      <c r="O2049" s="75">
        <v>0</v>
      </c>
      <c r="P2049" s="54">
        <v>14.99</v>
      </c>
      <c r="Q2049" s="75">
        <v>0</v>
      </c>
      <c r="R2049" s="78">
        <v>0</v>
      </c>
      <c r="S2049" s="75">
        <v>2.25</v>
      </c>
      <c r="T2049" s="75">
        <f>STOCK[[#This Row],[Costo Unitario (USD)]]+STOCK[[#This Row],[Costo Envío (USD)]]+STOCK[[#This Row],[Comisión 10%]]</f>
        <v>20.240000000000002</v>
      </c>
      <c r="U2049" s="53">
        <f>STOCK[[#This Row],[Costo total]]*1.5</f>
        <v>30.360000000000003</v>
      </c>
      <c r="V2049" s="54">
        <v>30</v>
      </c>
      <c r="W2049" s="75">
        <f>STOCK[[#This Row],[Precio Final]]-STOCK[[#This Row],[Costo total]]</f>
        <v>9.759999999999998</v>
      </c>
      <c r="X2049" s="75">
        <f>STOCK[[#This Row],[Ganancia Unitaria]]*STOCK[[#This Row],[Salidas]]</f>
        <v>0</v>
      </c>
      <c r="Y2049" s="54"/>
      <c r="Z2049" s="118"/>
      <c r="AA2049" s="54"/>
      <c r="AB2049" s="54"/>
      <c r="AC2049" s="54"/>
      <c r="AD2049" s="96"/>
    </row>
    <row r="2050" spans="1:30" s="53" customFormat="1" ht="50" customHeight="1">
      <c r="A2050" s="93" t="s">
        <v>3986</v>
      </c>
      <c r="B2050" s="113"/>
      <c r="C2050" s="54"/>
      <c r="D2050" s="114" t="s">
        <v>44</v>
      </c>
      <c r="E2050" s="116" t="s">
        <v>3987</v>
      </c>
      <c r="F2050" s="115" t="s">
        <v>49</v>
      </c>
      <c r="G2050" s="54"/>
      <c r="H2050" s="75">
        <f>STOCK[[#This Row],[Precio Final]]</f>
        <v>30</v>
      </c>
      <c r="I2050" s="80">
        <f>STOCK[[#This Row],[Precio Venta Ideal (x1.5)]]</f>
        <v>30.360000000000003</v>
      </c>
      <c r="J2050" s="117">
        <v>2</v>
      </c>
      <c r="K2050" s="78">
        <f>SUMIFS(VENTAS[Cantidad],VENTAS[Código del producto Vendido],STOCK[[#This Row],[Code]])</f>
        <v>0</v>
      </c>
      <c r="L2050" s="78">
        <f>STOCK[[#This Row],[Entradas]]-STOCK[[#This Row],[Salidas]]</f>
        <v>2</v>
      </c>
      <c r="M2050" s="75">
        <f>STOCK[[#This Row],[Precio Final]]*10%</f>
        <v>3</v>
      </c>
      <c r="N2050" s="54">
        <v>0</v>
      </c>
      <c r="O2050" s="75">
        <v>0</v>
      </c>
      <c r="P2050" s="54">
        <v>14.99</v>
      </c>
      <c r="Q2050" s="75">
        <v>0</v>
      </c>
      <c r="R2050" s="78">
        <v>0</v>
      </c>
      <c r="S2050" s="75">
        <v>2.25</v>
      </c>
      <c r="T2050" s="75">
        <f>STOCK[[#This Row],[Costo Unitario (USD)]]+STOCK[[#This Row],[Costo Envío (USD)]]+STOCK[[#This Row],[Comisión 10%]]</f>
        <v>20.240000000000002</v>
      </c>
      <c r="U2050" s="53">
        <f>STOCK[[#This Row],[Costo total]]*1.5</f>
        <v>30.360000000000003</v>
      </c>
      <c r="V2050" s="54">
        <v>30</v>
      </c>
      <c r="W2050" s="75">
        <f>STOCK[[#This Row],[Precio Final]]-STOCK[[#This Row],[Costo total]]</f>
        <v>9.759999999999998</v>
      </c>
      <c r="X2050" s="75">
        <f>STOCK[[#This Row],[Ganancia Unitaria]]*STOCK[[#This Row],[Salidas]]</f>
        <v>0</v>
      </c>
      <c r="Y2050" s="54"/>
      <c r="Z2050" s="118"/>
      <c r="AA2050" s="54"/>
      <c r="AB2050" s="54"/>
      <c r="AC2050" s="54"/>
      <c r="AD2050" s="96"/>
    </row>
    <row r="2051" spans="1:30" s="53" customFormat="1" ht="50" customHeight="1">
      <c r="A2051" s="93" t="s">
        <v>3988</v>
      </c>
      <c r="B2051" s="113"/>
      <c r="C2051" s="54"/>
      <c r="D2051" s="114" t="s">
        <v>44</v>
      </c>
      <c r="E2051" s="116" t="s">
        <v>3989</v>
      </c>
      <c r="F2051" s="115" t="s">
        <v>49</v>
      </c>
      <c r="G2051" s="54"/>
      <c r="H2051" s="75">
        <f>STOCK[[#This Row],[Precio Final]]</f>
        <v>30</v>
      </c>
      <c r="I2051" s="80">
        <f>STOCK[[#This Row],[Precio Venta Ideal (x1.5)]]</f>
        <v>30.360000000000003</v>
      </c>
      <c r="J2051" s="117">
        <v>3</v>
      </c>
      <c r="K2051" s="78">
        <f>SUMIFS(VENTAS[Cantidad],VENTAS[Código del producto Vendido],STOCK[[#This Row],[Code]])</f>
        <v>1</v>
      </c>
      <c r="L2051" s="78">
        <f>STOCK[[#This Row],[Entradas]]-STOCK[[#This Row],[Salidas]]</f>
        <v>2</v>
      </c>
      <c r="M2051" s="75">
        <f>STOCK[[#This Row],[Precio Final]]*10%</f>
        <v>3</v>
      </c>
      <c r="N2051" s="54">
        <v>0</v>
      </c>
      <c r="O2051" s="75">
        <v>0</v>
      </c>
      <c r="P2051" s="54">
        <v>14.99</v>
      </c>
      <c r="Q2051" s="75">
        <v>0</v>
      </c>
      <c r="R2051" s="78">
        <v>0</v>
      </c>
      <c r="S2051" s="75">
        <v>2.25</v>
      </c>
      <c r="T2051" s="75">
        <f>STOCK[[#This Row],[Costo Unitario (USD)]]+STOCK[[#This Row],[Costo Envío (USD)]]+STOCK[[#This Row],[Comisión 10%]]</f>
        <v>20.240000000000002</v>
      </c>
      <c r="U2051" s="53">
        <f>STOCK[[#This Row],[Costo total]]*1.5</f>
        <v>30.360000000000003</v>
      </c>
      <c r="V2051" s="54">
        <v>30</v>
      </c>
      <c r="W2051" s="75">
        <f>STOCK[[#This Row],[Precio Final]]-STOCK[[#This Row],[Costo total]]</f>
        <v>9.759999999999998</v>
      </c>
      <c r="X2051" s="75">
        <f>STOCK[[#This Row],[Ganancia Unitaria]]*STOCK[[#This Row],[Salidas]]</f>
        <v>9.759999999999998</v>
      </c>
      <c r="Y2051" s="54"/>
      <c r="Z2051" s="118"/>
      <c r="AA2051" s="54"/>
      <c r="AB2051" s="54"/>
      <c r="AC2051" s="54"/>
      <c r="AD2051" s="96"/>
    </row>
    <row r="2052" spans="1:30" s="53" customFormat="1" ht="50" customHeight="1">
      <c r="A2052" s="93" t="s">
        <v>3990</v>
      </c>
      <c r="B2052" s="113"/>
      <c r="C2052" s="54"/>
      <c r="D2052" s="114" t="s">
        <v>44</v>
      </c>
      <c r="E2052" s="116" t="s">
        <v>3989</v>
      </c>
      <c r="F2052" s="115" t="s">
        <v>46</v>
      </c>
      <c r="G2052" s="54"/>
      <c r="H2052" s="75">
        <f>STOCK[[#This Row],[Precio Final]]</f>
        <v>30</v>
      </c>
      <c r="I2052" s="80">
        <f>STOCK[[#This Row],[Precio Venta Ideal (x1.5)]]</f>
        <v>30.360000000000003</v>
      </c>
      <c r="J2052" s="117">
        <v>2</v>
      </c>
      <c r="K2052" s="78">
        <f>SUMIFS(VENTAS[Cantidad],VENTAS[Código del producto Vendido],STOCK[[#This Row],[Code]])</f>
        <v>0</v>
      </c>
      <c r="L2052" s="78">
        <f>STOCK[[#This Row],[Entradas]]-STOCK[[#This Row],[Salidas]]</f>
        <v>2</v>
      </c>
      <c r="M2052" s="75">
        <f>STOCK[[#This Row],[Precio Final]]*10%</f>
        <v>3</v>
      </c>
      <c r="N2052" s="54">
        <v>0</v>
      </c>
      <c r="O2052" s="75">
        <v>0</v>
      </c>
      <c r="P2052" s="54">
        <v>14.99</v>
      </c>
      <c r="Q2052" s="75">
        <v>0</v>
      </c>
      <c r="R2052" s="78">
        <v>0</v>
      </c>
      <c r="S2052" s="75">
        <v>2.25</v>
      </c>
      <c r="T2052" s="75">
        <f>STOCK[[#This Row],[Costo Unitario (USD)]]+STOCK[[#This Row],[Costo Envío (USD)]]+STOCK[[#This Row],[Comisión 10%]]</f>
        <v>20.240000000000002</v>
      </c>
      <c r="U2052" s="53">
        <f>STOCK[[#This Row],[Costo total]]*1.5</f>
        <v>30.360000000000003</v>
      </c>
      <c r="V2052" s="54">
        <v>30</v>
      </c>
      <c r="W2052" s="75">
        <f>STOCK[[#This Row],[Precio Final]]-STOCK[[#This Row],[Costo total]]</f>
        <v>9.759999999999998</v>
      </c>
      <c r="X2052" s="75">
        <f>STOCK[[#This Row],[Ganancia Unitaria]]*STOCK[[#This Row],[Salidas]]</f>
        <v>0</v>
      </c>
      <c r="Y2052" s="54"/>
      <c r="Z2052" s="118"/>
      <c r="AA2052" s="54"/>
      <c r="AB2052" s="54"/>
      <c r="AC2052" s="54"/>
      <c r="AD2052" s="96"/>
    </row>
    <row r="2053" spans="1:30" s="53" customFormat="1" ht="50" customHeight="1">
      <c r="A2053" s="93" t="s">
        <v>3991</v>
      </c>
      <c r="B2053" s="113"/>
      <c r="C2053" s="54"/>
      <c r="D2053" s="114" t="s">
        <v>44</v>
      </c>
      <c r="E2053" s="116" t="s">
        <v>3989</v>
      </c>
      <c r="F2053" s="115" t="s">
        <v>42</v>
      </c>
      <c r="G2053" s="54"/>
      <c r="H2053" s="75">
        <f>STOCK[[#This Row],[Precio Final]]</f>
        <v>30</v>
      </c>
      <c r="I2053" s="80">
        <f>STOCK[[#This Row],[Precio Venta Ideal (x1.5)]]</f>
        <v>24.735000000000003</v>
      </c>
      <c r="J2053" s="117">
        <v>1</v>
      </c>
      <c r="K2053" s="78">
        <f>SUMIFS(VENTAS[Cantidad],VENTAS[Código del producto Vendido],STOCK[[#This Row],[Code]])</f>
        <v>0</v>
      </c>
      <c r="L2053" s="78">
        <f>STOCK[[#This Row],[Entradas]]-STOCK[[#This Row],[Salidas]]</f>
        <v>1</v>
      </c>
      <c r="M2053" s="75">
        <f>STOCK[[#This Row],[Precio Final]]*10%</f>
        <v>3</v>
      </c>
      <c r="N2053" s="54">
        <v>0</v>
      </c>
      <c r="O2053" s="75">
        <v>0</v>
      </c>
      <c r="P2053" s="54">
        <v>11.24</v>
      </c>
      <c r="Q2053" s="75">
        <v>0</v>
      </c>
      <c r="R2053" s="78">
        <v>0</v>
      </c>
      <c r="S2053" s="75">
        <v>2.25</v>
      </c>
      <c r="T2053" s="75">
        <f>STOCK[[#This Row],[Costo Unitario (USD)]]+STOCK[[#This Row],[Costo Envío (USD)]]+STOCK[[#This Row],[Comisión 10%]]</f>
        <v>16.490000000000002</v>
      </c>
      <c r="U2053" s="53">
        <f>STOCK[[#This Row],[Costo total]]*1.5</f>
        <v>24.735000000000003</v>
      </c>
      <c r="V2053" s="54">
        <v>30</v>
      </c>
      <c r="W2053" s="75">
        <f>STOCK[[#This Row],[Precio Final]]-STOCK[[#This Row],[Costo total]]</f>
        <v>13.509999999999998</v>
      </c>
      <c r="X2053" s="75">
        <f>STOCK[[#This Row],[Ganancia Unitaria]]*STOCK[[#This Row],[Salidas]]</f>
        <v>0</v>
      </c>
      <c r="Y2053" s="54"/>
      <c r="Z2053" s="118"/>
      <c r="AA2053" s="54"/>
      <c r="AB2053" s="54"/>
      <c r="AC2053" s="54"/>
      <c r="AD2053" s="96"/>
    </row>
    <row r="2054" spans="1:30" s="53" customFormat="1" ht="50" customHeight="1">
      <c r="A2054" s="93" t="s">
        <v>3992</v>
      </c>
      <c r="B2054" s="113"/>
      <c r="C2054" s="54"/>
      <c r="D2054" s="114" t="s">
        <v>44</v>
      </c>
      <c r="E2054" s="116" t="s">
        <v>3993</v>
      </c>
      <c r="F2054" s="115" t="s">
        <v>281</v>
      </c>
      <c r="G2054" s="54"/>
      <c r="H2054" s="75">
        <f>STOCK[[#This Row],[Precio Final]]</f>
        <v>20</v>
      </c>
      <c r="I2054" s="80">
        <f>STOCK[[#This Row],[Precio Venta Ideal (x1.5)]]</f>
        <v>12.690000000000001</v>
      </c>
      <c r="J2054" s="117">
        <v>1</v>
      </c>
      <c r="K2054" s="78">
        <f>SUMIFS(VENTAS[Cantidad],VENTAS[Código del producto Vendido],STOCK[[#This Row],[Code]])</f>
        <v>0</v>
      </c>
      <c r="L2054" s="78">
        <f>STOCK[[#This Row],[Entradas]]-STOCK[[#This Row],[Salidas]]</f>
        <v>1</v>
      </c>
      <c r="M2054" s="75">
        <f>STOCK[[#This Row],[Precio Final]]*10%</f>
        <v>2</v>
      </c>
      <c r="N2054" s="54">
        <v>0</v>
      </c>
      <c r="O2054" s="75">
        <v>0</v>
      </c>
      <c r="P2054" s="54">
        <v>4.21</v>
      </c>
      <c r="Q2054" s="75">
        <v>0</v>
      </c>
      <c r="R2054" s="78">
        <v>0</v>
      </c>
      <c r="S2054" s="75">
        <v>2.25</v>
      </c>
      <c r="T2054" s="75">
        <f>STOCK[[#This Row],[Costo Unitario (USD)]]+STOCK[[#This Row],[Costo Envío (USD)]]+STOCK[[#This Row],[Comisión 10%]]</f>
        <v>8.4600000000000009</v>
      </c>
      <c r="U2054" s="53">
        <f>STOCK[[#This Row],[Costo total]]*1.5</f>
        <v>12.690000000000001</v>
      </c>
      <c r="V2054" s="54">
        <v>20</v>
      </c>
      <c r="W2054" s="75">
        <f>STOCK[[#This Row],[Precio Final]]-STOCK[[#This Row],[Costo total]]</f>
        <v>11.54</v>
      </c>
      <c r="X2054" s="75">
        <f>STOCK[[#This Row],[Ganancia Unitaria]]*STOCK[[#This Row],[Salidas]]</f>
        <v>0</v>
      </c>
      <c r="Y2054" s="54"/>
      <c r="Z2054" s="118"/>
      <c r="AA2054" s="54"/>
      <c r="AB2054" s="54"/>
      <c r="AC2054" s="54"/>
      <c r="AD2054" s="96"/>
    </row>
    <row r="2055" spans="1:30" s="53" customFormat="1" ht="50" customHeight="1">
      <c r="A2055" s="93" t="s">
        <v>3994</v>
      </c>
      <c r="B2055" s="113"/>
      <c r="C2055" s="54"/>
      <c r="D2055" s="114" t="s">
        <v>44</v>
      </c>
      <c r="E2055" s="116" t="s">
        <v>3995</v>
      </c>
      <c r="F2055" s="115" t="s">
        <v>40</v>
      </c>
      <c r="G2055" s="54"/>
      <c r="H2055" s="75">
        <f>STOCK[[#This Row],[Precio Final]]</f>
        <v>35</v>
      </c>
      <c r="I2055" s="80">
        <f>STOCK[[#This Row],[Precio Venta Ideal (x1.5)]]</f>
        <v>32.61</v>
      </c>
      <c r="J2055" s="117">
        <v>2</v>
      </c>
      <c r="K2055" s="78">
        <f>SUMIFS(VENTAS[Cantidad],VENTAS[Código del producto Vendido],STOCK[[#This Row],[Code]])</f>
        <v>0</v>
      </c>
      <c r="L2055" s="78">
        <f>STOCK[[#This Row],[Entradas]]-STOCK[[#This Row],[Salidas]]</f>
        <v>2</v>
      </c>
      <c r="M2055" s="75">
        <f>STOCK[[#This Row],[Precio Final]]*10%</f>
        <v>3.5</v>
      </c>
      <c r="N2055" s="54">
        <v>0</v>
      </c>
      <c r="O2055" s="75">
        <v>0</v>
      </c>
      <c r="P2055" s="54">
        <v>15.99</v>
      </c>
      <c r="Q2055" s="75">
        <v>0</v>
      </c>
      <c r="R2055" s="78">
        <v>0</v>
      </c>
      <c r="S2055" s="75">
        <v>2.25</v>
      </c>
      <c r="T2055" s="75">
        <f>STOCK[[#This Row],[Costo Unitario (USD)]]+STOCK[[#This Row],[Costo Envío (USD)]]+STOCK[[#This Row],[Comisión 10%]]</f>
        <v>21.740000000000002</v>
      </c>
      <c r="U2055" s="53">
        <f>STOCK[[#This Row],[Costo total]]*1.5</f>
        <v>32.61</v>
      </c>
      <c r="V2055" s="54">
        <v>35</v>
      </c>
      <c r="W2055" s="75">
        <f>STOCK[[#This Row],[Precio Final]]-STOCK[[#This Row],[Costo total]]</f>
        <v>13.259999999999998</v>
      </c>
      <c r="X2055" s="75">
        <f>STOCK[[#This Row],[Ganancia Unitaria]]*STOCK[[#This Row],[Salidas]]</f>
        <v>0</v>
      </c>
      <c r="Y2055" s="54"/>
      <c r="Z2055" s="118"/>
      <c r="AA2055" s="54"/>
      <c r="AB2055" s="54"/>
      <c r="AC2055" s="54"/>
      <c r="AD2055" s="96"/>
    </row>
    <row r="2056" spans="1:30" s="53" customFormat="1" ht="50" customHeight="1">
      <c r="A2056" s="93" t="s">
        <v>3996</v>
      </c>
      <c r="B2056" s="113"/>
      <c r="C2056" s="54"/>
      <c r="D2056" s="114" t="s">
        <v>44</v>
      </c>
      <c r="E2056" s="116" t="s">
        <v>3995</v>
      </c>
      <c r="F2056" s="115" t="s">
        <v>62</v>
      </c>
      <c r="G2056" s="54"/>
      <c r="H2056" s="75">
        <f>STOCK[[#This Row],[Precio Final]]</f>
        <v>35</v>
      </c>
      <c r="I2056" s="80">
        <f>STOCK[[#This Row],[Precio Venta Ideal (x1.5)]]</f>
        <v>32.61</v>
      </c>
      <c r="J2056" s="117">
        <v>2</v>
      </c>
      <c r="K2056" s="78">
        <f>SUMIFS(VENTAS[Cantidad],VENTAS[Código del producto Vendido],STOCK[[#This Row],[Code]])</f>
        <v>0</v>
      </c>
      <c r="L2056" s="78">
        <f>STOCK[[#This Row],[Entradas]]-STOCK[[#This Row],[Salidas]]</f>
        <v>2</v>
      </c>
      <c r="M2056" s="75">
        <f>STOCK[[#This Row],[Precio Final]]*10%</f>
        <v>3.5</v>
      </c>
      <c r="N2056" s="54">
        <v>0</v>
      </c>
      <c r="O2056" s="75">
        <v>0</v>
      </c>
      <c r="P2056" s="54">
        <v>15.99</v>
      </c>
      <c r="Q2056" s="75">
        <v>0</v>
      </c>
      <c r="R2056" s="78">
        <v>0</v>
      </c>
      <c r="S2056" s="75">
        <v>2.25</v>
      </c>
      <c r="T2056" s="75">
        <f>STOCK[[#This Row],[Costo Unitario (USD)]]+STOCK[[#This Row],[Costo Envío (USD)]]+STOCK[[#This Row],[Comisión 10%]]</f>
        <v>21.740000000000002</v>
      </c>
      <c r="U2056" s="53">
        <f>STOCK[[#This Row],[Costo total]]*1.5</f>
        <v>32.61</v>
      </c>
      <c r="V2056" s="54">
        <v>35</v>
      </c>
      <c r="W2056" s="75">
        <f>STOCK[[#This Row],[Precio Final]]-STOCK[[#This Row],[Costo total]]</f>
        <v>13.259999999999998</v>
      </c>
      <c r="X2056" s="75">
        <f>STOCK[[#This Row],[Ganancia Unitaria]]*STOCK[[#This Row],[Salidas]]</f>
        <v>0</v>
      </c>
      <c r="Y2056" s="54"/>
      <c r="Z2056" s="118"/>
      <c r="AA2056" s="54"/>
      <c r="AB2056" s="54"/>
      <c r="AC2056" s="54"/>
      <c r="AD2056" s="96"/>
    </row>
    <row r="2057" spans="1:30" s="53" customFormat="1" ht="50" customHeight="1">
      <c r="A2057" s="93" t="s">
        <v>3997</v>
      </c>
      <c r="B2057" s="113"/>
      <c r="C2057" s="54"/>
      <c r="D2057" s="114" t="s">
        <v>44</v>
      </c>
      <c r="E2057" s="116" t="s">
        <v>3995</v>
      </c>
      <c r="F2057" s="115" t="s">
        <v>49</v>
      </c>
      <c r="G2057" s="54"/>
      <c r="H2057" s="75">
        <f>STOCK[[#This Row],[Precio Final]]</f>
        <v>35</v>
      </c>
      <c r="I2057" s="80">
        <f>STOCK[[#This Row],[Precio Venta Ideal (x1.5)]]</f>
        <v>32.61</v>
      </c>
      <c r="J2057" s="117">
        <v>3</v>
      </c>
      <c r="K2057" s="78">
        <f>SUMIFS(VENTAS[Cantidad],VENTAS[Código del producto Vendido],STOCK[[#This Row],[Code]])</f>
        <v>0</v>
      </c>
      <c r="L2057" s="78">
        <f>STOCK[[#This Row],[Entradas]]-STOCK[[#This Row],[Salidas]]</f>
        <v>3</v>
      </c>
      <c r="M2057" s="75">
        <f>STOCK[[#This Row],[Precio Final]]*10%</f>
        <v>3.5</v>
      </c>
      <c r="N2057" s="54">
        <v>0</v>
      </c>
      <c r="O2057" s="75">
        <v>0</v>
      </c>
      <c r="P2057" s="54">
        <v>15.99</v>
      </c>
      <c r="Q2057" s="75">
        <v>0</v>
      </c>
      <c r="R2057" s="78">
        <v>0</v>
      </c>
      <c r="S2057" s="75">
        <v>2.25</v>
      </c>
      <c r="T2057" s="75">
        <f>STOCK[[#This Row],[Costo Unitario (USD)]]+STOCK[[#This Row],[Costo Envío (USD)]]+STOCK[[#This Row],[Comisión 10%]]</f>
        <v>21.740000000000002</v>
      </c>
      <c r="U2057" s="53">
        <f>STOCK[[#This Row],[Costo total]]*1.5</f>
        <v>32.61</v>
      </c>
      <c r="V2057" s="54">
        <v>35</v>
      </c>
      <c r="W2057" s="75">
        <f>STOCK[[#This Row],[Precio Final]]-STOCK[[#This Row],[Costo total]]</f>
        <v>13.259999999999998</v>
      </c>
      <c r="X2057" s="75">
        <f>STOCK[[#This Row],[Ganancia Unitaria]]*STOCK[[#This Row],[Salidas]]</f>
        <v>0</v>
      </c>
      <c r="Y2057" s="54"/>
      <c r="Z2057" s="118"/>
      <c r="AA2057" s="54"/>
      <c r="AB2057" s="54"/>
      <c r="AC2057" s="54"/>
      <c r="AD2057" s="96"/>
    </row>
    <row r="2058" spans="1:30" s="53" customFormat="1" ht="50" customHeight="1">
      <c r="A2058" s="93" t="s">
        <v>3998</v>
      </c>
      <c r="B2058" s="113"/>
      <c r="C2058" s="54"/>
      <c r="D2058" s="114" t="s">
        <v>44</v>
      </c>
      <c r="E2058" s="116" t="s">
        <v>3995</v>
      </c>
      <c r="F2058" s="115" t="s">
        <v>46</v>
      </c>
      <c r="G2058" s="54"/>
      <c r="H2058" s="75">
        <f>STOCK[[#This Row],[Precio Final]]</f>
        <v>35</v>
      </c>
      <c r="I2058" s="80">
        <f>STOCK[[#This Row],[Precio Venta Ideal (x1.5)]]</f>
        <v>32.61</v>
      </c>
      <c r="J2058" s="117">
        <v>3</v>
      </c>
      <c r="K2058" s="78">
        <f>SUMIFS(VENTAS[Cantidad],VENTAS[Código del producto Vendido],STOCK[[#This Row],[Code]])</f>
        <v>0</v>
      </c>
      <c r="L2058" s="78">
        <f>STOCK[[#This Row],[Entradas]]-STOCK[[#This Row],[Salidas]]</f>
        <v>3</v>
      </c>
      <c r="M2058" s="75">
        <f>STOCK[[#This Row],[Precio Final]]*10%</f>
        <v>3.5</v>
      </c>
      <c r="N2058" s="54">
        <v>0</v>
      </c>
      <c r="O2058" s="75">
        <v>0</v>
      </c>
      <c r="P2058" s="54">
        <v>15.99</v>
      </c>
      <c r="Q2058" s="75">
        <v>0</v>
      </c>
      <c r="R2058" s="78">
        <v>0</v>
      </c>
      <c r="S2058" s="75">
        <v>2.25</v>
      </c>
      <c r="T2058" s="75">
        <f>STOCK[[#This Row],[Costo Unitario (USD)]]+STOCK[[#This Row],[Costo Envío (USD)]]+STOCK[[#This Row],[Comisión 10%]]</f>
        <v>21.740000000000002</v>
      </c>
      <c r="U2058" s="53">
        <f>STOCK[[#This Row],[Costo total]]*1.5</f>
        <v>32.61</v>
      </c>
      <c r="V2058" s="54">
        <v>35</v>
      </c>
      <c r="W2058" s="75">
        <f>STOCK[[#This Row],[Precio Final]]-STOCK[[#This Row],[Costo total]]</f>
        <v>13.259999999999998</v>
      </c>
      <c r="X2058" s="75">
        <f>STOCK[[#This Row],[Ganancia Unitaria]]*STOCK[[#This Row],[Salidas]]</f>
        <v>0</v>
      </c>
      <c r="Y2058" s="54"/>
      <c r="Z2058" s="118"/>
      <c r="AA2058" s="54"/>
      <c r="AB2058" s="54"/>
      <c r="AC2058" s="54"/>
      <c r="AD2058" s="96"/>
    </row>
    <row r="2059" spans="1:30" s="53" customFormat="1" ht="50" customHeight="1">
      <c r="A2059" s="93" t="s">
        <v>3999</v>
      </c>
      <c r="B2059" s="113"/>
      <c r="C2059" s="54"/>
      <c r="D2059" s="114" t="s">
        <v>44</v>
      </c>
      <c r="E2059" s="116" t="s">
        <v>3995</v>
      </c>
      <c r="F2059" s="115" t="s">
        <v>42</v>
      </c>
      <c r="G2059" s="54"/>
      <c r="H2059" s="75">
        <f>STOCK[[#This Row],[Precio Final]]</f>
        <v>35</v>
      </c>
      <c r="I2059" s="80">
        <f>STOCK[[#This Row],[Precio Venta Ideal (x1.5)]]</f>
        <v>32.61</v>
      </c>
      <c r="J2059" s="117">
        <v>3</v>
      </c>
      <c r="K2059" s="78">
        <f>SUMIFS(VENTAS[Cantidad],VENTAS[Código del producto Vendido],STOCK[[#This Row],[Code]])</f>
        <v>0</v>
      </c>
      <c r="L2059" s="78">
        <f>STOCK[[#This Row],[Entradas]]-STOCK[[#This Row],[Salidas]]</f>
        <v>3</v>
      </c>
      <c r="M2059" s="75">
        <f>STOCK[[#This Row],[Precio Final]]*10%</f>
        <v>3.5</v>
      </c>
      <c r="N2059" s="54">
        <v>0</v>
      </c>
      <c r="O2059" s="75">
        <v>0</v>
      </c>
      <c r="P2059" s="54">
        <v>15.99</v>
      </c>
      <c r="Q2059" s="75">
        <v>0</v>
      </c>
      <c r="R2059" s="78">
        <v>0</v>
      </c>
      <c r="S2059" s="75">
        <v>2.25</v>
      </c>
      <c r="T2059" s="75">
        <f>STOCK[[#This Row],[Costo Unitario (USD)]]+STOCK[[#This Row],[Costo Envío (USD)]]+STOCK[[#This Row],[Comisión 10%]]</f>
        <v>21.740000000000002</v>
      </c>
      <c r="U2059" s="53">
        <f>STOCK[[#This Row],[Costo total]]*1.5</f>
        <v>32.61</v>
      </c>
      <c r="V2059" s="54">
        <v>35</v>
      </c>
      <c r="W2059" s="75">
        <f>STOCK[[#This Row],[Precio Final]]-STOCK[[#This Row],[Costo total]]</f>
        <v>13.259999999999998</v>
      </c>
      <c r="X2059" s="75">
        <f>STOCK[[#This Row],[Ganancia Unitaria]]*STOCK[[#This Row],[Salidas]]</f>
        <v>0</v>
      </c>
      <c r="Y2059" s="54"/>
      <c r="Z2059" s="118"/>
      <c r="AA2059" s="54"/>
      <c r="AB2059" s="54"/>
      <c r="AC2059" s="54"/>
      <c r="AD2059" s="96"/>
    </row>
    <row r="2060" spans="1:30" s="53" customFormat="1" ht="50" customHeight="1">
      <c r="A2060" s="93" t="s">
        <v>4000</v>
      </c>
      <c r="B2060" s="113"/>
      <c r="C2060" s="54"/>
      <c r="D2060" s="114" t="s">
        <v>2898</v>
      </c>
      <c r="E2060" s="116" t="s">
        <v>4001</v>
      </c>
      <c r="F2060" s="115" t="s">
        <v>62</v>
      </c>
      <c r="G2060" s="54"/>
      <c r="H2060" s="75">
        <f>STOCK[[#This Row],[Precio Final]]</f>
        <v>30</v>
      </c>
      <c r="I2060" s="80">
        <f>STOCK[[#This Row],[Precio Venta Ideal (x1.5)]]</f>
        <v>28.98</v>
      </c>
      <c r="J2060" s="117">
        <v>1</v>
      </c>
      <c r="K2060" s="78">
        <f>SUMIFS(VENTAS[Cantidad],VENTAS[Código del producto Vendido],STOCK[[#This Row],[Code]])</f>
        <v>1</v>
      </c>
      <c r="L2060" s="78">
        <f>STOCK[[#This Row],[Entradas]]-STOCK[[#This Row],[Salidas]]</f>
        <v>0</v>
      </c>
      <c r="M2060" s="75">
        <f>STOCK[[#This Row],[Precio Final]]*10%</f>
        <v>3</v>
      </c>
      <c r="N2060" s="54">
        <v>0</v>
      </c>
      <c r="O2060" s="75">
        <v>0</v>
      </c>
      <c r="P2060" s="54">
        <v>14.07</v>
      </c>
      <c r="Q2060" s="75">
        <v>0</v>
      </c>
      <c r="R2060" s="78">
        <v>0</v>
      </c>
      <c r="S2060" s="75">
        <v>2.25</v>
      </c>
      <c r="T2060" s="75">
        <f>STOCK[[#This Row],[Costo Unitario (USD)]]+STOCK[[#This Row],[Costo Envío (USD)]]+STOCK[[#This Row],[Comisión 10%]]</f>
        <v>19.32</v>
      </c>
      <c r="U2060" s="53">
        <f>STOCK[[#This Row],[Costo total]]*1.5</f>
        <v>28.98</v>
      </c>
      <c r="V2060" s="54">
        <v>30</v>
      </c>
      <c r="W2060" s="75">
        <f>STOCK[[#This Row],[Precio Final]]-STOCK[[#This Row],[Costo total]]</f>
        <v>10.68</v>
      </c>
      <c r="X2060" s="75">
        <f>STOCK[[#This Row],[Ganancia Unitaria]]*STOCK[[#This Row],[Salidas]]</f>
        <v>10.68</v>
      </c>
      <c r="Y2060" s="54"/>
      <c r="Z2060" s="118"/>
      <c r="AA2060" s="54"/>
      <c r="AB2060" s="54"/>
      <c r="AC2060" s="54"/>
      <c r="AD2060" s="96"/>
    </row>
    <row r="2061" spans="1:30" s="53" customFormat="1" ht="50" customHeight="1">
      <c r="A2061" s="93" t="s">
        <v>4002</v>
      </c>
      <c r="B2061" s="113"/>
      <c r="C2061" s="54"/>
      <c r="D2061" s="114" t="s">
        <v>2898</v>
      </c>
      <c r="E2061" s="116" t="s">
        <v>4001</v>
      </c>
      <c r="F2061" s="115" t="s">
        <v>49</v>
      </c>
      <c r="G2061" s="54"/>
      <c r="H2061" s="75">
        <f>STOCK[[#This Row],[Precio Final]]</f>
        <v>35</v>
      </c>
      <c r="I2061" s="80">
        <f>STOCK[[#This Row],[Precio Venta Ideal (x1.5)]]</f>
        <v>29.73</v>
      </c>
      <c r="J2061" s="117">
        <v>1</v>
      </c>
      <c r="K2061" s="78">
        <f>SUMIFS(VENTAS[Cantidad],VENTAS[Código del producto Vendido],STOCK[[#This Row],[Code]])</f>
        <v>0</v>
      </c>
      <c r="L2061" s="78">
        <f>STOCK[[#This Row],[Entradas]]-STOCK[[#This Row],[Salidas]]</f>
        <v>1</v>
      </c>
      <c r="M2061" s="75">
        <f>STOCK[[#This Row],[Precio Final]]*10%</f>
        <v>3.5</v>
      </c>
      <c r="N2061" s="54">
        <v>0</v>
      </c>
      <c r="O2061" s="75">
        <v>0</v>
      </c>
      <c r="P2061" s="54">
        <v>14.07</v>
      </c>
      <c r="Q2061" s="75">
        <v>0</v>
      </c>
      <c r="R2061" s="78">
        <v>0</v>
      </c>
      <c r="S2061" s="75">
        <v>2.25</v>
      </c>
      <c r="T2061" s="75">
        <f>STOCK[[#This Row],[Costo Unitario (USD)]]+STOCK[[#This Row],[Costo Envío (USD)]]+STOCK[[#This Row],[Comisión 10%]]</f>
        <v>19.82</v>
      </c>
      <c r="U2061" s="53">
        <f>STOCK[[#This Row],[Costo total]]*1.5</f>
        <v>29.73</v>
      </c>
      <c r="V2061" s="54">
        <v>35</v>
      </c>
      <c r="W2061" s="75">
        <f>STOCK[[#This Row],[Precio Final]]-STOCK[[#This Row],[Costo total]]</f>
        <v>15.18</v>
      </c>
      <c r="X2061" s="75">
        <f>STOCK[[#This Row],[Ganancia Unitaria]]*STOCK[[#This Row],[Salidas]]</f>
        <v>0</v>
      </c>
      <c r="Y2061" s="54"/>
      <c r="Z2061" s="118"/>
      <c r="AA2061" s="54"/>
      <c r="AB2061" s="54"/>
      <c r="AC2061" s="54"/>
      <c r="AD2061" s="96"/>
    </row>
    <row r="2062" spans="1:30" s="53" customFormat="1" ht="50" customHeight="1">
      <c r="A2062" s="93" t="s">
        <v>4003</v>
      </c>
      <c r="B2062" s="113"/>
      <c r="C2062" s="54"/>
      <c r="D2062" s="114" t="s">
        <v>2898</v>
      </c>
      <c r="E2062" s="116" t="s">
        <v>4001</v>
      </c>
      <c r="F2062" s="115" t="s">
        <v>46</v>
      </c>
      <c r="G2062" s="54"/>
      <c r="H2062" s="75">
        <f>STOCK[[#This Row],[Precio Final]]</f>
        <v>35</v>
      </c>
      <c r="I2062" s="80">
        <f>STOCK[[#This Row],[Precio Venta Ideal (x1.5)]]</f>
        <v>29.73</v>
      </c>
      <c r="J2062" s="117">
        <v>2</v>
      </c>
      <c r="K2062" s="78">
        <f>SUMIFS(VENTAS[Cantidad],VENTAS[Código del producto Vendido],STOCK[[#This Row],[Code]])</f>
        <v>0</v>
      </c>
      <c r="L2062" s="78">
        <f>STOCK[[#This Row],[Entradas]]-STOCK[[#This Row],[Salidas]]</f>
        <v>2</v>
      </c>
      <c r="M2062" s="75">
        <f>STOCK[[#This Row],[Precio Final]]*10%</f>
        <v>3.5</v>
      </c>
      <c r="N2062" s="54">
        <v>0</v>
      </c>
      <c r="O2062" s="75">
        <v>0</v>
      </c>
      <c r="P2062" s="54">
        <v>14.07</v>
      </c>
      <c r="Q2062" s="75">
        <v>0</v>
      </c>
      <c r="R2062" s="78">
        <v>0</v>
      </c>
      <c r="S2062" s="75">
        <v>2.25</v>
      </c>
      <c r="T2062" s="75">
        <f>STOCK[[#This Row],[Costo Unitario (USD)]]+STOCK[[#This Row],[Costo Envío (USD)]]+STOCK[[#This Row],[Comisión 10%]]</f>
        <v>19.82</v>
      </c>
      <c r="U2062" s="53">
        <f>STOCK[[#This Row],[Costo total]]*1.5</f>
        <v>29.73</v>
      </c>
      <c r="V2062" s="54">
        <v>35</v>
      </c>
      <c r="W2062" s="75">
        <f>STOCK[[#This Row],[Precio Final]]-STOCK[[#This Row],[Costo total]]</f>
        <v>15.18</v>
      </c>
      <c r="X2062" s="75">
        <f>STOCK[[#This Row],[Ganancia Unitaria]]*STOCK[[#This Row],[Salidas]]</f>
        <v>0</v>
      </c>
      <c r="Y2062" s="54"/>
      <c r="Z2062" s="118"/>
      <c r="AA2062" s="54"/>
      <c r="AB2062" s="54"/>
      <c r="AC2062" s="54"/>
      <c r="AD2062" s="96"/>
    </row>
    <row r="2063" spans="1:30" s="53" customFormat="1" ht="50" customHeight="1">
      <c r="A2063" s="93" t="s">
        <v>4004</v>
      </c>
      <c r="B2063" s="113"/>
      <c r="C2063" s="54"/>
      <c r="D2063" s="114" t="s">
        <v>2898</v>
      </c>
      <c r="E2063" s="116" t="s">
        <v>4001</v>
      </c>
      <c r="F2063" s="115" t="s">
        <v>42</v>
      </c>
      <c r="G2063" s="54"/>
      <c r="H2063" s="75">
        <f>STOCK[[#This Row],[Precio Final]]</f>
        <v>35</v>
      </c>
      <c r="I2063" s="80">
        <f>STOCK[[#This Row],[Precio Venta Ideal (x1.5)]]</f>
        <v>29.73</v>
      </c>
      <c r="J2063" s="117">
        <v>1</v>
      </c>
      <c r="K2063" s="78">
        <f>SUMIFS(VENTAS[Cantidad],VENTAS[Código del producto Vendido],STOCK[[#This Row],[Code]])</f>
        <v>0</v>
      </c>
      <c r="L2063" s="78">
        <f>STOCK[[#This Row],[Entradas]]-STOCK[[#This Row],[Salidas]]</f>
        <v>1</v>
      </c>
      <c r="M2063" s="75">
        <f>STOCK[[#This Row],[Precio Final]]*10%</f>
        <v>3.5</v>
      </c>
      <c r="N2063" s="54">
        <v>0</v>
      </c>
      <c r="O2063" s="75">
        <v>0</v>
      </c>
      <c r="P2063" s="54">
        <v>14.07</v>
      </c>
      <c r="Q2063" s="75">
        <v>0</v>
      </c>
      <c r="R2063" s="78">
        <v>0</v>
      </c>
      <c r="S2063" s="75">
        <v>2.25</v>
      </c>
      <c r="T2063" s="75">
        <f>STOCK[[#This Row],[Costo Unitario (USD)]]+STOCK[[#This Row],[Costo Envío (USD)]]+STOCK[[#This Row],[Comisión 10%]]</f>
        <v>19.82</v>
      </c>
      <c r="U2063" s="53">
        <f>STOCK[[#This Row],[Costo total]]*1.5</f>
        <v>29.73</v>
      </c>
      <c r="V2063" s="54">
        <v>35</v>
      </c>
      <c r="W2063" s="75">
        <f>STOCK[[#This Row],[Precio Final]]-STOCK[[#This Row],[Costo total]]</f>
        <v>15.18</v>
      </c>
      <c r="X2063" s="75">
        <f>STOCK[[#This Row],[Ganancia Unitaria]]*STOCK[[#This Row],[Salidas]]</f>
        <v>0</v>
      </c>
      <c r="Y2063" s="54"/>
      <c r="Z2063" s="118"/>
      <c r="AA2063" s="54"/>
      <c r="AB2063" s="54"/>
      <c r="AC2063" s="54"/>
      <c r="AD2063" s="96"/>
    </row>
    <row r="2064" spans="1:30" s="53" customFormat="1" ht="50" customHeight="1">
      <c r="A2064" s="93" t="s">
        <v>4005</v>
      </c>
      <c r="B2064" s="113"/>
      <c r="C2064" s="54"/>
      <c r="D2064" s="114" t="s">
        <v>2898</v>
      </c>
      <c r="E2064" s="116" t="s">
        <v>4006</v>
      </c>
      <c r="F2064" s="115" t="s">
        <v>46</v>
      </c>
      <c r="G2064" s="54"/>
      <c r="H2064" s="75">
        <f>STOCK[[#This Row],[Precio Final]]</f>
        <v>35</v>
      </c>
      <c r="I2064" s="80">
        <f>STOCK[[#This Row],[Precio Venta Ideal (x1.5)]]</f>
        <v>29.73</v>
      </c>
      <c r="J2064" s="117">
        <v>1</v>
      </c>
      <c r="K2064" s="78">
        <f>SUMIFS(VENTAS[Cantidad],VENTAS[Código del producto Vendido],STOCK[[#This Row],[Code]])</f>
        <v>0</v>
      </c>
      <c r="L2064" s="78">
        <f>STOCK[[#This Row],[Entradas]]-STOCK[[#This Row],[Salidas]]</f>
        <v>1</v>
      </c>
      <c r="M2064" s="75">
        <f>STOCK[[#This Row],[Precio Final]]*10%</f>
        <v>3.5</v>
      </c>
      <c r="N2064" s="54">
        <v>0</v>
      </c>
      <c r="O2064" s="75">
        <v>0</v>
      </c>
      <c r="P2064" s="54">
        <v>14.07</v>
      </c>
      <c r="Q2064" s="75">
        <v>0</v>
      </c>
      <c r="R2064" s="78">
        <v>0</v>
      </c>
      <c r="S2064" s="75">
        <v>2.25</v>
      </c>
      <c r="T2064" s="75">
        <f>STOCK[[#This Row],[Costo Unitario (USD)]]+STOCK[[#This Row],[Costo Envío (USD)]]+STOCK[[#This Row],[Comisión 10%]]</f>
        <v>19.82</v>
      </c>
      <c r="U2064" s="53">
        <f>STOCK[[#This Row],[Costo total]]*1.5</f>
        <v>29.73</v>
      </c>
      <c r="V2064" s="54">
        <v>35</v>
      </c>
      <c r="W2064" s="75">
        <f>STOCK[[#This Row],[Precio Final]]-STOCK[[#This Row],[Costo total]]</f>
        <v>15.18</v>
      </c>
      <c r="X2064" s="75">
        <f>STOCK[[#This Row],[Ganancia Unitaria]]*STOCK[[#This Row],[Salidas]]</f>
        <v>0</v>
      </c>
      <c r="Y2064" s="54"/>
      <c r="Z2064" s="118"/>
      <c r="AA2064" s="54"/>
      <c r="AB2064" s="54"/>
      <c r="AC2064" s="54"/>
      <c r="AD2064" s="96"/>
    </row>
    <row r="2065" spans="1:30" s="53" customFormat="1" ht="50" customHeight="1">
      <c r="A2065" s="93" t="s">
        <v>4007</v>
      </c>
      <c r="B2065" s="113"/>
      <c r="C2065" s="54"/>
      <c r="D2065" s="114" t="s">
        <v>2898</v>
      </c>
      <c r="E2065" s="116" t="s">
        <v>4006</v>
      </c>
      <c r="F2065" s="115" t="s">
        <v>42</v>
      </c>
      <c r="G2065" s="54"/>
      <c r="H2065" s="75">
        <f>STOCK[[#This Row],[Precio Final]]</f>
        <v>35</v>
      </c>
      <c r="I2065" s="80">
        <f>STOCK[[#This Row],[Precio Venta Ideal (x1.5)]]</f>
        <v>29.73</v>
      </c>
      <c r="J2065" s="117">
        <v>1</v>
      </c>
      <c r="K2065" s="78">
        <f>SUMIFS(VENTAS[Cantidad],VENTAS[Código del producto Vendido],STOCK[[#This Row],[Code]])</f>
        <v>0</v>
      </c>
      <c r="L2065" s="78">
        <f>STOCK[[#This Row],[Entradas]]-STOCK[[#This Row],[Salidas]]</f>
        <v>1</v>
      </c>
      <c r="M2065" s="75">
        <f>STOCK[[#This Row],[Precio Final]]*10%</f>
        <v>3.5</v>
      </c>
      <c r="N2065" s="54">
        <v>0</v>
      </c>
      <c r="O2065" s="75">
        <v>0</v>
      </c>
      <c r="P2065" s="54">
        <v>14.07</v>
      </c>
      <c r="Q2065" s="75">
        <v>0</v>
      </c>
      <c r="R2065" s="78">
        <v>0</v>
      </c>
      <c r="S2065" s="75">
        <v>2.25</v>
      </c>
      <c r="T2065" s="75">
        <f>STOCK[[#This Row],[Costo Unitario (USD)]]+STOCK[[#This Row],[Costo Envío (USD)]]+STOCK[[#This Row],[Comisión 10%]]</f>
        <v>19.82</v>
      </c>
      <c r="U2065" s="53">
        <f>STOCK[[#This Row],[Costo total]]*1.5</f>
        <v>29.73</v>
      </c>
      <c r="V2065" s="54">
        <v>35</v>
      </c>
      <c r="W2065" s="75">
        <f>STOCK[[#This Row],[Precio Final]]-STOCK[[#This Row],[Costo total]]</f>
        <v>15.18</v>
      </c>
      <c r="X2065" s="75">
        <f>STOCK[[#This Row],[Ganancia Unitaria]]*STOCK[[#This Row],[Salidas]]</f>
        <v>0</v>
      </c>
      <c r="Y2065" s="54"/>
      <c r="Z2065" s="118"/>
      <c r="AA2065" s="54"/>
      <c r="AB2065" s="54"/>
      <c r="AC2065" s="54"/>
      <c r="AD2065" s="96"/>
    </row>
    <row r="2066" spans="1:30" s="53" customFormat="1" ht="50" customHeight="1">
      <c r="A2066" s="93" t="s">
        <v>4008</v>
      </c>
      <c r="B2066" s="113"/>
      <c r="C2066" s="54"/>
      <c r="D2066" s="114" t="s">
        <v>2898</v>
      </c>
      <c r="E2066" s="116" t="s">
        <v>4009</v>
      </c>
      <c r="F2066" s="115" t="s">
        <v>40</v>
      </c>
      <c r="G2066" s="54"/>
      <c r="H2066" s="75">
        <f>STOCK[[#This Row],[Precio Final]]</f>
        <v>35</v>
      </c>
      <c r="I2066" s="80">
        <f>STOCK[[#This Row],[Precio Venta Ideal (x1.5)]]</f>
        <v>29.73</v>
      </c>
      <c r="J2066" s="117">
        <v>1</v>
      </c>
      <c r="K2066" s="78">
        <f>SUMIFS(VENTAS[Cantidad],VENTAS[Código del producto Vendido],STOCK[[#This Row],[Code]])</f>
        <v>0</v>
      </c>
      <c r="L2066" s="78">
        <f>STOCK[[#This Row],[Entradas]]-STOCK[[#This Row],[Salidas]]</f>
        <v>1</v>
      </c>
      <c r="M2066" s="75">
        <f>STOCK[[#This Row],[Precio Final]]*10%</f>
        <v>3.5</v>
      </c>
      <c r="N2066" s="54">
        <v>0</v>
      </c>
      <c r="O2066" s="75">
        <v>0</v>
      </c>
      <c r="P2066" s="54">
        <v>14.07</v>
      </c>
      <c r="Q2066" s="75">
        <v>0</v>
      </c>
      <c r="R2066" s="78">
        <v>0</v>
      </c>
      <c r="S2066" s="75">
        <v>2.25</v>
      </c>
      <c r="T2066" s="75">
        <f>STOCK[[#This Row],[Costo Unitario (USD)]]+STOCK[[#This Row],[Costo Envío (USD)]]+STOCK[[#This Row],[Comisión 10%]]</f>
        <v>19.82</v>
      </c>
      <c r="U2066" s="53">
        <f>STOCK[[#This Row],[Costo total]]*1.5</f>
        <v>29.73</v>
      </c>
      <c r="V2066" s="54">
        <v>35</v>
      </c>
      <c r="W2066" s="75">
        <f>STOCK[[#This Row],[Precio Final]]-STOCK[[#This Row],[Costo total]]</f>
        <v>15.18</v>
      </c>
      <c r="X2066" s="75">
        <f>STOCK[[#This Row],[Ganancia Unitaria]]*STOCK[[#This Row],[Salidas]]</f>
        <v>0</v>
      </c>
      <c r="Y2066" s="54"/>
      <c r="Z2066" s="118"/>
      <c r="AA2066" s="54"/>
      <c r="AB2066" s="54"/>
      <c r="AC2066" s="54"/>
      <c r="AD2066" s="96"/>
    </row>
    <row r="2067" spans="1:30" s="53" customFormat="1" ht="50" customHeight="1">
      <c r="A2067" s="93" t="s">
        <v>4010</v>
      </c>
      <c r="B2067" s="113"/>
      <c r="C2067" s="54"/>
      <c r="D2067" s="114" t="s">
        <v>2898</v>
      </c>
      <c r="E2067" s="116" t="s">
        <v>4009</v>
      </c>
      <c r="F2067" s="115" t="s">
        <v>62</v>
      </c>
      <c r="G2067" s="54"/>
      <c r="H2067" s="75">
        <f>STOCK[[#This Row],[Precio Final]]</f>
        <v>35</v>
      </c>
      <c r="I2067" s="80">
        <f>STOCK[[#This Row],[Precio Venta Ideal (x1.5)]]</f>
        <v>29.73</v>
      </c>
      <c r="J2067" s="117">
        <v>1</v>
      </c>
      <c r="K2067" s="78">
        <f>SUMIFS(VENTAS[Cantidad],VENTAS[Código del producto Vendido],STOCK[[#This Row],[Code]])</f>
        <v>0</v>
      </c>
      <c r="L2067" s="78">
        <f>STOCK[[#This Row],[Entradas]]-STOCK[[#This Row],[Salidas]]</f>
        <v>1</v>
      </c>
      <c r="M2067" s="75">
        <f>STOCK[[#This Row],[Precio Final]]*10%</f>
        <v>3.5</v>
      </c>
      <c r="N2067" s="54">
        <v>0</v>
      </c>
      <c r="O2067" s="75">
        <v>0</v>
      </c>
      <c r="P2067" s="54">
        <v>14.07</v>
      </c>
      <c r="Q2067" s="75">
        <v>0</v>
      </c>
      <c r="R2067" s="78">
        <v>0</v>
      </c>
      <c r="S2067" s="75">
        <v>2.25</v>
      </c>
      <c r="T2067" s="75">
        <f>STOCK[[#This Row],[Costo Unitario (USD)]]+STOCK[[#This Row],[Costo Envío (USD)]]+STOCK[[#This Row],[Comisión 10%]]</f>
        <v>19.82</v>
      </c>
      <c r="U2067" s="53">
        <f>STOCK[[#This Row],[Costo total]]*1.5</f>
        <v>29.73</v>
      </c>
      <c r="V2067" s="54">
        <v>35</v>
      </c>
      <c r="W2067" s="75">
        <f>STOCK[[#This Row],[Precio Final]]-STOCK[[#This Row],[Costo total]]</f>
        <v>15.18</v>
      </c>
      <c r="X2067" s="75">
        <f>STOCK[[#This Row],[Ganancia Unitaria]]*STOCK[[#This Row],[Salidas]]</f>
        <v>0</v>
      </c>
      <c r="Y2067" s="54"/>
      <c r="Z2067" s="118"/>
      <c r="AA2067" s="54"/>
      <c r="AB2067" s="54"/>
      <c r="AC2067" s="54"/>
      <c r="AD2067" s="96"/>
    </row>
    <row r="2068" spans="1:30" s="53" customFormat="1" ht="50" customHeight="1">
      <c r="A2068" s="93" t="s">
        <v>4011</v>
      </c>
      <c r="B2068" s="113"/>
      <c r="C2068" s="54"/>
      <c r="D2068" s="114" t="s">
        <v>2898</v>
      </c>
      <c r="E2068" s="116" t="s">
        <v>4009</v>
      </c>
      <c r="F2068" s="115" t="s">
        <v>49</v>
      </c>
      <c r="G2068" s="54"/>
      <c r="H2068" s="75">
        <f>STOCK[[#This Row],[Precio Final]]</f>
        <v>35</v>
      </c>
      <c r="I2068" s="80">
        <f>STOCK[[#This Row],[Precio Venta Ideal (x1.5)]]</f>
        <v>29.73</v>
      </c>
      <c r="J2068" s="117">
        <v>2</v>
      </c>
      <c r="K2068" s="78">
        <f>SUMIFS(VENTAS[Cantidad],VENTAS[Código del producto Vendido],STOCK[[#This Row],[Code]])</f>
        <v>0</v>
      </c>
      <c r="L2068" s="78">
        <f>STOCK[[#This Row],[Entradas]]-STOCK[[#This Row],[Salidas]]</f>
        <v>2</v>
      </c>
      <c r="M2068" s="75">
        <f>STOCK[[#This Row],[Precio Final]]*10%</f>
        <v>3.5</v>
      </c>
      <c r="N2068" s="54">
        <v>0</v>
      </c>
      <c r="O2068" s="75">
        <v>0</v>
      </c>
      <c r="P2068" s="54">
        <v>14.07</v>
      </c>
      <c r="Q2068" s="75">
        <v>0</v>
      </c>
      <c r="R2068" s="78">
        <v>0</v>
      </c>
      <c r="S2068" s="75">
        <v>2.25</v>
      </c>
      <c r="T2068" s="75">
        <f>STOCK[[#This Row],[Costo Unitario (USD)]]+STOCK[[#This Row],[Costo Envío (USD)]]+STOCK[[#This Row],[Comisión 10%]]</f>
        <v>19.82</v>
      </c>
      <c r="U2068" s="53">
        <f>STOCK[[#This Row],[Costo total]]*1.5</f>
        <v>29.73</v>
      </c>
      <c r="V2068" s="54">
        <v>35</v>
      </c>
      <c r="W2068" s="75">
        <f>STOCK[[#This Row],[Precio Final]]-STOCK[[#This Row],[Costo total]]</f>
        <v>15.18</v>
      </c>
      <c r="X2068" s="75">
        <f>STOCK[[#This Row],[Ganancia Unitaria]]*STOCK[[#This Row],[Salidas]]</f>
        <v>0</v>
      </c>
      <c r="Y2068" s="54"/>
      <c r="Z2068" s="118"/>
      <c r="AA2068" s="54"/>
      <c r="AB2068" s="54"/>
      <c r="AC2068" s="54"/>
      <c r="AD2068" s="96"/>
    </row>
    <row r="2069" spans="1:30" s="53" customFormat="1" ht="50" customHeight="1">
      <c r="A2069" s="93" t="s">
        <v>4012</v>
      </c>
      <c r="B2069" s="113"/>
      <c r="C2069" s="54"/>
      <c r="D2069" s="114" t="s">
        <v>2898</v>
      </c>
      <c r="E2069" s="116" t="s">
        <v>4009</v>
      </c>
      <c r="F2069" s="115" t="s">
        <v>46</v>
      </c>
      <c r="G2069" s="54"/>
      <c r="H2069" s="75">
        <f>STOCK[[#This Row],[Precio Final]]</f>
        <v>35</v>
      </c>
      <c r="I2069" s="80">
        <f>STOCK[[#This Row],[Precio Venta Ideal (x1.5)]]</f>
        <v>29.73</v>
      </c>
      <c r="J2069" s="117">
        <v>1</v>
      </c>
      <c r="K2069" s="78">
        <f>SUMIFS(VENTAS[Cantidad],VENTAS[Código del producto Vendido],STOCK[[#This Row],[Code]])</f>
        <v>0</v>
      </c>
      <c r="L2069" s="78">
        <f>STOCK[[#This Row],[Entradas]]-STOCK[[#This Row],[Salidas]]</f>
        <v>1</v>
      </c>
      <c r="M2069" s="75">
        <f>STOCK[[#This Row],[Precio Final]]*10%</f>
        <v>3.5</v>
      </c>
      <c r="N2069" s="54">
        <v>0</v>
      </c>
      <c r="O2069" s="75">
        <v>0</v>
      </c>
      <c r="P2069" s="54">
        <v>14.07</v>
      </c>
      <c r="Q2069" s="75">
        <v>0</v>
      </c>
      <c r="R2069" s="78">
        <v>0</v>
      </c>
      <c r="S2069" s="75">
        <v>2.25</v>
      </c>
      <c r="T2069" s="75">
        <f>STOCK[[#This Row],[Costo Unitario (USD)]]+STOCK[[#This Row],[Costo Envío (USD)]]+STOCK[[#This Row],[Comisión 10%]]</f>
        <v>19.82</v>
      </c>
      <c r="U2069" s="53">
        <f>STOCK[[#This Row],[Costo total]]*1.5</f>
        <v>29.73</v>
      </c>
      <c r="V2069" s="54">
        <v>35</v>
      </c>
      <c r="W2069" s="75">
        <f>STOCK[[#This Row],[Precio Final]]-STOCK[[#This Row],[Costo total]]</f>
        <v>15.18</v>
      </c>
      <c r="X2069" s="75">
        <f>STOCK[[#This Row],[Ganancia Unitaria]]*STOCK[[#This Row],[Salidas]]</f>
        <v>0</v>
      </c>
      <c r="Y2069" s="54"/>
      <c r="Z2069" s="118"/>
      <c r="AA2069" s="54"/>
      <c r="AB2069" s="54"/>
      <c r="AC2069" s="54"/>
      <c r="AD2069" s="96"/>
    </row>
    <row r="2070" spans="1:30" s="53" customFormat="1" ht="50" customHeight="1">
      <c r="A2070" s="93" t="s">
        <v>4013</v>
      </c>
      <c r="B2070" s="113"/>
      <c r="C2070" s="54"/>
      <c r="D2070" s="114" t="s">
        <v>2898</v>
      </c>
      <c r="E2070" s="116" t="s">
        <v>4009</v>
      </c>
      <c r="F2070" s="115" t="s">
        <v>42</v>
      </c>
      <c r="G2070" s="54"/>
      <c r="H2070" s="75">
        <f>STOCK[[#This Row],[Precio Final]]</f>
        <v>35</v>
      </c>
      <c r="I2070" s="80">
        <f>STOCK[[#This Row],[Precio Venta Ideal (x1.5)]]</f>
        <v>29.73</v>
      </c>
      <c r="J2070" s="117">
        <v>1</v>
      </c>
      <c r="K2070" s="78">
        <f>SUMIFS(VENTAS[Cantidad],VENTAS[Código del producto Vendido],STOCK[[#This Row],[Code]])</f>
        <v>0</v>
      </c>
      <c r="L2070" s="78">
        <f>STOCK[[#This Row],[Entradas]]-STOCK[[#This Row],[Salidas]]</f>
        <v>1</v>
      </c>
      <c r="M2070" s="75">
        <f>STOCK[[#This Row],[Precio Final]]*10%</f>
        <v>3.5</v>
      </c>
      <c r="N2070" s="54">
        <v>0</v>
      </c>
      <c r="O2070" s="75">
        <v>0</v>
      </c>
      <c r="P2070" s="54">
        <v>14.07</v>
      </c>
      <c r="Q2070" s="75">
        <v>0</v>
      </c>
      <c r="R2070" s="78">
        <v>0</v>
      </c>
      <c r="S2070" s="75">
        <v>2.25</v>
      </c>
      <c r="T2070" s="75">
        <f>STOCK[[#This Row],[Costo Unitario (USD)]]+STOCK[[#This Row],[Costo Envío (USD)]]+STOCK[[#This Row],[Comisión 10%]]</f>
        <v>19.82</v>
      </c>
      <c r="U2070" s="53">
        <f>STOCK[[#This Row],[Costo total]]*1.5</f>
        <v>29.73</v>
      </c>
      <c r="V2070" s="54">
        <v>35</v>
      </c>
      <c r="W2070" s="75">
        <f>STOCK[[#This Row],[Precio Final]]-STOCK[[#This Row],[Costo total]]</f>
        <v>15.18</v>
      </c>
      <c r="X2070" s="75">
        <f>STOCK[[#This Row],[Ganancia Unitaria]]*STOCK[[#This Row],[Salidas]]</f>
        <v>0</v>
      </c>
      <c r="Y2070" s="54"/>
      <c r="Z2070" s="118"/>
      <c r="AA2070" s="54"/>
      <c r="AB2070" s="54"/>
      <c r="AC2070" s="54"/>
      <c r="AD2070" s="96"/>
    </row>
    <row r="2071" spans="1:30" s="53" customFormat="1" ht="50" customHeight="1">
      <c r="A2071" s="93" t="s">
        <v>4014</v>
      </c>
      <c r="B2071" s="113"/>
      <c r="C2071" s="54"/>
      <c r="D2071" s="114" t="s">
        <v>834</v>
      </c>
      <c r="E2071" s="116" t="s">
        <v>4015</v>
      </c>
      <c r="F2071" s="120" t="s">
        <v>4016</v>
      </c>
      <c r="G2071" s="54"/>
      <c r="H2071" s="75">
        <f>STOCK[[#This Row],[Precio Final]]</f>
        <v>40</v>
      </c>
      <c r="I2071" s="80">
        <f>STOCK[[#This Row],[Precio Venta Ideal (x1.5)]]</f>
        <v>41.04</v>
      </c>
      <c r="J2071" s="117">
        <v>1</v>
      </c>
      <c r="K2071" s="78">
        <f>SUMIFS(VENTAS[Cantidad],VENTAS[Código del producto Vendido],STOCK[[#This Row],[Code]])</f>
        <v>0</v>
      </c>
      <c r="L2071" s="78">
        <f>STOCK[[#This Row],[Entradas]]-STOCK[[#This Row],[Salidas]]</f>
        <v>1</v>
      </c>
      <c r="M2071" s="75">
        <f>STOCK[[#This Row],[Precio Final]]*10%</f>
        <v>4</v>
      </c>
      <c r="N2071" s="54">
        <v>0</v>
      </c>
      <c r="O2071" s="75">
        <v>0</v>
      </c>
      <c r="P2071" s="54">
        <v>21.11</v>
      </c>
      <c r="Q2071" s="75">
        <v>0</v>
      </c>
      <c r="R2071" s="78">
        <v>0</v>
      </c>
      <c r="S2071" s="75">
        <v>2.25</v>
      </c>
      <c r="T2071" s="75">
        <f>STOCK[[#This Row],[Costo Unitario (USD)]]+STOCK[[#This Row],[Costo Envío (USD)]]+STOCK[[#This Row],[Comisión 10%]]</f>
        <v>27.36</v>
      </c>
      <c r="U2071" s="53">
        <f>STOCK[[#This Row],[Costo total]]*1.5</f>
        <v>41.04</v>
      </c>
      <c r="V2071" s="54">
        <v>40</v>
      </c>
      <c r="W2071" s="75">
        <f>STOCK[[#This Row],[Precio Final]]-STOCK[[#This Row],[Costo total]]</f>
        <v>12.64</v>
      </c>
      <c r="X2071" s="75">
        <f>STOCK[[#This Row],[Ganancia Unitaria]]*STOCK[[#This Row],[Salidas]]</f>
        <v>0</v>
      </c>
      <c r="Y2071" s="54"/>
      <c r="Z2071" s="118"/>
      <c r="AA2071" s="54"/>
      <c r="AB2071" s="54"/>
      <c r="AC2071" s="54"/>
      <c r="AD2071" s="96"/>
    </row>
    <row r="2072" spans="1:30" s="53" customFormat="1" ht="50" customHeight="1">
      <c r="A2072" s="93" t="s">
        <v>4017</v>
      </c>
      <c r="B2072" s="113"/>
      <c r="C2072" s="54"/>
      <c r="D2072" s="114" t="s">
        <v>488</v>
      </c>
      <c r="E2072" s="116" t="s">
        <v>4018</v>
      </c>
      <c r="F2072" s="120" t="s">
        <v>2109</v>
      </c>
      <c r="G2072" s="54"/>
      <c r="H2072" s="75">
        <f>STOCK[[#This Row],[Precio Final]]</f>
        <v>45</v>
      </c>
      <c r="I2072" s="80">
        <f>STOCK[[#This Row],[Precio Venta Ideal (x1.5)]]</f>
        <v>26.474999999999998</v>
      </c>
      <c r="J2072" s="117">
        <v>5</v>
      </c>
      <c r="K2072" s="78">
        <f>SUMIFS(VENTAS[Cantidad],VENTAS[Código del producto Vendido],STOCK[[#This Row],[Code]])</f>
        <v>0</v>
      </c>
      <c r="L2072" s="78">
        <f>STOCK[[#This Row],[Entradas]]-STOCK[[#This Row],[Salidas]]</f>
        <v>5</v>
      </c>
      <c r="M2072" s="75">
        <f>STOCK[[#This Row],[Precio Final]]*10%</f>
        <v>4.5</v>
      </c>
      <c r="N2072" s="54">
        <v>0</v>
      </c>
      <c r="O2072" s="75">
        <v>0</v>
      </c>
      <c r="P2072" s="54">
        <v>10.9</v>
      </c>
      <c r="Q2072" s="75">
        <v>0</v>
      </c>
      <c r="R2072" s="78">
        <v>0</v>
      </c>
      <c r="S2072" s="75">
        <v>2.25</v>
      </c>
      <c r="T2072" s="75">
        <f>STOCK[[#This Row],[Costo Unitario (USD)]]+STOCK[[#This Row],[Costo Envío (USD)]]+STOCK[[#This Row],[Comisión 10%]]</f>
        <v>17.649999999999999</v>
      </c>
      <c r="U2072" s="53">
        <f>STOCK[[#This Row],[Costo total]]*1.5</f>
        <v>26.474999999999998</v>
      </c>
      <c r="V2072" s="54">
        <v>45</v>
      </c>
      <c r="W2072" s="75">
        <f>STOCK[[#This Row],[Precio Final]]-STOCK[[#This Row],[Costo total]]</f>
        <v>27.35</v>
      </c>
      <c r="X2072" s="75">
        <f>STOCK[[#This Row],[Ganancia Unitaria]]*STOCK[[#This Row],[Salidas]]</f>
        <v>0</v>
      </c>
      <c r="Y2072" s="54"/>
      <c r="Z2072" s="118"/>
      <c r="AA2072" s="54"/>
      <c r="AB2072" s="54"/>
      <c r="AC2072" s="54"/>
      <c r="AD2072" s="96"/>
    </row>
    <row r="2073" spans="1:30" s="53" customFormat="1" ht="50" customHeight="1">
      <c r="A2073" s="93" t="s">
        <v>4019</v>
      </c>
      <c r="B2073" s="113"/>
      <c r="C2073" s="54"/>
      <c r="D2073" s="114" t="s">
        <v>488</v>
      </c>
      <c r="E2073" s="116" t="s">
        <v>4020</v>
      </c>
      <c r="F2073" s="120" t="s">
        <v>2109</v>
      </c>
      <c r="G2073" s="54"/>
      <c r="H2073" s="75">
        <f>STOCK[[#This Row],[Precio Final]]</f>
        <v>45</v>
      </c>
      <c r="I2073" s="80">
        <f>STOCK[[#This Row],[Precio Venta Ideal (x1.5)]]</f>
        <v>26.474999999999998</v>
      </c>
      <c r="J2073" s="117">
        <v>2</v>
      </c>
      <c r="K2073" s="78">
        <f>SUMIFS(VENTAS[Cantidad],VENTAS[Código del producto Vendido],STOCK[[#This Row],[Code]])</f>
        <v>0</v>
      </c>
      <c r="L2073" s="78">
        <f>STOCK[[#This Row],[Entradas]]-STOCK[[#This Row],[Salidas]]</f>
        <v>2</v>
      </c>
      <c r="M2073" s="75">
        <f>STOCK[[#This Row],[Precio Final]]*10%</f>
        <v>4.5</v>
      </c>
      <c r="N2073" s="54">
        <v>0</v>
      </c>
      <c r="O2073" s="75">
        <v>0</v>
      </c>
      <c r="P2073" s="54">
        <v>10.9</v>
      </c>
      <c r="Q2073" s="75">
        <v>0</v>
      </c>
      <c r="R2073" s="78">
        <v>0</v>
      </c>
      <c r="S2073" s="75">
        <v>2.25</v>
      </c>
      <c r="T2073" s="75">
        <f>STOCK[[#This Row],[Costo Unitario (USD)]]+STOCK[[#This Row],[Costo Envío (USD)]]+STOCK[[#This Row],[Comisión 10%]]</f>
        <v>17.649999999999999</v>
      </c>
      <c r="U2073" s="53">
        <f>STOCK[[#This Row],[Costo total]]*1.5</f>
        <v>26.474999999999998</v>
      </c>
      <c r="V2073" s="54">
        <v>45</v>
      </c>
      <c r="W2073" s="75">
        <f>STOCK[[#This Row],[Precio Final]]-STOCK[[#This Row],[Costo total]]</f>
        <v>27.35</v>
      </c>
      <c r="X2073" s="75">
        <f>STOCK[[#This Row],[Ganancia Unitaria]]*STOCK[[#This Row],[Salidas]]</f>
        <v>0</v>
      </c>
      <c r="Y2073" s="54"/>
      <c r="Z2073" s="118"/>
      <c r="AA2073" s="54"/>
      <c r="AB2073" s="54"/>
      <c r="AC2073" s="54"/>
      <c r="AD2073" s="96"/>
    </row>
    <row r="2074" spans="1:30" s="53" customFormat="1" ht="50" customHeight="1">
      <c r="A2074" s="93" t="s">
        <v>4021</v>
      </c>
      <c r="B2074" s="113"/>
      <c r="C2074" s="54"/>
      <c r="D2074" s="114" t="s">
        <v>488</v>
      </c>
      <c r="E2074" s="116" t="s">
        <v>4022</v>
      </c>
      <c r="F2074" s="120" t="s">
        <v>2109</v>
      </c>
      <c r="G2074" s="54"/>
      <c r="H2074" s="75">
        <f>STOCK[[#This Row],[Precio Final]]</f>
        <v>45</v>
      </c>
      <c r="I2074" s="80">
        <f>STOCK[[#This Row],[Precio Venta Ideal (x1.5)]]</f>
        <v>26.474999999999998</v>
      </c>
      <c r="J2074" s="117">
        <v>4</v>
      </c>
      <c r="K2074" s="78">
        <f>SUMIFS(VENTAS[Cantidad],VENTAS[Código del producto Vendido],STOCK[[#This Row],[Code]])</f>
        <v>0</v>
      </c>
      <c r="L2074" s="78">
        <f>STOCK[[#This Row],[Entradas]]-STOCK[[#This Row],[Salidas]]</f>
        <v>4</v>
      </c>
      <c r="M2074" s="75">
        <f>STOCK[[#This Row],[Precio Final]]*10%</f>
        <v>4.5</v>
      </c>
      <c r="N2074" s="54">
        <v>0</v>
      </c>
      <c r="O2074" s="75">
        <v>0</v>
      </c>
      <c r="P2074" s="54">
        <v>10.9</v>
      </c>
      <c r="Q2074" s="75">
        <v>0</v>
      </c>
      <c r="R2074" s="78">
        <v>0</v>
      </c>
      <c r="S2074" s="75">
        <v>2.25</v>
      </c>
      <c r="T2074" s="75">
        <f>STOCK[[#This Row],[Costo Unitario (USD)]]+STOCK[[#This Row],[Costo Envío (USD)]]+STOCK[[#This Row],[Comisión 10%]]</f>
        <v>17.649999999999999</v>
      </c>
      <c r="U2074" s="53">
        <f>STOCK[[#This Row],[Costo total]]*1.5</f>
        <v>26.474999999999998</v>
      </c>
      <c r="V2074" s="54">
        <v>45</v>
      </c>
      <c r="W2074" s="75">
        <f>STOCK[[#This Row],[Precio Final]]-STOCK[[#This Row],[Costo total]]</f>
        <v>27.35</v>
      </c>
      <c r="X2074" s="75">
        <f>STOCK[[#This Row],[Ganancia Unitaria]]*STOCK[[#This Row],[Salidas]]</f>
        <v>0</v>
      </c>
      <c r="Y2074" s="54"/>
      <c r="Z2074" s="118"/>
      <c r="AA2074" s="54"/>
      <c r="AB2074" s="54"/>
      <c r="AC2074" s="54"/>
      <c r="AD2074" s="96"/>
    </row>
    <row r="2075" spans="1:30" s="53" customFormat="1" ht="50" customHeight="1">
      <c r="A2075" s="93" t="s">
        <v>4023</v>
      </c>
      <c r="B2075" s="113"/>
      <c r="C2075" s="54"/>
      <c r="D2075" s="114" t="s">
        <v>488</v>
      </c>
      <c r="E2075" s="116" t="s">
        <v>4024</v>
      </c>
      <c r="F2075" s="120" t="s">
        <v>2109</v>
      </c>
      <c r="G2075" s="54"/>
      <c r="H2075" s="75">
        <f>STOCK[[#This Row],[Precio Final]]</f>
        <v>45</v>
      </c>
      <c r="I2075" s="80">
        <f>STOCK[[#This Row],[Precio Venta Ideal (x1.5)]]</f>
        <v>26.474999999999998</v>
      </c>
      <c r="J2075" s="117">
        <v>3</v>
      </c>
      <c r="K2075" s="78">
        <f>SUMIFS(VENTAS[Cantidad],VENTAS[Código del producto Vendido],STOCK[[#This Row],[Code]])</f>
        <v>0</v>
      </c>
      <c r="L2075" s="78">
        <f>STOCK[[#This Row],[Entradas]]-STOCK[[#This Row],[Salidas]]</f>
        <v>3</v>
      </c>
      <c r="M2075" s="75">
        <f>STOCK[[#This Row],[Precio Final]]*10%</f>
        <v>4.5</v>
      </c>
      <c r="N2075" s="54">
        <v>0</v>
      </c>
      <c r="O2075" s="75">
        <v>0</v>
      </c>
      <c r="P2075" s="54">
        <v>10.9</v>
      </c>
      <c r="Q2075" s="75">
        <v>0</v>
      </c>
      <c r="R2075" s="78">
        <v>0</v>
      </c>
      <c r="S2075" s="75">
        <v>2.25</v>
      </c>
      <c r="T2075" s="75">
        <f>STOCK[[#This Row],[Costo Unitario (USD)]]+STOCK[[#This Row],[Costo Envío (USD)]]+STOCK[[#This Row],[Comisión 10%]]</f>
        <v>17.649999999999999</v>
      </c>
      <c r="U2075" s="53">
        <f>STOCK[[#This Row],[Costo total]]*1.5</f>
        <v>26.474999999999998</v>
      </c>
      <c r="V2075" s="54">
        <v>45</v>
      </c>
      <c r="W2075" s="75">
        <f>STOCK[[#This Row],[Precio Final]]-STOCK[[#This Row],[Costo total]]</f>
        <v>27.35</v>
      </c>
      <c r="X2075" s="75">
        <f>STOCK[[#This Row],[Ganancia Unitaria]]*STOCK[[#This Row],[Salidas]]</f>
        <v>0</v>
      </c>
      <c r="Y2075" s="54"/>
      <c r="Z2075" s="118"/>
      <c r="AA2075" s="54"/>
      <c r="AB2075" s="54"/>
      <c r="AC2075" s="54"/>
      <c r="AD2075" s="96"/>
    </row>
    <row r="2076" spans="1:30" s="53" customFormat="1" ht="50" customHeight="1">
      <c r="A2076" s="93" t="s">
        <v>4025</v>
      </c>
      <c r="B2076" s="113"/>
      <c r="C2076" s="54"/>
      <c r="D2076" s="114" t="s">
        <v>392</v>
      </c>
      <c r="E2076" s="116" t="s">
        <v>4026</v>
      </c>
      <c r="F2076" s="120" t="s">
        <v>4016</v>
      </c>
      <c r="G2076" s="54"/>
      <c r="H2076" s="75">
        <f>STOCK[[#This Row],[Precio Final]]</f>
        <v>40</v>
      </c>
      <c r="I2076" s="80">
        <f>STOCK[[#This Row],[Precio Venta Ideal (x1.5)]]</f>
        <v>41.04</v>
      </c>
      <c r="J2076" s="117">
        <v>1</v>
      </c>
      <c r="K2076" s="78">
        <f>SUMIFS(VENTAS[Cantidad],VENTAS[Código del producto Vendido],STOCK[[#This Row],[Code]])</f>
        <v>0</v>
      </c>
      <c r="L2076" s="78">
        <f>STOCK[[#This Row],[Entradas]]-STOCK[[#This Row],[Salidas]]</f>
        <v>1</v>
      </c>
      <c r="M2076" s="75">
        <f>STOCK[[#This Row],[Precio Final]]*10%</f>
        <v>4</v>
      </c>
      <c r="N2076" s="54">
        <v>0</v>
      </c>
      <c r="O2076" s="75">
        <v>0</v>
      </c>
      <c r="P2076" s="54">
        <v>21.11</v>
      </c>
      <c r="Q2076" s="75">
        <v>0</v>
      </c>
      <c r="R2076" s="78">
        <v>0</v>
      </c>
      <c r="S2076" s="75">
        <v>2.25</v>
      </c>
      <c r="T2076" s="75">
        <f>STOCK[[#This Row],[Costo Unitario (USD)]]+STOCK[[#This Row],[Costo Envío (USD)]]+STOCK[[#This Row],[Comisión 10%]]</f>
        <v>27.36</v>
      </c>
      <c r="U2076" s="53">
        <f>STOCK[[#This Row],[Costo total]]*1.5</f>
        <v>41.04</v>
      </c>
      <c r="V2076" s="54">
        <v>40</v>
      </c>
      <c r="W2076" s="75">
        <f>STOCK[[#This Row],[Precio Final]]-STOCK[[#This Row],[Costo total]]</f>
        <v>12.64</v>
      </c>
      <c r="X2076" s="75">
        <f>STOCK[[#This Row],[Ganancia Unitaria]]*STOCK[[#This Row],[Salidas]]</f>
        <v>0</v>
      </c>
      <c r="Y2076" s="54"/>
      <c r="Z2076" s="118"/>
      <c r="AA2076" s="54"/>
      <c r="AB2076" s="54"/>
      <c r="AC2076" s="54"/>
      <c r="AD2076" s="96"/>
    </row>
    <row r="2077" spans="1:30" s="53" customFormat="1" ht="50" customHeight="1">
      <c r="A2077" s="93" t="s">
        <v>4027</v>
      </c>
      <c r="B2077" s="113"/>
      <c r="C2077" s="54"/>
      <c r="D2077" s="114" t="s">
        <v>44</v>
      </c>
      <c r="E2077" s="116" t="s">
        <v>4028</v>
      </c>
      <c r="F2077" s="120" t="s">
        <v>62</v>
      </c>
      <c r="G2077" s="54"/>
      <c r="H2077" s="75">
        <f>STOCK[[#This Row],[Precio Final]]</f>
        <v>30</v>
      </c>
      <c r="I2077" s="80">
        <f>STOCK[[#This Row],[Precio Venta Ideal (x1.5)]]</f>
        <v>25.575000000000003</v>
      </c>
      <c r="J2077" s="117">
        <v>2</v>
      </c>
      <c r="K2077" s="78">
        <f>SUMIFS(VENTAS[Cantidad],VENTAS[Código del producto Vendido],STOCK[[#This Row],[Code]])</f>
        <v>0</v>
      </c>
      <c r="L2077" s="78">
        <f>STOCK[[#This Row],[Entradas]]-STOCK[[#This Row],[Salidas]]</f>
        <v>2</v>
      </c>
      <c r="M2077" s="75">
        <f>STOCK[[#This Row],[Precio Final]]*10%</f>
        <v>3</v>
      </c>
      <c r="N2077" s="54">
        <v>0</v>
      </c>
      <c r="O2077" s="75">
        <v>0</v>
      </c>
      <c r="P2077" s="54">
        <v>9.0500000000000007</v>
      </c>
      <c r="Q2077" s="75">
        <v>0</v>
      </c>
      <c r="R2077" s="78">
        <v>0</v>
      </c>
      <c r="S2077" s="54">
        <v>5</v>
      </c>
      <c r="T2077" s="75">
        <f>STOCK[[#This Row],[Costo Unitario (USD)]]+STOCK[[#This Row],[Costo Envío (USD)]]+STOCK[[#This Row],[Comisión 10%]]</f>
        <v>17.05</v>
      </c>
      <c r="U2077" s="53">
        <f>STOCK[[#This Row],[Costo total]]*1.5</f>
        <v>25.575000000000003</v>
      </c>
      <c r="V2077" s="54">
        <v>30</v>
      </c>
      <c r="W2077" s="75">
        <f>STOCK[[#This Row],[Precio Final]]-STOCK[[#This Row],[Costo total]]</f>
        <v>12.95</v>
      </c>
      <c r="X2077" s="75">
        <f>STOCK[[#This Row],[Ganancia Unitaria]]*STOCK[[#This Row],[Salidas]]</f>
        <v>0</v>
      </c>
      <c r="Y2077" s="54"/>
      <c r="Z2077" s="118"/>
      <c r="AA2077" s="54"/>
      <c r="AB2077" s="54"/>
      <c r="AC2077" s="54"/>
      <c r="AD2077" s="96"/>
    </row>
    <row r="2078" spans="1:30" s="53" customFormat="1" ht="50" customHeight="1">
      <c r="A2078" s="93" t="s">
        <v>4029</v>
      </c>
      <c r="B2078" s="113"/>
      <c r="C2078" s="54"/>
      <c r="D2078" s="114" t="s">
        <v>44</v>
      </c>
      <c r="E2078" s="116" t="s">
        <v>4028</v>
      </c>
      <c r="F2078" s="120" t="s">
        <v>49</v>
      </c>
      <c r="G2078" s="54"/>
      <c r="H2078" s="75">
        <f>STOCK[[#This Row],[Precio Final]]</f>
        <v>30</v>
      </c>
      <c r="I2078" s="80">
        <f>STOCK[[#This Row],[Precio Venta Ideal (x1.5)]]</f>
        <v>25.575000000000003</v>
      </c>
      <c r="J2078" s="117">
        <v>2</v>
      </c>
      <c r="K2078" s="78">
        <f>SUMIFS(VENTAS[Cantidad],VENTAS[Código del producto Vendido],STOCK[[#This Row],[Code]])</f>
        <v>1</v>
      </c>
      <c r="L2078" s="78">
        <f>STOCK[[#This Row],[Entradas]]-STOCK[[#This Row],[Salidas]]</f>
        <v>1</v>
      </c>
      <c r="M2078" s="75">
        <f>STOCK[[#This Row],[Precio Final]]*10%</f>
        <v>3</v>
      </c>
      <c r="N2078" s="54">
        <v>0</v>
      </c>
      <c r="O2078" s="75">
        <v>0</v>
      </c>
      <c r="P2078" s="54">
        <v>9.0500000000000007</v>
      </c>
      <c r="Q2078" s="75">
        <v>0</v>
      </c>
      <c r="R2078" s="78">
        <v>0</v>
      </c>
      <c r="S2078" s="54">
        <v>5</v>
      </c>
      <c r="T2078" s="75">
        <f>STOCK[[#This Row],[Costo Unitario (USD)]]+STOCK[[#This Row],[Costo Envío (USD)]]+STOCK[[#This Row],[Comisión 10%]]</f>
        <v>17.05</v>
      </c>
      <c r="U2078" s="53">
        <f>STOCK[[#This Row],[Costo total]]*1.5</f>
        <v>25.575000000000003</v>
      </c>
      <c r="V2078" s="54">
        <v>30</v>
      </c>
      <c r="W2078" s="75">
        <f>STOCK[[#This Row],[Precio Final]]-STOCK[[#This Row],[Costo total]]</f>
        <v>12.95</v>
      </c>
      <c r="X2078" s="75">
        <f>STOCK[[#This Row],[Ganancia Unitaria]]*STOCK[[#This Row],[Salidas]]</f>
        <v>12.95</v>
      </c>
      <c r="Y2078" s="54"/>
      <c r="Z2078" s="118"/>
      <c r="AA2078" s="54"/>
      <c r="AB2078" s="54"/>
      <c r="AC2078" s="54"/>
      <c r="AD2078" s="96"/>
    </row>
    <row r="2079" spans="1:30" s="53" customFormat="1" ht="50" customHeight="1">
      <c r="A2079" s="93" t="s">
        <v>4030</v>
      </c>
      <c r="B2079" s="113"/>
      <c r="C2079" s="54"/>
      <c r="D2079" s="114" t="s">
        <v>44</v>
      </c>
      <c r="E2079" s="116" t="s">
        <v>4028</v>
      </c>
      <c r="F2079" s="120" t="s">
        <v>46</v>
      </c>
      <c r="G2079" s="54"/>
      <c r="H2079" s="75">
        <f>STOCK[[#This Row],[Precio Final]]</f>
        <v>30</v>
      </c>
      <c r="I2079" s="80">
        <f>STOCK[[#This Row],[Precio Venta Ideal (x1.5)]]</f>
        <v>25.575000000000003</v>
      </c>
      <c r="J2079" s="117">
        <v>3</v>
      </c>
      <c r="K2079" s="78">
        <f>SUMIFS(VENTAS[Cantidad],VENTAS[Código del producto Vendido],STOCK[[#This Row],[Code]])</f>
        <v>0</v>
      </c>
      <c r="L2079" s="78">
        <f>STOCK[[#This Row],[Entradas]]-STOCK[[#This Row],[Salidas]]</f>
        <v>3</v>
      </c>
      <c r="M2079" s="75">
        <f>STOCK[[#This Row],[Precio Final]]*10%</f>
        <v>3</v>
      </c>
      <c r="N2079" s="54">
        <v>0</v>
      </c>
      <c r="O2079" s="75">
        <v>0</v>
      </c>
      <c r="P2079" s="54">
        <v>9.0500000000000007</v>
      </c>
      <c r="Q2079" s="75">
        <v>0</v>
      </c>
      <c r="R2079" s="78">
        <v>0</v>
      </c>
      <c r="S2079" s="54">
        <v>5</v>
      </c>
      <c r="T2079" s="75">
        <f>STOCK[[#This Row],[Costo Unitario (USD)]]+STOCK[[#This Row],[Costo Envío (USD)]]+STOCK[[#This Row],[Comisión 10%]]</f>
        <v>17.05</v>
      </c>
      <c r="U2079" s="53">
        <f>STOCK[[#This Row],[Costo total]]*1.5</f>
        <v>25.575000000000003</v>
      </c>
      <c r="V2079" s="54">
        <v>30</v>
      </c>
      <c r="W2079" s="75">
        <f>STOCK[[#This Row],[Precio Final]]-STOCK[[#This Row],[Costo total]]</f>
        <v>12.95</v>
      </c>
      <c r="X2079" s="75">
        <f>STOCK[[#This Row],[Ganancia Unitaria]]*STOCK[[#This Row],[Salidas]]</f>
        <v>0</v>
      </c>
      <c r="Y2079" s="54"/>
      <c r="Z2079" s="118"/>
      <c r="AA2079" s="54"/>
      <c r="AB2079" s="54"/>
      <c r="AC2079" s="54"/>
      <c r="AD2079" s="96"/>
    </row>
    <row r="2080" spans="1:30" s="53" customFormat="1" ht="50" customHeight="1">
      <c r="A2080" s="93" t="s">
        <v>4031</v>
      </c>
      <c r="B2080" s="113"/>
      <c r="C2080" s="54"/>
      <c r="D2080" s="114" t="s">
        <v>515</v>
      </c>
      <c r="E2080" s="116" t="s">
        <v>4032</v>
      </c>
      <c r="F2080" s="120" t="s">
        <v>765</v>
      </c>
      <c r="G2080" s="54"/>
      <c r="H2080" s="75">
        <f>STOCK[[#This Row],[Precio Final]]</f>
        <v>40</v>
      </c>
      <c r="I2080" s="80">
        <f>STOCK[[#This Row],[Precio Venta Ideal (x1.5)]]</f>
        <v>35.715000000000003</v>
      </c>
      <c r="J2080" s="117">
        <v>2</v>
      </c>
      <c r="K2080" s="78">
        <f>SUMIFS(VENTAS[Cantidad],VENTAS[Código del producto Vendido],STOCK[[#This Row],[Code]])</f>
        <v>0</v>
      </c>
      <c r="L2080" s="78">
        <f>STOCK[[#This Row],[Entradas]]-STOCK[[#This Row],[Salidas]]</f>
        <v>2</v>
      </c>
      <c r="M2080" s="75">
        <f>STOCK[[#This Row],[Precio Final]]*10%</f>
        <v>4</v>
      </c>
      <c r="N2080" s="54">
        <v>0</v>
      </c>
      <c r="O2080" s="75">
        <v>0</v>
      </c>
      <c r="P2080" s="54">
        <v>14.81</v>
      </c>
      <c r="Q2080" s="54"/>
      <c r="R2080" s="70"/>
      <c r="S2080" s="54">
        <v>5</v>
      </c>
      <c r="T2080" s="75">
        <f>STOCK[[#This Row],[Costo Unitario (USD)]]+STOCK[[#This Row],[Costo Envío (USD)]]+STOCK[[#This Row],[Comisión 10%]]</f>
        <v>23.810000000000002</v>
      </c>
      <c r="U2080" s="53">
        <f>STOCK[[#This Row],[Costo total]]*1.5</f>
        <v>35.715000000000003</v>
      </c>
      <c r="V2080" s="54">
        <v>40</v>
      </c>
      <c r="W2080" s="75">
        <f>STOCK[[#This Row],[Precio Final]]-STOCK[[#This Row],[Costo total]]</f>
        <v>16.189999999999998</v>
      </c>
      <c r="X2080" s="75">
        <f>STOCK[[#This Row],[Ganancia Unitaria]]*STOCK[[#This Row],[Salidas]]</f>
        <v>0</v>
      </c>
      <c r="Y2080" s="54"/>
      <c r="Z2080" s="118"/>
      <c r="AA2080" s="54"/>
      <c r="AB2080" s="54"/>
      <c r="AC2080" s="54"/>
      <c r="AD2080" s="96"/>
    </row>
    <row r="2081" spans="1:30" s="53" customFormat="1" ht="50" customHeight="1">
      <c r="A2081" s="93" t="s">
        <v>4033</v>
      </c>
      <c r="B2081" s="113"/>
      <c r="C2081" s="54"/>
      <c r="D2081" s="114" t="s">
        <v>515</v>
      </c>
      <c r="E2081" s="116" t="s">
        <v>4032</v>
      </c>
      <c r="F2081" s="120" t="s">
        <v>540</v>
      </c>
      <c r="G2081" s="54"/>
      <c r="H2081" s="75">
        <f>STOCK[[#This Row],[Precio Final]]</f>
        <v>40</v>
      </c>
      <c r="I2081" s="80">
        <f>STOCK[[#This Row],[Precio Venta Ideal (x1.5)]]</f>
        <v>35.715000000000003</v>
      </c>
      <c r="J2081" s="117">
        <v>2</v>
      </c>
      <c r="K2081" s="78">
        <f>SUMIFS(VENTAS[Cantidad],VENTAS[Código del producto Vendido],STOCK[[#This Row],[Code]])</f>
        <v>0</v>
      </c>
      <c r="L2081" s="78">
        <f>STOCK[[#This Row],[Entradas]]-STOCK[[#This Row],[Salidas]]</f>
        <v>2</v>
      </c>
      <c r="M2081" s="75">
        <f>STOCK[[#This Row],[Precio Final]]*10%</f>
        <v>4</v>
      </c>
      <c r="N2081" s="54">
        <v>0</v>
      </c>
      <c r="O2081" s="75">
        <v>0</v>
      </c>
      <c r="P2081" s="54">
        <v>14.81</v>
      </c>
      <c r="Q2081" s="54"/>
      <c r="R2081" s="70"/>
      <c r="S2081" s="54">
        <v>5</v>
      </c>
      <c r="T2081" s="75">
        <f>STOCK[[#This Row],[Costo Unitario (USD)]]+STOCK[[#This Row],[Costo Envío (USD)]]+STOCK[[#This Row],[Comisión 10%]]</f>
        <v>23.810000000000002</v>
      </c>
      <c r="U2081" s="53">
        <f>STOCK[[#This Row],[Costo total]]*1.5</f>
        <v>35.715000000000003</v>
      </c>
      <c r="V2081" s="54">
        <v>40</v>
      </c>
      <c r="W2081" s="75">
        <f>STOCK[[#This Row],[Precio Final]]-STOCK[[#This Row],[Costo total]]</f>
        <v>16.189999999999998</v>
      </c>
      <c r="X2081" s="75">
        <f>STOCK[[#This Row],[Ganancia Unitaria]]*STOCK[[#This Row],[Salidas]]</f>
        <v>0</v>
      </c>
      <c r="Y2081" s="54"/>
      <c r="Z2081" s="118"/>
      <c r="AA2081" s="54"/>
      <c r="AB2081" s="54"/>
      <c r="AC2081" s="54"/>
      <c r="AD2081" s="96"/>
    </row>
    <row r="2082" spans="1:30" s="53" customFormat="1" ht="50" customHeight="1">
      <c r="A2082" s="93" t="s">
        <v>4034</v>
      </c>
      <c r="B2082" s="113"/>
      <c r="C2082" s="54"/>
      <c r="D2082" s="114" t="s">
        <v>515</v>
      </c>
      <c r="E2082" s="116" t="s">
        <v>4032</v>
      </c>
      <c r="F2082" s="120" t="s">
        <v>759</v>
      </c>
      <c r="G2082" s="54"/>
      <c r="H2082" s="75">
        <f>STOCK[[#This Row],[Precio Final]]</f>
        <v>35</v>
      </c>
      <c r="I2082" s="80">
        <f>STOCK[[#This Row],[Precio Venta Ideal (x1.5)]]</f>
        <v>34.965000000000003</v>
      </c>
      <c r="J2082" s="117">
        <v>2</v>
      </c>
      <c r="K2082" s="78">
        <f>SUMIFS(VENTAS[Cantidad],VENTAS[Código del producto Vendido],STOCK[[#This Row],[Code]])</f>
        <v>0</v>
      </c>
      <c r="L2082" s="78">
        <f>STOCK[[#This Row],[Entradas]]-STOCK[[#This Row],[Salidas]]</f>
        <v>2</v>
      </c>
      <c r="M2082" s="75">
        <f>STOCK[[#This Row],[Precio Final]]*10%</f>
        <v>3.5</v>
      </c>
      <c r="N2082" s="54">
        <v>0</v>
      </c>
      <c r="O2082" s="75">
        <v>0</v>
      </c>
      <c r="P2082" s="54">
        <v>14.81</v>
      </c>
      <c r="Q2082" s="54"/>
      <c r="R2082" s="70"/>
      <c r="S2082" s="54">
        <v>5</v>
      </c>
      <c r="T2082" s="75">
        <f>STOCK[[#This Row],[Costo Unitario (USD)]]+STOCK[[#This Row],[Costo Envío (USD)]]+STOCK[[#This Row],[Comisión 10%]]</f>
        <v>23.310000000000002</v>
      </c>
      <c r="U2082" s="53">
        <f>STOCK[[#This Row],[Costo total]]*1.5</f>
        <v>34.965000000000003</v>
      </c>
      <c r="V2082" s="54">
        <v>35</v>
      </c>
      <c r="W2082" s="75">
        <f>STOCK[[#This Row],[Precio Final]]-STOCK[[#This Row],[Costo total]]</f>
        <v>11.689999999999998</v>
      </c>
      <c r="X2082" s="75">
        <f>STOCK[[#This Row],[Ganancia Unitaria]]*STOCK[[#This Row],[Salidas]]</f>
        <v>0</v>
      </c>
      <c r="Y2082" s="54"/>
      <c r="Z2082" s="118"/>
      <c r="AA2082" s="54"/>
      <c r="AB2082" s="54"/>
      <c r="AC2082" s="54"/>
      <c r="AD2082" s="96"/>
    </row>
    <row r="2083" spans="1:30" s="53" customFormat="1" ht="50" customHeight="1">
      <c r="A2083" s="93" t="s">
        <v>4035</v>
      </c>
      <c r="B2083" s="113"/>
      <c r="C2083" s="54"/>
      <c r="D2083" s="114" t="s">
        <v>392</v>
      </c>
      <c r="E2083" s="116" t="s">
        <v>4036</v>
      </c>
      <c r="F2083" s="120" t="s">
        <v>4037</v>
      </c>
      <c r="G2083" s="54"/>
      <c r="H2083" s="75">
        <f>STOCK[[#This Row],[Precio Final]]</f>
        <v>22</v>
      </c>
      <c r="I2083" s="80">
        <f>STOCK[[#This Row],[Precio Venta Ideal (x1.5)]]</f>
        <v>14.25</v>
      </c>
      <c r="J2083" s="117">
        <v>1</v>
      </c>
      <c r="K2083" s="78">
        <f>SUMIFS(VENTAS[Cantidad],VENTAS[Código del producto Vendido],STOCK[[#This Row],[Code]])</f>
        <v>0</v>
      </c>
      <c r="L2083" s="78">
        <f>STOCK[[#This Row],[Entradas]]-STOCK[[#This Row],[Salidas]]</f>
        <v>1</v>
      </c>
      <c r="M2083" s="54"/>
      <c r="N2083" s="54">
        <v>0</v>
      </c>
      <c r="O2083" s="75">
        <v>0</v>
      </c>
      <c r="P2083" s="54">
        <v>7</v>
      </c>
      <c r="Q2083" s="54"/>
      <c r="R2083" s="70"/>
      <c r="S2083" s="54">
        <v>2.5</v>
      </c>
      <c r="T2083" s="75">
        <f>STOCK[[#This Row],[Costo Unitario (USD)]]+STOCK[[#This Row],[Costo Envío (USD)]]+STOCK[[#This Row],[Comisión 10%]]</f>
        <v>9.5</v>
      </c>
      <c r="U2083" s="53">
        <f>STOCK[[#This Row],[Costo total]]*1.5</f>
        <v>14.25</v>
      </c>
      <c r="V2083" s="54">
        <v>22</v>
      </c>
      <c r="W2083" s="75">
        <f>STOCK[[#This Row],[Precio Final]]-STOCK[[#This Row],[Costo total]]</f>
        <v>12.5</v>
      </c>
      <c r="X2083" s="75">
        <f>STOCK[[#This Row],[Ganancia Unitaria]]*STOCK[[#This Row],[Salidas]]</f>
        <v>0</v>
      </c>
      <c r="Y2083" s="54"/>
      <c r="Z2083" s="118"/>
      <c r="AA2083" s="54"/>
      <c r="AB2083" s="54"/>
      <c r="AC2083" s="54"/>
      <c r="AD2083" s="96"/>
    </row>
    <row r="2084" spans="1:30" s="53" customFormat="1" ht="50" customHeight="1">
      <c r="A2084" s="93" t="s">
        <v>4038</v>
      </c>
      <c r="B2084" s="113"/>
      <c r="C2084" s="54"/>
      <c r="D2084" s="114" t="s">
        <v>392</v>
      </c>
      <c r="E2084" s="116" t="s">
        <v>4039</v>
      </c>
      <c r="F2084" s="120" t="s">
        <v>4037</v>
      </c>
      <c r="G2084" s="54"/>
      <c r="H2084" s="75">
        <f>STOCK[[#This Row],[Precio Final]]</f>
        <v>22</v>
      </c>
      <c r="I2084" s="80">
        <f>STOCK[[#This Row],[Precio Venta Ideal (x1.5)]]</f>
        <v>14.25</v>
      </c>
      <c r="J2084" s="117">
        <v>1</v>
      </c>
      <c r="K2084" s="78">
        <f>SUMIFS(VENTAS[Cantidad],VENTAS[Código del producto Vendido],STOCK[[#This Row],[Code]])</f>
        <v>0</v>
      </c>
      <c r="L2084" s="78">
        <f>STOCK[[#This Row],[Entradas]]-STOCK[[#This Row],[Salidas]]</f>
        <v>1</v>
      </c>
      <c r="M2084" s="54"/>
      <c r="N2084" s="54">
        <v>0</v>
      </c>
      <c r="O2084" s="75">
        <v>0</v>
      </c>
      <c r="P2084" s="54">
        <v>7</v>
      </c>
      <c r="Q2084" s="54"/>
      <c r="R2084" s="70"/>
      <c r="S2084" s="54">
        <v>2.5</v>
      </c>
      <c r="T2084" s="75">
        <f>STOCK[[#This Row],[Costo Unitario (USD)]]+STOCK[[#This Row],[Costo Envío (USD)]]+STOCK[[#This Row],[Comisión 10%]]</f>
        <v>9.5</v>
      </c>
      <c r="U2084" s="53">
        <f>STOCK[[#This Row],[Costo total]]*1.5</f>
        <v>14.25</v>
      </c>
      <c r="V2084" s="54">
        <v>22</v>
      </c>
      <c r="W2084" s="75">
        <f>STOCK[[#This Row],[Precio Final]]-STOCK[[#This Row],[Costo total]]</f>
        <v>12.5</v>
      </c>
      <c r="X2084" s="75">
        <f>STOCK[[#This Row],[Ganancia Unitaria]]*STOCK[[#This Row],[Salidas]]</f>
        <v>0</v>
      </c>
      <c r="Y2084" s="54"/>
      <c r="Z2084" s="118"/>
      <c r="AA2084" s="54"/>
      <c r="AB2084" s="54"/>
      <c r="AC2084" s="54"/>
      <c r="AD2084" s="96"/>
    </row>
    <row r="2085" spans="1:30" s="53" customFormat="1" ht="50" customHeight="1">
      <c r="A2085" s="93" t="s">
        <v>4040</v>
      </c>
      <c r="B2085" s="113"/>
      <c r="C2085" s="54"/>
      <c r="D2085" s="114" t="s">
        <v>392</v>
      </c>
      <c r="E2085" s="116" t="s">
        <v>4041</v>
      </c>
      <c r="F2085" s="120" t="s">
        <v>4037</v>
      </c>
      <c r="G2085" s="54"/>
      <c r="H2085" s="75">
        <f>STOCK[[#This Row],[Precio Final]]</f>
        <v>22</v>
      </c>
      <c r="I2085" s="80">
        <f>STOCK[[#This Row],[Precio Venta Ideal (x1.5)]]</f>
        <v>14.25</v>
      </c>
      <c r="J2085" s="117">
        <v>1</v>
      </c>
      <c r="K2085" s="78">
        <f>SUMIFS(VENTAS[Cantidad],VENTAS[Código del producto Vendido],STOCK[[#This Row],[Code]])</f>
        <v>0</v>
      </c>
      <c r="L2085" s="78">
        <f>STOCK[[#This Row],[Entradas]]-STOCK[[#This Row],[Salidas]]</f>
        <v>1</v>
      </c>
      <c r="M2085" s="54"/>
      <c r="N2085" s="54">
        <v>0</v>
      </c>
      <c r="O2085" s="75">
        <v>0</v>
      </c>
      <c r="P2085" s="54">
        <v>7</v>
      </c>
      <c r="Q2085" s="54"/>
      <c r="R2085" s="70"/>
      <c r="S2085" s="54">
        <v>2.5</v>
      </c>
      <c r="T2085" s="75">
        <f>STOCK[[#This Row],[Costo Unitario (USD)]]+STOCK[[#This Row],[Costo Envío (USD)]]+STOCK[[#This Row],[Comisión 10%]]</f>
        <v>9.5</v>
      </c>
      <c r="U2085" s="53">
        <f>STOCK[[#This Row],[Costo total]]*1.5</f>
        <v>14.25</v>
      </c>
      <c r="V2085" s="54">
        <v>22</v>
      </c>
      <c r="W2085" s="75">
        <f>STOCK[[#This Row],[Precio Final]]-STOCK[[#This Row],[Costo total]]</f>
        <v>12.5</v>
      </c>
      <c r="X2085" s="75">
        <f>STOCK[[#This Row],[Ganancia Unitaria]]*STOCK[[#This Row],[Salidas]]</f>
        <v>0</v>
      </c>
      <c r="Y2085" s="54"/>
      <c r="Z2085" s="118"/>
      <c r="AA2085" s="54"/>
      <c r="AB2085" s="54"/>
      <c r="AC2085" s="54"/>
      <c r="AD2085" s="96"/>
    </row>
    <row r="2086" spans="1:30" s="53" customFormat="1" ht="50" customHeight="1">
      <c r="A2086" s="93" t="s">
        <v>4042</v>
      </c>
      <c r="B2086" s="113"/>
      <c r="C2086" s="54"/>
      <c r="D2086" s="114" t="s">
        <v>392</v>
      </c>
      <c r="E2086" s="116" t="s">
        <v>4043</v>
      </c>
      <c r="F2086" s="120" t="s">
        <v>4037</v>
      </c>
      <c r="G2086" s="54"/>
      <c r="H2086" s="75">
        <f>STOCK[[#This Row],[Precio Final]]</f>
        <v>22</v>
      </c>
      <c r="I2086" s="80">
        <f>STOCK[[#This Row],[Precio Venta Ideal (x1.5)]]</f>
        <v>14.25</v>
      </c>
      <c r="J2086" s="117">
        <v>1</v>
      </c>
      <c r="K2086" s="78">
        <f>SUMIFS(VENTAS[Cantidad],VENTAS[Código del producto Vendido],STOCK[[#This Row],[Code]])</f>
        <v>0</v>
      </c>
      <c r="L2086" s="78">
        <f>STOCK[[#This Row],[Entradas]]-STOCK[[#This Row],[Salidas]]</f>
        <v>1</v>
      </c>
      <c r="M2086" s="54"/>
      <c r="N2086" s="54"/>
      <c r="O2086" s="54"/>
      <c r="P2086" s="54">
        <v>7</v>
      </c>
      <c r="Q2086" s="54"/>
      <c r="R2086" s="70"/>
      <c r="S2086" s="54">
        <v>2.5</v>
      </c>
      <c r="T2086" s="75">
        <f>STOCK[[#This Row],[Costo Unitario (USD)]]+STOCK[[#This Row],[Costo Envío (USD)]]+STOCK[[#This Row],[Comisión 10%]]</f>
        <v>9.5</v>
      </c>
      <c r="U2086" s="53">
        <f>STOCK[[#This Row],[Costo total]]*1.5</f>
        <v>14.25</v>
      </c>
      <c r="V2086" s="54">
        <v>22</v>
      </c>
      <c r="W2086" s="75">
        <f>STOCK[[#This Row],[Precio Final]]-STOCK[[#This Row],[Costo total]]</f>
        <v>12.5</v>
      </c>
      <c r="X2086" s="75">
        <f>STOCK[[#This Row],[Ganancia Unitaria]]*STOCK[[#This Row],[Salidas]]</f>
        <v>0</v>
      </c>
      <c r="Y2086" s="54"/>
      <c r="Z2086" s="118"/>
      <c r="AA2086" s="54"/>
      <c r="AB2086" s="54"/>
      <c r="AC2086" s="54"/>
      <c r="AD2086" s="96"/>
    </row>
    <row r="2087" spans="1:30" s="53" customFormat="1" ht="50" customHeight="1">
      <c r="A2087" s="93" t="s">
        <v>4044</v>
      </c>
      <c r="B2087" s="113"/>
      <c r="C2087" s="54"/>
      <c r="D2087" s="114" t="s">
        <v>392</v>
      </c>
      <c r="E2087" s="116" t="s">
        <v>4045</v>
      </c>
      <c r="F2087" s="120" t="s">
        <v>4037</v>
      </c>
      <c r="G2087" s="54"/>
      <c r="H2087" s="75">
        <f>STOCK[[#This Row],[Precio Final]]</f>
        <v>22</v>
      </c>
      <c r="I2087" s="80">
        <f>STOCK[[#This Row],[Precio Venta Ideal (x1.5)]]</f>
        <v>14.25</v>
      </c>
      <c r="J2087" s="117">
        <v>1</v>
      </c>
      <c r="K2087" s="78">
        <f>SUMIFS(VENTAS[Cantidad],VENTAS[Código del producto Vendido],STOCK[[#This Row],[Code]])</f>
        <v>0</v>
      </c>
      <c r="L2087" s="78">
        <f>STOCK[[#This Row],[Entradas]]-STOCK[[#This Row],[Salidas]]</f>
        <v>1</v>
      </c>
      <c r="M2087" s="54"/>
      <c r="N2087" s="54"/>
      <c r="O2087" s="54"/>
      <c r="P2087" s="54">
        <v>7</v>
      </c>
      <c r="Q2087" s="54"/>
      <c r="R2087" s="70"/>
      <c r="S2087" s="54">
        <v>2.5</v>
      </c>
      <c r="T2087" s="75">
        <f>STOCK[[#This Row],[Costo Unitario (USD)]]+STOCK[[#This Row],[Costo Envío (USD)]]+STOCK[[#This Row],[Comisión 10%]]</f>
        <v>9.5</v>
      </c>
      <c r="U2087" s="53">
        <f>STOCK[[#This Row],[Costo total]]*1.5</f>
        <v>14.25</v>
      </c>
      <c r="V2087" s="54">
        <v>22</v>
      </c>
      <c r="W2087" s="75">
        <f>STOCK[[#This Row],[Precio Final]]-STOCK[[#This Row],[Costo total]]</f>
        <v>12.5</v>
      </c>
      <c r="X2087" s="75">
        <f>STOCK[[#This Row],[Ganancia Unitaria]]*STOCK[[#This Row],[Salidas]]</f>
        <v>0</v>
      </c>
      <c r="Y2087" s="54"/>
      <c r="Z2087" s="118"/>
      <c r="AA2087" s="54"/>
      <c r="AB2087" s="54"/>
      <c r="AC2087" s="54"/>
      <c r="AD2087" s="96"/>
    </row>
    <row r="2088" spans="1:30" s="53" customFormat="1" ht="50" customHeight="1">
      <c r="A2088" s="93" t="s">
        <v>4046</v>
      </c>
      <c r="B2088" s="113"/>
      <c r="C2088" s="54"/>
      <c r="D2088" s="114" t="s">
        <v>392</v>
      </c>
      <c r="E2088" s="116" t="s">
        <v>4047</v>
      </c>
      <c r="F2088" s="120" t="s">
        <v>4037</v>
      </c>
      <c r="G2088" s="54"/>
      <c r="H2088" s="75">
        <f>STOCK[[#This Row],[Precio Final]]</f>
        <v>22</v>
      </c>
      <c r="I2088" s="80">
        <f>STOCK[[#This Row],[Precio Venta Ideal (x1.5)]]</f>
        <v>14.25</v>
      </c>
      <c r="J2088" s="117">
        <v>1</v>
      </c>
      <c r="K2088" s="78">
        <f>SUMIFS(VENTAS[Cantidad],VENTAS[Código del producto Vendido],STOCK[[#This Row],[Code]])</f>
        <v>1</v>
      </c>
      <c r="L2088" s="121">
        <f>STOCK[[#This Row],[Entradas]]-STOCK[[#This Row],[Salidas]]</f>
        <v>0</v>
      </c>
      <c r="M2088" s="54"/>
      <c r="N2088" s="54"/>
      <c r="O2088" s="54"/>
      <c r="P2088" s="54">
        <v>7</v>
      </c>
      <c r="Q2088" s="54"/>
      <c r="R2088" s="70"/>
      <c r="S2088" s="54">
        <v>2.5</v>
      </c>
      <c r="T2088" s="75">
        <f>STOCK[[#This Row],[Costo Unitario (USD)]]+STOCK[[#This Row],[Costo Envío (USD)]]+STOCK[[#This Row],[Comisión 10%]]</f>
        <v>9.5</v>
      </c>
      <c r="U2088" s="53">
        <f>STOCK[[#This Row],[Costo total]]*1.5</f>
        <v>14.25</v>
      </c>
      <c r="V2088" s="54">
        <v>22</v>
      </c>
      <c r="W2088" s="75">
        <f>STOCK[[#This Row],[Precio Final]]-STOCK[[#This Row],[Costo total]]</f>
        <v>12.5</v>
      </c>
      <c r="X2088" s="75">
        <f>STOCK[[#This Row],[Ganancia Unitaria]]*STOCK[[#This Row],[Salidas]]</f>
        <v>12.5</v>
      </c>
      <c r="Y2088" s="54"/>
      <c r="Z2088" s="118"/>
      <c r="AA2088" s="54"/>
      <c r="AB2088" s="54"/>
      <c r="AC2088" s="54"/>
      <c r="AD2088" s="96"/>
    </row>
    <row r="2089" spans="1:30" s="53" customFormat="1" ht="50" customHeight="1">
      <c r="A2089" s="93" t="s">
        <v>4048</v>
      </c>
      <c r="B2089" s="113"/>
      <c r="C2089" s="54"/>
      <c r="D2089" s="114" t="s">
        <v>392</v>
      </c>
      <c r="E2089" s="116" t="s">
        <v>4049</v>
      </c>
      <c r="F2089" s="120" t="s">
        <v>4037</v>
      </c>
      <c r="G2089" s="54"/>
      <c r="H2089" s="75">
        <f>STOCK[[#This Row],[Precio Final]]</f>
        <v>22</v>
      </c>
      <c r="I2089" s="80">
        <f>STOCK[[#This Row],[Precio Venta Ideal (x1.5)]]</f>
        <v>14.25</v>
      </c>
      <c r="J2089" s="117">
        <v>1</v>
      </c>
      <c r="K2089" s="78">
        <f>SUMIFS(VENTAS[Cantidad],VENTAS[Código del producto Vendido],STOCK[[#This Row],[Code]])</f>
        <v>0</v>
      </c>
      <c r="L2089" s="121">
        <f>STOCK[[#This Row],[Entradas]]-STOCK[[#This Row],[Salidas]]</f>
        <v>1</v>
      </c>
      <c r="M2089" s="54"/>
      <c r="N2089" s="54"/>
      <c r="O2089" s="54"/>
      <c r="P2089" s="54">
        <v>7</v>
      </c>
      <c r="Q2089" s="54"/>
      <c r="R2089" s="70"/>
      <c r="S2089" s="54">
        <v>2.5</v>
      </c>
      <c r="T2089" s="75">
        <f>STOCK[[#This Row],[Costo Unitario (USD)]]+STOCK[[#This Row],[Costo Envío (USD)]]+STOCK[[#This Row],[Comisión 10%]]</f>
        <v>9.5</v>
      </c>
      <c r="U2089" s="53">
        <f>STOCK[[#This Row],[Costo total]]*1.5</f>
        <v>14.25</v>
      </c>
      <c r="V2089" s="54">
        <v>22</v>
      </c>
      <c r="W2089" s="75">
        <f>STOCK[[#This Row],[Precio Final]]-STOCK[[#This Row],[Costo total]]</f>
        <v>12.5</v>
      </c>
      <c r="X2089" s="75">
        <f>STOCK[[#This Row],[Ganancia Unitaria]]*STOCK[[#This Row],[Salidas]]</f>
        <v>0</v>
      </c>
      <c r="Y2089" s="54"/>
      <c r="Z2089" s="118"/>
      <c r="AA2089" s="54"/>
      <c r="AB2089" s="54"/>
      <c r="AC2089" s="54"/>
      <c r="AD2089" s="96"/>
    </row>
    <row r="2090" spans="1:30" s="53" customFormat="1" ht="50" customHeight="1">
      <c r="A2090" s="93" t="s">
        <v>4050</v>
      </c>
      <c r="B2090" s="113"/>
      <c r="C2090" s="54"/>
      <c r="D2090" s="114" t="s">
        <v>392</v>
      </c>
      <c r="E2090" s="116" t="s">
        <v>4051</v>
      </c>
      <c r="F2090" s="120" t="s">
        <v>4037</v>
      </c>
      <c r="G2090" s="54"/>
      <c r="H2090" s="75">
        <f>STOCK[[#This Row],[Precio Final]]</f>
        <v>22</v>
      </c>
      <c r="I2090" s="80">
        <f>STOCK[[#This Row],[Precio Venta Ideal (x1.5)]]</f>
        <v>14.25</v>
      </c>
      <c r="J2090" s="117">
        <v>1</v>
      </c>
      <c r="K2090" s="78">
        <f>SUMIFS(VENTAS[Cantidad],VENTAS[Código del producto Vendido],STOCK[[#This Row],[Code]])</f>
        <v>0</v>
      </c>
      <c r="L2090" s="121">
        <f>STOCK[[#This Row],[Entradas]]-STOCK[[#This Row],[Salidas]]</f>
        <v>1</v>
      </c>
      <c r="M2090" s="54"/>
      <c r="N2090" s="54"/>
      <c r="O2090" s="54"/>
      <c r="P2090" s="54">
        <v>7</v>
      </c>
      <c r="Q2090" s="54"/>
      <c r="R2090" s="70"/>
      <c r="S2090" s="54">
        <v>2.5</v>
      </c>
      <c r="T2090" s="75">
        <f>STOCK[[#This Row],[Costo Unitario (USD)]]+STOCK[[#This Row],[Costo Envío (USD)]]+STOCK[[#This Row],[Comisión 10%]]</f>
        <v>9.5</v>
      </c>
      <c r="U2090" s="53">
        <f>STOCK[[#This Row],[Costo total]]*1.5</f>
        <v>14.25</v>
      </c>
      <c r="V2090" s="54">
        <v>22</v>
      </c>
      <c r="W2090" s="75">
        <f>STOCK[[#This Row],[Precio Final]]-STOCK[[#This Row],[Costo total]]</f>
        <v>12.5</v>
      </c>
      <c r="X2090" s="75">
        <f>STOCK[[#This Row],[Ganancia Unitaria]]*STOCK[[#This Row],[Salidas]]</f>
        <v>0</v>
      </c>
      <c r="Y2090" s="54"/>
      <c r="Z2090" s="118"/>
      <c r="AA2090" s="54"/>
      <c r="AB2090" s="54"/>
      <c r="AC2090" s="54"/>
      <c r="AD2090" s="96"/>
    </row>
    <row r="2091" spans="1:30" s="53" customFormat="1" ht="50" customHeight="1">
      <c r="A2091" s="93" t="s">
        <v>4052</v>
      </c>
      <c r="B2091" s="113"/>
      <c r="C2091" s="54"/>
      <c r="D2091" s="114" t="s">
        <v>392</v>
      </c>
      <c r="E2091" s="116" t="s">
        <v>4053</v>
      </c>
      <c r="F2091" s="120" t="s">
        <v>4037</v>
      </c>
      <c r="G2091" s="54"/>
      <c r="H2091" s="75">
        <f>STOCK[[#This Row],[Precio Final]]</f>
        <v>22</v>
      </c>
      <c r="I2091" s="80">
        <f>STOCK[[#This Row],[Precio Venta Ideal (x1.5)]]</f>
        <v>14.25</v>
      </c>
      <c r="J2091" s="117">
        <v>1</v>
      </c>
      <c r="K2091" s="78">
        <f>SUMIFS(VENTAS[Cantidad],VENTAS[Código del producto Vendido],STOCK[[#This Row],[Code]])</f>
        <v>0</v>
      </c>
      <c r="L2091" s="121">
        <f>STOCK[[#This Row],[Entradas]]-STOCK[[#This Row],[Salidas]]</f>
        <v>1</v>
      </c>
      <c r="M2091" s="54"/>
      <c r="N2091" s="54"/>
      <c r="O2091" s="54"/>
      <c r="P2091" s="54">
        <v>7</v>
      </c>
      <c r="Q2091" s="54"/>
      <c r="R2091" s="70"/>
      <c r="S2091" s="54">
        <v>2.5</v>
      </c>
      <c r="T2091" s="75">
        <f>STOCK[[#This Row],[Costo Unitario (USD)]]+STOCK[[#This Row],[Costo Envío (USD)]]+STOCK[[#This Row],[Comisión 10%]]</f>
        <v>9.5</v>
      </c>
      <c r="U2091" s="53">
        <f>STOCK[[#This Row],[Costo total]]*1.5</f>
        <v>14.25</v>
      </c>
      <c r="V2091" s="54">
        <v>22</v>
      </c>
      <c r="W2091" s="75">
        <f>STOCK[[#This Row],[Precio Final]]-STOCK[[#This Row],[Costo total]]</f>
        <v>12.5</v>
      </c>
      <c r="X2091" s="75">
        <f>STOCK[[#This Row],[Ganancia Unitaria]]*STOCK[[#This Row],[Salidas]]</f>
        <v>0</v>
      </c>
      <c r="Y2091" s="54"/>
      <c r="Z2091" s="118"/>
      <c r="AA2091" s="54"/>
      <c r="AB2091" s="54"/>
      <c r="AC2091" s="54"/>
      <c r="AD2091" s="96"/>
    </row>
    <row r="2092" spans="1:30" s="53" customFormat="1" ht="50" customHeight="1">
      <c r="A2092" s="93" t="s">
        <v>4054</v>
      </c>
      <c r="B2092" s="113"/>
      <c r="C2092" s="54"/>
      <c r="D2092" s="114" t="s">
        <v>392</v>
      </c>
      <c r="E2092" s="116" t="s">
        <v>4055</v>
      </c>
      <c r="F2092" s="120" t="s">
        <v>4037</v>
      </c>
      <c r="G2092" s="54"/>
      <c r="H2092" s="75">
        <f>STOCK[[#This Row],[Precio Final]]</f>
        <v>22</v>
      </c>
      <c r="I2092" s="80">
        <f>STOCK[[#This Row],[Precio Venta Ideal (x1.5)]]</f>
        <v>14.25</v>
      </c>
      <c r="J2092" s="117">
        <v>1</v>
      </c>
      <c r="K2092" s="78">
        <f>SUMIFS(VENTAS[Cantidad],VENTAS[Código del producto Vendido],STOCK[[#This Row],[Code]])</f>
        <v>0</v>
      </c>
      <c r="L2092" s="121">
        <f>STOCK[[#This Row],[Entradas]]-STOCK[[#This Row],[Salidas]]</f>
        <v>1</v>
      </c>
      <c r="M2092" s="54"/>
      <c r="N2092" s="54"/>
      <c r="O2092" s="54"/>
      <c r="P2092" s="54">
        <v>7</v>
      </c>
      <c r="Q2092" s="54"/>
      <c r="R2092" s="70"/>
      <c r="S2092" s="54">
        <v>2.5</v>
      </c>
      <c r="T2092" s="75">
        <f>STOCK[[#This Row],[Costo Unitario (USD)]]+STOCK[[#This Row],[Costo Envío (USD)]]+STOCK[[#This Row],[Comisión 10%]]</f>
        <v>9.5</v>
      </c>
      <c r="U2092" s="53">
        <f>STOCK[[#This Row],[Costo total]]*1.5</f>
        <v>14.25</v>
      </c>
      <c r="V2092" s="54">
        <v>22</v>
      </c>
      <c r="W2092" s="75">
        <f>STOCK[[#This Row],[Precio Final]]-STOCK[[#This Row],[Costo total]]</f>
        <v>12.5</v>
      </c>
      <c r="X2092" s="75">
        <f>STOCK[[#This Row],[Ganancia Unitaria]]*STOCK[[#This Row],[Salidas]]</f>
        <v>0</v>
      </c>
      <c r="Y2092" s="54"/>
      <c r="Z2092" s="118"/>
      <c r="AA2092" s="54"/>
      <c r="AB2092" s="54"/>
      <c r="AC2092" s="54"/>
      <c r="AD2092" s="96"/>
    </row>
    <row r="2093" spans="1:30" s="53" customFormat="1" ht="50" customHeight="1">
      <c r="A2093" s="93" t="s">
        <v>4056</v>
      </c>
      <c r="B2093" s="113"/>
      <c r="C2093" s="54"/>
      <c r="D2093" s="114" t="s">
        <v>392</v>
      </c>
      <c r="E2093" s="116" t="s">
        <v>4057</v>
      </c>
      <c r="F2093" s="120" t="s">
        <v>4058</v>
      </c>
      <c r="G2093" s="54"/>
      <c r="H2093" s="75">
        <f>STOCK[[#This Row],[Precio Final]]</f>
        <v>22</v>
      </c>
      <c r="I2093" s="80">
        <f>STOCK[[#This Row],[Precio Venta Ideal (x1.5)]]</f>
        <v>14.25</v>
      </c>
      <c r="J2093" s="117">
        <v>2</v>
      </c>
      <c r="K2093" s="78">
        <f>SUMIFS(VENTAS[Cantidad],VENTAS[Código del producto Vendido],STOCK[[#This Row],[Code]])</f>
        <v>0</v>
      </c>
      <c r="L2093" s="121">
        <f>STOCK[[#This Row],[Entradas]]-STOCK[[#This Row],[Salidas]]</f>
        <v>2</v>
      </c>
      <c r="M2093" s="54"/>
      <c r="N2093" s="54"/>
      <c r="O2093" s="54"/>
      <c r="P2093" s="54">
        <v>7</v>
      </c>
      <c r="Q2093" s="54"/>
      <c r="R2093" s="70"/>
      <c r="S2093" s="54">
        <v>2.5</v>
      </c>
      <c r="T2093" s="75">
        <f>STOCK[[#This Row],[Costo Unitario (USD)]]+STOCK[[#This Row],[Costo Envío (USD)]]+STOCK[[#This Row],[Comisión 10%]]</f>
        <v>9.5</v>
      </c>
      <c r="U2093" s="53">
        <f>STOCK[[#This Row],[Costo total]]*1.5</f>
        <v>14.25</v>
      </c>
      <c r="V2093" s="54">
        <v>22</v>
      </c>
      <c r="W2093" s="75">
        <f>STOCK[[#This Row],[Precio Final]]-STOCK[[#This Row],[Costo total]]</f>
        <v>12.5</v>
      </c>
      <c r="X2093" s="75">
        <f>STOCK[[#This Row],[Ganancia Unitaria]]*STOCK[[#This Row],[Salidas]]</f>
        <v>0</v>
      </c>
      <c r="Y2093" s="54"/>
      <c r="Z2093" s="118"/>
      <c r="AA2093" s="54"/>
      <c r="AB2093" s="54"/>
      <c r="AC2093" s="54"/>
      <c r="AD2093" s="96"/>
    </row>
    <row r="2094" spans="1:30" s="53" customFormat="1" ht="50" customHeight="1">
      <c r="A2094" s="93" t="s">
        <v>4059</v>
      </c>
      <c r="B2094" s="113"/>
      <c r="C2094" s="54"/>
      <c r="D2094" s="114" t="s">
        <v>515</v>
      </c>
      <c r="E2094" s="116" t="s">
        <v>4060</v>
      </c>
      <c r="F2094" s="120" t="s">
        <v>540</v>
      </c>
      <c r="G2094" s="54"/>
      <c r="H2094" s="75">
        <f>STOCK[[#This Row],[Precio Final]]</f>
        <v>40</v>
      </c>
      <c r="I2094" s="80">
        <f>STOCK[[#This Row],[Precio Venta Ideal (x1.5)]]</f>
        <v>42</v>
      </c>
      <c r="J2094" s="93">
        <v>1</v>
      </c>
      <c r="K2094" s="78">
        <f>SUMIFS(VENTAS[Cantidad],VENTAS[Código del producto Vendido],STOCK[[#This Row],[Code]])</f>
        <v>0</v>
      </c>
      <c r="L2094" s="78">
        <f>STOCK[[#This Row],[Entradas]]-STOCK[[#This Row],[Salidas]]</f>
        <v>1</v>
      </c>
      <c r="M2094" s="75">
        <f>STOCK[[#This Row],[Precio Final]]*10%</f>
        <v>4</v>
      </c>
      <c r="N2094" s="54"/>
      <c r="O2094" s="54"/>
      <c r="P2094" s="54">
        <v>22</v>
      </c>
      <c r="Q2094" s="54"/>
      <c r="R2094" s="70"/>
      <c r="S2094" s="54">
        <v>2</v>
      </c>
      <c r="T2094" s="75">
        <f>STOCK[[#This Row],[Costo Unitario (USD)]]+STOCK[[#This Row],[Costo Envío (USD)]]+STOCK[[#This Row],[Comisión 10%]]</f>
        <v>28</v>
      </c>
      <c r="U2094" s="53">
        <f>STOCK[[#This Row],[Costo total]]*1.5</f>
        <v>42</v>
      </c>
      <c r="V2094" s="54">
        <v>40</v>
      </c>
      <c r="W2094" s="75">
        <f>STOCK[[#This Row],[Precio Final]]-STOCK[[#This Row],[Costo total]]</f>
        <v>12</v>
      </c>
      <c r="X2094" s="75">
        <f>STOCK[[#This Row],[Ganancia Unitaria]]*STOCK[[#This Row],[Salidas]]</f>
        <v>0</v>
      </c>
      <c r="Y2094" s="54"/>
      <c r="Z2094" s="118"/>
      <c r="AA2094" s="54"/>
      <c r="AB2094" s="54"/>
      <c r="AC2094" s="54"/>
      <c r="AD2094" s="96"/>
    </row>
    <row r="2095" spans="1:30" s="53" customFormat="1" ht="50" customHeight="1">
      <c r="A2095" s="119" t="s">
        <v>4061</v>
      </c>
      <c r="B2095" s="113"/>
      <c r="C2095" s="54"/>
      <c r="D2095" s="114" t="s">
        <v>749</v>
      </c>
      <c r="E2095" s="95" t="s">
        <v>4062</v>
      </c>
      <c r="F2095" s="93" t="s">
        <v>62</v>
      </c>
      <c r="G2095" s="54"/>
      <c r="H2095" s="75">
        <f>STOCK[[#This Row],[Precio Final]]</f>
        <v>35</v>
      </c>
      <c r="I2095" s="80">
        <f>STOCK[[#This Row],[Precio Venta Ideal (x1.5)]]</f>
        <v>18.75</v>
      </c>
      <c r="J2095" s="93">
        <v>1</v>
      </c>
      <c r="K2095" s="78">
        <f>SUMIFS(VENTAS[Cantidad],VENTAS[Código del producto Vendido],STOCK[[#This Row],[Code]])</f>
        <v>0</v>
      </c>
      <c r="L2095" s="78">
        <f>STOCK[[#This Row],[Entradas]]-STOCK[[#This Row],[Salidas]]</f>
        <v>1</v>
      </c>
      <c r="M2095" s="75">
        <f>STOCK[[#This Row],[Precio Final]]*10%</f>
        <v>3.5</v>
      </c>
      <c r="N2095" s="54"/>
      <c r="O2095" s="54"/>
      <c r="P2095" s="54">
        <v>9</v>
      </c>
      <c r="Q2095" s="54"/>
      <c r="R2095" s="70"/>
      <c r="S2095" s="54">
        <v>0</v>
      </c>
      <c r="T2095" s="75">
        <f>STOCK[[#This Row],[Costo Unitario (USD)]]+STOCK[[#This Row],[Costo Envío (USD)]]+STOCK[[#This Row],[Comisión 10%]]</f>
        <v>12.5</v>
      </c>
      <c r="U2095" s="53">
        <f>STOCK[[#This Row],[Costo total]]*1.5</f>
        <v>18.75</v>
      </c>
      <c r="V2095" s="54">
        <v>35</v>
      </c>
      <c r="W2095" s="75">
        <f>STOCK[[#This Row],[Precio Final]]-STOCK[[#This Row],[Costo total]]</f>
        <v>22.5</v>
      </c>
      <c r="X2095" s="75">
        <f>STOCK[[#This Row],[Ganancia Unitaria]]*STOCK[[#This Row],[Salidas]]</f>
        <v>0</v>
      </c>
      <c r="Y2095" s="54"/>
      <c r="Z2095" s="118"/>
      <c r="AA2095" s="54"/>
      <c r="AB2095" s="54"/>
      <c r="AC2095" s="54"/>
      <c r="AD2095" s="96"/>
    </row>
    <row r="2096" spans="1:30" s="53" customFormat="1" ht="50" customHeight="1">
      <c r="A2096" s="119" t="s">
        <v>4063</v>
      </c>
      <c r="B2096" s="113"/>
      <c r="C2096" s="54"/>
      <c r="D2096" s="114" t="s">
        <v>749</v>
      </c>
      <c r="E2096" s="95" t="s">
        <v>4064</v>
      </c>
      <c r="F2096" s="93" t="s">
        <v>62</v>
      </c>
      <c r="G2096" s="54"/>
      <c r="H2096" s="75">
        <f>STOCK[[#This Row],[Precio Final]]</f>
        <v>30</v>
      </c>
      <c r="I2096" s="80">
        <f>STOCK[[#This Row],[Precio Venta Ideal (x1.5)]]</f>
        <v>18</v>
      </c>
      <c r="J2096" s="93">
        <v>1</v>
      </c>
      <c r="K2096" s="78">
        <f>SUMIFS(VENTAS[Cantidad],VENTAS[Código del producto Vendido],STOCK[[#This Row],[Code]])</f>
        <v>0</v>
      </c>
      <c r="L2096" s="78">
        <f>STOCK[[#This Row],[Entradas]]-STOCK[[#This Row],[Salidas]]</f>
        <v>1</v>
      </c>
      <c r="M2096" s="75">
        <f>STOCK[[#This Row],[Precio Final]]*10%</f>
        <v>3</v>
      </c>
      <c r="N2096" s="54"/>
      <c r="O2096" s="54"/>
      <c r="P2096" s="54">
        <v>9</v>
      </c>
      <c r="Q2096" s="54"/>
      <c r="R2096" s="70"/>
      <c r="S2096" s="54">
        <v>0</v>
      </c>
      <c r="T2096" s="75">
        <f>STOCK[[#This Row],[Costo Unitario (USD)]]+STOCK[[#This Row],[Costo Envío (USD)]]+STOCK[[#This Row],[Comisión 10%]]</f>
        <v>12</v>
      </c>
      <c r="U2096" s="53">
        <f>STOCK[[#This Row],[Costo total]]*1.5</f>
        <v>18</v>
      </c>
      <c r="V2096" s="54">
        <v>30</v>
      </c>
      <c r="W2096" s="75">
        <f>STOCK[[#This Row],[Precio Final]]-STOCK[[#This Row],[Costo total]]</f>
        <v>18</v>
      </c>
      <c r="X2096" s="75">
        <f>STOCK[[#This Row],[Ganancia Unitaria]]*STOCK[[#This Row],[Salidas]]</f>
        <v>0</v>
      </c>
      <c r="Y2096" s="54"/>
      <c r="Z2096" s="118"/>
      <c r="AA2096" s="54"/>
      <c r="AB2096" s="54"/>
      <c r="AC2096" s="54"/>
      <c r="AD2096" s="96"/>
    </row>
    <row r="2097" spans="1:30" s="53" customFormat="1" ht="50" customHeight="1">
      <c r="A2097" s="119" t="s">
        <v>4065</v>
      </c>
      <c r="B2097" s="113"/>
      <c r="C2097" s="54"/>
      <c r="D2097" s="114" t="s">
        <v>749</v>
      </c>
      <c r="E2097" s="95" t="s">
        <v>4064</v>
      </c>
      <c r="F2097" s="93" t="s">
        <v>716</v>
      </c>
      <c r="G2097" s="54"/>
      <c r="H2097" s="75">
        <f>STOCK[[#This Row],[Precio Final]]</f>
        <v>30</v>
      </c>
      <c r="I2097" s="80">
        <f>STOCK[[#This Row],[Precio Venta Ideal (x1.5)]]</f>
        <v>18</v>
      </c>
      <c r="J2097" s="93">
        <v>0</v>
      </c>
      <c r="K2097" s="78">
        <f>SUMIFS(VENTAS[Cantidad],VENTAS[Código del producto Vendido],STOCK[[#This Row],[Code]])</f>
        <v>0</v>
      </c>
      <c r="L2097" s="78">
        <f>STOCK[[#This Row],[Entradas]]-STOCK[[#This Row],[Salidas]]</f>
        <v>0</v>
      </c>
      <c r="M2097" s="75">
        <f>STOCK[[#This Row],[Precio Final]]*10%</f>
        <v>3</v>
      </c>
      <c r="N2097" s="54"/>
      <c r="O2097" s="54"/>
      <c r="P2097" s="54">
        <v>9</v>
      </c>
      <c r="Q2097" s="54"/>
      <c r="R2097" s="70"/>
      <c r="S2097" s="54">
        <v>0</v>
      </c>
      <c r="T2097" s="75">
        <f>STOCK[[#This Row],[Costo Unitario (USD)]]+STOCK[[#This Row],[Costo Envío (USD)]]+STOCK[[#This Row],[Comisión 10%]]</f>
        <v>12</v>
      </c>
      <c r="U2097" s="53">
        <f>STOCK[[#This Row],[Costo total]]*1.5</f>
        <v>18</v>
      </c>
      <c r="V2097" s="54">
        <v>30</v>
      </c>
      <c r="W2097" s="75">
        <f>STOCK[[#This Row],[Precio Final]]-STOCK[[#This Row],[Costo total]]</f>
        <v>18</v>
      </c>
      <c r="X2097" s="75">
        <f>STOCK[[#This Row],[Ganancia Unitaria]]*STOCK[[#This Row],[Salidas]]</f>
        <v>0</v>
      </c>
      <c r="Y2097" s="54"/>
      <c r="Z2097" s="118"/>
      <c r="AA2097" s="54"/>
      <c r="AB2097" s="54"/>
      <c r="AC2097" s="54"/>
      <c r="AD2097" s="96"/>
    </row>
    <row r="2098" spans="1:30" s="53" customFormat="1" ht="50" customHeight="1">
      <c r="A2098" s="119" t="s">
        <v>4066</v>
      </c>
      <c r="B2098" s="113"/>
      <c r="C2098" s="54"/>
      <c r="D2098" s="114" t="s">
        <v>749</v>
      </c>
      <c r="E2098" s="95" t="s">
        <v>4067</v>
      </c>
      <c r="F2098" s="93" t="s">
        <v>49</v>
      </c>
      <c r="G2098" s="54"/>
      <c r="H2098" s="75">
        <f>STOCK[[#This Row],[Precio Final]]</f>
        <v>30</v>
      </c>
      <c r="I2098" s="80">
        <f>STOCK[[#This Row],[Precio Venta Ideal (x1.5)]]</f>
        <v>18</v>
      </c>
      <c r="J2098" s="93">
        <v>1</v>
      </c>
      <c r="K2098" s="78">
        <f>SUMIFS(VENTAS[Cantidad],VENTAS[Código del producto Vendido],STOCK[[#This Row],[Code]])</f>
        <v>0</v>
      </c>
      <c r="L2098" s="78">
        <f>STOCK[[#This Row],[Entradas]]-STOCK[[#This Row],[Salidas]]</f>
        <v>1</v>
      </c>
      <c r="M2098" s="75">
        <f>STOCK[[#This Row],[Precio Final]]*10%</f>
        <v>3</v>
      </c>
      <c r="N2098" s="54"/>
      <c r="O2098" s="54"/>
      <c r="P2098" s="54">
        <v>9</v>
      </c>
      <c r="Q2098" s="54"/>
      <c r="R2098" s="70"/>
      <c r="S2098" s="54">
        <v>0</v>
      </c>
      <c r="T2098" s="75">
        <f>STOCK[[#This Row],[Costo Unitario (USD)]]+STOCK[[#This Row],[Costo Envío (USD)]]+STOCK[[#This Row],[Comisión 10%]]</f>
        <v>12</v>
      </c>
      <c r="U2098" s="53">
        <f>STOCK[[#This Row],[Costo total]]*1.5</f>
        <v>18</v>
      </c>
      <c r="V2098" s="54">
        <v>30</v>
      </c>
      <c r="W2098" s="75">
        <f>STOCK[[#This Row],[Precio Final]]-STOCK[[#This Row],[Costo total]]</f>
        <v>18</v>
      </c>
      <c r="X2098" s="75">
        <f>STOCK[[#This Row],[Ganancia Unitaria]]*STOCK[[#This Row],[Salidas]]</f>
        <v>0</v>
      </c>
      <c r="Y2098" s="54"/>
      <c r="Z2098" s="118"/>
      <c r="AA2098" s="54"/>
      <c r="AB2098" s="54"/>
      <c r="AC2098" s="54"/>
      <c r="AD2098" s="96"/>
    </row>
    <row r="2099" spans="1:30" s="53" customFormat="1" ht="50" customHeight="1">
      <c r="A2099" s="119" t="s">
        <v>4068</v>
      </c>
      <c r="B2099" s="113"/>
      <c r="C2099" s="54"/>
      <c r="D2099" s="114" t="s">
        <v>749</v>
      </c>
      <c r="E2099" s="95" t="s">
        <v>4069</v>
      </c>
      <c r="F2099" s="93" t="s">
        <v>46</v>
      </c>
      <c r="G2099" s="54"/>
      <c r="H2099" s="75">
        <f>STOCK[[#This Row],[Precio Final]]</f>
        <v>30</v>
      </c>
      <c r="I2099" s="80">
        <f>STOCK[[#This Row],[Precio Venta Ideal (x1.5)]]</f>
        <v>18</v>
      </c>
      <c r="J2099" s="93">
        <v>1</v>
      </c>
      <c r="K2099" s="78">
        <f>SUMIFS(VENTAS[Cantidad],VENTAS[Código del producto Vendido],STOCK[[#This Row],[Code]])</f>
        <v>0</v>
      </c>
      <c r="L2099" s="78">
        <f>STOCK[[#This Row],[Entradas]]-STOCK[[#This Row],[Salidas]]</f>
        <v>1</v>
      </c>
      <c r="M2099" s="75">
        <f>STOCK[[#This Row],[Precio Final]]*10%</f>
        <v>3</v>
      </c>
      <c r="N2099" s="54"/>
      <c r="O2099" s="54"/>
      <c r="P2099" s="54">
        <v>9</v>
      </c>
      <c r="Q2099" s="54"/>
      <c r="R2099" s="70"/>
      <c r="S2099" s="54">
        <v>0</v>
      </c>
      <c r="T2099" s="75">
        <f>STOCK[[#This Row],[Costo Unitario (USD)]]+STOCK[[#This Row],[Costo Envío (USD)]]+STOCK[[#This Row],[Comisión 10%]]</f>
        <v>12</v>
      </c>
      <c r="U2099" s="53">
        <f>STOCK[[#This Row],[Costo total]]*1.5</f>
        <v>18</v>
      </c>
      <c r="V2099" s="54">
        <v>30</v>
      </c>
      <c r="W2099" s="75">
        <f>STOCK[[#This Row],[Precio Final]]-STOCK[[#This Row],[Costo total]]</f>
        <v>18</v>
      </c>
      <c r="X2099" s="75">
        <f>STOCK[[#This Row],[Ganancia Unitaria]]*STOCK[[#This Row],[Salidas]]</f>
        <v>0</v>
      </c>
      <c r="Y2099" s="54"/>
      <c r="Z2099" s="118"/>
      <c r="AA2099" s="54"/>
      <c r="AB2099" s="54"/>
      <c r="AC2099" s="54"/>
      <c r="AD2099" s="96"/>
    </row>
    <row r="2100" spans="1:30" s="53" customFormat="1" ht="50" customHeight="1">
      <c r="A2100" s="119" t="s">
        <v>4070</v>
      </c>
      <c r="B2100" s="113"/>
      <c r="C2100" s="54"/>
      <c r="D2100" s="114" t="s">
        <v>1388</v>
      </c>
      <c r="E2100" s="95" t="s">
        <v>4071</v>
      </c>
      <c r="F2100" s="93" t="s">
        <v>46</v>
      </c>
      <c r="G2100" s="54"/>
      <c r="H2100" s="75">
        <f>STOCK[[#This Row],[Precio Final]]</f>
        <v>30</v>
      </c>
      <c r="I2100" s="80">
        <f>STOCK[[#This Row],[Precio Venta Ideal (x1.5)]]</f>
        <v>18</v>
      </c>
      <c r="J2100" s="93">
        <v>1</v>
      </c>
      <c r="K2100" s="78">
        <f>SUMIFS(VENTAS[Cantidad],VENTAS[Código del producto Vendido],STOCK[[#This Row],[Code]])</f>
        <v>0</v>
      </c>
      <c r="L2100" s="78">
        <f>STOCK[[#This Row],[Entradas]]-STOCK[[#This Row],[Salidas]]</f>
        <v>1</v>
      </c>
      <c r="M2100" s="75">
        <f>STOCK[[#This Row],[Precio Final]]*10%</f>
        <v>3</v>
      </c>
      <c r="N2100" s="54"/>
      <c r="O2100" s="54"/>
      <c r="P2100" s="54">
        <v>9</v>
      </c>
      <c r="Q2100" s="54"/>
      <c r="R2100" s="70"/>
      <c r="S2100" s="54">
        <v>0</v>
      </c>
      <c r="T2100" s="75">
        <f>STOCK[[#This Row],[Costo Unitario (USD)]]+STOCK[[#This Row],[Costo Envío (USD)]]+STOCK[[#This Row],[Comisión 10%]]</f>
        <v>12</v>
      </c>
      <c r="U2100" s="53">
        <f>STOCK[[#This Row],[Costo total]]*1.5</f>
        <v>18</v>
      </c>
      <c r="V2100" s="54">
        <v>30</v>
      </c>
      <c r="W2100" s="75">
        <f>STOCK[[#This Row],[Precio Final]]-STOCK[[#This Row],[Costo total]]</f>
        <v>18</v>
      </c>
      <c r="X2100" s="75">
        <f>STOCK[[#This Row],[Ganancia Unitaria]]*STOCK[[#This Row],[Salidas]]</f>
        <v>0</v>
      </c>
      <c r="Y2100" s="54"/>
      <c r="Z2100" s="118"/>
      <c r="AA2100" s="54"/>
      <c r="AB2100" s="54"/>
      <c r="AC2100" s="54"/>
      <c r="AD2100" s="96"/>
    </row>
    <row r="2101" spans="1:30" s="53" customFormat="1" ht="50" customHeight="1">
      <c r="A2101" s="119" t="s">
        <v>4072</v>
      </c>
      <c r="B2101" s="113"/>
      <c r="C2101" s="54"/>
      <c r="D2101" s="114" t="s">
        <v>1388</v>
      </c>
      <c r="E2101" s="95" t="s">
        <v>4073</v>
      </c>
      <c r="F2101" s="93" t="s">
        <v>49</v>
      </c>
      <c r="G2101" s="54"/>
      <c r="H2101" s="75">
        <f>STOCK[[#This Row],[Precio Final]]</f>
        <v>30</v>
      </c>
      <c r="I2101" s="80">
        <f>STOCK[[#This Row],[Precio Venta Ideal (x1.5)]]</f>
        <v>18</v>
      </c>
      <c r="J2101" s="93">
        <v>1</v>
      </c>
      <c r="K2101" s="78">
        <f>SUMIFS(VENTAS[Cantidad],VENTAS[Código del producto Vendido],STOCK[[#This Row],[Code]])</f>
        <v>0</v>
      </c>
      <c r="L2101" s="78">
        <f>STOCK[[#This Row],[Entradas]]-STOCK[[#This Row],[Salidas]]</f>
        <v>1</v>
      </c>
      <c r="M2101" s="75">
        <f>STOCK[[#This Row],[Precio Final]]*10%</f>
        <v>3</v>
      </c>
      <c r="N2101" s="54"/>
      <c r="O2101" s="54"/>
      <c r="P2101" s="54">
        <v>9</v>
      </c>
      <c r="Q2101" s="54"/>
      <c r="R2101" s="70"/>
      <c r="S2101" s="54">
        <v>0</v>
      </c>
      <c r="T2101" s="75">
        <f>STOCK[[#This Row],[Costo Unitario (USD)]]+STOCK[[#This Row],[Costo Envío (USD)]]+STOCK[[#This Row],[Comisión 10%]]</f>
        <v>12</v>
      </c>
      <c r="U2101" s="53">
        <f>STOCK[[#This Row],[Costo total]]*1.5</f>
        <v>18</v>
      </c>
      <c r="V2101" s="54">
        <v>30</v>
      </c>
      <c r="W2101" s="75">
        <f>STOCK[[#This Row],[Precio Final]]-STOCK[[#This Row],[Costo total]]</f>
        <v>18</v>
      </c>
      <c r="X2101" s="75">
        <f>STOCK[[#This Row],[Ganancia Unitaria]]*STOCK[[#This Row],[Salidas]]</f>
        <v>0</v>
      </c>
      <c r="Y2101" s="54"/>
      <c r="Z2101" s="118"/>
      <c r="AA2101" s="54"/>
      <c r="AB2101" s="54"/>
      <c r="AC2101" s="54"/>
      <c r="AD2101" s="96"/>
    </row>
    <row r="2102" spans="1:30" s="53" customFormat="1" ht="50" customHeight="1">
      <c r="A2102" s="119" t="s">
        <v>4074</v>
      </c>
      <c r="B2102" s="113"/>
      <c r="C2102" s="54"/>
      <c r="D2102" s="114" t="s">
        <v>1388</v>
      </c>
      <c r="E2102" s="95" t="s">
        <v>4075</v>
      </c>
      <c r="F2102" s="93" t="s">
        <v>62</v>
      </c>
      <c r="G2102" s="54"/>
      <c r="H2102" s="75">
        <f>STOCK[[#This Row],[Precio Final]]</f>
        <v>30</v>
      </c>
      <c r="I2102" s="80">
        <f>STOCK[[#This Row],[Precio Venta Ideal (x1.5)]]</f>
        <v>18</v>
      </c>
      <c r="J2102" s="93">
        <v>1</v>
      </c>
      <c r="K2102" s="78">
        <f>SUMIFS(VENTAS[Cantidad],VENTAS[Código del producto Vendido],STOCK[[#This Row],[Code]])</f>
        <v>0</v>
      </c>
      <c r="L2102" s="78">
        <f>STOCK[[#This Row],[Entradas]]-STOCK[[#This Row],[Salidas]]</f>
        <v>1</v>
      </c>
      <c r="M2102" s="75">
        <f>STOCK[[#This Row],[Precio Final]]*10%</f>
        <v>3</v>
      </c>
      <c r="N2102" s="54"/>
      <c r="O2102" s="54"/>
      <c r="P2102" s="54">
        <v>9</v>
      </c>
      <c r="Q2102" s="54"/>
      <c r="R2102" s="70"/>
      <c r="S2102" s="54">
        <v>0</v>
      </c>
      <c r="T2102" s="75">
        <f>STOCK[[#This Row],[Costo Unitario (USD)]]+STOCK[[#This Row],[Costo Envío (USD)]]+STOCK[[#This Row],[Comisión 10%]]</f>
        <v>12</v>
      </c>
      <c r="U2102" s="53">
        <f>STOCK[[#This Row],[Costo total]]*1.5</f>
        <v>18</v>
      </c>
      <c r="V2102" s="54">
        <v>30</v>
      </c>
      <c r="W2102" s="75">
        <f>STOCK[[#This Row],[Precio Final]]-STOCK[[#This Row],[Costo total]]</f>
        <v>18</v>
      </c>
      <c r="X2102" s="75">
        <f>STOCK[[#This Row],[Ganancia Unitaria]]*STOCK[[#This Row],[Salidas]]</f>
        <v>0</v>
      </c>
      <c r="Y2102" s="54"/>
      <c r="Z2102" s="118"/>
      <c r="AA2102" s="54"/>
      <c r="AB2102" s="54"/>
      <c r="AC2102" s="54"/>
      <c r="AD2102" s="96"/>
    </row>
    <row r="2103" spans="1:30" s="53" customFormat="1" ht="50" customHeight="1">
      <c r="A2103" s="119" t="s">
        <v>4076</v>
      </c>
      <c r="B2103" s="113"/>
      <c r="C2103" s="54"/>
      <c r="D2103" s="114" t="s">
        <v>1388</v>
      </c>
      <c r="E2103" s="95" t="s">
        <v>4077</v>
      </c>
      <c r="F2103" s="93" t="s">
        <v>716</v>
      </c>
      <c r="G2103" s="54"/>
      <c r="H2103" s="75">
        <f>STOCK[[#This Row],[Precio Final]]</f>
        <v>30</v>
      </c>
      <c r="I2103" s="80">
        <f>STOCK[[#This Row],[Precio Venta Ideal (x1.5)]]</f>
        <v>18</v>
      </c>
      <c r="J2103" s="93">
        <v>1</v>
      </c>
      <c r="K2103" s="78">
        <f>SUMIFS(VENTAS[Cantidad],VENTAS[Código del producto Vendido],STOCK[[#This Row],[Code]])</f>
        <v>0</v>
      </c>
      <c r="L2103" s="78">
        <f>STOCK[[#This Row],[Entradas]]-STOCK[[#This Row],[Salidas]]</f>
        <v>1</v>
      </c>
      <c r="M2103" s="75">
        <f>STOCK[[#This Row],[Precio Final]]*10%</f>
        <v>3</v>
      </c>
      <c r="N2103" s="54"/>
      <c r="O2103" s="54"/>
      <c r="P2103" s="54">
        <v>9</v>
      </c>
      <c r="Q2103" s="54"/>
      <c r="R2103" s="70"/>
      <c r="S2103" s="54">
        <v>0</v>
      </c>
      <c r="T2103" s="75">
        <f>STOCK[[#This Row],[Costo Unitario (USD)]]+STOCK[[#This Row],[Costo Envío (USD)]]+STOCK[[#This Row],[Comisión 10%]]</f>
        <v>12</v>
      </c>
      <c r="U2103" s="53">
        <f>STOCK[[#This Row],[Costo total]]*1.5</f>
        <v>18</v>
      </c>
      <c r="V2103" s="54">
        <v>30</v>
      </c>
      <c r="W2103" s="75">
        <f>STOCK[[#This Row],[Precio Final]]-STOCK[[#This Row],[Costo total]]</f>
        <v>18</v>
      </c>
      <c r="X2103" s="75">
        <f>STOCK[[#This Row],[Ganancia Unitaria]]*STOCK[[#This Row],[Salidas]]</f>
        <v>0</v>
      </c>
      <c r="Y2103" s="54"/>
      <c r="Z2103" s="118"/>
      <c r="AA2103" s="54"/>
      <c r="AB2103" s="54"/>
      <c r="AC2103" s="54"/>
      <c r="AD2103" s="96"/>
    </row>
    <row r="2104" spans="1:30" s="53" customFormat="1" ht="50" customHeight="1">
      <c r="A2104" s="119" t="s">
        <v>4078</v>
      </c>
      <c r="B2104" s="113"/>
      <c r="C2104" s="54"/>
      <c r="D2104" s="114" t="s">
        <v>1388</v>
      </c>
      <c r="E2104" s="95" t="s">
        <v>4079</v>
      </c>
      <c r="F2104" s="93" t="s">
        <v>40</v>
      </c>
      <c r="G2104" s="54"/>
      <c r="H2104" s="75">
        <f>STOCK[[#This Row],[Precio Final]]</f>
        <v>30</v>
      </c>
      <c r="I2104" s="80">
        <f>STOCK[[#This Row],[Precio Venta Ideal (x1.5)]]</f>
        <v>18</v>
      </c>
      <c r="J2104" s="93">
        <v>1</v>
      </c>
      <c r="K2104" s="78">
        <f>SUMIFS(VENTAS[Cantidad],VENTAS[Código del producto Vendido],STOCK[[#This Row],[Code]])</f>
        <v>0</v>
      </c>
      <c r="L2104" s="78">
        <f>STOCK[[#This Row],[Entradas]]-STOCK[[#This Row],[Salidas]]</f>
        <v>1</v>
      </c>
      <c r="M2104" s="75">
        <f>STOCK[[#This Row],[Precio Final]]*10%</f>
        <v>3</v>
      </c>
      <c r="N2104" s="54"/>
      <c r="O2104" s="54"/>
      <c r="P2104" s="54">
        <v>9</v>
      </c>
      <c r="Q2104" s="54"/>
      <c r="R2104" s="70"/>
      <c r="S2104" s="54">
        <v>0</v>
      </c>
      <c r="T2104" s="75">
        <f>STOCK[[#This Row],[Costo Unitario (USD)]]+STOCK[[#This Row],[Costo Envío (USD)]]+STOCK[[#This Row],[Comisión 10%]]</f>
        <v>12</v>
      </c>
      <c r="U2104" s="53">
        <f>STOCK[[#This Row],[Costo total]]*1.5</f>
        <v>18</v>
      </c>
      <c r="V2104" s="54">
        <v>30</v>
      </c>
      <c r="W2104" s="75">
        <f>STOCK[[#This Row],[Precio Final]]-STOCK[[#This Row],[Costo total]]</f>
        <v>18</v>
      </c>
      <c r="X2104" s="75">
        <f>STOCK[[#This Row],[Ganancia Unitaria]]*STOCK[[#This Row],[Salidas]]</f>
        <v>0</v>
      </c>
      <c r="Y2104" s="54"/>
      <c r="Z2104" s="118"/>
      <c r="AA2104" s="54"/>
      <c r="AB2104" s="54"/>
      <c r="AC2104" s="54"/>
      <c r="AD2104" s="96"/>
    </row>
    <row r="2105" spans="1:30" s="53" customFormat="1" ht="50" customHeight="1">
      <c r="A2105" s="119" t="s">
        <v>4080</v>
      </c>
      <c r="B2105" s="113"/>
      <c r="C2105" s="54"/>
      <c r="D2105" s="114" t="s">
        <v>749</v>
      </c>
      <c r="E2105" s="95" t="s">
        <v>4081</v>
      </c>
      <c r="F2105" s="93" t="s">
        <v>49</v>
      </c>
      <c r="G2105" s="54"/>
      <c r="H2105" s="75">
        <f>STOCK[[#This Row],[Precio Final]]</f>
        <v>30</v>
      </c>
      <c r="I2105" s="80">
        <f>STOCK[[#This Row],[Precio Venta Ideal (x1.5)]]</f>
        <v>18</v>
      </c>
      <c r="J2105" s="93">
        <v>1</v>
      </c>
      <c r="K2105" s="78">
        <f>SUMIFS(VENTAS[Cantidad],VENTAS[Código del producto Vendido],STOCK[[#This Row],[Code]])</f>
        <v>0</v>
      </c>
      <c r="L2105" s="78">
        <f>STOCK[[#This Row],[Entradas]]-STOCK[[#This Row],[Salidas]]</f>
        <v>1</v>
      </c>
      <c r="M2105" s="75">
        <f>STOCK[[#This Row],[Precio Final]]*10%</f>
        <v>3</v>
      </c>
      <c r="N2105" s="54"/>
      <c r="O2105" s="54"/>
      <c r="P2105" s="54">
        <v>9</v>
      </c>
      <c r="Q2105" s="54"/>
      <c r="R2105" s="70"/>
      <c r="S2105" s="54">
        <v>0</v>
      </c>
      <c r="T2105" s="75">
        <f>STOCK[[#This Row],[Costo Unitario (USD)]]+STOCK[[#This Row],[Costo Envío (USD)]]+STOCK[[#This Row],[Comisión 10%]]</f>
        <v>12</v>
      </c>
      <c r="U2105" s="53">
        <f>STOCK[[#This Row],[Costo total]]*1.5</f>
        <v>18</v>
      </c>
      <c r="V2105" s="54">
        <v>30</v>
      </c>
      <c r="W2105" s="75">
        <f>STOCK[[#This Row],[Precio Final]]-STOCK[[#This Row],[Costo total]]</f>
        <v>18</v>
      </c>
      <c r="X2105" s="75">
        <f>STOCK[[#This Row],[Ganancia Unitaria]]*STOCK[[#This Row],[Salidas]]</f>
        <v>0</v>
      </c>
      <c r="Y2105" s="54"/>
      <c r="Z2105" s="118"/>
      <c r="AA2105" s="54"/>
      <c r="AB2105" s="54"/>
      <c r="AC2105" s="54"/>
      <c r="AD2105" s="96"/>
    </row>
    <row r="2106" spans="1:30" s="53" customFormat="1" ht="50" customHeight="1">
      <c r="A2106" s="119" t="s">
        <v>4082</v>
      </c>
      <c r="B2106" s="113"/>
      <c r="C2106" s="54"/>
      <c r="D2106" s="114" t="s">
        <v>749</v>
      </c>
      <c r="E2106" s="95" t="s">
        <v>4083</v>
      </c>
      <c r="F2106" s="93" t="s">
        <v>46</v>
      </c>
      <c r="G2106" s="54"/>
      <c r="H2106" s="75">
        <f>STOCK[[#This Row],[Precio Final]]</f>
        <v>35</v>
      </c>
      <c r="I2106" s="80">
        <f>STOCK[[#This Row],[Precio Venta Ideal (x1.5)]]</f>
        <v>18.75</v>
      </c>
      <c r="J2106" s="93">
        <v>1</v>
      </c>
      <c r="K2106" s="78">
        <f>SUMIFS(VENTAS[Cantidad],VENTAS[Código del producto Vendido],STOCK[[#This Row],[Code]])</f>
        <v>0</v>
      </c>
      <c r="L2106" s="78">
        <f>STOCK[[#This Row],[Entradas]]-STOCK[[#This Row],[Salidas]]</f>
        <v>1</v>
      </c>
      <c r="M2106" s="75">
        <f>STOCK[[#This Row],[Precio Final]]*10%</f>
        <v>3.5</v>
      </c>
      <c r="N2106" s="54"/>
      <c r="O2106" s="54"/>
      <c r="P2106" s="54">
        <v>9</v>
      </c>
      <c r="Q2106" s="54"/>
      <c r="R2106" s="70"/>
      <c r="S2106" s="54">
        <v>0</v>
      </c>
      <c r="T2106" s="75">
        <f>STOCK[[#This Row],[Costo Unitario (USD)]]+STOCK[[#This Row],[Costo Envío (USD)]]+STOCK[[#This Row],[Comisión 10%]]</f>
        <v>12.5</v>
      </c>
      <c r="U2106" s="53">
        <f>STOCK[[#This Row],[Costo total]]*1.5</f>
        <v>18.75</v>
      </c>
      <c r="V2106" s="54">
        <v>35</v>
      </c>
      <c r="W2106" s="75">
        <f>STOCK[[#This Row],[Precio Final]]-STOCK[[#This Row],[Costo total]]</f>
        <v>22.5</v>
      </c>
      <c r="X2106" s="75">
        <f>STOCK[[#This Row],[Ganancia Unitaria]]*STOCK[[#This Row],[Salidas]]</f>
        <v>0</v>
      </c>
      <c r="Y2106" s="54"/>
      <c r="Z2106" s="118"/>
      <c r="AA2106" s="54"/>
      <c r="AB2106" s="54"/>
      <c r="AC2106" s="54"/>
      <c r="AD2106" s="96"/>
    </row>
    <row r="2107" spans="1:30" s="53" customFormat="1" ht="50" customHeight="1">
      <c r="A2107" s="119" t="s">
        <v>4084</v>
      </c>
      <c r="B2107" s="113"/>
      <c r="C2107" s="54"/>
      <c r="D2107" s="114" t="s">
        <v>749</v>
      </c>
      <c r="E2107" s="95" t="s">
        <v>4085</v>
      </c>
      <c r="F2107" s="93" t="s">
        <v>46</v>
      </c>
      <c r="G2107" s="54"/>
      <c r="H2107" s="75">
        <f>STOCK[[#This Row],[Precio Final]]</f>
        <v>25</v>
      </c>
      <c r="I2107" s="80">
        <f>STOCK[[#This Row],[Precio Venta Ideal (x1.5)]]</f>
        <v>17.25</v>
      </c>
      <c r="J2107" s="93">
        <v>1</v>
      </c>
      <c r="K2107" s="78">
        <f>SUMIFS(VENTAS[Cantidad],VENTAS[Código del producto Vendido],STOCK[[#This Row],[Code]])</f>
        <v>0</v>
      </c>
      <c r="L2107" s="78">
        <f>STOCK[[#This Row],[Entradas]]-STOCK[[#This Row],[Salidas]]</f>
        <v>1</v>
      </c>
      <c r="M2107" s="75">
        <f>STOCK[[#This Row],[Precio Final]]*10%</f>
        <v>2.5</v>
      </c>
      <c r="N2107" s="54"/>
      <c r="O2107" s="54"/>
      <c r="P2107" s="54">
        <v>9</v>
      </c>
      <c r="Q2107" s="54"/>
      <c r="R2107" s="70"/>
      <c r="S2107" s="54">
        <v>0</v>
      </c>
      <c r="T2107" s="75">
        <f>STOCK[[#This Row],[Costo Unitario (USD)]]+STOCK[[#This Row],[Costo Envío (USD)]]+STOCK[[#This Row],[Comisión 10%]]</f>
        <v>11.5</v>
      </c>
      <c r="U2107" s="53">
        <f>STOCK[[#This Row],[Costo total]]*1.5</f>
        <v>17.25</v>
      </c>
      <c r="V2107" s="54">
        <v>25</v>
      </c>
      <c r="W2107" s="75">
        <f>STOCK[[#This Row],[Precio Final]]-STOCK[[#This Row],[Costo total]]</f>
        <v>13.5</v>
      </c>
      <c r="X2107" s="75">
        <f>STOCK[[#This Row],[Ganancia Unitaria]]*STOCK[[#This Row],[Salidas]]</f>
        <v>0</v>
      </c>
      <c r="Y2107" s="54"/>
      <c r="Z2107" s="118"/>
      <c r="AA2107" s="54"/>
      <c r="AB2107" s="54"/>
      <c r="AC2107" s="54"/>
      <c r="AD2107" s="96"/>
    </row>
    <row r="2108" spans="1:30" s="53" customFormat="1" ht="50" customHeight="1">
      <c r="A2108" s="119" t="s">
        <v>4086</v>
      </c>
      <c r="B2108" s="113"/>
      <c r="C2108" s="54"/>
      <c r="D2108" s="114" t="s">
        <v>749</v>
      </c>
      <c r="E2108" s="95" t="s">
        <v>4087</v>
      </c>
      <c r="F2108" s="93" t="s">
        <v>281</v>
      </c>
      <c r="G2108" s="54"/>
      <c r="H2108" s="75">
        <f>STOCK[[#This Row],[Precio Final]]</f>
        <v>25</v>
      </c>
      <c r="I2108" s="80">
        <f>STOCK[[#This Row],[Precio Venta Ideal (x1.5)]]</f>
        <v>17.25</v>
      </c>
      <c r="J2108" s="93">
        <v>1</v>
      </c>
      <c r="K2108" s="78">
        <f>SUMIFS(VENTAS[Cantidad],VENTAS[Código del producto Vendido],STOCK[[#This Row],[Code]])</f>
        <v>0</v>
      </c>
      <c r="L2108" s="78">
        <f>STOCK[[#This Row],[Entradas]]-STOCK[[#This Row],[Salidas]]</f>
        <v>1</v>
      </c>
      <c r="M2108" s="75">
        <f>STOCK[[#This Row],[Precio Final]]*10%</f>
        <v>2.5</v>
      </c>
      <c r="N2108" s="54"/>
      <c r="O2108" s="54"/>
      <c r="P2108" s="54">
        <v>9</v>
      </c>
      <c r="Q2108" s="54"/>
      <c r="R2108" s="70"/>
      <c r="S2108" s="54">
        <v>0</v>
      </c>
      <c r="T2108" s="75">
        <f>STOCK[[#This Row],[Costo Unitario (USD)]]+STOCK[[#This Row],[Costo Envío (USD)]]+STOCK[[#This Row],[Comisión 10%]]</f>
        <v>11.5</v>
      </c>
      <c r="U2108" s="53">
        <f>STOCK[[#This Row],[Costo total]]*1.5</f>
        <v>17.25</v>
      </c>
      <c r="V2108" s="54">
        <v>25</v>
      </c>
      <c r="W2108" s="75">
        <f>STOCK[[#This Row],[Precio Final]]-STOCK[[#This Row],[Costo total]]</f>
        <v>13.5</v>
      </c>
      <c r="X2108" s="75">
        <f>STOCK[[#This Row],[Ganancia Unitaria]]*STOCK[[#This Row],[Salidas]]</f>
        <v>0</v>
      </c>
      <c r="Y2108" s="54"/>
      <c r="Z2108" s="118"/>
      <c r="AA2108" s="54"/>
      <c r="AB2108" s="54"/>
      <c r="AC2108" s="54"/>
      <c r="AD2108" s="96"/>
    </row>
    <row r="2109" spans="1:30" s="53" customFormat="1" ht="50" customHeight="1">
      <c r="A2109" s="119" t="s">
        <v>4088</v>
      </c>
      <c r="B2109" s="113"/>
      <c r="C2109" s="54"/>
      <c r="D2109" s="114" t="s">
        <v>749</v>
      </c>
      <c r="E2109" s="95" t="s">
        <v>4089</v>
      </c>
      <c r="F2109" s="93" t="s">
        <v>40</v>
      </c>
      <c r="G2109" s="54"/>
      <c r="H2109" s="75">
        <f>STOCK[[#This Row],[Precio Final]]</f>
        <v>25</v>
      </c>
      <c r="I2109" s="80">
        <f>STOCK[[#This Row],[Precio Venta Ideal (x1.5)]]</f>
        <v>17.25</v>
      </c>
      <c r="J2109" s="93">
        <v>1</v>
      </c>
      <c r="K2109" s="78">
        <f>SUMIFS(VENTAS[Cantidad],VENTAS[Código del producto Vendido],STOCK[[#This Row],[Code]])</f>
        <v>0</v>
      </c>
      <c r="L2109" s="78">
        <f>STOCK[[#This Row],[Entradas]]-STOCK[[#This Row],[Salidas]]</f>
        <v>1</v>
      </c>
      <c r="M2109" s="75">
        <f>STOCK[[#This Row],[Precio Final]]*10%</f>
        <v>2.5</v>
      </c>
      <c r="N2109" s="54"/>
      <c r="O2109" s="54"/>
      <c r="P2109" s="54">
        <v>9</v>
      </c>
      <c r="Q2109" s="54"/>
      <c r="R2109" s="70"/>
      <c r="S2109" s="54">
        <v>0</v>
      </c>
      <c r="T2109" s="75">
        <f>STOCK[[#This Row],[Costo Unitario (USD)]]+STOCK[[#This Row],[Costo Envío (USD)]]+STOCK[[#This Row],[Comisión 10%]]</f>
        <v>11.5</v>
      </c>
      <c r="U2109" s="53">
        <f>STOCK[[#This Row],[Costo total]]*1.5</f>
        <v>17.25</v>
      </c>
      <c r="V2109" s="54">
        <v>25</v>
      </c>
      <c r="W2109" s="75">
        <f>STOCK[[#This Row],[Precio Final]]-STOCK[[#This Row],[Costo total]]</f>
        <v>13.5</v>
      </c>
      <c r="X2109" s="75">
        <f>STOCK[[#This Row],[Ganancia Unitaria]]*STOCK[[#This Row],[Salidas]]</f>
        <v>0</v>
      </c>
      <c r="Y2109" s="54"/>
      <c r="Z2109" s="118"/>
      <c r="AA2109" s="54"/>
      <c r="AB2109" s="54"/>
      <c r="AC2109" s="54"/>
      <c r="AD2109" s="96"/>
    </row>
    <row r="2110" spans="1:30" s="53" customFormat="1" ht="50" customHeight="1">
      <c r="A2110" s="119" t="s">
        <v>4090</v>
      </c>
      <c r="B2110" s="113"/>
      <c r="C2110" s="54"/>
      <c r="D2110" s="114" t="s">
        <v>749</v>
      </c>
      <c r="E2110" s="95" t="s">
        <v>4091</v>
      </c>
      <c r="F2110" s="93" t="s">
        <v>42</v>
      </c>
      <c r="G2110" s="54"/>
      <c r="H2110" s="75">
        <f>STOCK[[#This Row],[Precio Final]]</f>
        <v>25</v>
      </c>
      <c r="I2110" s="80">
        <f>STOCK[[#This Row],[Precio Venta Ideal (x1.5)]]</f>
        <v>17.25</v>
      </c>
      <c r="J2110" s="93">
        <v>1</v>
      </c>
      <c r="K2110" s="78">
        <f>SUMIFS(VENTAS[Cantidad],VENTAS[Código del producto Vendido],STOCK[[#This Row],[Code]])</f>
        <v>0</v>
      </c>
      <c r="L2110" s="78">
        <f>STOCK[[#This Row],[Entradas]]-STOCK[[#This Row],[Salidas]]</f>
        <v>1</v>
      </c>
      <c r="M2110" s="75">
        <f>STOCK[[#This Row],[Precio Final]]*10%</f>
        <v>2.5</v>
      </c>
      <c r="N2110" s="54"/>
      <c r="O2110" s="54"/>
      <c r="P2110" s="54">
        <v>9</v>
      </c>
      <c r="Q2110" s="54"/>
      <c r="R2110" s="70"/>
      <c r="S2110" s="54">
        <v>0</v>
      </c>
      <c r="T2110" s="75">
        <f>STOCK[[#This Row],[Costo Unitario (USD)]]+STOCK[[#This Row],[Costo Envío (USD)]]+STOCK[[#This Row],[Comisión 10%]]</f>
        <v>11.5</v>
      </c>
      <c r="U2110" s="53">
        <f>STOCK[[#This Row],[Costo total]]*1.5</f>
        <v>17.25</v>
      </c>
      <c r="V2110" s="54">
        <v>25</v>
      </c>
      <c r="W2110" s="75">
        <f>STOCK[[#This Row],[Precio Final]]-STOCK[[#This Row],[Costo total]]</f>
        <v>13.5</v>
      </c>
      <c r="X2110" s="75">
        <f>STOCK[[#This Row],[Ganancia Unitaria]]*STOCK[[#This Row],[Salidas]]</f>
        <v>0</v>
      </c>
      <c r="Y2110" s="54"/>
      <c r="Z2110" s="118"/>
      <c r="AA2110" s="54"/>
      <c r="AB2110" s="54"/>
      <c r="AC2110" s="54"/>
      <c r="AD2110" s="96"/>
    </row>
    <row r="2111" spans="1:30" s="53" customFormat="1" ht="50" customHeight="1">
      <c r="A2111" s="119" t="s">
        <v>4092</v>
      </c>
      <c r="B2111" s="113"/>
      <c r="C2111" s="54"/>
      <c r="D2111" s="114" t="s">
        <v>779</v>
      </c>
      <c r="E2111" s="95" t="s">
        <v>4093</v>
      </c>
      <c r="F2111" s="93" t="s">
        <v>46</v>
      </c>
      <c r="G2111" s="54"/>
      <c r="H2111" s="75">
        <f>STOCK[[#This Row],[Precio Final]]</f>
        <v>30</v>
      </c>
      <c r="I2111" s="80">
        <f>STOCK[[#This Row],[Precio Venta Ideal (x1.5)]]</f>
        <v>18</v>
      </c>
      <c r="J2111" s="93">
        <v>1</v>
      </c>
      <c r="K2111" s="78">
        <f>SUMIFS(VENTAS[Cantidad],VENTAS[Código del producto Vendido],STOCK[[#This Row],[Code]])</f>
        <v>0</v>
      </c>
      <c r="L2111" s="78">
        <f>STOCK[[#This Row],[Entradas]]-STOCK[[#This Row],[Salidas]]</f>
        <v>1</v>
      </c>
      <c r="M2111" s="75">
        <f>STOCK[[#This Row],[Precio Final]]*10%</f>
        <v>3</v>
      </c>
      <c r="N2111" s="54"/>
      <c r="O2111" s="54"/>
      <c r="P2111" s="54">
        <v>9</v>
      </c>
      <c r="Q2111" s="54"/>
      <c r="R2111" s="70"/>
      <c r="S2111" s="54">
        <v>0</v>
      </c>
      <c r="T2111" s="75">
        <f>STOCK[[#This Row],[Costo Unitario (USD)]]+STOCK[[#This Row],[Costo Envío (USD)]]+STOCK[[#This Row],[Comisión 10%]]</f>
        <v>12</v>
      </c>
      <c r="U2111" s="53">
        <f>STOCK[[#This Row],[Costo total]]*1.5</f>
        <v>18</v>
      </c>
      <c r="V2111" s="54">
        <v>30</v>
      </c>
      <c r="W2111" s="75">
        <f>STOCK[[#This Row],[Precio Final]]-STOCK[[#This Row],[Costo total]]</f>
        <v>18</v>
      </c>
      <c r="X2111" s="75">
        <f>STOCK[[#This Row],[Ganancia Unitaria]]*STOCK[[#This Row],[Salidas]]</f>
        <v>0</v>
      </c>
      <c r="Y2111" s="54"/>
      <c r="Z2111" s="118"/>
      <c r="AA2111" s="54"/>
      <c r="AB2111" s="54"/>
      <c r="AC2111" s="54"/>
      <c r="AD2111" s="96"/>
    </row>
    <row r="2112" spans="1:30" s="53" customFormat="1" ht="50" customHeight="1">
      <c r="A2112" s="119" t="s">
        <v>4094</v>
      </c>
      <c r="B2112" s="113"/>
      <c r="C2112" s="54"/>
      <c r="D2112" s="114" t="s">
        <v>749</v>
      </c>
      <c r="E2112" s="95" t="s">
        <v>4095</v>
      </c>
      <c r="F2112" s="93" t="s">
        <v>40</v>
      </c>
      <c r="G2112" s="54"/>
      <c r="H2112" s="75">
        <f>STOCK[[#This Row],[Precio Final]]</f>
        <v>25</v>
      </c>
      <c r="I2112" s="80">
        <f>STOCK[[#This Row],[Precio Venta Ideal (x1.5)]]</f>
        <v>17.25</v>
      </c>
      <c r="J2112" s="93">
        <v>1</v>
      </c>
      <c r="K2112" s="78">
        <f>SUMIFS(VENTAS[Cantidad],VENTAS[Código del producto Vendido],STOCK[[#This Row],[Code]])</f>
        <v>0</v>
      </c>
      <c r="L2112" s="78">
        <f>STOCK[[#This Row],[Entradas]]-STOCK[[#This Row],[Salidas]]</f>
        <v>1</v>
      </c>
      <c r="M2112" s="75">
        <f>STOCK[[#This Row],[Precio Final]]*10%</f>
        <v>2.5</v>
      </c>
      <c r="N2112" s="54"/>
      <c r="O2112" s="54"/>
      <c r="P2112" s="54">
        <v>9</v>
      </c>
      <c r="Q2112" s="54"/>
      <c r="R2112" s="70"/>
      <c r="S2112" s="54">
        <v>0</v>
      </c>
      <c r="T2112" s="75">
        <f>STOCK[[#This Row],[Costo Unitario (USD)]]+STOCK[[#This Row],[Costo Envío (USD)]]+STOCK[[#This Row],[Comisión 10%]]</f>
        <v>11.5</v>
      </c>
      <c r="U2112" s="53">
        <f>STOCK[[#This Row],[Costo total]]*1.5</f>
        <v>17.25</v>
      </c>
      <c r="V2112" s="54">
        <v>25</v>
      </c>
      <c r="W2112" s="75">
        <f>STOCK[[#This Row],[Precio Final]]-STOCK[[#This Row],[Costo total]]</f>
        <v>13.5</v>
      </c>
      <c r="X2112" s="75">
        <f>STOCK[[#This Row],[Ganancia Unitaria]]*STOCK[[#This Row],[Salidas]]</f>
        <v>0</v>
      </c>
      <c r="Y2112" s="54"/>
      <c r="Z2112" s="118"/>
      <c r="AA2112" s="54"/>
      <c r="AB2112" s="54"/>
      <c r="AC2112" s="54"/>
      <c r="AD2112" s="96"/>
    </row>
    <row r="2113" spans="1:30" s="53" customFormat="1" ht="50" customHeight="1">
      <c r="A2113" s="119" t="s">
        <v>4096</v>
      </c>
      <c r="B2113" s="113"/>
      <c r="C2113" s="54"/>
      <c r="D2113" s="114" t="s">
        <v>1388</v>
      </c>
      <c r="E2113" s="95" t="s">
        <v>4097</v>
      </c>
      <c r="F2113" s="93" t="s">
        <v>3498</v>
      </c>
      <c r="G2113" s="54"/>
      <c r="H2113" s="75">
        <f>STOCK[[#This Row],[Precio Final]]</f>
        <v>35</v>
      </c>
      <c r="I2113" s="80">
        <f>STOCK[[#This Row],[Precio Venta Ideal (x1.5)]]</f>
        <v>18.75</v>
      </c>
      <c r="J2113" s="93">
        <v>1</v>
      </c>
      <c r="K2113" s="78">
        <f>SUMIFS(VENTAS[Cantidad],VENTAS[Código del producto Vendido],STOCK[[#This Row],[Code]])</f>
        <v>0</v>
      </c>
      <c r="L2113" s="78">
        <f>STOCK[[#This Row],[Entradas]]-STOCK[[#This Row],[Salidas]]</f>
        <v>1</v>
      </c>
      <c r="M2113" s="75">
        <f>STOCK[[#This Row],[Precio Final]]*10%</f>
        <v>3.5</v>
      </c>
      <c r="N2113" s="54"/>
      <c r="O2113" s="54"/>
      <c r="P2113" s="54">
        <v>9</v>
      </c>
      <c r="Q2113" s="54"/>
      <c r="R2113" s="70"/>
      <c r="S2113" s="54">
        <v>0</v>
      </c>
      <c r="T2113" s="75">
        <f>STOCK[[#This Row],[Costo Unitario (USD)]]+STOCK[[#This Row],[Costo Envío (USD)]]+STOCK[[#This Row],[Comisión 10%]]</f>
        <v>12.5</v>
      </c>
      <c r="U2113" s="53">
        <f>STOCK[[#This Row],[Costo total]]*1.5</f>
        <v>18.75</v>
      </c>
      <c r="V2113" s="54">
        <v>35</v>
      </c>
      <c r="W2113" s="75">
        <f>STOCK[[#This Row],[Precio Final]]-STOCK[[#This Row],[Costo total]]</f>
        <v>22.5</v>
      </c>
      <c r="X2113" s="75">
        <f>STOCK[[#This Row],[Ganancia Unitaria]]*STOCK[[#This Row],[Salidas]]</f>
        <v>0</v>
      </c>
      <c r="Y2113" s="54"/>
      <c r="Z2113" s="118"/>
      <c r="AA2113" s="54"/>
      <c r="AB2113" s="54"/>
      <c r="AC2113" s="54"/>
      <c r="AD2113" s="96"/>
    </row>
    <row r="2114" spans="1:30" s="53" customFormat="1" ht="50" customHeight="1">
      <c r="A2114" s="119" t="s">
        <v>4098</v>
      </c>
      <c r="B2114" s="113"/>
      <c r="C2114" s="54"/>
      <c r="D2114" s="114" t="s">
        <v>749</v>
      </c>
      <c r="E2114" s="95" t="s">
        <v>4099</v>
      </c>
      <c r="F2114" s="93" t="s">
        <v>40</v>
      </c>
      <c r="G2114" s="54"/>
      <c r="H2114" s="75">
        <f>STOCK[[#This Row],[Precio Final]]</f>
        <v>25</v>
      </c>
      <c r="I2114" s="80">
        <f>STOCK[[#This Row],[Precio Venta Ideal (x1.5)]]</f>
        <v>17.25</v>
      </c>
      <c r="J2114" s="93">
        <v>1</v>
      </c>
      <c r="K2114" s="78">
        <f>SUMIFS(VENTAS[Cantidad],VENTAS[Código del producto Vendido],STOCK[[#This Row],[Code]])</f>
        <v>0</v>
      </c>
      <c r="L2114" s="78">
        <f>STOCK[[#This Row],[Entradas]]-STOCK[[#This Row],[Salidas]]</f>
        <v>1</v>
      </c>
      <c r="M2114" s="75">
        <f>STOCK[[#This Row],[Precio Final]]*10%</f>
        <v>2.5</v>
      </c>
      <c r="N2114" s="54"/>
      <c r="O2114" s="54"/>
      <c r="P2114" s="54">
        <v>9</v>
      </c>
      <c r="Q2114" s="54"/>
      <c r="R2114" s="70"/>
      <c r="S2114" s="54">
        <v>0</v>
      </c>
      <c r="T2114" s="75">
        <f>STOCK[[#This Row],[Costo Unitario (USD)]]+STOCK[[#This Row],[Costo Envío (USD)]]+STOCK[[#This Row],[Comisión 10%]]</f>
        <v>11.5</v>
      </c>
      <c r="U2114" s="53">
        <f>STOCK[[#This Row],[Costo total]]*1.5</f>
        <v>17.25</v>
      </c>
      <c r="V2114" s="54">
        <v>25</v>
      </c>
      <c r="W2114" s="75">
        <f>STOCK[[#This Row],[Precio Final]]-STOCK[[#This Row],[Costo total]]</f>
        <v>13.5</v>
      </c>
      <c r="X2114" s="75">
        <f>STOCK[[#This Row],[Ganancia Unitaria]]*STOCK[[#This Row],[Salidas]]</f>
        <v>0</v>
      </c>
      <c r="Y2114" s="54"/>
      <c r="Z2114" s="118"/>
      <c r="AA2114" s="54"/>
      <c r="AB2114" s="54"/>
      <c r="AC2114" s="54"/>
      <c r="AD2114" s="96"/>
    </row>
    <row r="2115" spans="1:30" s="53" customFormat="1" ht="50" customHeight="1">
      <c r="A2115" s="119" t="s">
        <v>4100</v>
      </c>
      <c r="B2115" s="113"/>
      <c r="C2115" s="54"/>
      <c r="D2115" s="114" t="s">
        <v>749</v>
      </c>
      <c r="E2115" s="95" t="s">
        <v>4064</v>
      </c>
      <c r="F2115" s="93" t="s">
        <v>716</v>
      </c>
      <c r="G2115" s="54"/>
      <c r="H2115" s="75">
        <f>STOCK[[#This Row],[Precio Final]]</f>
        <v>30</v>
      </c>
      <c r="I2115" s="80">
        <f>STOCK[[#This Row],[Precio Venta Ideal (x1.5)]]</f>
        <v>18</v>
      </c>
      <c r="J2115" s="93">
        <v>2</v>
      </c>
      <c r="K2115" s="78">
        <f>SUMIFS(VENTAS[Cantidad],VENTAS[Código del producto Vendido],STOCK[[#This Row],[Code]])</f>
        <v>0</v>
      </c>
      <c r="L2115" s="78">
        <f>STOCK[[#This Row],[Entradas]]-STOCK[[#This Row],[Salidas]]</f>
        <v>2</v>
      </c>
      <c r="M2115" s="75">
        <f>STOCK[[#This Row],[Precio Final]]*10%</f>
        <v>3</v>
      </c>
      <c r="N2115" s="54"/>
      <c r="O2115" s="54"/>
      <c r="P2115" s="54">
        <v>9</v>
      </c>
      <c r="Q2115" s="54"/>
      <c r="R2115" s="70"/>
      <c r="S2115" s="54">
        <v>0</v>
      </c>
      <c r="T2115" s="75">
        <f>STOCK[[#This Row],[Costo Unitario (USD)]]+STOCK[[#This Row],[Costo Envío (USD)]]+STOCK[[#This Row],[Comisión 10%]]</f>
        <v>12</v>
      </c>
      <c r="U2115" s="53">
        <f>STOCK[[#This Row],[Costo total]]*1.5</f>
        <v>18</v>
      </c>
      <c r="V2115" s="54">
        <v>30</v>
      </c>
      <c r="W2115" s="75">
        <f>STOCK[[#This Row],[Precio Final]]-STOCK[[#This Row],[Costo total]]</f>
        <v>18</v>
      </c>
      <c r="X2115" s="75">
        <f>STOCK[[#This Row],[Ganancia Unitaria]]*STOCK[[#This Row],[Salidas]]</f>
        <v>0</v>
      </c>
      <c r="Y2115" s="54"/>
      <c r="Z2115" s="118"/>
      <c r="AA2115" s="54"/>
      <c r="AB2115" s="54"/>
      <c r="AC2115" s="54"/>
      <c r="AD2115" s="96"/>
    </row>
    <row r="2116" spans="1:30" s="53" customFormat="1" ht="50" customHeight="1">
      <c r="A2116" s="119" t="s">
        <v>4101</v>
      </c>
      <c r="B2116" s="113"/>
      <c r="C2116" s="54"/>
      <c r="D2116" s="114" t="s">
        <v>749</v>
      </c>
      <c r="E2116" s="95" t="s">
        <v>4102</v>
      </c>
      <c r="F2116" s="93" t="s">
        <v>49</v>
      </c>
      <c r="G2116" s="54"/>
      <c r="H2116" s="75">
        <f>STOCK[[#This Row],[Precio Final]]</f>
        <v>25</v>
      </c>
      <c r="I2116" s="80">
        <f>STOCK[[#This Row],[Precio Venta Ideal (x1.5)]]</f>
        <v>17.25</v>
      </c>
      <c r="J2116" s="93">
        <v>1</v>
      </c>
      <c r="K2116" s="78">
        <f>SUMIFS(VENTAS[Cantidad],VENTAS[Código del producto Vendido],STOCK[[#This Row],[Code]])</f>
        <v>0</v>
      </c>
      <c r="L2116" s="78">
        <f>STOCK[[#This Row],[Entradas]]-STOCK[[#This Row],[Salidas]]</f>
        <v>1</v>
      </c>
      <c r="M2116" s="75">
        <f>STOCK[[#This Row],[Precio Final]]*10%</f>
        <v>2.5</v>
      </c>
      <c r="N2116" s="54"/>
      <c r="O2116" s="54"/>
      <c r="P2116" s="54">
        <v>9</v>
      </c>
      <c r="Q2116" s="54"/>
      <c r="R2116" s="70"/>
      <c r="S2116" s="54">
        <v>0</v>
      </c>
      <c r="T2116" s="75">
        <f>STOCK[[#This Row],[Costo Unitario (USD)]]+STOCK[[#This Row],[Costo Envío (USD)]]+STOCK[[#This Row],[Comisión 10%]]</f>
        <v>11.5</v>
      </c>
      <c r="U2116" s="53">
        <f>STOCK[[#This Row],[Costo total]]*1.5</f>
        <v>17.25</v>
      </c>
      <c r="V2116" s="54">
        <v>25</v>
      </c>
      <c r="W2116" s="75">
        <f>STOCK[[#This Row],[Precio Final]]-STOCK[[#This Row],[Costo total]]</f>
        <v>13.5</v>
      </c>
      <c r="X2116" s="75">
        <f>STOCK[[#This Row],[Ganancia Unitaria]]*STOCK[[#This Row],[Salidas]]</f>
        <v>0</v>
      </c>
      <c r="Y2116" s="54"/>
      <c r="Z2116" s="118"/>
      <c r="AA2116" s="54"/>
      <c r="AB2116" s="54"/>
      <c r="AC2116" s="54"/>
      <c r="AD2116" s="96"/>
    </row>
    <row r="2117" spans="1:30" s="53" customFormat="1" ht="50" customHeight="1">
      <c r="A2117" s="119" t="s">
        <v>4103</v>
      </c>
      <c r="B2117" s="113"/>
      <c r="C2117" s="54"/>
      <c r="D2117" s="114" t="s">
        <v>749</v>
      </c>
      <c r="E2117" s="95" t="s">
        <v>4104</v>
      </c>
      <c r="F2117" s="93" t="s">
        <v>46</v>
      </c>
      <c r="G2117" s="54"/>
      <c r="H2117" s="75">
        <f>STOCK[[#This Row],[Precio Final]]</f>
        <v>25</v>
      </c>
      <c r="I2117" s="80">
        <f>STOCK[[#This Row],[Precio Venta Ideal (x1.5)]]</f>
        <v>17.25</v>
      </c>
      <c r="J2117" s="93">
        <v>1</v>
      </c>
      <c r="K2117" s="78">
        <f>SUMIFS(VENTAS[Cantidad],VENTAS[Código del producto Vendido],STOCK[[#This Row],[Code]])</f>
        <v>0</v>
      </c>
      <c r="L2117" s="78">
        <f>STOCK[[#This Row],[Entradas]]-STOCK[[#This Row],[Salidas]]</f>
        <v>1</v>
      </c>
      <c r="M2117" s="75">
        <f>STOCK[[#This Row],[Precio Final]]*10%</f>
        <v>2.5</v>
      </c>
      <c r="N2117" s="54"/>
      <c r="O2117" s="54"/>
      <c r="P2117" s="54">
        <v>9</v>
      </c>
      <c r="Q2117" s="54"/>
      <c r="R2117" s="70"/>
      <c r="S2117" s="54">
        <v>0</v>
      </c>
      <c r="T2117" s="75">
        <f>STOCK[[#This Row],[Costo Unitario (USD)]]+STOCK[[#This Row],[Costo Envío (USD)]]+STOCK[[#This Row],[Comisión 10%]]</f>
        <v>11.5</v>
      </c>
      <c r="U2117" s="53">
        <f>STOCK[[#This Row],[Costo total]]*1.5</f>
        <v>17.25</v>
      </c>
      <c r="V2117" s="54">
        <v>25</v>
      </c>
      <c r="W2117" s="75">
        <f>STOCK[[#This Row],[Precio Final]]-STOCK[[#This Row],[Costo total]]</f>
        <v>13.5</v>
      </c>
      <c r="X2117" s="75">
        <f>STOCK[[#This Row],[Ganancia Unitaria]]*STOCK[[#This Row],[Salidas]]</f>
        <v>0</v>
      </c>
      <c r="Y2117" s="54"/>
      <c r="Z2117" s="118"/>
      <c r="AA2117" s="54"/>
      <c r="AB2117" s="54"/>
      <c r="AC2117" s="54"/>
      <c r="AD2117" s="96"/>
    </row>
    <row r="2118" spans="1:30" s="53" customFormat="1" ht="50" customHeight="1">
      <c r="A2118" s="119" t="s">
        <v>4105</v>
      </c>
      <c r="B2118" s="113"/>
      <c r="C2118" s="54"/>
      <c r="D2118" s="114" t="s">
        <v>749</v>
      </c>
      <c r="E2118" s="95" t="s">
        <v>4106</v>
      </c>
      <c r="F2118" s="93" t="s">
        <v>46</v>
      </c>
      <c r="G2118" s="54"/>
      <c r="H2118" s="75">
        <f>STOCK[[#This Row],[Precio Final]]</f>
        <v>30</v>
      </c>
      <c r="I2118" s="80">
        <f>STOCK[[#This Row],[Precio Venta Ideal (x1.5)]]</f>
        <v>18</v>
      </c>
      <c r="J2118" s="93">
        <v>1</v>
      </c>
      <c r="K2118" s="78">
        <f>SUMIFS(VENTAS[Cantidad],VENTAS[Código del producto Vendido],STOCK[[#This Row],[Code]])</f>
        <v>0</v>
      </c>
      <c r="L2118" s="78">
        <f>STOCK[[#This Row],[Entradas]]-STOCK[[#This Row],[Salidas]]</f>
        <v>1</v>
      </c>
      <c r="M2118" s="75">
        <f>STOCK[[#This Row],[Precio Final]]*10%</f>
        <v>3</v>
      </c>
      <c r="N2118" s="54"/>
      <c r="O2118" s="54"/>
      <c r="P2118" s="54">
        <v>9</v>
      </c>
      <c r="Q2118" s="54"/>
      <c r="R2118" s="70"/>
      <c r="S2118" s="54">
        <v>0</v>
      </c>
      <c r="T2118" s="75">
        <f>STOCK[[#This Row],[Costo Unitario (USD)]]+STOCK[[#This Row],[Costo Envío (USD)]]+STOCK[[#This Row],[Comisión 10%]]</f>
        <v>12</v>
      </c>
      <c r="U2118" s="53">
        <f>STOCK[[#This Row],[Costo total]]*1.5</f>
        <v>18</v>
      </c>
      <c r="V2118" s="54">
        <v>30</v>
      </c>
      <c r="W2118" s="75">
        <f>STOCK[[#This Row],[Precio Final]]-STOCK[[#This Row],[Costo total]]</f>
        <v>18</v>
      </c>
      <c r="X2118" s="75">
        <f>STOCK[[#This Row],[Ganancia Unitaria]]*STOCK[[#This Row],[Salidas]]</f>
        <v>0</v>
      </c>
      <c r="Y2118" s="54"/>
      <c r="Z2118" s="118"/>
      <c r="AA2118" s="54"/>
      <c r="AB2118" s="54"/>
      <c r="AC2118" s="54"/>
      <c r="AD2118" s="96"/>
    </row>
    <row r="2119" spans="1:30" s="53" customFormat="1" ht="50" customHeight="1">
      <c r="A2119" s="119" t="s">
        <v>4107</v>
      </c>
      <c r="B2119" s="113"/>
      <c r="C2119" s="54"/>
      <c r="D2119" s="114" t="s">
        <v>779</v>
      </c>
      <c r="E2119" s="95" t="s">
        <v>4108</v>
      </c>
      <c r="F2119" s="93" t="s">
        <v>49</v>
      </c>
      <c r="G2119" s="54"/>
      <c r="H2119" s="75">
        <f>STOCK[[#This Row],[Precio Final]]</f>
        <v>30</v>
      </c>
      <c r="I2119" s="80">
        <f>STOCK[[#This Row],[Precio Venta Ideal (x1.5)]]</f>
        <v>18</v>
      </c>
      <c r="J2119" s="93">
        <v>1</v>
      </c>
      <c r="K2119" s="78">
        <f>SUMIFS(VENTAS[Cantidad],VENTAS[Código del producto Vendido],STOCK[[#This Row],[Code]])</f>
        <v>0</v>
      </c>
      <c r="L2119" s="78">
        <f>STOCK[[#This Row],[Entradas]]-STOCK[[#This Row],[Salidas]]</f>
        <v>1</v>
      </c>
      <c r="M2119" s="75">
        <f>STOCK[[#This Row],[Precio Final]]*10%</f>
        <v>3</v>
      </c>
      <c r="N2119" s="54"/>
      <c r="O2119" s="54"/>
      <c r="P2119" s="54">
        <v>9</v>
      </c>
      <c r="Q2119" s="54"/>
      <c r="R2119" s="70"/>
      <c r="S2119" s="54">
        <v>0</v>
      </c>
      <c r="T2119" s="75">
        <f>STOCK[[#This Row],[Costo Unitario (USD)]]+STOCK[[#This Row],[Costo Envío (USD)]]+STOCK[[#This Row],[Comisión 10%]]</f>
        <v>12</v>
      </c>
      <c r="U2119" s="53">
        <f>STOCK[[#This Row],[Costo total]]*1.5</f>
        <v>18</v>
      </c>
      <c r="V2119" s="54">
        <v>30</v>
      </c>
      <c r="W2119" s="75">
        <f>STOCK[[#This Row],[Precio Final]]-STOCK[[#This Row],[Costo total]]</f>
        <v>18</v>
      </c>
      <c r="X2119" s="75">
        <f>STOCK[[#This Row],[Ganancia Unitaria]]*STOCK[[#This Row],[Salidas]]</f>
        <v>0</v>
      </c>
      <c r="Y2119" s="54"/>
      <c r="Z2119" s="118"/>
      <c r="AA2119" s="54"/>
      <c r="AB2119" s="54"/>
      <c r="AC2119" s="54"/>
      <c r="AD2119" s="96"/>
    </row>
    <row r="2120" spans="1:30" s="53" customFormat="1" ht="50" customHeight="1">
      <c r="A2120" s="119" t="s">
        <v>4109</v>
      </c>
      <c r="B2120" s="113"/>
      <c r="C2120" s="54"/>
      <c r="D2120" s="114" t="s">
        <v>779</v>
      </c>
      <c r="E2120" s="95" t="s">
        <v>4110</v>
      </c>
      <c r="F2120" s="93" t="s">
        <v>40</v>
      </c>
      <c r="G2120" s="54"/>
      <c r="H2120" s="75">
        <f>STOCK[[#This Row],[Precio Final]]</f>
        <v>30</v>
      </c>
      <c r="I2120" s="80">
        <f>STOCK[[#This Row],[Precio Venta Ideal (x1.5)]]</f>
        <v>18</v>
      </c>
      <c r="J2120" s="93">
        <v>1</v>
      </c>
      <c r="K2120" s="78">
        <f>SUMIFS(VENTAS[Cantidad],VENTAS[Código del producto Vendido],STOCK[[#This Row],[Code]])</f>
        <v>0</v>
      </c>
      <c r="L2120" s="78">
        <f>STOCK[[#This Row],[Entradas]]-STOCK[[#This Row],[Salidas]]</f>
        <v>1</v>
      </c>
      <c r="M2120" s="75">
        <f>STOCK[[#This Row],[Precio Final]]*10%</f>
        <v>3</v>
      </c>
      <c r="N2120" s="54"/>
      <c r="O2120" s="54"/>
      <c r="P2120" s="54">
        <v>9</v>
      </c>
      <c r="Q2120" s="54"/>
      <c r="R2120" s="70"/>
      <c r="S2120" s="54">
        <v>0</v>
      </c>
      <c r="T2120" s="75">
        <f>STOCK[[#This Row],[Costo Unitario (USD)]]+STOCK[[#This Row],[Costo Envío (USD)]]+STOCK[[#This Row],[Comisión 10%]]</f>
        <v>12</v>
      </c>
      <c r="U2120" s="53">
        <f>STOCK[[#This Row],[Costo total]]*1.5</f>
        <v>18</v>
      </c>
      <c r="V2120" s="54">
        <v>30</v>
      </c>
      <c r="W2120" s="75">
        <f>STOCK[[#This Row],[Precio Final]]-STOCK[[#This Row],[Costo total]]</f>
        <v>18</v>
      </c>
      <c r="X2120" s="75">
        <f>STOCK[[#This Row],[Ganancia Unitaria]]*STOCK[[#This Row],[Salidas]]</f>
        <v>0</v>
      </c>
      <c r="Y2120" s="54"/>
      <c r="Z2120" s="118"/>
      <c r="AA2120" s="54"/>
      <c r="AB2120" s="54"/>
      <c r="AC2120" s="54"/>
      <c r="AD2120" s="96"/>
    </row>
    <row r="2121" spans="1:30" s="53" customFormat="1" ht="50" customHeight="1">
      <c r="A2121" s="119" t="s">
        <v>4111</v>
      </c>
      <c r="B2121" s="113"/>
      <c r="C2121" s="54"/>
      <c r="D2121" s="114" t="s">
        <v>779</v>
      </c>
      <c r="E2121" s="95" t="s">
        <v>4112</v>
      </c>
      <c r="F2121" s="93" t="s">
        <v>62</v>
      </c>
      <c r="G2121" s="54"/>
      <c r="H2121" s="75">
        <f>STOCK[[#This Row],[Precio Final]]</f>
        <v>30</v>
      </c>
      <c r="I2121" s="80">
        <f>STOCK[[#This Row],[Precio Venta Ideal (x1.5)]]</f>
        <v>18</v>
      </c>
      <c r="J2121" s="93">
        <v>1</v>
      </c>
      <c r="K2121" s="78">
        <f>SUMIFS(VENTAS[Cantidad],VENTAS[Código del producto Vendido],STOCK[[#This Row],[Code]])</f>
        <v>0</v>
      </c>
      <c r="L2121" s="78">
        <f>STOCK[[#This Row],[Entradas]]-STOCK[[#This Row],[Salidas]]</f>
        <v>1</v>
      </c>
      <c r="M2121" s="75">
        <f>STOCK[[#This Row],[Precio Final]]*10%</f>
        <v>3</v>
      </c>
      <c r="N2121" s="54"/>
      <c r="O2121" s="54"/>
      <c r="P2121" s="54">
        <v>9</v>
      </c>
      <c r="Q2121" s="54"/>
      <c r="R2121" s="70"/>
      <c r="S2121" s="54">
        <v>0</v>
      </c>
      <c r="T2121" s="75">
        <f>STOCK[[#This Row],[Costo Unitario (USD)]]+STOCK[[#This Row],[Costo Envío (USD)]]+STOCK[[#This Row],[Comisión 10%]]</f>
        <v>12</v>
      </c>
      <c r="U2121" s="53">
        <f>STOCK[[#This Row],[Costo total]]*1.5</f>
        <v>18</v>
      </c>
      <c r="V2121" s="54">
        <v>30</v>
      </c>
      <c r="W2121" s="75">
        <f>STOCK[[#This Row],[Precio Final]]-STOCK[[#This Row],[Costo total]]</f>
        <v>18</v>
      </c>
      <c r="X2121" s="75">
        <f>STOCK[[#This Row],[Ganancia Unitaria]]*STOCK[[#This Row],[Salidas]]</f>
        <v>0</v>
      </c>
      <c r="Y2121" s="54"/>
      <c r="Z2121" s="118"/>
      <c r="AA2121" s="54"/>
      <c r="AB2121" s="54"/>
      <c r="AC2121" s="54"/>
      <c r="AD2121" s="96"/>
    </row>
    <row r="2122" spans="1:30" s="53" customFormat="1" ht="50" customHeight="1">
      <c r="A2122" s="119" t="s">
        <v>4113</v>
      </c>
      <c r="B2122" s="113"/>
      <c r="C2122" s="54"/>
      <c r="D2122" s="114" t="s">
        <v>1388</v>
      </c>
      <c r="E2122" s="95" t="s">
        <v>4114</v>
      </c>
      <c r="F2122" s="93" t="s">
        <v>62</v>
      </c>
      <c r="G2122" s="54"/>
      <c r="H2122" s="75">
        <f>STOCK[[#This Row],[Precio Final]]</f>
        <v>30</v>
      </c>
      <c r="I2122" s="80">
        <f>STOCK[[#This Row],[Precio Venta Ideal (x1.5)]]</f>
        <v>18</v>
      </c>
      <c r="J2122" s="93">
        <v>1</v>
      </c>
      <c r="K2122" s="78">
        <f>SUMIFS(VENTAS[Cantidad],VENTAS[Código del producto Vendido],STOCK[[#This Row],[Code]])</f>
        <v>0</v>
      </c>
      <c r="L2122" s="78">
        <f>STOCK[[#This Row],[Entradas]]-STOCK[[#This Row],[Salidas]]</f>
        <v>1</v>
      </c>
      <c r="M2122" s="75">
        <f>STOCK[[#This Row],[Precio Final]]*10%</f>
        <v>3</v>
      </c>
      <c r="N2122" s="54"/>
      <c r="O2122" s="54"/>
      <c r="P2122" s="54">
        <v>9</v>
      </c>
      <c r="Q2122" s="54"/>
      <c r="R2122" s="70"/>
      <c r="S2122" s="54">
        <v>0</v>
      </c>
      <c r="T2122" s="75">
        <f>STOCK[[#This Row],[Costo Unitario (USD)]]+STOCK[[#This Row],[Costo Envío (USD)]]+STOCK[[#This Row],[Comisión 10%]]</f>
        <v>12</v>
      </c>
      <c r="U2122" s="53">
        <f>STOCK[[#This Row],[Costo total]]*1.5</f>
        <v>18</v>
      </c>
      <c r="V2122" s="54">
        <v>30</v>
      </c>
      <c r="W2122" s="75">
        <f>STOCK[[#This Row],[Precio Final]]-STOCK[[#This Row],[Costo total]]</f>
        <v>18</v>
      </c>
      <c r="X2122" s="75">
        <f>STOCK[[#This Row],[Ganancia Unitaria]]*STOCK[[#This Row],[Salidas]]</f>
        <v>0</v>
      </c>
      <c r="Y2122" s="54"/>
      <c r="Z2122" s="118"/>
      <c r="AA2122" s="54"/>
      <c r="AB2122" s="54"/>
      <c r="AC2122" s="54"/>
      <c r="AD2122" s="96"/>
    </row>
    <row r="2123" spans="1:30" s="53" customFormat="1" ht="50" customHeight="1">
      <c r="A2123" s="119" t="s">
        <v>4115</v>
      </c>
      <c r="B2123" s="113"/>
      <c r="C2123" s="54"/>
      <c r="D2123" s="114" t="s">
        <v>779</v>
      </c>
      <c r="E2123" s="95" t="s">
        <v>4116</v>
      </c>
      <c r="F2123" s="93" t="s">
        <v>62</v>
      </c>
      <c r="G2123" s="54"/>
      <c r="H2123" s="75">
        <f>STOCK[[#This Row],[Precio Final]]</f>
        <v>20</v>
      </c>
      <c r="I2123" s="80">
        <f>STOCK[[#This Row],[Precio Venta Ideal (x1.5)]]</f>
        <v>16.5</v>
      </c>
      <c r="J2123" s="93">
        <v>1</v>
      </c>
      <c r="K2123" s="78">
        <f>SUMIFS(VENTAS[Cantidad],VENTAS[Código del producto Vendido],STOCK[[#This Row],[Code]])</f>
        <v>0</v>
      </c>
      <c r="L2123" s="78">
        <f>STOCK[[#This Row],[Entradas]]-STOCK[[#This Row],[Salidas]]</f>
        <v>1</v>
      </c>
      <c r="M2123" s="75">
        <f>STOCK[[#This Row],[Precio Final]]*10%</f>
        <v>2</v>
      </c>
      <c r="N2123" s="54"/>
      <c r="O2123" s="54"/>
      <c r="P2123" s="54">
        <v>9</v>
      </c>
      <c r="Q2123" s="54"/>
      <c r="R2123" s="70"/>
      <c r="S2123" s="54">
        <v>0</v>
      </c>
      <c r="T2123" s="75">
        <f>STOCK[[#This Row],[Costo Unitario (USD)]]+STOCK[[#This Row],[Costo Envío (USD)]]+STOCK[[#This Row],[Comisión 10%]]</f>
        <v>11</v>
      </c>
      <c r="U2123" s="53">
        <f>STOCK[[#This Row],[Costo total]]*1.5</f>
        <v>16.5</v>
      </c>
      <c r="V2123" s="54">
        <v>20</v>
      </c>
      <c r="W2123" s="75">
        <f>STOCK[[#This Row],[Precio Final]]-STOCK[[#This Row],[Costo total]]</f>
        <v>9</v>
      </c>
      <c r="X2123" s="75">
        <f>STOCK[[#This Row],[Ganancia Unitaria]]*STOCK[[#This Row],[Salidas]]</f>
        <v>0</v>
      </c>
      <c r="Y2123" s="54"/>
      <c r="Z2123" s="118"/>
      <c r="AA2123" s="54"/>
      <c r="AB2123" s="54"/>
      <c r="AC2123" s="54"/>
      <c r="AD2123" s="96"/>
    </row>
    <row r="2124" spans="1:30" s="53" customFormat="1" ht="50" customHeight="1">
      <c r="A2124" s="119" t="s">
        <v>4117</v>
      </c>
      <c r="B2124" s="113"/>
      <c r="C2124" s="54"/>
      <c r="D2124" s="114" t="s">
        <v>779</v>
      </c>
      <c r="E2124" s="95" t="s">
        <v>4118</v>
      </c>
      <c r="F2124" s="93" t="s">
        <v>49</v>
      </c>
      <c r="G2124" s="54"/>
      <c r="H2124" s="75">
        <f>STOCK[[#This Row],[Precio Final]]</f>
        <v>20</v>
      </c>
      <c r="I2124" s="80">
        <f>STOCK[[#This Row],[Precio Venta Ideal (x1.5)]]</f>
        <v>16.5</v>
      </c>
      <c r="J2124" s="93">
        <v>1</v>
      </c>
      <c r="K2124" s="78">
        <f>SUMIFS(VENTAS[Cantidad],VENTAS[Código del producto Vendido],STOCK[[#This Row],[Code]])</f>
        <v>0</v>
      </c>
      <c r="L2124" s="78">
        <f>STOCK[[#This Row],[Entradas]]-STOCK[[#This Row],[Salidas]]</f>
        <v>1</v>
      </c>
      <c r="M2124" s="75">
        <f>STOCK[[#This Row],[Precio Final]]*10%</f>
        <v>2</v>
      </c>
      <c r="N2124" s="54"/>
      <c r="O2124" s="54"/>
      <c r="P2124" s="54">
        <v>9</v>
      </c>
      <c r="Q2124" s="54"/>
      <c r="R2124" s="70"/>
      <c r="S2124" s="54">
        <v>0</v>
      </c>
      <c r="T2124" s="75">
        <f>STOCK[[#This Row],[Costo Unitario (USD)]]+STOCK[[#This Row],[Costo Envío (USD)]]+STOCK[[#This Row],[Comisión 10%]]</f>
        <v>11</v>
      </c>
      <c r="U2124" s="53">
        <f>STOCK[[#This Row],[Costo total]]*1.5</f>
        <v>16.5</v>
      </c>
      <c r="V2124" s="54">
        <v>20</v>
      </c>
      <c r="W2124" s="75">
        <f>STOCK[[#This Row],[Precio Final]]-STOCK[[#This Row],[Costo total]]</f>
        <v>9</v>
      </c>
      <c r="X2124" s="75">
        <f>STOCK[[#This Row],[Ganancia Unitaria]]*STOCK[[#This Row],[Salidas]]</f>
        <v>0</v>
      </c>
      <c r="Y2124" s="54"/>
      <c r="Z2124" s="118"/>
      <c r="AA2124" s="54"/>
      <c r="AB2124" s="54"/>
      <c r="AC2124" s="54"/>
      <c r="AD2124" s="96"/>
    </row>
    <row r="2125" spans="1:30" s="53" customFormat="1" ht="50" customHeight="1">
      <c r="A2125" s="119" t="s">
        <v>4119</v>
      </c>
      <c r="B2125" s="113"/>
      <c r="C2125" s="54"/>
      <c r="D2125" s="114" t="s">
        <v>779</v>
      </c>
      <c r="E2125" s="95" t="s">
        <v>3615</v>
      </c>
      <c r="F2125" s="93" t="s">
        <v>49</v>
      </c>
      <c r="G2125" s="54"/>
      <c r="H2125" s="75">
        <f>STOCK[[#This Row],[Precio Final]]</f>
        <v>20</v>
      </c>
      <c r="I2125" s="80">
        <f>STOCK[[#This Row],[Precio Venta Ideal (x1.5)]]</f>
        <v>16.5</v>
      </c>
      <c r="J2125" s="93">
        <v>1</v>
      </c>
      <c r="K2125" s="78">
        <f>SUMIFS(VENTAS[Cantidad],VENTAS[Código del producto Vendido],STOCK[[#This Row],[Code]])</f>
        <v>0</v>
      </c>
      <c r="L2125" s="78">
        <f>STOCK[[#This Row],[Entradas]]-STOCK[[#This Row],[Salidas]]</f>
        <v>1</v>
      </c>
      <c r="M2125" s="75">
        <f>STOCK[[#This Row],[Precio Final]]*10%</f>
        <v>2</v>
      </c>
      <c r="N2125" s="54"/>
      <c r="O2125" s="54"/>
      <c r="P2125" s="54">
        <v>9</v>
      </c>
      <c r="Q2125" s="54"/>
      <c r="R2125" s="70"/>
      <c r="S2125" s="54">
        <v>0</v>
      </c>
      <c r="T2125" s="75">
        <f>STOCK[[#This Row],[Costo Unitario (USD)]]+STOCK[[#This Row],[Costo Envío (USD)]]+STOCK[[#This Row],[Comisión 10%]]</f>
        <v>11</v>
      </c>
      <c r="U2125" s="53">
        <f>STOCK[[#This Row],[Costo total]]*1.5</f>
        <v>16.5</v>
      </c>
      <c r="V2125" s="54">
        <v>20</v>
      </c>
      <c r="W2125" s="75">
        <f>STOCK[[#This Row],[Precio Final]]-STOCK[[#This Row],[Costo total]]</f>
        <v>9</v>
      </c>
      <c r="X2125" s="75">
        <f>STOCK[[#This Row],[Ganancia Unitaria]]*STOCK[[#This Row],[Salidas]]</f>
        <v>0</v>
      </c>
      <c r="Y2125" s="54"/>
      <c r="Z2125" s="118"/>
      <c r="AA2125" s="54"/>
      <c r="AB2125" s="54"/>
      <c r="AC2125" s="54"/>
      <c r="AD2125" s="96"/>
    </row>
    <row r="2126" spans="1:30" s="53" customFormat="1" ht="50" customHeight="1">
      <c r="A2126" s="119" t="s">
        <v>4120</v>
      </c>
      <c r="B2126" s="113"/>
      <c r="C2126" s="54"/>
      <c r="D2126" s="114" t="s">
        <v>749</v>
      </c>
      <c r="E2126" s="95" t="s">
        <v>4121</v>
      </c>
      <c r="F2126" s="93" t="s">
        <v>62</v>
      </c>
      <c r="G2126" s="54"/>
      <c r="H2126" s="75">
        <f>STOCK[[#This Row],[Precio Final]]</f>
        <v>30</v>
      </c>
      <c r="I2126" s="80">
        <f>STOCK[[#This Row],[Precio Venta Ideal (x1.5)]]</f>
        <v>18</v>
      </c>
      <c r="J2126" s="93">
        <v>1</v>
      </c>
      <c r="K2126" s="78">
        <f>SUMIFS(VENTAS[Cantidad],VENTAS[Código del producto Vendido],STOCK[[#This Row],[Code]])</f>
        <v>0</v>
      </c>
      <c r="L2126" s="78">
        <f>STOCK[[#This Row],[Entradas]]-STOCK[[#This Row],[Salidas]]</f>
        <v>1</v>
      </c>
      <c r="M2126" s="75">
        <f>STOCK[[#This Row],[Precio Final]]*10%</f>
        <v>3</v>
      </c>
      <c r="N2126" s="54"/>
      <c r="O2126" s="54"/>
      <c r="P2126" s="54">
        <v>9</v>
      </c>
      <c r="Q2126" s="54"/>
      <c r="R2126" s="70"/>
      <c r="S2126" s="54">
        <v>0</v>
      </c>
      <c r="T2126" s="75">
        <f>STOCK[[#This Row],[Costo Unitario (USD)]]+STOCK[[#This Row],[Costo Envío (USD)]]+STOCK[[#This Row],[Comisión 10%]]</f>
        <v>12</v>
      </c>
      <c r="U2126" s="53">
        <f>STOCK[[#This Row],[Costo total]]*1.5</f>
        <v>18</v>
      </c>
      <c r="V2126" s="54">
        <v>30</v>
      </c>
      <c r="W2126" s="75">
        <f>STOCK[[#This Row],[Precio Final]]-STOCK[[#This Row],[Costo total]]</f>
        <v>18</v>
      </c>
      <c r="X2126" s="75">
        <f>STOCK[[#This Row],[Ganancia Unitaria]]*STOCK[[#This Row],[Salidas]]</f>
        <v>0</v>
      </c>
      <c r="Y2126" s="54"/>
      <c r="Z2126" s="118"/>
      <c r="AA2126" s="54"/>
      <c r="AB2126" s="54"/>
      <c r="AC2126" s="54"/>
      <c r="AD2126" s="96"/>
    </row>
    <row r="2127" spans="1:30" s="53" customFormat="1" ht="50" customHeight="1">
      <c r="A2127" s="119" t="s">
        <v>4122</v>
      </c>
      <c r="B2127" s="113"/>
      <c r="C2127" s="54"/>
      <c r="D2127" s="114" t="s">
        <v>749</v>
      </c>
      <c r="E2127" s="95" t="s">
        <v>4123</v>
      </c>
      <c r="F2127" s="93" t="s">
        <v>62</v>
      </c>
      <c r="G2127" s="54"/>
      <c r="H2127" s="75">
        <f>STOCK[[#This Row],[Precio Final]]</f>
        <v>30</v>
      </c>
      <c r="I2127" s="80">
        <f>STOCK[[#This Row],[Precio Venta Ideal (x1.5)]]</f>
        <v>18</v>
      </c>
      <c r="J2127" s="93">
        <v>1</v>
      </c>
      <c r="K2127" s="78">
        <f>SUMIFS(VENTAS[Cantidad],VENTAS[Código del producto Vendido],STOCK[[#This Row],[Code]])</f>
        <v>0</v>
      </c>
      <c r="L2127" s="78">
        <f>STOCK[[#This Row],[Entradas]]-STOCK[[#This Row],[Salidas]]</f>
        <v>1</v>
      </c>
      <c r="M2127" s="75">
        <f>STOCK[[#This Row],[Precio Final]]*10%</f>
        <v>3</v>
      </c>
      <c r="N2127" s="54"/>
      <c r="O2127" s="54"/>
      <c r="P2127" s="54">
        <v>9</v>
      </c>
      <c r="Q2127" s="54"/>
      <c r="R2127" s="70"/>
      <c r="S2127" s="54">
        <v>0</v>
      </c>
      <c r="T2127" s="75">
        <f>STOCK[[#This Row],[Costo Unitario (USD)]]+STOCK[[#This Row],[Costo Envío (USD)]]+STOCK[[#This Row],[Comisión 10%]]</f>
        <v>12</v>
      </c>
      <c r="U2127" s="53">
        <f>STOCK[[#This Row],[Costo total]]*1.5</f>
        <v>18</v>
      </c>
      <c r="V2127" s="54">
        <v>30</v>
      </c>
      <c r="W2127" s="75">
        <f>STOCK[[#This Row],[Precio Final]]-STOCK[[#This Row],[Costo total]]</f>
        <v>18</v>
      </c>
      <c r="X2127" s="75">
        <f>STOCK[[#This Row],[Ganancia Unitaria]]*STOCK[[#This Row],[Salidas]]</f>
        <v>0</v>
      </c>
      <c r="Y2127" s="54"/>
      <c r="Z2127" s="118"/>
      <c r="AA2127" s="54"/>
      <c r="AB2127" s="54"/>
      <c r="AC2127" s="54"/>
      <c r="AD2127" s="96"/>
    </row>
    <row r="2128" spans="1:30" s="53" customFormat="1" ht="50" customHeight="1">
      <c r="A2128" s="119" t="s">
        <v>4124</v>
      </c>
      <c r="B2128" s="113"/>
      <c r="C2128" s="54"/>
      <c r="D2128" s="114" t="s">
        <v>779</v>
      </c>
      <c r="E2128" s="95" t="s">
        <v>4125</v>
      </c>
      <c r="F2128" s="93" t="s">
        <v>62</v>
      </c>
      <c r="G2128" s="54"/>
      <c r="H2128" s="75">
        <f>STOCK[[#This Row],[Precio Final]]</f>
        <v>28</v>
      </c>
      <c r="I2128" s="80">
        <f>STOCK[[#This Row],[Precio Venta Ideal (x1.5)]]</f>
        <v>17.700000000000003</v>
      </c>
      <c r="J2128" s="93">
        <v>1</v>
      </c>
      <c r="K2128" s="78">
        <f>SUMIFS(VENTAS[Cantidad],VENTAS[Código del producto Vendido],STOCK[[#This Row],[Code]])</f>
        <v>0</v>
      </c>
      <c r="L2128" s="78">
        <f>STOCK[[#This Row],[Entradas]]-STOCK[[#This Row],[Salidas]]</f>
        <v>1</v>
      </c>
      <c r="M2128" s="75">
        <f>STOCK[[#This Row],[Precio Final]]*10%</f>
        <v>2.8000000000000003</v>
      </c>
      <c r="N2128" s="54"/>
      <c r="O2128" s="54"/>
      <c r="P2128" s="54">
        <v>9</v>
      </c>
      <c r="Q2128" s="54"/>
      <c r="R2128" s="70"/>
      <c r="S2128" s="54">
        <v>0</v>
      </c>
      <c r="T2128" s="75">
        <f>STOCK[[#This Row],[Costo Unitario (USD)]]+STOCK[[#This Row],[Costo Envío (USD)]]+STOCK[[#This Row],[Comisión 10%]]</f>
        <v>11.8</v>
      </c>
      <c r="U2128" s="53">
        <f>STOCK[[#This Row],[Costo total]]*1.5</f>
        <v>17.700000000000003</v>
      </c>
      <c r="V2128" s="54">
        <v>28</v>
      </c>
      <c r="W2128" s="75">
        <f>STOCK[[#This Row],[Precio Final]]-STOCK[[#This Row],[Costo total]]</f>
        <v>16.2</v>
      </c>
      <c r="X2128" s="75">
        <f>STOCK[[#This Row],[Ganancia Unitaria]]*STOCK[[#This Row],[Salidas]]</f>
        <v>0</v>
      </c>
      <c r="Y2128" s="54"/>
      <c r="Z2128" s="118"/>
      <c r="AA2128" s="54"/>
      <c r="AB2128" s="54"/>
      <c r="AC2128" s="54"/>
      <c r="AD2128" s="96"/>
    </row>
    <row r="2129" spans="1:30" s="53" customFormat="1" ht="50" customHeight="1">
      <c r="A2129" s="119" t="s">
        <v>4126</v>
      </c>
      <c r="B2129" s="113"/>
      <c r="C2129" s="54"/>
      <c r="D2129" s="114" t="s">
        <v>1388</v>
      </c>
      <c r="E2129" s="95" t="s">
        <v>4127</v>
      </c>
      <c r="F2129" s="93" t="s">
        <v>3498</v>
      </c>
      <c r="G2129" s="54"/>
      <c r="H2129" s="75">
        <f>STOCK[[#This Row],[Precio Final]]</f>
        <v>35</v>
      </c>
      <c r="I2129" s="80">
        <f>STOCK[[#This Row],[Precio Venta Ideal (x1.5)]]</f>
        <v>18.75</v>
      </c>
      <c r="J2129" s="93">
        <v>1</v>
      </c>
      <c r="K2129" s="78">
        <f>SUMIFS(VENTAS[Cantidad],VENTAS[Código del producto Vendido],STOCK[[#This Row],[Code]])</f>
        <v>0</v>
      </c>
      <c r="L2129" s="78">
        <f>STOCK[[#This Row],[Entradas]]-STOCK[[#This Row],[Salidas]]</f>
        <v>1</v>
      </c>
      <c r="M2129" s="75">
        <f>STOCK[[#This Row],[Precio Final]]*10%</f>
        <v>3.5</v>
      </c>
      <c r="N2129" s="54"/>
      <c r="O2129" s="54"/>
      <c r="P2129" s="54">
        <v>9</v>
      </c>
      <c r="Q2129" s="54"/>
      <c r="R2129" s="70"/>
      <c r="S2129" s="54">
        <v>0</v>
      </c>
      <c r="T2129" s="75">
        <f>STOCK[[#This Row],[Costo Unitario (USD)]]+STOCK[[#This Row],[Costo Envío (USD)]]+STOCK[[#This Row],[Comisión 10%]]</f>
        <v>12.5</v>
      </c>
      <c r="U2129" s="53">
        <f>STOCK[[#This Row],[Costo total]]*1.5</f>
        <v>18.75</v>
      </c>
      <c r="V2129" s="54">
        <v>35</v>
      </c>
      <c r="W2129" s="75">
        <f>STOCK[[#This Row],[Precio Final]]-STOCK[[#This Row],[Costo total]]</f>
        <v>22.5</v>
      </c>
      <c r="X2129" s="75">
        <f>STOCK[[#This Row],[Ganancia Unitaria]]*STOCK[[#This Row],[Salidas]]</f>
        <v>0</v>
      </c>
      <c r="Y2129" s="54"/>
      <c r="Z2129" s="118"/>
      <c r="AA2129" s="54"/>
      <c r="AB2129" s="54"/>
      <c r="AC2129" s="54"/>
      <c r="AD2129" s="96"/>
    </row>
    <row r="2130" spans="1:30" s="53" customFormat="1" ht="50" customHeight="1">
      <c r="A2130" s="119" t="s">
        <v>4128</v>
      </c>
      <c r="B2130" s="113"/>
      <c r="C2130" s="54"/>
      <c r="D2130" s="114" t="s">
        <v>779</v>
      </c>
      <c r="E2130" s="95" t="s">
        <v>4129</v>
      </c>
      <c r="F2130" s="93" t="s">
        <v>46</v>
      </c>
      <c r="G2130" s="54"/>
      <c r="H2130" s="75">
        <f>STOCK[[#This Row],[Precio Final]]</f>
        <v>18</v>
      </c>
      <c r="I2130" s="80">
        <f>STOCK[[#This Row],[Precio Venta Ideal (x1.5)]]</f>
        <v>16.200000000000003</v>
      </c>
      <c r="J2130" s="93">
        <v>1</v>
      </c>
      <c r="K2130" s="78">
        <f>SUMIFS(VENTAS[Cantidad],VENTAS[Código del producto Vendido],STOCK[[#This Row],[Code]])</f>
        <v>0</v>
      </c>
      <c r="L2130" s="78">
        <f>STOCK[[#This Row],[Entradas]]-STOCK[[#This Row],[Salidas]]</f>
        <v>1</v>
      </c>
      <c r="M2130" s="75">
        <f>STOCK[[#This Row],[Precio Final]]*10%</f>
        <v>1.8</v>
      </c>
      <c r="N2130" s="54"/>
      <c r="O2130" s="54"/>
      <c r="P2130" s="54">
        <v>9</v>
      </c>
      <c r="Q2130" s="54"/>
      <c r="R2130" s="70"/>
      <c r="S2130" s="54">
        <v>0</v>
      </c>
      <c r="T2130" s="75">
        <f>STOCK[[#This Row],[Costo Unitario (USD)]]+STOCK[[#This Row],[Costo Envío (USD)]]+STOCK[[#This Row],[Comisión 10%]]</f>
        <v>10.8</v>
      </c>
      <c r="U2130" s="53">
        <f>STOCK[[#This Row],[Costo total]]*1.5</f>
        <v>16.200000000000003</v>
      </c>
      <c r="V2130" s="54">
        <v>18</v>
      </c>
      <c r="W2130" s="75">
        <f>STOCK[[#This Row],[Precio Final]]-STOCK[[#This Row],[Costo total]]</f>
        <v>7.1999999999999993</v>
      </c>
      <c r="X2130" s="75">
        <f>STOCK[[#This Row],[Ganancia Unitaria]]*STOCK[[#This Row],[Salidas]]</f>
        <v>0</v>
      </c>
      <c r="Y2130" s="54"/>
      <c r="Z2130" s="118"/>
      <c r="AA2130" s="54"/>
      <c r="AB2130" s="54"/>
      <c r="AC2130" s="54"/>
      <c r="AD2130" s="96"/>
    </row>
    <row r="2131" spans="1:30" s="53" customFormat="1" ht="50" customHeight="1">
      <c r="A2131" s="119" t="s">
        <v>4130</v>
      </c>
      <c r="B2131" s="113"/>
      <c r="C2131" s="54"/>
      <c r="D2131" s="114" t="s">
        <v>749</v>
      </c>
      <c r="E2131" s="95" t="s">
        <v>4131</v>
      </c>
      <c r="F2131" s="93" t="s">
        <v>46</v>
      </c>
      <c r="G2131" s="54"/>
      <c r="H2131" s="75">
        <f>STOCK[[#This Row],[Precio Final]]</f>
        <v>0</v>
      </c>
      <c r="I2131" s="80">
        <f>STOCK[[#This Row],[Precio Venta Ideal (x1.5)]]</f>
        <v>13.5</v>
      </c>
      <c r="J2131" s="93">
        <v>1</v>
      </c>
      <c r="K2131" s="78">
        <f>SUMIFS(VENTAS[Cantidad],VENTAS[Código del producto Vendido],STOCK[[#This Row],[Code]])</f>
        <v>0</v>
      </c>
      <c r="L2131" s="78">
        <f>STOCK[[#This Row],[Entradas]]-STOCK[[#This Row],[Salidas]]</f>
        <v>1</v>
      </c>
      <c r="M2131" s="75">
        <f>STOCK[[#This Row],[Precio Final]]*10%</f>
        <v>0</v>
      </c>
      <c r="N2131" s="54"/>
      <c r="O2131" s="54"/>
      <c r="P2131" s="54">
        <v>9</v>
      </c>
      <c r="Q2131" s="54"/>
      <c r="R2131" s="70"/>
      <c r="S2131" s="54">
        <v>0</v>
      </c>
      <c r="T2131" s="75">
        <f>STOCK[[#This Row],[Costo Unitario (USD)]]+STOCK[[#This Row],[Costo Envío (USD)]]+STOCK[[#This Row],[Comisión 10%]]</f>
        <v>9</v>
      </c>
      <c r="U2131" s="53">
        <f>STOCK[[#This Row],[Costo total]]*1.5</f>
        <v>13.5</v>
      </c>
      <c r="V2131" s="54"/>
      <c r="W2131" s="75">
        <f>STOCK[[#This Row],[Precio Final]]-STOCK[[#This Row],[Costo total]]</f>
        <v>-9</v>
      </c>
      <c r="X2131" s="75">
        <f>STOCK[[#This Row],[Ganancia Unitaria]]*STOCK[[#This Row],[Salidas]]</f>
        <v>0</v>
      </c>
      <c r="Y2131" s="54"/>
      <c r="Z2131" s="118"/>
      <c r="AA2131" s="54"/>
      <c r="AB2131" s="54"/>
      <c r="AC2131" s="54"/>
      <c r="AD2131" s="96"/>
    </row>
    <row r="2132" spans="1:30" s="53" customFormat="1" ht="50" customHeight="1">
      <c r="A2132" s="119" t="s">
        <v>4132</v>
      </c>
      <c r="B2132" s="113"/>
      <c r="C2132" s="54"/>
      <c r="D2132" s="114" t="s">
        <v>779</v>
      </c>
      <c r="E2132" s="95" t="s">
        <v>4133</v>
      </c>
      <c r="F2132" s="93" t="s">
        <v>716</v>
      </c>
      <c r="G2132" s="54"/>
      <c r="H2132" s="75">
        <f>STOCK[[#This Row],[Precio Final]]</f>
        <v>18</v>
      </c>
      <c r="I2132" s="80">
        <f>STOCK[[#This Row],[Precio Venta Ideal (x1.5)]]</f>
        <v>16.200000000000003</v>
      </c>
      <c r="J2132" s="93">
        <v>1</v>
      </c>
      <c r="K2132" s="78">
        <f>SUMIFS(VENTAS[Cantidad],VENTAS[Código del producto Vendido],STOCK[[#This Row],[Code]])</f>
        <v>0</v>
      </c>
      <c r="L2132" s="78">
        <f>STOCK[[#This Row],[Entradas]]-STOCK[[#This Row],[Salidas]]</f>
        <v>1</v>
      </c>
      <c r="M2132" s="75">
        <f>STOCK[[#This Row],[Precio Final]]*10%</f>
        <v>1.8</v>
      </c>
      <c r="N2132" s="54"/>
      <c r="O2132" s="54"/>
      <c r="P2132" s="54">
        <v>9</v>
      </c>
      <c r="Q2132" s="54"/>
      <c r="R2132" s="70"/>
      <c r="S2132" s="54">
        <v>0</v>
      </c>
      <c r="T2132" s="75">
        <f>STOCK[[#This Row],[Costo Unitario (USD)]]+STOCK[[#This Row],[Costo Envío (USD)]]+STOCK[[#This Row],[Comisión 10%]]</f>
        <v>10.8</v>
      </c>
      <c r="U2132" s="53">
        <f>STOCK[[#This Row],[Costo total]]*1.5</f>
        <v>16.200000000000003</v>
      </c>
      <c r="V2132" s="54">
        <v>18</v>
      </c>
      <c r="W2132" s="75">
        <f>STOCK[[#This Row],[Precio Final]]-STOCK[[#This Row],[Costo total]]</f>
        <v>7.1999999999999993</v>
      </c>
      <c r="X2132" s="75">
        <f>STOCK[[#This Row],[Ganancia Unitaria]]*STOCK[[#This Row],[Salidas]]</f>
        <v>0</v>
      </c>
      <c r="Y2132" s="54"/>
      <c r="Z2132" s="118"/>
      <c r="AA2132" s="54"/>
      <c r="AB2132" s="54"/>
      <c r="AC2132" s="54"/>
      <c r="AD2132" s="96"/>
    </row>
    <row r="2133" spans="1:30" s="53" customFormat="1" ht="50" customHeight="1">
      <c r="A2133" s="119" t="s">
        <v>4134</v>
      </c>
      <c r="B2133" s="113"/>
      <c r="C2133" s="54"/>
      <c r="D2133" s="114" t="s">
        <v>779</v>
      </c>
      <c r="E2133" s="95" t="s">
        <v>4135</v>
      </c>
      <c r="F2133" s="93" t="s">
        <v>716</v>
      </c>
      <c r="G2133" s="54"/>
      <c r="H2133" s="75">
        <f>STOCK[[#This Row],[Precio Final]]</f>
        <v>20</v>
      </c>
      <c r="I2133" s="80">
        <f>STOCK[[#This Row],[Precio Venta Ideal (x1.5)]]</f>
        <v>16.5</v>
      </c>
      <c r="J2133" s="93">
        <v>1</v>
      </c>
      <c r="K2133" s="78">
        <f>SUMIFS(VENTAS[Cantidad],VENTAS[Código del producto Vendido],STOCK[[#This Row],[Code]])</f>
        <v>0</v>
      </c>
      <c r="L2133" s="78">
        <f>STOCK[[#This Row],[Entradas]]-STOCK[[#This Row],[Salidas]]</f>
        <v>1</v>
      </c>
      <c r="M2133" s="75">
        <f>STOCK[[#This Row],[Precio Final]]*10%</f>
        <v>2</v>
      </c>
      <c r="N2133" s="54"/>
      <c r="O2133" s="54"/>
      <c r="P2133" s="54">
        <v>9</v>
      </c>
      <c r="Q2133" s="54"/>
      <c r="R2133" s="70"/>
      <c r="S2133" s="54">
        <v>0</v>
      </c>
      <c r="T2133" s="75">
        <f>STOCK[[#This Row],[Costo Unitario (USD)]]+STOCK[[#This Row],[Costo Envío (USD)]]+STOCK[[#This Row],[Comisión 10%]]</f>
        <v>11</v>
      </c>
      <c r="U2133" s="53">
        <f>STOCK[[#This Row],[Costo total]]*1.5</f>
        <v>16.5</v>
      </c>
      <c r="V2133" s="54">
        <v>20</v>
      </c>
      <c r="W2133" s="75">
        <f>STOCK[[#This Row],[Precio Final]]-STOCK[[#This Row],[Costo total]]</f>
        <v>9</v>
      </c>
      <c r="X2133" s="75">
        <f>STOCK[[#This Row],[Ganancia Unitaria]]*STOCK[[#This Row],[Salidas]]</f>
        <v>0</v>
      </c>
      <c r="Y2133" s="54"/>
      <c r="Z2133" s="118"/>
      <c r="AA2133" s="54"/>
      <c r="AB2133" s="54"/>
      <c r="AC2133" s="54"/>
      <c r="AD2133" s="96"/>
    </row>
    <row r="2134" spans="1:30" s="53" customFormat="1" ht="50" customHeight="1">
      <c r="A2134" s="119" t="s">
        <v>4136</v>
      </c>
      <c r="B2134" s="113"/>
      <c r="C2134" s="54"/>
      <c r="D2134" s="114" t="s">
        <v>749</v>
      </c>
      <c r="E2134" s="95" t="s">
        <v>4137</v>
      </c>
      <c r="F2134" s="93" t="s">
        <v>42</v>
      </c>
      <c r="G2134" s="54"/>
      <c r="H2134" s="75">
        <f>STOCK[[#This Row],[Precio Final]]</f>
        <v>30</v>
      </c>
      <c r="I2134" s="80">
        <f>STOCK[[#This Row],[Precio Venta Ideal (x1.5)]]</f>
        <v>18</v>
      </c>
      <c r="J2134" s="93">
        <v>1</v>
      </c>
      <c r="K2134" s="78">
        <f>SUMIFS(VENTAS[Cantidad],VENTAS[Código del producto Vendido],STOCK[[#This Row],[Code]])</f>
        <v>0</v>
      </c>
      <c r="L2134" s="78">
        <f>STOCK[[#This Row],[Entradas]]-STOCK[[#This Row],[Salidas]]</f>
        <v>1</v>
      </c>
      <c r="M2134" s="75">
        <f>STOCK[[#This Row],[Precio Final]]*10%</f>
        <v>3</v>
      </c>
      <c r="N2134" s="54"/>
      <c r="O2134" s="54"/>
      <c r="P2134" s="54">
        <v>9</v>
      </c>
      <c r="Q2134" s="54"/>
      <c r="R2134" s="70"/>
      <c r="S2134" s="54">
        <v>0</v>
      </c>
      <c r="T2134" s="75">
        <f>STOCK[[#This Row],[Costo Unitario (USD)]]+STOCK[[#This Row],[Costo Envío (USD)]]+STOCK[[#This Row],[Comisión 10%]]</f>
        <v>12</v>
      </c>
      <c r="U2134" s="53">
        <f>STOCK[[#This Row],[Costo total]]*1.5</f>
        <v>18</v>
      </c>
      <c r="V2134" s="54">
        <v>30</v>
      </c>
      <c r="W2134" s="75">
        <f>STOCK[[#This Row],[Precio Final]]-STOCK[[#This Row],[Costo total]]</f>
        <v>18</v>
      </c>
      <c r="X2134" s="75">
        <f>STOCK[[#This Row],[Ganancia Unitaria]]*STOCK[[#This Row],[Salidas]]</f>
        <v>0</v>
      </c>
      <c r="Y2134" s="54"/>
      <c r="Z2134" s="118"/>
      <c r="AA2134" s="54"/>
      <c r="AB2134" s="54"/>
      <c r="AC2134" s="54"/>
      <c r="AD2134" s="96"/>
    </row>
    <row r="2135" spans="1:30" s="53" customFormat="1" ht="50" customHeight="1">
      <c r="A2135" s="119" t="s">
        <v>4138</v>
      </c>
      <c r="B2135" s="113"/>
      <c r="C2135" s="54"/>
      <c r="D2135" s="114" t="s">
        <v>749</v>
      </c>
      <c r="E2135" s="95" t="s">
        <v>4123</v>
      </c>
      <c r="F2135" s="93" t="s">
        <v>42</v>
      </c>
      <c r="G2135" s="54"/>
      <c r="H2135" s="75">
        <f>STOCK[[#This Row],[Precio Final]]</f>
        <v>30</v>
      </c>
      <c r="I2135" s="80">
        <f>STOCK[[#This Row],[Precio Venta Ideal (x1.5)]]</f>
        <v>18</v>
      </c>
      <c r="J2135" s="93">
        <v>1</v>
      </c>
      <c r="K2135" s="78">
        <f>SUMIFS(VENTAS[Cantidad],VENTAS[Código del producto Vendido],STOCK[[#This Row],[Code]])</f>
        <v>0</v>
      </c>
      <c r="L2135" s="78">
        <f>STOCK[[#This Row],[Entradas]]-STOCK[[#This Row],[Salidas]]</f>
        <v>1</v>
      </c>
      <c r="M2135" s="75">
        <f>STOCK[[#This Row],[Precio Final]]*10%</f>
        <v>3</v>
      </c>
      <c r="N2135" s="54"/>
      <c r="O2135" s="54"/>
      <c r="P2135" s="54">
        <v>9</v>
      </c>
      <c r="Q2135" s="54"/>
      <c r="R2135" s="70"/>
      <c r="S2135" s="54">
        <v>0</v>
      </c>
      <c r="T2135" s="75">
        <f>STOCK[[#This Row],[Costo Unitario (USD)]]+STOCK[[#This Row],[Costo Envío (USD)]]+STOCK[[#This Row],[Comisión 10%]]</f>
        <v>12</v>
      </c>
      <c r="U2135" s="53">
        <f>STOCK[[#This Row],[Costo total]]*1.5</f>
        <v>18</v>
      </c>
      <c r="V2135" s="54">
        <v>30</v>
      </c>
      <c r="W2135" s="75">
        <f>STOCK[[#This Row],[Precio Final]]-STOCK[[#This Row],[Costo total]]</f>
        <v>18</v>
      </c>
      <c r="X2135" s="75">
        <f>STOCK[[#This Row],[Ganancia Unitaria]]*STOCK[[#This Row],[Salidas]]</f>
        <v>0</v>
      </c>
      <c r="Y2135" s="54"/>
      <c r="Z2135" s="118"/>
      <c r="AA2135" s="54"/>
      <c r="AB2135" s="54"/>
      <c r="AC2135" s="54"/>
      <c r="AD2135" s="96"/>
    </row>
    <row r="2136" spans="1:30" s="53" customFormat="1" ht="50" customHeight="1">
      <c r="A2136" s="119" t="s">
        <v>4139</v>
      </c>
      <c r="B2136" s="113"/>
      <c r="C2136" s="54"/>
      <c r="D2136" s="114" t="s">
        <v>749</v>
      </c>
      <c r="E2136" s="95" t="s">
        <v>4140</v>
      </c>
      <c r="F2136" s="93" t="s">
        <v>40</v>
      </c>
      <c r="G2136" s="54"/>
      <c r="H2136" s="75">
        <f>STOCK[[#This Row],[Precio Final]]</f>
        <v>30</v>
      </c>
      <c r="I2136" s="80">
        <f>STOCK[[#This Row],[Precio Venta Ideal (x1.5)]]</f>
        <v>18</v>
      </c>
      <c r="J2136" s="93">
        <v>1</v>
      </c>
      <c r="K2136" s="78">
        <f>SUMIFS(VENTAS[Cantidad],VENTAS[Código del producto Vendido],STOCK[[#This Row],[Code]])</f>
        <v>0</v>
      </c>
      <c r="L2136" s="78">
        <f>STOCK[[#This Row],[Entradas]]-STOCK[[#This Row],[Salidas]]</f>
        <v>1</v>
      </c>
      <c r="M2136" s="75">
        <f>STOCK[[#This Row],[Precio Final]]*10%</f>
        <v>3</v>
      </c>
      <c r="N2136" s="54"/>
      <c r="O2136" s="54"/>
      <c r="P2136" s="54">
        <v>9</v>
      </c>
      <c r="Q2136" s="54"/>
      <c r="R2136" s="70"/>
      <c r="S2136" s="54">
        <v>0</v>
      </c>
      <c r="T2136" s="75">
        <f>STOCK[[#This Row],[Costo Unitario (USD)]]+STOCK[[#This Row],[Costo Envío (USD)]]+STOCK[[#This Row],[Comisión 10%]]</f>
        <v>12</v>
      </c>
      <c r="U2136" s="53">
        <f>STOCK[[#This Row],[Costo total]]*1.5</f>
        <v>18</v>
      </c>
      <c r="V2136" s="54">
        <v>30</v>
      </c>
      <c r="W2136" s="75">
        <f>STOCK[[#This Row],[Precio Final]]-STOCK[[#This Row],[Costo total]]</f>
        <v>18</v>
      </c>
      <c r="X2136" s="75">
        <f>STOCK[[#This Row],[Ganancia Unitaria]]*STOCK[[#This Row],[Salidas]]</f>
        <v>0</v>
      </c>
      <c r="Y2136" s="54"/>
      <c r="Z2136" s="118"/>
      <c r="AA2136" s="54"/>
      <c r="AB2136" s="54"/>
      <c r="AC2136" s="54"/>
      <c r="AD2136" s="96"/>
    </row>
    <row r="2137" spans="1:30" s="53" customFormat="1" ht="50" customHeight="1">
      <c r="A2137" s="119" t="s">
        <v>4141</v>
      </c>
      <c r="B2137" s="113"/>
      <c r="C2137" s="54"/>
      <c r="D2137" s="114" t="s">
        <v>749</v>
      </c>
      <c r="E2137" s="95" t="s">
        <v>4142</v>
      </c>
      <c r="F2137" s="93" t="s">
        <v>1046</v>
      </c>
      <c r="G2137" s="54"/>
      <c r="H2137" s="75">
        <f>STOCK[[#This Row],[Precio Final]]</f>
        <v>25</v>
      </c>
      <c r="I2137" s="80">
        <f>STOCK[[#This Row],[Precio Venta Ideal (x1.5)]]</f>
        <v>17.25</v>
      </c>
      <c r="J2137" s="93">
        <v>4</v>
      </c>
      <c r="K2137" s="78">
        <f>SUMIFS(VENTAS[Cantidad],VENTAS[Código del producto Vendido],STOCK[[#This Row],[Code]])</f>
        <v>0</v>
      </c>
      <c r="L2137" s="78">
        <f>STOCK[[#This Row],[Entradas]]-STOCK[[#This Row],[Salidas]]</f>
        <v>4</v>
      </c>
      <c r="M2137" s="75">
        <f>STOCK[[#This Row],[Precio Final]]*10%</f>
        <v>2.5</v>
      </c>
      <c r="N2137" s="54"/>
      <c r="O2137" s="54"/>
      <c r="P2137" s="54">
        <v>9</v>
      </c>
      <c r="Q2137" s="54"/>
      <c r="R2137" s="70"/>
      <c r="S2137" s="54">
        <v>0</v>
      </c>
      <c r="T2137" s="75">
        <f>STOCK[[#This Row],[Costo Unitario (USD)]]+STOCK[[#This Row],[Costo Envío (USD)]]+STOCK[[#This Row],[Comisión 10%]]</f>
        <v>11.5</v>
      </c>
      <c r="U2137" s="53">
        <f>STOCK[[#This Row],[Costo total]]*1.5</f>
        <v>17.25</v>
      </c>
      <c r="V2137" s="54">
        <v>25</v>
      </c>
      <c r="W2137" s="75">
        <f>STOCK[[#This Row],[Precio Final]]-STOCK[[#This Row],[Costo total]]</f>
        <v>13.5</v>
      </c>
      <c r="X2137" s="75">
        <f>STOCK[[#This Row],[Ganancia Unitaria]]*STOCK[[#This Row],[Salidas]]</f>
        <v>0</v>
      </c>
      <c r="Y2137" s="54"/>
      <c r="Z2137" s="118"/>
      <c r="AA2137" s="54"/>
      <c r="AB2137" s="54"/>
      <c r="AC2137" s="54"/>
      <c r="AD2137" s="96"/>
    </row>
    <row r="2138" spans="1:30" s="53" customFormat="1" ht="50" customHeight="1">
      <c r="A2138" s="119" t="s">
        <v>4143</v>
      </c>
      <c r="B2138" s="113"/>
      <c r="C2138" s="54"/>
      <c r="D2138" s="114" t="s">
        <v>749</v>
      </c>
      <c r="E2138" s="95" t="s">
        <v>4144</v>
      </c>
      <c r="F2138" s="93" t="s">
        <v>46</v>
      </c>
      <c r="G2138" s="54"/>
      <c r="H2138" s="75">
        <f>STOCK[[#This Row],[Precio Final]]</f>
        <v>30</v>
      </c>
      <c r="I2138" s="80">
        <f>STOCK[[#This Row],[Precio Venta Ideal (x1.5)]]</f>
        <v>18</v>
      </c>
      <c r="J2138" s="93">
        <v>2</v>
      </c>
      <c r="K2138" s="78">
        <f>SUMIFS(VENTAS[Cantidad],VENTAS[Código del producto Vendido],STOCK[[#This Row],[Code]])</f>
        <v>0</v>
      </c>
      <c r="L2138" s="78">
        <f>STOCK[[#This Row],[Entradas]]-STOCK[[#This Row],[Salidas]]</f>
        <v>2</v>
      </c>
      <c r="M2138" s="75">
        <f>STOCK[[#This Row],[Precio Final]]*10%</f>
        <v>3</v>
      </c>
      <c r="N2138" s="54"/>
      <c r="O2138" s="54"/>
      <c r="P2138" s="54">
        <v>9</v>
      </c>
      <c r="Q2138" s="54"/>
      <c r="R2138" s="70"/>
      <c r="S2138" s="54">
        <v>0</v>
      </c>
      <c r="T2138" s="75">
        <f>STOCK[[#This Row],[Costo Unitario (USD)]]+STOCK[[#This Row],[Costo Envío (USD)]]+STOCK[[#This Row],[Comisión 10%]]</f>
        <v>12</v>
      </c>
      <c r="U2138" s="53">
        <f>STOCK[[#This Row],[Costo total]]*1.5</f>
        <v>18</v>
      </c>
      <c r="V2138" s="54">
        <v>30</v>
      </c>
      <c r="W2138" s="75">
        <f>STOCK[[#This Row],[Precio Final]]-STOCK[[#This Row],[Costo total]]</f>
        <v>18</v>
      </c>
      <c r="X2138" s="75">
        <f>STOCK[[#This Row],[Ganancia Unitaria]]*STOCK[[#This Row],[Salidas]]</f>
        <v>0</v>
      </c>
      <c r="Y2138" s="54"/>
      <c r="Z2138" s="118"/>
      <c r="AA2138" s="54"/>
      <c r="AB2138" s="54"/>
      <c r="AC2138" s="54"/>
      <c r="AD2138" s="96"/>
    </row>
    <row r="2139" spans="1:30" s="53" customFormat="1" ht="50" customHeight="1">
      <c r="A2139" s="119" t="s">
        <v>4145</v>
      </c>
      <c r="B2139" s="113"/>
      <c r="C2139" s="54"/>
      <c r="D2139" s="114" t="s">
        <v>779</v>
      </c>
      <c r="E2139" s="95" t="s">
        <v>4146</v>
      </c>
      <c r="F2139" s="93" t="s">
        <v>40</v>
      </c>
      <c r="G2139" s="54"/>
      <c r="H2139" s="75">
        <f>STOCK[[#This Row],[Precio Final]]</f>
        <v>25</v>
      </c>
      <c r="I2139" s="80">
        <f>STOCK[[#This Row],[Precio Venta Ideal (x1.5)]]</f>
        <v>17.25</v>
      </c>
      <c r="J2139" s="93">
        <v>1</v>
      </c>
      <c r="K2139" s="78">
        <f>SUMIFS(VENTAS[Cantidad],VENTAS[Código del producto Vendido],STOCK[[#This Row],[Code]])</f>
        <v>0</v>
      </c>
      <c r="L2139" s="78">
        <f>STOCK[[#This Row],[Entradas]]-STOCK[[#This Row],[Salidas]]</f>
        <v>1</v>
      </c>
      <c r="M2139" s="75">
        <f>STOCK[[#This Row],[Precio Final]]*10%</f>
        <v>2.5</v>
      </c>
      <c r="N2139" s="54"/>
      <c r="O2139" s="54"/>
      <c r="P2139" s="54">
        <v>9</v>
      </c>
      <c r="Q2139" s="54"/>
      <c r="R2139" s="70"/>
      <c r="S2139" s="54">
        <v>0</v>
      </c>
      <c r="T2139" s="75">
        <f>STOCK[[#This Row],[Costo Unitario (USD)]]+STOCK[[#This Row],[Costo Envío (USD)]]+STOCK[[#This Row],[Comisión 10%]]</f>
        <v>11.5</v>
      </c>
      <c r="U2139" s="53">
        <f>STOCK[[#This Row],[Costo total]]*1.5</f>
        <v>17.25</v>
      </c>
      <c r="V2139" s="54">
        <v>25</v>
      </c>
      <c r="W2139" s="75">
        <f>STOCK[[#This Row],[Precio Final]]-STOCK[[#This Row],[Costo total]]</f>
        <v>13.5</v>
      </c>
      <c r="X2139" s="75">
        <f>STOCK[[#This Row],[Ganancia Unitaria]]*STOCK[[#This Row],[Salidas]]</f>
        <v>0</v>
      </c>
      <c r="Y2139" s="54"/>
      <c r="Z2139" s="118"/>
      <c r="AA2139" s="54"/>
      <c r="AB2139" s="54"/>
      <c r="AC2139" s="54"/>
      <c r="AD2139" s="96"/>
    </row>
    <row r="2140" spans="1:30" s="53" customFormat="1" ht="50" customHeight="1">
      <c r="A2140" s="119" t="s">
        <v>4147</v>
      </c>
      <c r="B2140" s="113"/>
      <c r="C2140" s="54"/>
      <c r="D2140" s="114" t="s">
        <v>779</v>
      </c>
      <c r="E2140" s="95" t="s">
        <v>4146</v>
      </c>
      <c r="F2140" s="93" t="s">
        <v>716</v>
      </c>
      <c r="G2140" s="54"/>
      <c r="H2140" s="75">
        <f>STOCK[[#This Row],[Precio Final]]</f>
        <v>25</v>
      </c>
      <c r="I2140" s="80">
        <f>STOCK[[#This Row],[Precio Venta Ideal (x1.5)]]</f>
        <v>17.25</v>
      </c>
      <c r="J2140" s="93">
        <v>1</v>
      </c>
      <c r="K2140" s="78">
        <f>SUMIFS(VENTAS[Cantidad],VENTAS[Código del producto Vendido],STOCK[[#This Row],[Code]])</f>
        <v>0</v>
      </c>
      <c r="L2140" s="78">
        <f>STOCK[[#This Row],[Entradas]]-STOCK[[#This Row],[Salidas]]</f>
        <v>1</v>
      </c>
      <c r="M2140" s="75">
        <f>STOCK[[#This Row],[Precio Final]]*10%</f>
        <v>2.5</v>
      </c>
      <c r="N2140" s="54"/>
      <c r="O2140" s="54"/>
      <c r="P2140" s="54">
        <v>9</v>
      </c>
      <c r="Q2140" s="54"/>
      <c r="R2140" s="70"/>
      <c r="S2140" s="54">
        <v>0</v>
      </c>
      <c r="T2140" s="75">
        <f>STOCK[[#This Row],[Costo Unitario (USD)]]+STOCK[[#This Row],[Costo Envío (USD)]]+STOCK[[#This Row],[Comisión 10%]]</f>
        <v>11.5</v>
      </c>
      <c r="U2140" s="53">
        <f>STOCK[[#This Row],[Costo total]]*1.5</f>
        <v>17.25</v>
      </c>
      <c r="V2140" s="54">
        <v>25</v>
      </c>
      <c r="W2140" s="75">
        <f>STOCK[[#This Row],[Precio Final]]-STOCK[[#This Row],[Costo total]]</f>
        <v>13.5</v>
      </c>
      <c r="X2140" s="75">
        <f>STOCK[[#This Row],[Ganancia Unitaria]]*STOCK[[#This Row],[Salidas]]</f>
        <v>0</v>
      </c>
      <c r="Y2140" s="54"/>
      <c r="Z2140" s="118"/>
      <c r="AA2140" s="54"/>
      <c r="AB2140" s="54"/>
      <c r="AC2140" s="54"/>
      <c r="AD2140" s="96"/>
    </row>
    <row r="2141" spans="1:30" s="53" customFormat="1" ht="50" customHeight="1">
      <c r="A2141" s="119" t="s">
        <v>4148</v>
      </c>
      <c r="B2141" s="113"/>
      <c r="C2141" s="54"/>
      <c r="D2141" s="114" t="s">
        <v>749</v>
      </c>
      <c r="E2141" s="95" t="s">
        <v>3799</v>
      </c>
      <c r="F2141" s="93" t="s">
        <v>40</v>
      </c>
      <c r="G2141" s="54"/>
      <c r="H2141" s="75">
        <f>STOCK[[#This Row],[Precio Final]]</f>
        <v>30</v>
      </c>
      <c r="I2141" s="80">
        <f>STOCK[[#This Row],[Precio Venta Ideal (x1.5)]]</f>
        <v>18</v>
      </c>
      <c r="J2141" s="93">
        <v>1</v>
      </c>
      <c r="K2141" s="78">
        <f>SUMIFS(VENTAS[Cantidad],VENTAS[Código del producto Vendido],STOCK[[#This Row],[Code]])</f>
        <v>0</v>
      </c>
      <c r="L2141" s="78">
        <f>STOCK[[#This Row],[Entradas]]-STOCK[[#This Row],[Salidas]]</f>
        <v>1</v>
      </c>
      <c r="M2141" s="75">
        <f>STOCK[[#This Row],[Precio Final]]*10%</f>
        <v>3</v>
      </c>
      <c r="N2141" s="54"/>
      <c r="O2141" s="54"/>
      <c r="P2141" s="54">
        <v>9</v>
      </c>
      <c r="Q2141" s="54"/>
      <c r="R2141" s="70"/>
      <c r="S2141" s="54">
        <v>0</v>
      </c>
      <c r="T2141" s="75">
        <f>STOCK[[#This Row],[Costo Unitario (USD)]]+STOCK[[#This Row],[Costo Envío (USD)]]+STOCK[[#This Row],[Comisión 10%]]</f>
        <v>12</v>
      </c>
      <c r="U2141" s="53">
        <f>STOCK[[#This Row],[Costo total]]*1.5</f>
        <v>18</v>
      </c>
      <c r="V2141" s="54">
        <v>30</v>
      </c>
      <c r="W2141" s="75">
        <f>STOCK[[#This Row],[Precio Final]]-STOCK[[#This Row],[Costo total]]</f>
        <v>18</v>
      </c>
      <c r="X2141" s="75">
        <f>STOCK[[#This Row],[Ganancia Unitaria]]*STOCK[[#This Row],[Salidas]]</f>
        <v>0</v>
      </c>
      <c r="Y2141" s="54"/>
      <c r="Z2141" s="118"/>
      <c r="AA2141" s="54"/>
      <c r="AB2141" s="54"/>
      <c r="AC2141" s="54"/>
      <c r="AD2141" s="96"/>
    </row>
    <row r="2142" spans="1:30" s="53" customFormat="1" ht="50" customHeight="1">
      <c r="A2142" s="119" t="s">
        <v>4149</v>
      </c>
      <c r="B2142" s="113"/>
      <c r="C2142" s="54"/>
      <c r="D2142" s="114" t="s">
        <v>749</v>
      </c>
      <c r="E2142" s="95" t="s">
        <v>3799</v>
      </c>
      <c r="F2142" s="93" t="s">
        <v>716</v>
      </c>
      <c r="G2142" s="54"/>
      <c r="H2142" s="75">
        <f>STOCK[[#This Row],[Precio Final]]</f>
        <v>30</v>
      </c>
      <c r="I2142" s="80">
        <f>STOCK[[#This Row],[Precio Venta Ideal (x1.5)]]</f>
        <v>18</v>
      </c>
      <c r="J2142" s="117">
        <v>1</v>
      </c>
      <c r="K2142" s="78">
        <f>SUMIFS(VENTAS[Cantidad],VENTAS[Código del producto Vendido],STOCK[[#This Row],[Code]])</f>
        <v>0</v>
      </c>
      <c r="L2142" s="78">
        <f>STOCK[[#This Row],[Entradas]]-STOCK[[#This Row],[Salidas]]</f>
        <v>1</v>
      </c>
      <c r="M2142" s="75">
        <f>STOCK[[#This Row],[Precio Final]]*10%</f>
        <v>3</v>
      </c>
      <c r="N2142" s="54"/>
      <c r="O2142" s="54"/>
      <c r="P2142" s="54">
        <v>9</v>
      </c>
      <c r="Q2142" s="54"/>
      <c r="R2142" s="70"/>
      <c r="S2142" s="54">
        <v>0</v>
      </c>
      <c r="T2142" s="75">
        <f>STOCK[[#This Row],[Costo Unitario (USD)]]+STOCK[[#This Row],[Costo Envío (USD)]]+STOCK[[#This Row],[Comisión 10%]]</f>
        <v>12</v>
      </c>
      <c r="U2142" s="53">
        <f>STOCK[[#This Row],[Costo total]]*1.5</f>
        <v>18</v>
      </c>
      <c r="V2142" s="54">
        <v>30</v>
      </c>
      <c r="W2142" s="75">
        <f>STOCK[[#This Row],[Precio Final]]-STOCK[[#This Row],[Costo total]]</f>
        <v>18</v>
      </c>
      <c r="X2142" s="75">
        <f>STOCK[[#This Row],[Ganancia Unitaria]]*STOCK[[#This Row],[Salidas]]</f>
        <v>0</v>
      </c>
      <c r="Y2142" s="54"/>
      <c r="Z2142" s="118"/>
      <c r="AA2142" s="54"/>
      <c r="AB2142" s="54"/>
      <c r="AC2142" s="54"/>
      <c r="AD2142" s="96"/>
    </row>
    <row r="2143" spans="1:30" s="53" customFormat="1" ht="50" customHeight="1">
      <c r="A2143" s="54"/>
      <c r="B2143" s="113"/>
      <c r="C2143" s="54"/>
      <c r="D2143" s="114"/>
      <c r="E2143" s="116"/>
      <c r="F2143" s="120"/>
      <c r="G2143" s="54"/>
      <c r="H2143" s="54"/>
      <c r="I2143" s="125"/>
      <c r="J2143" s="117"/>
      <c r="K2143" s="70"/>
      <c r="L2143" s="70"/>
      <c r="M2143" s="54"/>
      <c r="N2143" s="54"/>
      <c r="O2143" s="54"/>
      <c r="P2143" s="54"/>
      <c r="Q2143" s="54"/>
      <c r="R2143" s="70"/>
      <c r="S2143" s="54"/>
      <c r="T2143" s="54"/>
      <c r="U2143" s="54"/>
      <c r="V2143" s="54"/>
      <c r="W2143" s="54"/>
      <c r="X2143" s="54"/>
      <c r="Y2143" s="54"/>
      <c r="Z2143" s="118"/>
      <c r="AA2143" s="54"/>
      <c r="AB2143" s="54"/>
      <c r="AC2143" s="54"/>
      <c r="AD2143" s="96"/>
    </row>
    <row r="2144" spans="1:30" s="53" customFormat="1" ht="50" customHeight="1">
      <c r="A2144" s="54"/>
      <c r="B2144" s="113"/>
      <c r="C2144" s="54"/>
      <c r="D2144" s="114"/>
      <c r="E2144" s="116"/>
      <c r="F2144" s="120"/>
      <c r="G2144" s="54"/>
      <c r="H2144" s="54"/>
      <c r="I2144" s="125"/>
      <c r="J2144" s="117"/>
      <c r="K2144" s="70"/>
      <c r="L2144" s="70"/>
      <c r="M2144" s="54"/>
      <c r="N2144" s="54"/>
      <c r="O2144" s="54"/>
      <c r="P2144" s="54"/>
      <c r="Q2144" s="54"/>
      <c r="R2144" s="70"/>
      <c r="S2144" s="54"/>
      <c r="T2144" s="54"/>
      <c r="U2144" s="54"/>
      <c r="V2144" s="54"/>
      <c r="W2144" s="54"/>
      <c r="X2144" s="54"/>
      <c r="Y2144" s="54"/>
      <c r="Z2144" s="118"/>
      <c r="AA2144" s="54"/>
      <c r="AB2144" s="54"/>
      <c r="AC2144" s="54"/>
      <c r="AD2144" s="96"/>
    </row>
    <row r="2145" spans="1:30" s="53" customFormat="1" ht="50" customHeight="1">
      <c r="A2145" s="54"/>
      <c r="B2145" s="113"/>
      <c r="C2145" s="54"/>
      <c r="D2145" s="114"/>
      <c r="E2145" s="116"/>
      <c r="F2145" s="120"/>
      <c r="G2145" s="54"/>
      <c r="H2145" s="54"/>
      <c r="I2145" s="125"/>
      <c r="J2145" s="117"/>
      <c r="K2145" s="70"/>
      <c r="L2145" s="70"/>
      <c r="M2145" s="54"/>
      <c r="N2145" s="54"/>
      <c r="O2145" s="54"/>
      <c r="P2145" s="54"/>
      <c r="Q2145" s="54"/>
      <c r="R2145" s="70"/>
      <c r="S2145" s="54"/>
      <c r="T2145" s="54"/>
      <c r="U2145" s="54"/>
      <c r="V2145" s="54"/>
      <c r="W2145" s="54"/>
      <c r="X2145" s="54"/>
      <c r="Y2145" s="54"/>
      <c r="Z2145" s="118"/>
      <c r="AA2145" s="54"/>
      <c r="AB2145" s="54"/>
      <c r="AC2145" s="54"/>
      <c r="AD2145" s="96"/>
    </row>
    <row r="2146" spans="1:30" s="53" customFormat="1" ht="50" customHeight="1">
      <c r="A2146" s="54"/>
      <c r="B2146" s="113"/>
      <c r="C2146" s="54"/>
      <c r="D2146" s="114"/>
      <c r="E2146" s="116"/>
      <c r="F2146" s="120"/>
      <c r="G2146" s="54"/>
      <c r="H2146" s="54"/>
      <c r="I2146" s="125"/>
      <c r="J2146" s="117"/>
      <c r="K2146" s="70"/>
      <c r="L2146" s="70"/>
      <c r="M2146" s="54"/>
      <c r="N2146" s="54"/>
      <c r="O2146" s="54"/>
      <c r="P2146" s="54"/>
      <c r="Q2146" s="54"/>
      <c r="R2146" s="70"/>
      <c r="S2146" s="54"/>
      <c r="T2146" s="54"/>
      <c r="U2146" s="54"/>
      <c r="V2146" s="54"/>
      <c r="W2146" s="54"/>
      <c r="X2146" s="54"/>
      <c r="Y2146" s="54"/>
      <c r="Z2146" s="118"/>
      <c r="AA2146" s="54"/>
      <c r="AB2146" s="54"/>
      <c r="AC2146" s="54"/>
      <c r="AD2146" s="96"/>
    </row>
    <row r="2147" spans="1:30" s="53" customFormat="1" ht="50" customHeight="1">
      <c r="A2147" s="54"/>
      <c r="B2147" s="113"/>
      <c r="C2147" s="54"/>
      <c r="D2147" s="114"/>
      <c r="E2147" s="116"/>
      <c r="F2147" s="120"/>
      <c r="G2147" s="54"/>
      <c r="H2147" s="54"/>
      <c r="I2147" s="125"/>
      <c r="J2147" s="117"/>
      <c r="K2147" s="70"/>
      <c r="L2147" s="70"/>
      <c r="M2147" s="54"/>
      <c r="N2147" s="54"/>
      <c r="O2147" s="54"/>
      <c r="P2147" s="54"/>
      <c r="Q2147" s="54"/>
      <c r="R2147" s="70"/>
      <c r="S2147" s="54"/>
      <c r="T2147" s="54"/>
      <c r="U2147" s="54"/>
      <c r="V2147" s="54"/>
      <c r="W2147" s="54"/>
      <c r="X2147" s="54"/>
      <c r="Y2147" s="54"/>
      <c r="Z2147" s="118"/>
      <c r="AA2147" s="54"/>
      <c r="AB2147" s="54"/>
      <c r="AC2147" s="54"/>
      <c r="AD2147" s="96"/>
    </row>
    <row r="2148" spans="1:30" s="53" customFormat="1" ht="50" customHeight="1">
      <c r="A2148" s="54"/>
      <c r="B2148" s="113"/>
      <c r="C2148" s="54"/>
      <c r="D2148" s="114"/>
      <c r="E2148" s="116"/>
      <c r="F2148" s="120"/>
      <c r="G2148" s="54"/>
      <c r="H2148" s="54"/>
      <c r="I2148" s="125"/>
      <c r="J2148" s="117"/>
      <c r="K2148" s="70"/>
      <c r="L2148" s="70"/>
      <c r="M2148" s="54"/>
      <c r="N2148" s="54"/>
      <c r="O2148" s="54"/>
      <c r="P2148" s="54"/>
      <c r="Q2148" s="54"/>
      <c r="R2148" s="70"/>
      <c r="S2148" s="54"/>
      <c r="T2148" s="54"/>
      <c r="U2148" s="54"/>
      <c r="V2148" s="54"/>
      <c r="W2148" s="54"/>
      <c r="X2148" s="54"/>
      <c r="Y2148" s="54"/>
      <c r="Z2148" s="118"/>
      <c r="AA2148" s="54"/>
      <c r="AB2148" s="54"/>
      <c r="AC2148" s="54"/>
      <c r="AD2148" s="96"/>
    </row>
    <row r="2149" spans="1:30" s="53" customFormat="1" ht="50" customHeight="1">
      <c r="A2149" s="54"/>
      <c r="B2149" s="113"/>
      <c r="C2149" s="54"/>
      <c r="D2149" s="114"/>
      <c r="E2149" s="116"/>
      <c r="F2149" s="120"/>
      <c r="G2149" s="54"/>
      <c r="H2149" s="54"/>
      <c r="I2149" s="125"/>
      <c r="J2149" s="117"/>
      <c r="K2149" s="70"/>
      <c r="L2149" s="70"/>
      <c r="M2149" s="54"/>
      <c r="N2149" s="54"/>
      <c r="O2149" s="54"/>
      <c r="P2149" s="54"/>
      <c r="Q2149" s="54"/>
      <c r="R2149" s="70"/>
      <c r="S2149" s="54"/>
      <c r="T2149" s="54"/>
      <c r="U2149" s="54"/>
      <c r="V2149" s="54"/>
      <c r="W2149" s="54"/>
      <c r="X2149" s="54"/>
      <c r="Y2149" s="54"/>
      <c r="Z2149" s="118"/>
      <c r="AA2149" s="54"/>
      <c r="AB2149" s="54"/>
      <c r="AC2149" s="54"/>
      <c r="AD2149" s="96"/>
    </row>
    <row r="2150" spans="1:30" s="53" customFormat="1" ht="50" customHeight="1">
      <c r="A2150" s="54"/>
      <c r="B2150" s="113"/>
      <c r="C2150" s="54"/>
      <c r="D2150" s="114"/>
      <c r="E2150" s="116"/>
      <c r="F2150" s="120"/>
      <c r="G2150" s="54"/>
      <c r="H2150" s="54"/>
      <c r="I2150" s="125"/>
      <c r="J2150" s="117"/>
      <c r="K2150" s="70"/>
      <c r="L2150" s="70"/>
      <c r="M2150" s="54"/>
      <c r="N2150" s="54"/>
      <c r="O2150" s="54"/>
      <c r="P2150" s="54"/>
      <c r="Q2150" s="54"/>
      <c r="R2150" s="70"/>
      <c r="S2150" s="54"/>
      <c r="T2150" s="54"/>
      <c r="U2150" s="54"/>
      <c r="V2150" s="54"/>
      <c r="W2150" s="54"/>
      <c r="X2150" s="54"/>
      <c r="Y2150" s="54"/>
      <c r="Z2150" s="118"/>
      <c r="AA2150" s="54"/>
      <c r="AB2150" s="54"/>
      <c r="AC2150" s="54"/>
      <c r="AD2150" s="96"/>
    </row>
    <row r="2151" spans="1:30" s="53" customFormat="1" ht="50" customHeight="1">
      <c r="A2151" s="54"/>
      <c r="B2151" s="54"/>
      <c r="C2151" s="54"/>
      <c r="D2151" s="54"/>
      <c r="E2151" s="66"/>
      <c r="F2151" s="54"/>
      <c r="G2151" s="54"/>
      <c r="H2151" s="54"/>
      <c r="I2151" s="125"/>
      <c r="J2151" s="70"/>
      <c r="K2151" s="70"/>
      <c r="L2151" s="70"/>
      <c r="M2151" s="54"/>
      <c r="N2151" s="54"/>
      <c r="O2151" s="54"/>
      <c r="P2151" s="54"/>
      <c r="Q2151" s="70"/>
      <c r="R2151" s="54"/>
      <c r="S2151" s="54"/>
      <c r="T2151" s="54"/>
      <c r="U2151" s="54"/>
      <c r="V2151" s="54"/>
      <c r="W2151" s="54"/>
      <c r="X2151" s="54"/>
      <c r="Y2151" s="54"/>
      <c r="Z2151" s="54"/>
      <c r="AA2151" s="54"/>
      <c r="AB2151" s="54"/>
      <c r="AC2151" s="54"/>
      <c r="AD2151" s="82"/>
    </row>
    <row r="2152" spans="1:30" s="53" customFormat="1" ht="204" customHeight="1">
      <c r="A2152" s="122" t="s">
        <v>4150</v>
      </c>
      <c r="B2152" s="123" t="s">
        <v>4151</v>
      </c>
      <c r="C2152" s="123" t="s">
        <v>4151</v>
      </c>
      <c r="D2152" s="122" t="s">
        <v>4150</v>
      </c>
      <c r="E2152" s="122" t="s">
        <v>4150</v>
      </c>
      <c r="F2152" s="122" t="s">
        <v>4150</v>
      </c>
      <c r="G2152" s="124"/>
      <c r="H2152" s="123" t="s">
        <v>4151</v>
      </c>
      <c r="I2152" s="123" t="s">
        <v>4151</v>
      </c>
      <c r="J2152" s="122">
        <v>2</v>
      </c>
      <c r="K2152" s="123" t="s">
        <v>4151</v>
      </c>
      <c r="L2152" s="123" t="s">
        <v>4151</v>
      </c>
      <c r="M2152" s="123" t="s">
        <v>4151</v>
      </c>
      <c r="N2152" s="124"/>
      <c r="O2152" s="124"/>
      <c r="P2152" s="122" t="s">
        <v>4150</v>
      </c>
      <c r="Q2152" s="124"/>
      <c r="R2152" s="124"/>
      <c r="S2152" s="122" t="s">
        <v>4150</v>
      </c>
      <c r="T2152" s="123" t="s">
        <v>4151</v>
      </c>
      <c r="U2152" s="123" t="s">
        <v>4151</v>
      </c>
      <c r="V2152" s="122" t="s">
        <v>4150</v>
      </c>
      <c r="W2152" s="123" t="s">
        <v>4151</v>
      </c>
      <c r="X2152" s="123" t="s">
        <v>4151</v>
      </c>
      <c r="Y2152" s="126"/>
      <c r="Z2152" s="124"/>
      <c r="AA2152" s="123" t="s">
        <v>4151</v>
      </c>
      <c r="AB2152" s="123" t="s">
        <v>4151</v>
      </c>
      <c r="AC2152" s="124"/>
      <c r="AD2152" s="82"/>
    </row>
    <row r="2153" spans="1:30" s="55" customFormat="1" ht="50" customHeight="1">
      <c r="A2153" s="56"/>
      <c r="B2153" s="56"/>
      <c r="C2153" s="56"/>
      <c r="D2153" s="57"/>
      <c r="E2153"/>
      <c r="F2153"/>
      <c r="G2153" s="56"/>
      <c r="H2153" s="56"/>
      <c r="I2153" s="56"/>
      <c r="J2153" s="56"/>
      <c r="K2153" s="56"/>
      <c r="L2153" s="56"/>
      <c r="M2153" s="56"/>
      <c r="N2153" s="56"/>
      <c r="O2153" s="58"/>
      <c r="P2153" s="58"/>
      <c r="Q2153" s="56"/>
      <c r="R2153" s="56"/>
      <c r="S2153" s="58"/>
      <c r="T2153" s="58"/>
      <c r="U2153" s="59"/>
      <c r="V2153" s="58"/>
      <c r="W2153" s="58"/>
      <c r="X2153" s="58"/>
      <c r="Y2153" s="60"/>
      <c r="Z2153" s="56"/>
      <c r="AA2153" s="56"/>
      <c r="AB2153" s="56"/>
      <c r="AC2153" s="56"/>
    </row>
    <row r="2154" spans="1:30" s="55" customFormat="1" ht="50" customHeight="1">
      <c r="A2154" s="56"/>
      <c r="B2154" s="56"/>
      <c r="C2154" s="56"/>
      <c r="D2154" s="57"/>
      <c r="E2154"/>
      <c r="F2154"/>
      <c r="G2154" s="56"/>
      <c r="H2154" s="56"/>
      <c r="I2154" s="56"/>
      <c r="J2154" s="56"/>
      <c r="K2154" s="56"/>
      <c r="L2154" s="56"/>
      <c r="M2154" s="56"/>
      <c r="N2154" s="56"/>
      <c r="O2154" s="58"/>
      <c r="P2154" s="58"/>
      <c r="Q2154" s="56"/>
      <c r="R2154" s="56"/>
      <c r="S2154" s="58"/>
      <c r="T2154" s="58"/>
      <c r="U2154" s="59"/>
      <c r="V2154" s="58"/>
      <c r="W2154" s="58"/>
      <c r="X2154" s="58"/>
      <c r="Y2154" s="60"/>
      <c r="Z2154" s="56"/>
      <c r="AA2154" s="56"/>
      <c r="AB2154" s="56"/>
      <c r="AC2154" s="56"/>
    </row>
    <row r="2155" spans="1:30" s="55" customFormat="1" ht="50" customHeight="1">
      <c r="A2155" s="56"/>
      <c r="B2155" s="56"/>
      <c r="C2155" s="56"/>
      <c r="D2155" s="57"/>
      <c r="E2155"/>
      <c r="F2155"/>
      <c r="G2155" s="56"/>
      <c r="H2155" s="56"/>
      <c r="I2155" s="56"/>
      <c r="J2155" s="56"/>
      <c r="K2155" s="56"/>
      <c r="L2155" s="56"/>
      <c r="M2155" s="56"/>
      <c r="N2155" s="56"/>
      <c r="O2155" s="58"/>
      <c r="P2155" s="58"/>
      <c r="Q2155" s="56"/>
      <c r="R2155" s="56"/>
      <c r="S2155" s="58"/>
      <c r="T2155" s="58"/>
      <c r="U2155" s="59"/>
      <c r="V2155" s="58"/>
      <c r="W2155" s="58"/>
      <c r="X2155" s="58"/>
      <c r="Y2155" s="60"/>
      <c r="Z2155" s="56"/>
      <c r="AA2155" s="56"/>
      <c r="AB2155" s="56"/>
      <c r="AC2155" s="56"/>
    </row>
    <row r="2156" spans="1:30" ht="13" customHeight="1"/>
  </sheetData>
  <conditionalFormatting sqref="A2:B2">
    <cfRule type="expression" dxfId="106" priority="217">
      <formula>$L2=0</formula>
    </cfRule>
    <cfRule type="duplicateValues" dxfId="105" priority="2739"/>
  </conditionalFormatting>
  <conditionalFormatting sqref="C2">
    <cfRule type="expression" dxfId="104" priority="213">
      <formula>$L2=0</formula>
    </cfRule>
  </conditionalFormatting>
  <conditionalFormatting sqref="D2:G2">
    <cfRule type="expression" dxfId="103" priority="214">
      <formula>$L2=0</formula>
    </cfRule>
  </conditionalFormatting>
  <conditionalFormatting sqref="N2:R2">
    <cfRule type="expression" dxfId="102" priority="215">
      <formula>$L2=0</formula>
    </cfRule>
  </conditionalFormatting>
  <conditionalFormatting sqref="U2">
    <cfRule type="expression" dxfId="101" priority="212">
      <formula>$L2=0</formula>
    </cfRule>
  </conditionalFormatting>
  <conditionalFormatting sqref="Y2">
    <cfRule type="expression" dxfId="100" priority="77">
      <formula>$L2=0</formula>
    </cfRule>
  </conditionalFormatting>
  <conditionalFormatting sqref="Z2:AC2">
    <cfRule type="expression" dxfId="99" priority="76">
      <formula>$L2=0</formula>
    </cfRule>
  </conditionalFormatting>
  <conditionalFormatting sqref="A3:B3">
    <cfRule type="expression" dxfId="98" priority="164">
      <formula>$L3=0</formula>
    </cfRule>
    <cfRule type="duplicateValues" dxfId="97" priority="2740"/>
  </conditionalFormatting>
  <conditionalFormatting sqref="C3">
    <cfRule type="expression" dxfId="96" priority="160">
      <formula>$L3=0</formula>
    </cfRule>
  </conditionalFormatting>
  <conditionalFormatting sqref="D3:G3">
    <cfRule type="expression" dxfId="95" priority="161">
      <formula>$L3=0</formula>
    </cfRule>
  </conditionalFormatting>
  <conditionalFormatting sqref="N3:R3">
    <cfRule type="expression" dxfId="94" priority="162">
      <formula>$L3=0</formula>
    </cfRule>
    <cfRule type="containsBlanks" dxfId="93" priority="163">
      <formula>LEN(TRIM(N3))=0</formula>
    </cfRule>
  </conditionalFormatting>
  <conditionalFormatting sqref="Y3:AC3">
    <cfRule type="expression" dxfId="92" priority="75">
      <formula>$L3=0</formula>
    </cfRule>
  </conditionalFormatting>
  <conditionalFormatting sqref="B1604:B1606">
    <cfRule type="expression" dxfId="91" priority="2790">
      <formula>$L1605=0</formula>
    </cfRule>
    <cfRule type="duplicateValues" dxfId="90" priority="2791"/>
  </conditionalFormatting>
  <conditionalFormatting sqref="P1215:P1216">
    <cfRule type="expression" dxfId="89" priority="35">
      <formula>$L1215=0</formula>
    </cfRule>
    <cfRule type="containsBlanks" dxfId="88" priority="36">
      <formula>LEN(TRIM(P1215))=0</formula>
    </cfRule>
  </conditionalFormatting>
  <conditionalFormatting sqref="S1930:S2015">
    <cfRule type="containsBlanks" dxfId="87" priority="1">
      <formula>LEN(TRIM(S1930))=0</formula>
    </cfRule>
    <cfRule type="expression" dxfId="86" priority="2">
      <formula>$L1930=0</formula>
    </cfRule>
  </conditionalFormatting>
  <conditionalFormatting sqref="H2:M1312 S2:T1315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9 A1162:C1162 A1316:J1432 A1433:T1530 E1162:G1162 H1313:J1315 H1531:I2142 K1313:K1432 K1531:M2070 K2071:L2125 L1313:M1315 L1316:Z1347 L1348:T1432 M2071:M2082 N1162:R1162 O1531:O2085 T1531:T1542 T1543:U2142 U800:X800 U802:X802 U804:X804 U806:X806 U808:X808 U810:X810 U812:X812 U814:X814 U816:X816 U818:X818 U820:X820 U822:X822 U824:X824 U826:X826 U828:X828 U830:X830 U832:X832 U834:X834 U836:X836 U838:X838 U840:X840 U842:X842 U844:X844 U846:X846 U848:X848 U850:X850 U852:X852 U854:X854 U856:X856 U858:X858 U860:X860 U862:X862 U864:X864 U866:X866 U868:X868 U870:X870 U872:X872 U874:X874 U876:X876 U878:X878 U880:X880 U882:X882 U884:X884 U886:X886 U888:X888 U890:X890 U892:X892 U894:X894 U896:X896 U898:X898 U900:X900 U902:X902 U904:X904 U906:X906 U908:X908 U910:X910 U912:X912 U914:X914 U916:X916 U918:X918 U920:X920 U922:X922 U924:X924 U926:X926 U928:X928 U930:X930 U932:X932 U934:X934 U936:X936 U938:X938 U940:X940 U942:X942 U944:X944 U946:X946 U948:X948 U950:X950 U952:X952 U954:X954 U956:X956 U958:X958 U960:X960 U962:X962 U964:X964 U966:X966 U968:X968 U970:X970 U972:X972 U974:X974 U976:X976 U978:X978 U980:X980 U982:X982 U984:X984 U986:X986 U988:X988 U990:X990 U992:X992 U994:X994 U996:X996 U998:X998 U1000:X1000 U1002:X1002 U1004:X1004 U1006:X1006 U1008:X1008 U1010:X1010 U1012:X1012 U1014:X1014 U1016:X1016 U1018:X1018 U1020:X1020 U1022:X1022 U1024:X1024 U1026:X1026 U1028:X1028 U1030:X1030 U1032:X1032 U1034:X1034 U1036:X1036 U1038:X1038 U1040:X1040 U1042:X1042 U1044:X1044 U1046:X1046 U1048:X1048 U1050:X1050 U1052:X1052 U1054:X1054 U1056:X1056 U1058:X1058 U1060:X1060 U1062:X1062 U1064:X1064 U1066:X1066 U1068:X1068 U1070:X1070 U1072:X1072 U1074:X1075 U1077:X1077 U1079:X1079 U1081:X1081 U1083:X1083 U1085:X1085 U1087:X1087 U1089:X1089 U1091:X1091 U1093:X1093 U1095:X1095 U1097:X1097 U1099:X1099 U1101:X1101 U1103:X1103 U1105:X1105 U1107:X1107 U1109:X1109 U1111:X1111 U1113:X1113 U1115:X1115 U1117:X1117 U1119:X1119 U1121:X1121 U1123:X1123 U1125:X1125 U1127:X1127 U1129:X1129 U1131:X1131 U1133:X1133 U1135:X1135 U1137:X1137 U1139:X1139 U1141:X1141 U1143:X1143 U1145:X1145 U1147:X1147 U1149:X1149 U1151:X1151 U1153:X1153 U1155:X1155 U1159:X1159 U1161:X1161 U1162:Z1162 U1164:X1164 U1166:X1166 U1168:X1168 U1170:X1170 U1172:X1172 U1174:X1174 U1176:X1176 U1178:X1178 U1180:X1180 U1182:X1182 U1184:X1184 U1186:X1186 U1188:X1188 U1190:X1190 U1192:X1192 U1194:X1194 U1196:X1196 U1198:X1198 U1200:X1200 U1202:X1202 U1204:X1204 U1206:X1206 U1208:X1208 U1210:X1210 U1212:X1212 U1214:X1214 U1217:X1217 U1219:X1219 U1229:X1229 U1231:X1231 U1233:X1233 U1235:X1235 U1237:X1237 U1239:X1239 U1241:X1241 U1243:X1243 U1245:X1245 U1247:X1247 U1249:X1249 U1251:X1251 U1253:X1253 U1255:X1255 U1257:X1257 U1259:X1259 U1261:X1261 U1263:X1263 U1265:X1265 U1267:X1267 U1269:X1269 U1271:X1271 U1273:X1273 U1275:X1275 U1277:X1277 U1279:X1279 U1281:X1281 U1283:X1283 U1285:X1285 U1287:X1287 U1289:X1289 U1291:X1291 U1293:X1293 U1295:X1295 U1297:X1297 U1299:X1299 U1301:X1301 U1303:X1303 U1305:X1305 U1307:X1307 U1309:X1315 U1348:U1542 V801:X801 V803:X803 V805:X805 V807:X807 V809:X809 V811:X811 V813:X813 V815:X815 V817:X817 V819:X819 V821:X821 V823:X823 V825:X825 V827:X827 V829:X829 V831:X831 V833:X833 V835:X835 V837:X837 V839:X839 V841:X841 V843:X843 V845:X845 V847:X847 V849:X849 V851:X851 V853:X853 V855:X855 V857:X857 V859:X859 V861:X861 V863:X863 V865:X865 V867:X867 V869:X869 V871:X871 V873:X873 V875:X875 V877:X877 V879:X879 V881:X881 V883:X883 V885:X885 V887:X887 V889:X889 V891:X891 V893:X893 V895:X895 V897:X897 V899:X899 V901:X901 V903:X903 V905:X905 V907:X907 V909:X909 V911:X911 V913:X913 V915:X915 V917:X917 V919:X919 V921:X921 V923:X923 V925:X925 V927:X927 V929:X929 V931:X931 V933:X933 V935:X935 V937:X937 V939:X939 V941:X941 V943:X943 V945:X945 V947:X947 V949:X949 V951:X951 V953:X953 V955:X955 V957:X957 V959:X959 V961:X961 V963:X963 V965:X965 V967:X967 V969:X969 V971:X971 V973:X973 V975:X975 V977:X977 V979:X979 V981:X981 V983:X983 V985:X985 V987:X987 V989:X989 V991:X991 V993:X993 V995:X995 V997:X997 V999:X999 V1001:X1001 V1003:X1003 V1005:X1005 V1007:X1007 V1009:X1009 V1011:X1011 V1013:X1013 V1015:X1015 V1017:X1017 V1019:X1019 V1021:X1021 V1023:X1023 V1025:X1025 V1027:X1027 V1029:X1029 V1031:X1031 V1033:X1033 V1035:X1035 V1037:X1037 V1039:X1039 V1041:X1041 V1043:X1043 V1045:X1045 V1047:X1047 V1049:X1049 V1051:X1051 V1053:X1053 V1055:X1055 V1057:X1057 V1059:X1059 V1061:X1061 V1063:X1063 V1065:X1065 V1067:X1067 V1069:X1069 V1071:X1071 V1073:X1073 V1076:X1076 V1078:X1078 V1080:X1080 V1082:X1082 V1084:X1084 V1086:X1086 V1088:X1088 V1090:X1090 V1092:X1092 V1094:X1094 V1096:X1096 V1098:X1098 V1100:X1100 V1102:X1102 V1104:X1104 V1106:X1106 V1108:X1108 V1110:X1110 V1112:X1112 V1114:X1114 V1116:X1116 V1118:X1118 V1120:X1120 V1122:X1122 V1124:X1124 V1126:X1126 V1128:X1128 V1130:X1130 V1132:X1132 V1134:X1134 V1136:X1136 V1138:X1138 V1140:X1140 V1142:X1142 V1144:X1144 V1146:X1146 V1148:X1148 V1150:X1150 V1152:X1152 V1154:X1154 V1156:X1158 V1160:X1160 V1163:X1163 V1165:X1165 V1167:X1167 V1169:X1169 V1171:X1171 V1173:X1173 V1175:X1175 V1177:X1177 V1179:X1179 V1181:X1181 V1183:X1183 V1185:X1185 V1187:X1187 V1189:X1189 V1191:X1191 V1193:X1193 V1195:X1195 V1197:X1197 V1199:X1199 V1201:X1201 V1203:X1203 V1205:X1205 V1207:X1207 V1209:X1209 V1211:X1211 V1213:X1213 V1215:X1216 V1218:X1218 V1220:X1228 V1230:X1230 V1232:X1232 V1234:X1234 V1236:X1236 V1238:X1238 V1240:X1240 V1242:X1242 V1244:X1244 V1246:X1246 V1248:X1248 V1250:X1250 V1252:X1252 V1254:X1254 V1256:X1256 V1258:X1258 V1260:X1260 V1262:X1262 V1264:X1264 V1266:X1266 V1268:X1268 V1270:X1270 V1272:X1272 V1274:X1274 V1276:X1276 V1278:X1278 V1280:X1280 V1282:X1282 V1284:X1284 V1286:X1286 V1288:X1288 V1290:X1290 V1292:X1292 V1294:X1294 V1296:X1296 V1298:X1298 V1300:X1300 V1302:X1302 V1304:X1304 V1306:X1306 V1308:X1308 V1348:Z1468 V1469:X1530 W1531:X1542 W1543:Z1625 W1626:W1662 W1663:X2142 X1626:Z1651 X1652:X1662 Y1469:Z1542 AC1162 AC1316:AC1651 M2094:M2125 H2151:I2151 K2151:M2151 O2151 T2151:U2151 W2151:AC2151 K2126:M2142">
    <cfRule type="expression" dxfId="85" priority="218">
      <formula>$L2=0</formula>
    </cfRule>
  </conditionalFormatting>
  <conditionalFormatting sqref="L2:M2070 M2071:M2082 M2094:M2125 L2071:L2125 L2151:M2151 L2126:M2142">
    <cfRule type="cellIs" dxfId="84" priority="220" operator="lessThan">
      <formula>0</formula>
    </cfRule>
    <cfRule type="cellIs" dxfId="83" priority="221" operator="lessThan">
      <formula>0</formula>
    </cfRule>
  </conditionalFormatting>
  <conditionalFormatting sqref="N2:R2 N1316:R1530 O1531:O2085 O2151">
    <cfRule type="containsBlanks" dxfId="8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9 A801:B801 B1025 A1310:B1315 A1308:B1308 A1306:B1306 A1304:B1304 A1302:B1302 A1300:B1300 A1298:B1298 A1296:B1296 A1294:B1294 A1292:B1292 A1290:B1290 A1288:B1288 A1286:B1286 A1284:B1284 A1282:B1282 A1280:B1280 A1278:B1278 A1276:B1276 A1274:B1274 A1272:B1272 A1270:B1270 A1268:B1268 A1266:B1266 A1264:B1264 A1262:B1262 A1260:B1260 A1258:B1258 A1256:B1256 A1254:B1254 A1252:B1252 A1250:B1250 A1248:B1248 A1246:B1246 A1244:B1244 A1242:B1242 A1240:B1240 A1238:B1238 A1236:B1236 A1234:B1234 A1232:B1232 A1230:B1230 A1220:B1228 A1218:B1218 A1215:B1216 A1213:B1213 A1211:B1211 A1209:B1209 A1207:B1207 A1205:B1205 A1203:B1203 A1201:B1201 A1199:B1199 A1197:B1197 A1195:B1195 A1193:B1193 A1191:B1191 A1189:B1189 A1187:B1187 A1185:B1185 A1183:B1183 A1181:B1181 A1179:B1179 A1177:B1177 A1175:B1175 A1173:B1173 A1171:B1171 A1169:B1169 A1167:B1167 A1165:B1165 A1162:B1163 A1160:B1160 A1156:B1158 A1154:B1154 A1152:B1152 A1150:B1150 A1148:B1148 A1146:B1146 A1144:B1144 A1142:B1142 A1140:B1140 A1138:B1138 A1136:B1136 A1134:B1134 A1132:B1132 A1130:B1130 A1128:B1128 A1126:B1126 A1124:B1124 A1122:B1122 A1120:B1120 A1118:B1118 A1116:B1116 A1114:B1114 A1112:B1112 A1110:B1110 A1108:B1108 A1106:B1106 A1104:B1104 A1102:B1102 A1100:B1100 A1098:B1098 A1096:B1096 A1094:B1094 A1092:B1092 A1090:B1090 A1088:B1088 A1086:B1086 A1084:B1084 A1082:B1082 A1080:B1080 A1078:B1078 A1076:B1076 A1073:B1073 A1071:B1071 A1069:B1069 A1067:B1067 A1065:B1065 A1063:B1063 A1061:B1061 A1059:B1059 A1057:B1057 A1055:B1055 A1053:B1053 A1051:B1051 A1049:B1049 A1047:B1047 A1045:B1045 A1043:B1043 A1041:B1041 A1039:B1039 A1037:B1037 A1035:B1035 A1033:B1033 A1031:B1031 A1029:B1029 A1027:B1027 A1023:B1023 A1021:B1021 A1019:B1019 A1017:B1017 A1015:B1015 A1013:B1013 A1011:B1011 A1009:B1009 A1007:B1007 A1005:B1005 A1003:B1003 A1001:B1001 A999:B999 A997:B997 A995:B995 A993:B993 A991:B991 A989:B989 A987:B987 A985:B985 A983:B983 A981:B981 A979:B979 A977:B977 A975:B975 A973:B973 A971:B971 A969:B969 A967:B967 A965:B965 A963:B963 A961:B961 A959:B959 A957:B957 A955:B955 A953:B953 A951:B951 A949:B949 A947:B947 A945:B945 A943:B943 A941:B941 A939:B939 A937:B937 A935:B935 A933:B933 A931:B931 A929:B929 A927:B927 A925:B925 A923:B923 A921:B921 A919:B919 A917:B917 A915:B915 A913:B913 A911:B911 A909:B909 A907:B907 A905:B905 A903:B903 A901:B901 A899:B899 A897:B897 A895:B895 A893:B893 A891:B891 A889:B889 A887:B887 A885:B885 A883:B883 A881:B881 A879:B879 A877:B877 A875:B875 A873:B873 A871:B871 A869:B869 A867:B867 A865:B865 A863:B863 A861:B861 A859:B859 A857:B857 A855:B855 A853:B853 A851:B851 A849:B849 A847:B847 A845:B845 A843:B843 A841:B841 A839:B839 A837:B837 A835:B835 A833:B833 A831:B831 A829:B829 A827:B827 A825:B825 A823:B823 A821:B821 A819:B819 A817:B817 A815:B815 A813:B813 A811:B811 A809:B809 A807:B807 A805:B805 A803:B803">
    <cfRule type="duplicateValues" dxfId="8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7:B1027 A1029:B1029 A1031:B1031 A1033:B1033 A1035:B1035 A1037:B1037 A1039:B1039 A1041:B1041 A1043:B1043 A1045:B1045 A1047:B1047 A1049:B1049 A1051:B1051 A1053:B1053 A1055:B1055 A1057:B1057 A1059:B1059 A1061:B1061 A1063:B1063 A1065:B1065 A1067:B1067 A1069:B1069 A1071:B1071 A1073:B1073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6: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5:B1216 A1218:B1218 A1220: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A1310:B1315 B1025">
    <cfRule type="expression" dxfId="8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 C1076 C1078 C1080 C1082 C1084 C1086 C1088 C1090 C1092 C1094 C1096 C1098 C1100 C1102 C1104 C1106 C1108 C1110 C1112 C1114 C1116 C1118 C1120 C1122 C1124 C1126 C1128 C1130 C1132 C1134 C1136 C1138 C1140 C1142 C1144 C1146 C1148 C1150 C1152 C1154 C1156:C1158 C1160 C1163 C1165 C1167 C1169 C1171 C1173 C1175 C1177 C1179 C1181 C1183 C1185 C1187 C1189 C1191 C1193 C1195 C1197 C1199 C1201 C1203 C1205 C1207 C1209 C1211 C1213 C1215:C1216 C1218 C1220:C1228 C1230 C1232 C1234 C1236 C1238 C1240 C1242 C1244 C1246 C1248 C1250 C1252 C1254 C1256 C1258 C1260 C1262 C1264 C1266 C1268 C1270 C1272 C1274 C1276 C1278 C1280 C1282 C1284 C1286 C1288 C1290 C1292 C1294 C1296 C1298 C1300 C1302 C1304 C1306 C1308 C1310:C1315">
    <cfRule type="expression" dxfId="79"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1 E799:G799 E78:G78 E150:G150 E152:G152 E184:G184 E216:G216 E218:G218 E228:G228 E230:G230 E270:G270 E272:G272 E276:G276 E363:G363 E393:G393 E658:G658 E677 E695:E696 E699 E710:G710 E718:G718 E727:E728 E730:G730 E732:G732 E734:G734 E794:G794 F51 F329:G329 F550:G550 F696:G696 F728:G728 D803:D804 D805:G805 D807:G807 D809:G809 D811:G811 D813:G813 D815:G815 D816 D817:G817 D819:G819 D821:G821 D823:G823 D825:G825 D827:G827 D829:G829 D831:G831 D833:G833 D835:G835 D837:G837 D839:G839 D841:G841 D843:G843 D845:G845 D847:G847 D849:G849 D851:G851 D853:G853 D855:G855 D857:G857 D859:G859 D861:G861 D863:G863 D865:G865 D867:G867 D869:G869 D871:G871 D872 D873:G873 D875:G875 D877:G877 D879:G879 D883:G883 D885:G885 D887:G887 D889:G889 D891:G891 D893:G893 D894:E895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7:G967 D969:G969 D971:G971 D973:G973 D975:G975 D977:G977 D979:G979 D981:G981 D983:G983 D985:G985 D987:G987 D989:G989 D991:G991 D993:G993 D995:G995 D997:G997 D999:G999 D1001:G1001 D1003:G1003 D1005:G1005 D1007:G1007 D1009:G1009 D1011:G1011 D1013:G1013 D1015:G1015 D1017:G1017 D1019:G1019 D1021:G1021 D1023:G1023 D1025:G1025 D1027:G1027 D1029:G1029 D1031:G1031 D1035:G1035 D1037:G1037 D1039:G1039 D1043:G1043 D1047:G1047 D1049:G1049 D1051:G1051 D1057:G1057 D1063:G1063 D1065:G1065 D1067:G1067 D1071:G1071 D1073:G1073 D1076:G1076 D1082:G1082 D1084:G1084 D1086:G1086 D1088:G1088 D1090:G1090 D1092:G1092 D1094:G1094 D1098:G1098 D1102:G1102 D1104:G1104 D1106:G1106 D1108:G1108 D1110:G1110 D1118:G1118 D1120:G1120 D1122:G1122 D1124:G1124 D1126:G1126 D1128:G1128 D1130:G1130 D1132:G1132 D1134:G1134 D1135:D1141 D1142:G1142 D1144:D1145 D1146:G1146 D1147:D1183 D1185:G1185 D1187:G1187 D1189:G1189 D1191:G1191 D1193:G1193 D1195:G1195 D1197:G1197 D1199:G1199 D1201:G1201 D1203:G1203 D1205:G1205 D1207:G1207 D1209:G1209 D1211:G1211 D1213:G1213 D1215:G1216 D1218:G1218 D1220:G1220 D1221: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D1308:G1308 D1309:E1311 D1312:G1315 E801:G801 E803:G803 E881:G881 E897:G897 E965:G965 E1022 E1033:G1033 E1041:G1041 E1045:G1045 E1053:G1053 E1055:G1055 E1059:G1059 E1061:G1061 E1069:G1069 E1078:G1078 E1080:G1080 E1096:G1096 E1100:G1100 E1112:G1112 E1114:G1114 E1116:G1116 E1136:G1136 E1138:G1138 E1140:G1140 E1144:G1144 E1148:G1148 E1150:G1150 E1152:G1152 E1154:G1154 E1155:E1156 E1160:G1160 E1163:G1163 E1165:G1165 E1167:G1167 E1169:G1169 E1171:G1171 E1173:G1173 E1175:G1175 E1177:G1177 E1179:G1179 E1181:G1181 E1183:G1183 F895:G895 F1156:G1158 F1310:G1311 G1221:G1229">
    <cfRule type="expression" dxfId="78"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9 P329:R329 N801:R801 Q1310:R1315 Q1308:R1308 Q1298:R1298 Q1215:R1216 N803:R803 N1307:O1315 N1306:R1306 N1304:R1304 N1302:R1302 N1300:R1300 N1298:O1298 N1296:R1296 N1294:R1294 N1292:R1292 N1290:R1290 N1288:R1288 N1286:R1286 N1284:R1284 N1282:R1282 N1280:R1280 N1278:R1278 N1276:R1276 N1274:R1274 N1272:R1272 N1270:R1270 N1268:R1268 N1266:R1266 N1264:R1264 N1262:R1262 N1260:R1260 N1258:R1258 N1256:R1256 N1254:R1254 N1252:R1252 N1250:R1250 N1248:R1248 N1246:R1246 N1244:R1244 N1242:R1242 N1240:R1240 N1238:R1238 N1236:R1236 N1234:R1234 N1232:R1232 N1230:R1230 N1220:R1228 N1218:R1218 N1215:O1216 N1213:R1213 N1211:R1211 N1209:R1209 N1207:R1207 N1205:R1205 N1203:R1203 N1201:R1201 N1199:R1199 N1197:R1197 N1195:R1195 N1193:R1193 N1191:R1191 N1189:R1189 N1187:R1187 N1185:R1185 N1183:R1183 N1181:R1181 N1179:R1179 N1177:R1177 N1175:R1175 N1173:R1173 N1171:R1171 N1169:R1169 N1167:R1167 N1165:R1165 N1162:R1163 N1160:R1160 N1156:R1158 N1154:R1154 N1152:R1152 N1150:R1150 N1148:R1148 N1146:R1146 N1144:R1144 N1142:R1142 N1140:R1140 N1138:R1138 N1136:R1136 N1134:R1134 N1132:R1132 N1130:R1130 N1128:R1128 N1126:R1126 N1124:R1124 N1122:R1122 N1120:R1120 N1118:R1118 N1116:R1116 N1114:R1114 N1112:R1112 N1110:R1110 N1108:R1108 N1106:R1106 N1104:R1104 N1102:R1102 N1100:R1100 N1098:R1098 N1096:R1096 N1094:R1094 N1092:R1092 N1090:R1090 N1088:R1088 N1086:R1086 N1084:R1084 N1082:R1082 N1080:R1080 N1078:R1078 N1076:R1076 N1073:R1073 N1071:R1071 N1069:R1069 N1067:R1067 N1065:R1065 N1063:R1063 N1061:R1061 N1059:R1059 N1057:R1057 N1055:R1055 N1053:R1053 N1051:R1051 N1049:R1049 N1047:R1047 N1045:R1045 N1043:R1043 N1041:R1041 N1039:R1039 N1037:R1037 N1035:R1035 N1033:R1033 N1031:R1031 N1029:R1029 N1027:R1027 N1025:R1025 N1023:R1023 N1021:R1021 N1019:R1019 N1017:R1017 N1015:R1015 N1013:R1013 N1011:R1011 N1009:R1009 N1007:R1007 N1005:R1005 N1003:R1003 N1001:R1001 N999:R999 N997:R997 N995:R995 N993:R993 N991:R991 N989:R989 N987:R987 N985:R985 N983:R983 N981:R981 N979:R979 N977:R977 N975:R975 N973:R973 N971:R971 N969:R969 N967:R967 N965:R965 N963:R963 N961:R961 N959:R959 N957:R957 N955:R955 N953:R953 N951:R951 N949:R949 N947:R947 N945:R945 N943:R943 N941:R941 N939:R939 N937:R937 N935:R935 N933:R933 N931:R931 N929:R929 N927:R927 N925:R925 N923:R923 N921:R921 N919:R919 N917:R917 N915:R915 N913:R913 N911:R911 N909:R909 N907:R907 N905:R905 N903:R903 N901:R901 N899:R899 N897:R897 N895:R895 N893:R893 N891:R891 N889:R889 N887:R887 N885:R885 N883:R883 N881:R881 N879:R879 N877:R877 N875:R875 N873:R873 N871:R871 N869:R869 N867:R867 N865:R865 N863:R863 N861:R861 N859:R859 N857:R857 N855:R855 N853:R853 N851:R851 N849:R849 N847:R847 N845:R845 N843:R843 N841:R841 N839:R839 N837:R837 N835:R835 N833:R833 N831:R831 N829:R829 N827:R827 N825:R825 N823:R823 N821:R821 N819:R819 N817:R817 N815:R815 N813:R813 N811:R811 N809:R809 N807:R807 N805:R805">
    <cfRule type="containsBlanks" dxfId="77"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9 P329:R32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3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6: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5:O1216 N1218:R1218 N1220: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N1306:R1306 N1307:O1315 Q1215:R1216 Q1298:R1298 Q1308:R1308 Q1310:R1315">
    <cfRule type="expression" dxfId="76"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U799 U801 U803 U805 U807 U809 U811 U813 U815 U817 U819 U821 U823 U825 U827 U829 U831 U833 U835 U837 U839 U841 U843 U845 U847 U849 U851 U853 U855 U857 U859 U861 U863 U865 U867 U869 U871 U873 U875 U877 U879 U881 U883 U885 U887 U889 U891 U893 U895 U897 U899 U901 U903 U905 U907 U909 U911 U913 U915 U917 U919 U921 U923 U925 U927 U929 U931 U933 U935 U937 U939 U941 U943 U945 U947 U949 U951 U953 U955 U957 U959 U961 U963 U965 U967 U969 U971 U973 U975 U977 U979 U981 U983 U985 U987 U989 U991 U993 U995 U997 U999 U1001 U1003 U1005 U1007 U1009 U1011 U1013 U1015 U1017 U1019 U1021 U1023 U1025 U1027 U1029 U1031 U1033 U1035 U1037 U1039 U1041 U1043 U1045 U1047 U1049 U1051 U1053 U1055 U1057 U1059 U1061 U1063 U1065 U1067 U1069 U1071 U1073 U1076 U1078 U1080 U1082 U1084 U1086 U1088 U1090 U1092 U1094 U1096 U1098 U1100 U1102 U1104 U1106 U1108 U1110 U1112 U1114 U1116 U1118 U1120 U1122 U1124 U1126 U1128 U1130 U1132 U1134 U1136 U1138 U1140 U1142 U1144 U1146 U1148 U1150 U1152 U1154 U1156:U1158 U1160 U1163 U1165 U1167 U1169 U1171 U1173 U1175 U1177 U1179 U1181 U1183 U1185 U1187 U1189 U1191 U1193 U1195 U1197 U1199 U1201 U1203 U1205 U1207 U1209 U1211 U1213 U1215:U1216 U1218 U1220:U1228 U1230 U1232 U1234 U1236 U1238 U1240 U1242 U1244 U1246 U1248 U1250 U1252 U1254 U1256 U1258 U1260 U1262 U1264 U1266 U1268 U1270 U1272 U1274 U1276 U1278 U1280 U1282 U1284 U1286 U1288 U1290 U1292 U1294 U1296 U1298 U1300 U1302 U1304 U1306 U1308">
    <cfRule type="expression" dxfId="75"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Y799 Y801 Y803 Y805 Y807 Y809 Y811 Y813 Y815 Y817 Y819 Y821 Y823 Y825 Y827 Y829 Y831 Y833 Y835 Y837 Y839 Y841 Y843 Y845 Y847 Y849 Y851 Y853 Y855 Y857 Y859 Y861 Y863 Y865 Y867 Y869 Y871 Y873 Y875 Y877 Y879 Y881 Y883 Y885 Y887 Y889 Y891 Y893 Y895 Y897 Y899 Y901 Y903 Y905 Y907 Y909 Y911 Y913 Y915 Y917 Y919 Y921 Y923 Y925 Y927 Y929 Y931 Y933 Y935 Y937 Y939 Y941 Y943 Y945 Y947 Y949 Y951 Y953 Y955 Y957 Y959 Y961 Y963 Y965 Y967 Y969 Y971 Y973 Y975 Y977 Y979 Y981 Y983 Y985 Y987 Y989 Y991 Y993 Y995 Y997 Y999 Y1001 Y1003 Y1005 Y1007 Y1009 Y1011 Y1013 Y1015 Y1017 Y1019 Y1021 Y1023 Y1025 Y1027 Y1029 Y1031 Y1033 Y1035 Y1037 Y1039 Y1041 Y1043 Y1045 Y1047 Y1049 Y1051 Y1053 Y1055 Y1057 Y1059 Y1061 Y1063 Y1065 Y1067 Y1069 Y1071 Y1073 Y1076 Y1078 Y1080 Y1082 Y1084 Y1086 Y1088 Y1090 Y1092 Y1094 Y1096 Y1098 Y1100 Y1102 Y1104 Y1106 Y1108 Y1110 Y1112 Y1114 Y1116 Y1118 Y1120 Y1122 Y1124 Y1126 Y1128 Y1130 Y1132 Y1134 Y1136 Y1138 Y1140 Y1142 Y1144 Y1146 Y1148 Y1150 Y1152 Y1154 Y1156:Y1158 Y1160 Y1163 Y1165 Y1167 Y1169 Y1171 Y1173 Y1175 Y1177 Y1179 Y1181 Y1183 Y1185 Y1187 Y1189 Y1191 Y1193 Y1195 Y1197 Y1199 Y1201 Y1203 Y1205 Y1207 Y1209 Y1211 Y1213 Y1215:Y1216 Y1218 Y1220:Y1228 Y1230 Y1232 Y1234 Y1236 Y1238 Y1240 Y1242 Y1244 Y1246 Y1248 Y1250 Y1252 Y1254 Y1256 Y1258 Y1260 Y1262 Y1264 Y1266 Y1268 Y1270 Y1272 Y1274 Y1276 Y1278 Y1280 Y1282 Y1284 Y1286 Y1288 Y1290 Y1292 Y1294 Y1296 Y1298 Y1300 Y1302 Y1304 Y1306 Y1308 Y1310:Y1315">
    <cfRule type="expression" dxfId="74"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9 Z801:AC801 Z803:AC803 Z805:AC805 Z807:AC807 Z809:AC809 Z811:AC811 Z813:AC813 Z815:AC815 Z817:AC817 Z819:AC819 Z821:AC821 Z823:AC823 Z825:AC825 Z827:AC827 Z829:AC829 Z831:AC831 Z833:AC833 Z835:AC835 Z837:AC837 Z839:AC839 Z841:AC841 Z843:AC843 Z845:AC845 Z847:AC847 Z849:AC849 Z851:AC851 Z853:AC853 Z855:AC855 Z857:AC857 Z859:AC859 Z861:AC861 Z863:AC863 Z865:AC865 Z867:AC867 Z869:AC869 Z871:AC871 Z873:AC873 Z875:AC875 Z877:AC877 Z879:AC879 Z881:AC881 Z883:AC883 Z885:AC885 Z887:AC887 Z889:AC889 Z891:AC891 Z893:AC893 Z895:AC895 Z897:AC897 Z899:AC899 Z901:AC901 Z903:AC903 Z905:AC905 Z907:AC907 Z909:AC909 Z911:AC911 Z913:AC913 Z915:AC915 Z917:AC917 Z919:AC919 Z921:AC921 Z923:AC923 Z925:AC925 Z927:AC927 Z929:AC929 Z931:AC931 Z933:AC933 Z935:AC935 Z937:AC937 Z939:AC939 Z941:AC941 Z943:AC943 Z945:AC945 Z947:AC947 Z949:AC949 Z951:AC951 Z953:AC953 Z955:AC955 Z957:AC957 Z959:AC959 Z961:AC961 Z963:AC963 Z965:AC965 Z967:AC967 Z969:AC969 Z971:AC971 Z973:AC973 Z975:AC975 Z977:AC977 Z979:AC979 Z981:AC981 Z983:AC983 Z985:AC985 Z987:AC987 Z989:AC989 Z991:AC991 Z993:AC993 Z995:AC995 Z997:AC997 Z999:AC999 Z1001:AC1001 Z1003 Z1005 Z1007 Z1009 Z1011 Z1013 Z1015 Z1017 Z1019 Z1021 Z1023 Z1025 Z1027 Z1029 Z1031 Z1033 Z1035 Z1037 Z1039 Z1041 Z1043 Z1045 Z1047 Z1049 Z1051 Z1053 Z1055 Z1057 Z1059 Z1061 Z1063 Z1065 Z1067 Z1069 Z1071 Z1073 Z1076 Z1078 Z1080 Z1082 Z1084 Z1086 Z1088 Z1090 Z1092 Z1094 Z1096 Z1098 Z1100 Z1102 Z1104 Z1106 Z1108 Z1110 Z1112 Z1114 Z1116 Z1118 Z1120 Z1122 Z1124 Z1126 Z1128 Z1130 Z1132 Z1134 Z1136 Z1138 Z1140 Z1142 Z1144 Z1146 Z1148 Z1150 Z1152 Z1154 Z1156:Z1158 Z1160 Z1163 Z1165 Z1167 Z1169 Z1171 Z1173 Z1175 Z1177 Z1179 Z1181 Z1183 Z1185 Z1187 Z1189 Z1191 Z1193 Z1195 Z1197 Z1199 Z1201 Z1203 Z1205 Z1207 Z1209 Z1211 Z1213 Z1215:Z1216 Z1218 Z1220:Z1228 Z1230 Z1232 Z1234 Z1236 Z1238 Z1240 Z1242 Z1244 Z1246 Z1248 Z1250 Z1252 Z1254 Z1256 Z1258 Z1260 Z1262 Z1264 Z1266 Z1268 Z1270 Z1272 Z1274 Z1276 Z1278 Z1280 Z1282 Z1284 Z1286 Z1288 Z1290 Z1292 Z1294 Z1296 Z1298 Z1300 Z1302 Z1304 Z1306 Z1308 Z1310:Z1315 AC1003 AC1005 AC1007 AC1009 AC1011 AC1013 AC1015 AC1017 AC1019 AC1021 AC1023 AC1025 AC1027 AC1029 AC1031 AC1033 AC1035 AC1037 AC1039 AC1041 AC1043 AC1045 AC1047 AC1049 AC1051 AC1053 AC1055 AC1057 AC1059 AC1061 AC1063 AC1065 AC1067 AC1069 AC1071 AC1073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6:AC1158 AC1160 AC1163 AC1165 AC1167 AC1169 AC1171 AC1173 AC1175 AC1177 AC1179 AC1181 AC1183 AC1185 AC1187 AC1189 AC1191 AC1193 AC1195 AC1197 AC1199 AC1201 AC1203 AC1205 AC1207 AC1209 AC1211 AC1213 AC1215:AC1216 AC1218 AC1220: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AC1310:AC1315">
    <cfRule type="expression" dxfId="73"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B329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4:B1024 A1025 A1026:B1026 A1028:B1028 A1030:B1030 A1032:B1032 A1034:B1034 A1036:B1036 A1038:B1038 A1040:B1040 A1042:B1042 A1044:B1044 A1046:B1046 A1048:B1048 A1050:B1050 A1052:B1052 A1054:B1054 A1056:B1056 A1058:B1058 A1060:B1060 A1062:B1062 A1064:B1064 A1066:B1066 A1068:B1068 A1070:B1070 A1072:B1072 A1074: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5 A1159:B1159 A1161:B1161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4 A1217:B1217 A1219:B1219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09">
    <cfRule type="expression" dxfId="72" priority="46">
      <formula>$L5=0</formula>
    </cfRule>
    <cfRule type="duplicateValues" dxfId="7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4:C1075 C1077 C1079 C1081 C1083 C1085 C1087 C1089 C1091 C1093 C1095 C1097 C1099 C1101 C1103 C1105 C1107 C1109 C1111 C1113 C1115 C1117 C1119 C1121 C1123 C1125 C1127 C1129 C1131 C1133 C1135 C1137 C1139 C1141 C1143 C1145 C1147 C1149 C1151 C1153 C1155 C1159 C1161 C1164 C1166 C1168 C1170 C1172 C1174 C1176 C1178 C1180 C1182 C1184 C1186 C1188 C1190 C1192 C1194 C1196 C1198 C1200 C1202 C1204 C1206 C1208 C1210 C1212 C1214 C1217 C1219 C1229 C1231 C1233 C1235 C1237 C1239 C1241 C1243 C1245 C1247 C1249 C1251 C1253 C1255 C1257 C1259 C1261 C1263 C1265 C1267 C1269 C1271 C1273 C1275 C1277 C1279 C1281 C1283 C1285 C1287 C1289 C1291 C1293 C1295 C1297 C1299 C1301 C1303 C1305 C1307 C1309">
    <cfRule type="expression" dxfId="7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E53:G53 E151:G151 E185:G185 E255:G255 E271:G271 E273:G273 E277:G277 E340:G340 E350:G350 E362:G362 E541:G541 E550 E553:G553 E659:G659 E711:G711 E715:G715 E717:G717 E731:G731 E733:G733 E795:G795 E797:G797 F677:G677 F695:G695 F699:G699 F727:G727 G51 D802:G802 D806:G806 D808:G808 D810:G810 D812:G812 D814:G814 D818:G818 D820:G820 D822:G822 D824:G824 D826:G826 D828:G828 D830:G830 D832:G832 D834:G834 D836:G836 D838:G838 D840:G840 D842:G842 D844:G844 D846:G846 D848:G848 D850:G850 D852:G852 D854:G854 D856:G856 D858:G858 D860:G860 D862:G862 D864:G864 D866:G866 D868:G868 D870:G870 D874:G874 D876:G876 D878:G878 D880:G880 D881 D882:G882 D884:G884 D886:G886 D888:G888 D890:G890 D892:G892 D896:G896 D897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4:G964 D965:D966 D968:G968 D970:G970 D972:G972 D974:G974 D976:G976 D978:G978 D980:G980 D982:G982 D984:G984 D986:G986 D988:G988 D990:G990 D992:G992 D994:G994 D996:G996 D998:G998 D1000:G1000 D1002:G1002 D1004:G1004 D1006:G1006 D1008:G1008 D1010:G1010 D1012:G1012 D1014:G1014 D1016:G1016 D1018:G1018 D1020:G1020 D1022 D1024:G1024 D1026:G1026 D1028:G1028 D1030:G1030 D1032:G1032 D1033 D1034:G1034 D1036:G1036 D1038:G1038 D1040:D1042 D1044:D1045 D1046:G1046 D1048:G1048 D1050:G1050 D1052:G1052 D1053:D1056 D1058:G1058 D1059:D1062 D1064:G1064 D1066:G1066 D1068:G1068 D1069 D1070:G1070 D1072:G1072 D1074:G1075 D1077:D1080 D1081:G1081 D1083:G1083 D1085:G1085 D1087:G1087 D1089:G1089 D1091:G1091 D1093:G1093 D1095:G1095 D1096 D1097:G1097 D1099:D1100 D1101:G1101 D1103:G1103 D1105:G1105 D1107:G1107 D1109:G1109 D1111:G1111 D1112:D1116 D1117:G1117 D1119:G1119 D1121:G1121 D1123:G1123 D1125:G1125 D1127:G1127 D1129:G1129 D1131:G1131 D1133:G1133 D1143:G1143 D1184:G1184 D1186:G1186 D1188:G1188 D1190:G1190 D1192:G1192 D1194:G1194 D1196:G1196 D1198:G1198 D1200:G1200 D1202:G1202 D1204:G1204 D1206:G1206 D1208:G1208 D1210:G1210 D1212:G1212 D1214:G1214 D1217:G1217 D1219:G1219 D1229:F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E800:G800 E804:G804 E816:G816 E872:G872 E966:G966 E1040:G1040 E1042:G1042 E1044:G1044 E1054:G1054 E1056:G1056 E1060:G1060 E1062:G1062 E1077:G1077 E1079:G1079 E1099:G1099 E1113:G1113 E1115:G1115 E1135:G1135 E1137:G1137 E1139:G1139 E1141:G1141 E1145:G1145 E1147:G1147 E1149:G1149 E1151:G1151 E1153:G1153 E1157:E1158 E1159:G1159 E1161:G1161 E1164:G1164 E1166:G1166 E1168:G1168 E1170:G1170 E1172:G1172 E1174:G1174 E1176:G1176 E1178:G1178 E1180:G1180 E1182:G1182 F894:G894 F1022:G1022 F1155:G1155 F1309:G1309">
    <cfRule type="expression" dxfId="69"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O329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4: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5 N1159:R1159 N1161:R1161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R1214 N1217:R1217 N1219:R1219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R1297 N1299:O1299 N1301:R1301 N1303:R1303 N1305:R1305 P1298:P1299 P1307:R1307 P1308:P1315 Q1299:R1299 Q1309:R1309">
    <cfRule type="expression" dxfId="68" priority="44">
      <formula>$L5=0</formula>
    </cfRule>
    <cfRule type="containsBlanks" dxfId="67"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800:AC800 Y802:AC802 Y804:AC804 Y806:AC806 Y808:AC808 Y810:AC810 Y812:AC812 Y814:AC814 Y816:AC816 Y818:AC818 Y820:AC820 Y822:AC822 Y824:AC824 Y826:AC826 Y828:AC828 Y830:AC830 Y832:AC832 Y834:AC834 Y836:AC836 Y838:AC838 Y840:AC840 Y842:AC842 Y844:AC844 Y846:AC846 Y848:AC848 Y850:AC850 Y852:AC852 Y854:AC854 Y856:AC856 Y858:AC858 Y860:AC860 Y862:AC862 Y864:AC864 Y866:AC866 Y868:AC868 Y870:AC870 Y872:AC872 Y874:AC874 Y876:AC876 Y878:AC878 Y880:AC880 Y882:AC882 Y884:AC884 Y886:AC886 Y888:AC888 Y890:AC890 Y892:AC892 Y894:AC894 Y896:AC896 Y898:AC898 Y900:AC900 Y902:AC902 Y904:AC904 Y906:AC906 Y908:AC908 Y910:AC910 Y912:AC912 Y914:AC914 Y916:AC916 Y918:AC918 Y920:AC920 Y922:AC922 Y924:AC924 Y926:AC926 Y928:AC928 Y930:AC930 Y932:AC932 Y934:AC934 Y936:AC936 Y938:AC938 Y940:AC940 Y942:AC942 Y944:AC944 Y946:AC946 Y948:AC948 Y950:AC950 Y952:AC952 Y954:AC954 Y956:AC956 Y958:AC958 Y960:AC960 Y962:AC962 Y964:AC964 Y966:AC966 Y968:AC968 Y970:AC970 Y972:AC972 Y974:AC974 Y976:AC976 Y978:AC978 Y980:AC980 Y982:AC982 Y984:AC984 Y986:AC986 Y988:AC988 Y990:AC990 Y992:AC992 Y994:AC994 Y996:AC996 Y998:AC998 Y1000:AC1000 Y1002:AC1002 Y1004:Z1004 Y1006:Z1006 Y1008:Z1008 Y1010:Z1010 Y1012:Z1012 Y1014:Z1014 Y1016:Z1016 Y1018:Z1018 Y1020:Z1020 Y1022:Z1022 Y1024:Z1024 Y1026:Z1026 Y1028:Z1028 Y1030:Z1030 Y1032:Z1032 Y1034:Z1034 Y1036:Z1036 Y1038:Z1038 Y1040:Z1040 Y1042:Z1042 Y1044:Z1044 Y1046:Z1046 Y1048:Z1048 Y1050:Z1050 Y1052:Z1052 Y1054:Z1054 Y1056:Z1056 Y1058:Z1058 Y1060:Z1060 Y1062:Z1062 Y1064:Z1064 Y1066:Z1066 Y1068:Z1068 Y1070:Z1070 Y1072:Z1072 Y1074:Z1075 Y1077:Z1077 Y1079:Z1079 Y1081:Z1081 Y1083:Z1083 Y1085:Z1085 Y1087:Z1087 Y1089:Z1089 Y1091:Z1091 Y1093:Z1093 Y1095:Z1095 Y1097:Z1097 Y1099:Z1099 Y1101:Z1101 Y1103:Z1103 Y1105:Z1105 Y1107:Z1107 Y1109:Z1109 Y1111:Z1111 Y1113:Z1113 Y1115:Z1115 Y1117:Z1117 Y1119:Z1119 Y1121:Z1121 Y1123:Z1123 Y1125:Z1125 Y1127:Z1127 Y1129:Z1129 Y1131:Z1131 Y1133:Z1133 Y1135:Z1135 Y1137:Z1137 Y1139:Z1139 Y1141:Z1141 Y1143:Z1143 Y1145:Z1145 Y1147:Z1147 Y1149:Z1149 Y1151:Z1151 Y1153:Z1153 Y1155:Z1155 Y1159:Z1159 Y1161:Z1161 Y1164:Z1164 Y1166:Z1166 Y1168:Z1168 Y1170:Z1170 Y1172:Z1172 Y1174:Z1174 Y1176:Z1176 Y1178:Z1178 Y1180:Z1180 Y1182:Z1182 Y1184:Z1184 Y1186:Z1186 Y1188:Z1188 Y1190:Z1190 Y1192:Z1192 Y1194:Z1194 Y1196:Z1196 Y1198:Z1198 Y1200:Z1200 Y1202:Z1202 Y1204:Z1204 Y1206:Z1206 Y1208:Z1208 Y1210:Z1210 Y1212:Z1212 Y1214:Z1214 Y1217:Z1217 Y1219:Z1219 Y1229:Z1229 Y1231:Z1231 Y1233:Z1233 Y1235:Z1235 Y1237:Z1237 Y1239:Z1239 Y1241:Z1241 Y1243:Z1243 Y1245:Z1245 Y1247:Z1247 Y1249:Z1249 Y1251:Z1251 Y1253:Z1253 Y1255:Z1255 Y1257:Z1257 Y1259:Z1259 Y1261:Z1261 Y1263:Z1263 Y1265:Z1265 Y1267:Z1267 Y1269:Z1269 Y1271:Z1271 Y1273:Z1273 Y1275:Z1275 Y1277:Z1277 Y1279:Z1279 Y1281:Z1281 Y1283:Z1283 Y1285:Z1285 Y1287:Z1287 Y1289:Z1289 Y1291:Z1291 Y1293:Z1293 Y1295:Z1295 Y1297:Z1297 Y1299:Z1299 Y1301:Z1301 Y1303:Z1303 Y1305:Z1305 Y1307:Z1307 Y1309:Z1309 AA1003:AB2042 AC1004 AC1006 AC1008 AC1010 AC1012 AC1014 AC1016 AC1018 AC1020 AC1022 AC1024 AC1026 AC1028 AC1030 AC1032 AC1034 AC1036 AC1038 AC1040 AC1042 AC1044 AC1046 AC1048 AC1050 AC1052 AC1054 AC1056 AC1058 AC1060 AC1062 AC1064 AC1066 AC1068 AC1070 AC1072 AC1074: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 AC1159 AC1161 AC1164 AC1166 AC1168 AC1170 AC1172 AC1174 AC1176 AC1178 AC1180 AC1182 AC1184 AC1186 AC1188 AC1190 AC1192 AC1194 AC1196 AC1198 AC1200 AC1202 AC1204 AC1206 AC1208 AC1210 AC1212 AC1214 AC1217 AC1219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
    <cfRule type="expression" dxfId="66" priority="38">
      <formula>$L5=0</formula>
    </cfRule>
  </conditionalFormatting>
  <conditionalFormatting sqref="A1316:B1530">
    <cfRule type="duplicateValues" dxfId="65" priority="2789"/>
  </conditionalFormatting>
  <conditionalFormatting sqref="A1531:B1603 A1604:A1606 A1607:B1651 A2151:B2151">
    <cfRule type="expression" dxfId="64" priority="17">
      <formula>$L1531=0</formula>
    </cfRule>
    <cfRule type="duplicateValues" dxfId="63" priority="18"/>
  </conditionalFormatting>
  <conditionalFormatting sqref="C1531:C1651 C2151">
    <cfRule type="expression" dxfId="62" priority="13">
      <formula>$L1531=0</formula>
    </cfRule>
  </conditionalFormatting>
  <conditionalFormatting sqref="D1531:G1651 D2151:G2151">
    <cfRule type="expression" dxfId="61" priority="14">
      <formula>$L1531=0</formula>
    </cfRule>
  </conditionalFormatting>
  <conditionalFormatting sqref="J1531:J1651 S1531:S1651 V1531:V1651 J2151 S2151 V2151">
    <cfRule type="expression" dxfId="60" priority="20">
      <formula>$L1531=0</formula>
    </cfRule>
  </conditionalFormatting>
  <conditionalFormatting sqref="N1531 N1534 N1536 N1539 N1541:N1542 N1544 N1547 N1549 N1551 N1553:N1554 N1556 N1559 N1562 N1565 N1567 N1570 N1572 N1575 N1578 N1581 N1584 N1587 N1590 N1593 N1596 N1599 N1602 N1605 N1608 N1611 N1614 N1617 N1620 N1623 N1628 N1631 N1634 N1637 N1640 P1531:P1651 Q1532:Q1533 Q1535:Q1536 Q1538:Q1539 Q1541:Q1542 Q1543:R1543 Q1545:Q1546 Q1548:Q1551 Q1553:Q1555 Q1557:Q1558 Q1560:R1560 Q1561:Q1562 Q1564:Q1565 Q1567:Q1568 Q1570:Q1571 Q1573:Q1574 Q1576:Q1577 Q1579:Q1580 Q1582:Q1583 Q1585:Q1586 Q1588:Q1589 Q1591:Q1592 Q1594:Q1595 Q1597:Q1598 Q1600:Q1601 Q1603:Q1604 Q1606 Q1607:R1607 Q1609:Q1610 Q1612:Q1613 Q1615:Q1616 Q1618:Q1619 Q1621:Q1622 Q1624:Q1627 Q1629:Q1630 Q1632:Q1633 Q1635:Q1636 Q1638:Q1639 Q1641:Q1642 Q1643:R1651 R1531 R1533 R1535 R1537 R1539 R1545 R1547 R1549:R1550 R1552 R1554 R1556 R1558 R1561 R1563 R1565 R1567 R1569 R1571 R1573 R1575 R1577 R1579 R1581 R1583 R1585 R1587 R1589 R1591 R1593 R1595 R1597 R1599 R1601 R1603 R1605 R1609 R1611 R1613 R1615 R1617 R1619 R1621 R1623 R1625:R1642 P2151:R2151">
    <cfRule type="expression" dxfId="59" priority="15">
      <formula>$L1531=0</formula>
    </cfRule>
    <cfRule type="containsBlanks" dxfId="58" priority="16">
      <formula>LEN(TRIM(N1531))=0</formula>
    </cfRule>
  </conditionalFormatting>
  <conditionalFormatting sqref="N1532:N1533 N1535 N1537:N1538 N1540 N1543 N1545:N1546 N1548 N1550 N1552 N1555 N1557:N1558 N1560:N1561 N1563:N1564 N1566 N1568:N1569 N1571 N1573:N1574 N1576:N1577 N1579:N1580 N1582:N1583 N1585:N1586 N1588:N1589 N1591:N1592 N1594:N1595 N1597:N1598 N1600:N1601 N1603:N1604 N1606:N1607 N1609:N1610 N1612:N1613 N1615:N1616 N1618:N1619 N1621:N1622 N1624:N1627 N1629:N1630 N1632:N1633 N1635:N1636 N1638:N1639 N1641:N2085 Q1531 Q1534:R1534 Q1537 Q1540:R1540 Q1544:R1544 Q1547 Q1552 Q1556 Q1559:R1559 Q1563 Q1566:R1566 Q1569 Q1572:R1572 Q1575 Q1578:R1578 Q1581 Q1584:R1584 Q1587 Q1590:R1590 Q1593 Q1596:R1596 Q1599 Q1602:R1602 Q1605 Q1608:R1608 Q1611 Q1614:R1614 Q1617 Q1620:R1620 Q1623 Q1628 Q1631 Q1634 Q1637 Q1640 R1532 R1536 R1538 R1541:R1542 R1546 R1548 R1551 R1553 R1555 R1557 R1562 R1564 R1568 R1570 R1574 R1576 R1580 R1582 R1586 R1588 R1592 R1594 R1598 R1600 R1604 R1606 R1610 R1612 R1616 R1618 R1622 R1624 N2151">
    <cfRule type="expression" dxfId="57" priority="10">
      <formula>$L1531=0</formula>
    </cfRule>
    <cfRule type="containsBlanks" dxfId="56" priority="11">
      <formula>LEN(TRIM(N1531))=0</formula>
    </cfRule>
  </conditionalFormatting>
  <conditionalFormatting sqref="A1652:B2150">
    <cfRule type="duplicateValues" dxfId="55" priority="7"/>
  </conditionalFormatting>
  <conditionalFormatting sqref="A1652:G2142 J1652:J2142 N2094:S2142 V1652:V2142 Y2043:AD2142 M2083:M2085 M2086:R2090 M2091:S2093 P1652:S1929 P1930:R2070 P2071:S2084 P2085:R2085 S2016:S2070 S2085:S2090 Y1652:Z2042 AC1652:AD2042 A2143:AD2150">
    <cfRule type="expression" dxfId="54" priority="4">
      <formula>$L1652=0</formula>
    </cfRule>
  </conditionalFormatting>
  <conditionalFormatting sqref="N2086:R2090 S2085:S2090 P2085:R2085 P2016:S2084 P1930:R2015 P1652:S1929 N2091:S2150">
    <cfRule type="containsBlanks" dxfId="53" priority="3">
      <formula>LEN(TRIM(N1652))=0</formula>
    </cfRule>
  </conditionalFormatting>
  <conditionalFormatting sqref="M2083:M2093 L2143:M2150">
    <cfRule type="cellIs" dxfId="52" priority="5" operator="lessThan">
      <formula>0</formula>
    </cfRule>
    <cfRule type="cellIs" dxfId="51" priority="6" operator="lessThan">
      <formula>0</formula>
    </cfRule>
  </conditionalFormatting>
  <dataValidations count="2">
    <dataValidation type="list" showInputMessage="1" showErrorMessage="1" sqref="B2:B163 B165:B226 B228:B237" xr:uid="{00000000-0002-0000-0000-000000000000}">
      <formula1>$A$2:$A$1001535</formula1>
    </dataValidation>
    <dataValidation type="list" showInputMessage="1" showErrorMessage="1" sqref="B1663 B1930 B2030 B1652:B1662 B1664:B1678 B1679:B1690 B1691:B1695 B1696:B1759 B1760:B1846 B1847:B1921 B1922:B1929 B1931:B2022 B2023:B2029 B2031:B2042 B2043:B2070 B2071:B2095 B2096:B2099 B2100:B2105 B2106:B2121 B2122:B2142 B2143:B2150" xr:uid="{00000000-0002-0000-0000-000001000000}">
      <formula1>$A$2:$A$999885</formula1>
    </dataValidation>
  </dataValidations>
  <hyperlinks>
    <hyperlink ref="E1930" r:id="rId1" tooltip="https://us.shein.com/SHEIN-EZwear-Solid-Wide-Leg-Dress-Pants-p-17027747.html" xr:uid="{00000000-0004-0000-0000-000000000000}"/>
    <hyperlink ref="E1931" r:id="rId2" tooltip="https://us.shein.com/SHEIN-EZwear-Solid-Wide-Leg-Dress-Pants-p-17027747.html" xr:uid="{00000000-0004-0000-0000-000001000000}"/>
    <hyperlink ref="E1932" r:id="rId3" tooltip="https://us.shein.com/SHEIN-EZwear-Solid-Wide-Leg-Dress-Pants-p-17027747.html" xr:uid="{00000000-0004-0000-0000-000002000000}"/>
    <hyperlink ref="E1933" r:id="rId4" tooltip="https://us.shein.com/SHEIN-EZwear-Solid-Wide-Leg-Dress-Pants-p-17027747.html" xr:uid="{00000000-0004-0000-0000-000003000000}"/>
    <hyperlink ref="E1934" r:id="rId5" tooltip="https://us.shein.com/SHEIN-EZwear-Solid-Wide-Leg-Dress-Pants-p-17027747.html" xr:uid="{00000000-0004-0000-0000-000004000000}"/>
    <hyperlink ref="E1935" r:id="rId6" tooltip="https://us.shein.com/SHEIN-EZwear-Solid-Wide-Leg-Dress-Pants-p-17027747.html" xr:uid="{00000000-0004-0000-0000-000005000000}"/>
    <hyperlink ref="E1936" r:id="rId7" tooltip="https://us.shein.com/SHEIN-EZwear-Solid-Wide-Leg-Dress-Pants-p-17027747.html" xr:uid="{00000000-0004-0000-0000-000006000000}"/>
    <hyperlink ref="E1937" r:id="rId8" tooltip="https://us.shein.com/SHEIN-EZwear-Solid-Wide-Leg-Dress-Pants-p-17027747.html" xr:uid="{00000000-0004-0000-0000-000007000000}"/>
  </hyperlinks>
  <pageMargins left="1" right="1" top="1" bottom="1" header="0.25" footer="0.25"/>
  <pageSetup scale="10" orientation="portrait"/>
  <headerFooter>
    <oddFooter>&amp;C&amp;"Helvetica Neue,Regular"&amp;12 &amp;K000000&amp;P</oddFooter>
  </headerFooter>
  <tableParts count="1">
    <tablePart r:id="rId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N2403"/>
  <sheetViews>
    <sheetView zoomScale="82" zoomScaleNormal="82" workbookViewId="0">
      <selection activeCell="F2507" sqref="F2507"/>
    </sheetView>
  </sheetViews>
  <sheetFormatPr baseColWidth="10" defaultColWidth="13" defaultRowHeight="4"/>
  <cols>
    <col min="1" max="1" width="104" style="5" customWidth="1"/>
    <col min="2" max="2" width="102" style="5" customWidth="1"/>
    <col min="3" max="3" width="138" style="5" customWidth="1"/>
    <col min="4" max="4" width="25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6" width="13" style="5" customWidth="1"/>
    <col min="17" max="16384" width="13" style="5"/>
  </cols>
  <sheetData>
    <row r="1" spans="1:14" ht="19" customHeight="1">
      <c r="A1" s="127" t="s">
        <v>4152</v>
      </c>
      <c r="B1" s="128"/>
      <c r="C1" s="128"/>
      <c r="D1" s="128"/>
      <c r="E1" s="129"/>
      <c r="G1" s="127" t="s">
        <v>4153</v>
      </c>
      <c r="H1" s="129"/>
      <c r="I1" s="7"/>
      <c r="J1" s="13"/>
      <c r="K1" s="14"/>
    </row>
    <row r="2" spans="1:14" s="1" customFormat="1" ht="35" customHeight="1">
      <c r="A2" s="8" t="s">
        <v>4154</v>
      </c>
      <c r="B2" s="8" t="s">
        <v>4155</v>
      </c>
      <c r="C2" s="8" t="s">
        <v>4156</v>
      </c>
      <c r="D2" s="8" t="s">
        <v>4157</v>
      </c>
      <c r="E2" s="8" t="s">
        <v>4158</v>
      </c>
      <c r="F2" s="8" t="s">
        <v>4159</v>
      </c>
      <c r="G2" s="8" t="s">
        <v>4160</v>
      </c>
      <c r="H2" s="11" t="s">
        <v>4161</v>
      </c>
      <c r="I2" s="11" t="s">
        <v>4162</v>
      </c>
      <c r="J2" s="11" t="s">
        <v>12</v>
      </c>
      <c r="K2" s="11" t="s">
        <v>4163</v>
      </c>
      <c r="L2" s="11" t="s">
        <v>4164</v>
      </c>
      <c r="M2" s="8" t="s">
        <v>4165</v>
      </c>
      <c r="N2" s="1" t="s">
        <v>29</v>
      </c>
    </row>
    <row r="3" spans="1:14" ht="20" hidden="1" customHeight="1">
      <c r="A3" s="9">
        <v>45017</v>
      </c>
      <c r="B3" s="10"/>
      <c r="C3" s="10"/>
      <c r="D3" s="10"/>
      <c r="E3" s="10" t="s">
        <v>71</v>
      </c>
      <c r="F3" s="10" t="str">
        <f>IFERROR(VLOOKUP(VENTAS[[#This Row],[Código del producto Vendido]],STOCK[],5,FALSE),"-")</f>
        <v>Bañador de una pieza con degradado</v>
      </c>
      <c r="G3" s="10">
        <v>1</v>
      </c>
      <c r="H3" s="12">
        <v>25</v>
      </c>
      <c r="I3" s="12">
        <f>VENTAS[[#This Row],[Cantidad]]*VENTAS[[#This Row],[Precio Venta]]</f>
        <v>25</v>
      </c>
      <c r="J3" s="12">
        <f>IF(VENTAS[[#This Row],[Nombre del Gestor]]&gt;1,VENTAS[[#This Row],[Total]]*10%,0)</f>
        <v>0</v>
      </c>
      <c r="K3" s="12">
        <f>IFERROR(VLOOKUP(VENTAS[[#This Row],[Código del producto Vendido]],STOCK[],16,FALSE)*VENTAS[[#This Row],[Cantidad]]+VLOOKUP(VENTAS[[#This Row],[Código del producto Vendido]],STOCK[],19,FALSE)*VENTAS[[#This Row],[Cantidad]],VENTAS[[#This Row],[Total]])</f>
        <v>15.6844444444444</v>
      </c>
      <c r="L3" s="12">
        <f>VENTAS[[#This Row],[Total]]-VENTAS[[#This Row],[Comisión 10%]]-VENTAS[[#This Row],[Costo SIN Comision]]</f>
        <v>9.3155555555555996</v>
      </c>
      <c r="M3" s="12"/>
      <c r="N3" s="15"/>
    </row>
    <row r="4" spans="1:14" ht="20" hidden="1" customHeight="1">
      <c r="A4" s="9">
        <v>45017</v>
      </c>
      <c r="B4" s="10"/>
      <c r="C4" s="10"/>
      <c r="D4" s="10"/>
      <c r="E4" s="10" t="s">
        <v>158</v>
      </c>
      <c r="F4" s="10" t="str">
        <f>IFERROR(VLOOKUP(VENTAS[[#This Row],[Código del producto Vendido]],STOCK[],5,FALSE),"-")</f>
        <v>Jeans de pierna recta desgarro</v>
      </c>
      <c r="G4" s="10">
        <v>1</v>
      </c>
      <c r="H4" s="12">
        <v>30</v>
      </c>
      <c r="I4" s="12">
        <f>VENTAS[[#This Row],[Cantidad]]*VENTAS[[#This Row],[Precio Venta]]</f>
        <v>30</v>
      </c>
      <c r="J4" s="12">
        <f>IF(VENTAS[[#This Row],[Nombre del Gestor]]&gt;1,VENTAS[[#This Row],[Total]]*10%,0)</f>
        <v>0</v>
      </c>
      <c r="K4" s="12">
        <f>IFERROR(VLOOKUP(VENTAS[[#This Row],[Código del producto Vendido]],STOCK[],16,FALSE)*VENTAS[[#This Row],[Cantidad]]+VLOOKUP(VENTAS[[#This Row],[Código del producto Vendido]],STOCK[],19,FALSE)*VENTAS[[#This Row],[Cantidad]],VENTAS[[#This Row],[Total]])</f>
        <v>18.686666666666667</v>
      </c>
      <c r="L4" s="12">
        <f>VENTAS[[#This Row],[Total]]-VENTAS[[#This Row],[Comisión 10%]]-VENTAS[[#This Row],[Costo SIN Comision]]</f>
        <v>11.313333333333333</v>
      </c>
      <c r="M4" s="12"/>
      <c r="N4" s="16"/>
    </row>
    <row r="5" spans="1:14" ht="20" hidden="1" customHeight="1">
      <c r="A5" s="9">
        <v>45017</v>
      </c>
      <c r="B5" s="10"/>
      <c r="C5" s="10"/>
      <c r="D5" s="10"/>
      <c r="E5" s="10" t="s">
        <v>158</v>
      </c>
      <c r="F5" s="10" t="str">
        <f>IFERROR(VLOOKUP(VENTAS[[#This Row],[Código del producto Vendido]],STOCK[],5,FALSE),"-")</f>
        <v>Jeans de pierna recta desgarro</v>
      </c>
      <c r="G5" s="10">
        <v>1</v>
      </c>
      <c r="H5" s="12">
        <v>30</v>
      </c>
      <c r="I5" s="12">
        <f>VENTAS[[#This Row],[Cantidad]]*VENTAS[[#This Row],[Precio Venta]]</f>
        <v>30</v>
      </c>
      <c r="J5" s="12">
        <f>IF(VENTAS[[#This Row],[Nombre del Gestor]]&gt;1,VENTAS[[#This Row],[Total]]*10%,0)</f>
        <v>0</v>
      </c>
      <c r="K5" s="12">
        <f>IFERROR(VLOOKUP(VENTAS[[#This Row],[Código del producto Vendido]],STOCK[],16,FALSE)*VENTAS[[#This Row],[Cantidad]]+VLOOKUP(VENTAS[[#This Row],[Código del producto Vendido]],STOCK[],19,FALSE)*VENTAS[[#This Row],[Cantidad]],VENTAS[[#This Row],[Total]])</f>
        <v>18.686666666666667</v>
      </c>
      <c r="L5" s="12">
        <f>VENTAS[[#This Row],[Total]]-VENTAS[[#This Row],[Comisión 10%]]-VENTAS[[#This Row],[Costo SIN Comision]]</f>
        <v>11.313333333333333</v>
      </c>
      <c r="M5" s="12"/>
      <c r="N5" s="16"/>
    </row>
    <row r="6" spans="1:14" ht="20" hidden="1" customHeight="1">
      <c r="A6" s="9">
        <v>45017</v>
      </c>
      <c r="B6" s="10"/>
      <c r="C6" s="10"/>
      <c r="D6" s="10"/>
      <c r="E6" s="10" t="s">
        <v>158</v>
      </c>
      <c r="F6" s="10" t="str">
        <f>IFERROR(VLOOKUP(VENTAS[[#This Row],[Código del producto Vendido]],STOCK[],5,FALSE),"-")</f>
        <v>Jeans de pierna recta desgarro</v>
      </c>
      <c r="G6" s="10">
        <v>1</v>
      </c>
      <c r="H6" s="12">
        <v>30</v>
      </c>
      <c r="I6" s="12">
        <f>VENTAS[[#This Row],[Cantidad]]*VENTAS[[#This Row],[Precio Venta]]</f>
        <v>30</v>
      </c>
      <c r="J6" s="12">
        <f>IF(VENTAS[[#This Row],[Nombre del Gestor]]&gt;1,VENTAS[[#This Row],[Total]]*10%,0)</f>
        <v>0</v>
      </c>
      <c r="K6" s="12">
        <f>IFERROR(VLOOKUP(VENTAS[[#This Row],[Código del producto Vendido]],STOCK[],16,FALSE)*VENTAS[[#This Row],[Cantidad]]+VLOOKUP(VENTAS[[#This Row],[Código del producto Vendido]],STOCK[],19,FALSE)*VENTAS[[#This Row],[Cantidad]],VENTAS[[#This Row],[Total]])</f>
        <v>18.686666666666667</v>
      </c>
      <c r="L6" s="12">
        <f>VENTAS[[#This Row],[Total]]-VENTAS[[#This Row],[Comisión 10%]]-VENTAS[[#This Row],[Costo SIN Comision]]</f>
        <v>11.313333333333333</v>
      </c>
      <c r="M6" s="12"/>
      <c r="N6" s="16"/>
    </row>
    <row r="7" spans="1:14" ht="20" hidden="1" customHeight="1">
      <c r="A7" s="9">
        <v>45017</v>
      </c>
      <c r="B7" s="10"/>
      <c r="C7" s="10"/>
      <c r="D7" s="10"/>
      <c r="E7" s="10" t="s">
        <v>4166</v>
      </c>
      <c r="F7" s="10" t="str">
        <f>IFERROR(VLOOKUP(VENTAS[[#This Row],[Código del producto Vendido]],STOCK[],5,FALSE),"-")</f>
        <v>-</v>
      </c>
      <c r="G7" s="10">
        <v>2</v>
      </c>
      <c r="H7" s="12">
        <v>25</v>
      </c>
      <c r="I7" s="12">
        <f>VENTAS[[#This Row],[Cantidad]]*VENTAS[[#This Row],[Precio Venta]]</f>
        <v>50</v>
      </c>
      <c r="J7" s="12">
        <f>IF(VENTAS[[#This Row],[Nombre del Gestor]]&gt;1,VENTAS[[#This Row],[Total]]*10%,0)</f>
        <v>0</v>
      </c>
      <c r="K7" s="12">
        <f>IFERROR(VLOOKUP(VENTAS[[#This Row],[Código del producto Vendido]],STOCK[],16,FALSE)*VENTAS[[#This Row],[Cantidad]]+VLOOKUP(VENTAS[[#This Row],[Código del producto Vendido]],STOCK[],19,FALSE)*VENTAS[[#This Row],[Cantidad]],VENTAS[[#This Row],[Total]])</f>
        <v>50</v>
      </c>
      <c r="L7" s="12">
        <f>VENTAS[[#This Row],[Total]]-VENTAS[[#This Row],[Comisión 10%]]-VENTAS[[#This Row],[Costo SIN Comision]]</f>
        <v>0</v>
      </c>
      <c r="M7" s="12"/>
      <c r="N7" s="16"/>
    </row>
    <row r="8" spans="1:14" ht="20" hidden="1" customHeight="1">
      <c r="A8" s="9">
        <v>45017</v>
      </c>
      <c r="B8" s="10"/>
      <c r="C8" s="10"/>
      <c r="D8" s="10"/>
      <c r="E8" s="10" t="s">
        <v>93</v>
      </c>
      <c r="F8" s="10" t="str">
        <f>IFERROR(VLOOKUP(VENTAS[[#This Row],[Código del producto Vendido]],STOCK[],5,FALSE),"-")</f>
        <v>Bañador una pieza de malla en contraste</v>
      </c>
      <c r="G8" s="10">
        <v>1</v>
      </c>
      <c r="H8" s="12">
        <v>25</v>
      </c>
      <c r="I8" s="12">
        <f>VENTAS[[#This Row],[Cantidad]]*VENTAS[[#This Row],[Precio Venta]]</f>
        <v>25</v>
      </c>
      <c r="J8" s="12">
        <f>IF(VENTAS[[#This Row],[Nombre del Gestor]]&gt;1,VENTAS[[#This Row],[Total]]*10%,0)</f>
        <v>0</v>
      </c>
      <c r="K8" s="12">
        <f>IFERROR(VLOOKUP(VENTAS[[#This Row],[Código del producto Vendido]],STOCK[],16,FALSE)*VENTAS[[#This Row],[Cantidad]]+VLOOKUP(VENTAS[[#This Row],[Código del producto Vendido]],STOCK[],19,FALSE)*VENTAS[[#This Row],[Cantidad]],VENTAS[[#This Row],[Total]])</f>
        <v>14.063333333333301</v>
      </c>
      <c r="L8" s="12">
        <f>VENTAS[[#This Row],[Total]]-VENTAS[[#This Row],[Comisión 10%]]-VENTAS[[#This Row],[Costo SIN Comision]]</f>
        <v>10.936666666666699</v>
      </c>
      <c r="M8" s="12"/>
      <c r="N8" s="16"/>
    </row>
    <row r="9" spans="1:14" ht="20" hidden="1" customHeight="1">
      <c r="A9" s="9">
        <v>45017</v>
      </c>
      <c r="B9" s="10"/>
      <c r="C9" s="10"/>
      <c r="D9" s="10"/>
      <c r="E9" s="10" t="s">
        <v>97</v>
      </c>
      <c r="F9" s="10" t="str">
        <f>IFERROR(VLOOKUP(VENTAS[[#This Row],[Código del producto Vendido]],STOCK[],5,FALSE),"-")</f>
        <v xml:space="preserve">Bañador estampado de planta </v>
      </c>
      <c r="G9" s="10">
        <v>1</v>
      </c>
      <c r="H9" s="12">
        <v>25</v>
      </c>
      <c r="I9" s="12">
        <f>VENTAS[[#This Row],[Cantidad]]*VENTAS[[#This Row],[Precio Venta]]</f>
        <v>25</v>
      </c>
      <c r="J9" s="12">
        <f>IF(VENTAS[[#This Row],[Nombre del Gestor]]&gt;1,VENTAS[[#This Row],[Total]]*10%,0)</f>
        <v>0</v>
      </c>
      <c r="K9" s="12">
        <f>IFERROR(VLOOKUP(VENTAS[[#This Row],[Código del producto Vendido]],STOCK[],16,FALSE)*VENTAS[[#This Row],[Cantidad]]+VLOOKUP(VENTAS[[#This Row],[Código del producto Vendido]],STOCK[],19,FALSE)*VENTAS[[#This Row],[Cantidad]],VENTAS[[#This Row],[Total]])</f>
        <v>15.1288888888889</v>
      </c>
      <c r="L9" s="12">
        <f>VENTAS[[#This Row],[Total]]-VENTAS[[#This Row],[Comisión 10%]]-VENTAS[[#This Row],[Costo SIN Comision]]</f>
        <v>9.8711111111110998</v>
      </c>
      <c r="M9" s="12"/>
      <c r="N9" s="16"/>
    </row>
    <row r="10" spans="1:14" ht="20" hidden="1" customHeight="1">
      <c r="A10" s="9">
        <v>45017</v>
      </c>
      <c r="B10" s="10"/>
      <c r="C10" s="10"/>
      <c r="D10" s="10"/>
      <c r="E10" s="10" t="s">
        <v>99</v>
      </c>
      <c r="F10" s="10" t="str">
        <f>IFERROR(VLOOKUP(VENTAS[[#This Row],[Código del producto Vendido]],STOCK[],5,FALSE),"-")</f>
        <v>Bañador estampado de planta</v>
      </c>
      <c r="G10" s="10">
        <v>2</v>
      </c>
      <c r="H10" s="12">
        <v>25</v>
      </c>
      <c r="I10" s="12">
        <f>VENTAS[[#This Row],[Cantidad]]*VENTAS[[#This Row],[Precio Venta]]</f>
        <v>50</v>
      </c>
      <c r="J10" s="12">
        <f>IF(VENTAS[[#This Row],[Nombre del Gestor]]&gt;1,VENTAS[[#This Row],[Total]]*10%,0)</f>
        <v>0</v>
      </c>
      <c r="K10" s="12">
        <f>IFERROR(VLOOKUP(VENTAS[[#This Row],[Código del producto Vendido]],STOCK[],16,FALSE)*VENTAS[[#This Row],[Cantidad]]+VLOOKUP(VENTAS[[#This Row],[Código del producto Vendido]],STOCK[],19,FALSE)*VENTAS[[#This Row],[Cantidad]],VENTAS[[#This Row],[Total]])</f>
        <v>31.9577777777778</v>
      </c>
      <c r="L10" s="12">
        <f>VENTAS[[#This Row],[Total]]-VENTAS[[#This Row],[Comisión 10%]]-VENTAS[[#This Row],[Costo SIN Comision]]</f>
        <v>18.0422222222222</v>
      </c>
      <c r="M10" s="12"/>
      <c r="N10" s="16"/>
    </row>
    <row r="11" spans="1:14" ht="20" hidden="1" customHeight="1">
      <c r="A11" s="9">
        <v>45017</v>
      </c>
      <c r="B11" s="10"/>
      <c r="C11" s="10"/>
      <c r="D11" s="10"/>
      <c r="E11" s="10" t="s">
        <v>58</v>
      </c>
      <c r="F11" s="10" t="str">
        <f>IFERROR(VLOOKUP(VENTAS[[#This Row],[Código del producto Vendido]],STOCK[],5,FALSE),"-")</f>
        <v xml:space="preserve">Bañador con cremallera </v>
      </c>
      <c r="G11" s="10">
        <v>1</v>
      </c>
      <c r="H11" s="12">
        <v>25</v>
      </c>
      <c r="I11" s="12">
        <f>VENTAS[[#This Row],[Cantidad]]*VENTAS[[#This Row],[Precio Venta]]</f>
        <v>25</v>
      </c>
      <c r="J11" s="12">
        <f>IF(VENTAS[[#This Row],[Nombre del Gestor]]&gt;1,VENTAS[[#This Row],[Total]]*10%,0)</f>
        <v>0</v>
      </c>
      <c r="K11" s="12">
        <f>IFERROR(VLOOKUP(VENTAS[[#This Row],[Código del producto Vendido]],STOCK[],16,FALSE)*VENTAS[[#This Row],[Cantidad]]+VLOOKUP(VENTAS[[#This Row],[Código del producto Vendido]],STOCK[],19,FALSE)*VENTAS[[#This Row],[Cantidad]],VENTAS[[#This Row],[Total]])</f>
        <v>15.9166666666667</v>
      </c>
      <c r="L11" s="12">
        <f>VENTAS[[#This Row],[Total]]-VENTAS[[#This Row],[Comisión 10%]]-VENTAS[[#This Row],[Costo SIN Comision]]</f>
        <v>9.0833333333333002</v>
      </c>
      <c r="M11" s="12"/>
      <c r="N11" s="16"/>
    </row>
    <row r="12" spans="1:14" ht="20" hidden="1" customHeight="1">
      <c r="A12" s="9">
        <v>45017</v>
      </c>
      <c r="B12" s="10"/>
      <c r="C12" s="10"/>
      <c r="D12" s="10"/>
      <c r="E12" s="10" t="s">
        <v>31</v>
      </c>
      <c r="F12" s="10" t="str">
        <f>IFERROR(VLOOKUP(VENTAS[[#This Row],[Código del producto Vendido]],STOCK[],5,FALSE),"-")</f>
        <v xml:space="preserve">Pareo falda </v>
      </c>
      <c r="G12" s="10">
        <v>1</v>
      </c>
      <c r="H12" s="12">
        <v>8</v>
      </c>
      <c r="I12" s="12">
        <f>VENTAS[[#This Row],[Cantidad]]*VENTAS[[#This Row],[Precio Venta]]</f>
        <v>8</v>
      </c>
      <c r="J12" s="12">
        <f>IF(VENTAS[[#This Row],[Nombre del Gestor]]&gt;1,VENTAS[[#This Row],[Total]]*10%,0)</f>
        <v>0</v>
      </c>
      <c r="K12" s="12">
        <f>IFERROR(VLOOKUP(VENTAS[[#This Row],[Código del producto Vendido]],STOCK[],16,FALSE)*VENTAS[[#This Row],[Cantidad]]+VLOOKUP(VENTAS[[#This Row],[Código del producto Vendido]],STOCK[],19,FALSE)*VENTAS[[#This Row],[Cantidad]],VENTAS[[#This Row],[Total]])</f>
        <v>4.3372222222222199</v>
      </c>
      <c r="L12" s="12">
        <f>VENTAS[[#This Row],[Total]]-VENTAS[[#This Row],[Comisión 10%]]-VENTAS[[#This Row],[Costo SIN Comision]]</f>
        <v>3.6627777777777801</v>
      </c>
      <c r="M12" s="12"/>
      <c r="N12" s="16"/>
    </row>
    <row r="13" spans="1:14" ht="20" hidden="1" customHeight="1">
      <c r="A13" s="9">
        <v>45017</v>
      </c>
      <c r="B13" s="10"/>
      <c r="C13" s="10"/>
      <c r="D13" s="10"/>
      <c r="E13" s="10" t="s">
        <v>41</v>
      </c>
      <c r="F13" s="10" t="str">
        <f>IFERROR(VLOOKUP(VENTAS[[#This Row],[Código del producto Vendido]],STOCK[],5,FALSE),"-")</f>
        <v>Bikini Floral</v>
      </c>
      <c r="G13" s="10">
        <v>1</v>
      </c>
      <c r="H13" s="12">
        <v>25</v>
      </c>
      <c r="I13" s="12">
        <f>VENTAS[[#This Row],[Cantidad]]*VENTAS[[#This Row],[Precio Venta]]</f>
        <v>25</v>
      </c>
      <c r="J13" s="12">
        <f>IF(VENTAS[[#This Row],[Nombre del Gestor]]&gt;1,VENTAS[[#This Row],[Total]]*10%,0)</f>
        <v>0</v>
      </c>
      <c r="K13" s="12">
        <f>IFERROR(VLOOKUP(VENTAS[[#This Row],[Código del producto Vendido]],STOCK[],16,FALSE)*VENTAS[[#This Row],[Cantidad]]+VLOOKUP(VENTAS[[#This Row],[Código del producto Vendido]],STOCK[],19,FALSE)*VENTAS[[#This Row],[Cantidad]],VENTAS[[#This Row],[Total]])</f>
        <v>19.561111111111099</v>
      </c>
      <c r="L13" s="12">
        <f>VENTAS[[#This Row],[Total]]-VENTAS[[#This Row],[Comisión 10%]]-VENTAS[[#This Row],[Costo SIN Comision]]</f>
        <v>5.4388888888889007</v>
      </c>
      <c r="M13" s="12"/>
      <c r="N13" s="16"/>
    </row>
    <row r="14" spans="1:14" ht="20" hidden="1" customHeight="1">
      <c r="A14" s="9">
        <v>45017</v>
      </c>
      <c r="B14" s="10"/>
      <c r="C14" s="10"/>
      <c r="D14" s="10"/>
      <c r="E14" s="10" t="s">
        <v>51</v>
      </c>
      <c r="F14" s="10" t="str">
        <f>IFERROR(VLOOKUP(VENTAS[[#This Row],[Código del producto Vendido]],STOCK[],5,FALSE),"-")</f>
        <v>Pareo Pantalón</v>
      </c>
      <c r="G14" s="10">
        <v>1</v>
      </c>
      <c r="H14" s="12">
        <v>15</v>
      </c>
      <c r="I14" s="12">
        <f>VENTAS[[#This Row],[Cantidad]]*VENTAS[[#This Row],[Precio Venta]]</f>
        <v>15</v>
      </c>
      <c r="J14" s="12">
        <f>IF(VENTAS[[#This Row],[Nombre del Gestor]]&gt;1,VENTAS[[#This Row],[Total]]*10%,0)</f>
        <v>0</v>
      </c>
      <c r="K14" s="12">
        <f>IFERROR(VLOOKUP(VENTAS[[#This Row],[Código del producto Vendido]],STOCK[],16,FALSE)*VENTAS[[#This Row],[Cantidad]]+VLOOKUP(VENTAS[[#This Row],[Código del producto Vendido]],STOCK[],19,FALSE)*VENTAS[[#This Row],[Cantidad]],VENTAS[[#This Row],[Total]])</f>
        <v>10.063333333333331</v>
      </c>
      <c r="L14" s="12">
        <f>VENTAS[[#This Row],[Total]]-VENTAS[[#This Row],[Comisión 10%]]-VENTAS[[#This Row],[Costo SIN Comision]]</f>
        <v>4.9366666666666692</v>
      </c>
      <c r="M14" s="12"/>
      <c r="N14" s="16"/>
    </row>
    <row r="15" spans="1:14" ht="20" hidden="1" customHeight="1">
      <c r="A15" s="9">
        <v>45017</v>
      </c>
      <c r="B15" s="10"/>
      <c r="C15" s="10"/>
      <c r="D15" s="10"/>
      <c r="E15" s="10" t="s">
        <v>56</v>
      </c>
      <c r="F15" s="10" t="str">
        <f>IFERROR(VLOOKUP(VENTAS[[#This Row],[Código del producto Vendido]],STOCK[],5,FALSE),"-")</f>
        <v>Pareo pantalón en malla</v>
      </c>
      <c r="G15" s="10">
        <v>1</v>
      </c>
      <c r="H15" s="12">
        <v>15</v>
      </c>
      <c r="I15" s="12">
        <f>VENTAS[[#This Row],[Cantidad]]*VENTAS[[#This Row],[Precio Venta]]</f>
        <v>15</v>
      </c>
      <c r="J15" s="12">
        <f>IF(VENTAS[[#This Row],[Nombre del Gestor]]&gt;1,VENTAS[[#This Row],[Total]]*10%,0)</f>
        <v>0</v>
      </c>
      <c r="K15" s="12">
        <f>IFERROR(VLOOKUP(VENTAS[[#This Row],[Código del producto Vendido]],STOCK[],16,FALSE)*VENTAS[[#This Row],[Cantidad]]+VLOOKUP(VENTAS[[#This Row],[Código del producto Vendido]],STOCK[],19,FALSE)*VENTAS[[#This Row],[Cantidad]],VENTAS[[#This Row],[Total]])</f>
        <v>10.063333333333331</v>
      </c>
      <c r="L15" s="12">
        <f>VENTAS[[#This Row],[Total]]-VENTAS[[#This Row],[Comisión 10%]]-VENTAS[[#This Row],[Costo SIN Comision]]</f>
        <v>4.9366666666666692</v>
      </c>
      <c r="M15" s="12"/>
      <c r="N15" s="16"/>
    </row>
    <row r="16" spans="1:14" ht="20" hidden="1" customHeight="1">
      <c r="A16" s="9">
        <v>45017</v>
      </c>
      <c r="B16" s="10"/>
      <c r="C16" s="10"/>
      <c r="D16" s="10"/>
      <c r="E16" s="10" t="s">
        <v>454</v>
      </c>
      <c r="F16" s="10" t="str">
        <f>IFERROR(VLOOKUP(VENTAS[[#This Row],[Código del producto Vendido]],STOCK[],5,FALSE),"-")</f>
        <v>Bañador bikini de manga raglán con cordón floral</v>
      </c>
      <c r="G16" s="10">
        <v>1</v>
      </c>
      <c r="H16" s="12">
        <v>25</v>
      </c>
      <c r="I16" s="12">
        <f>VENTAS[[#This Row],[Cantidad]]*VENTAS[[#This Row],[Precio Venta]]</f>
        <v>25</v>
      </c>
      <c r="J16" s="12">
        <f>IF(VENTAS[[#This Row],[Nombre del Gestor]]&gt;1,VENTAS[[#This Row],[Total]]*10%,0)</f>
        <v>0</v>
      </c>
      <c r="K16" s="12">
        <f>IFERROR(VLOOKUP(VENTAS[[#This Row],[Código del producto Vendido]],STOCK[],16,FALSE)*VENTAS[[#This Row],[Cantidad]]+VLOOKUP(VENTAS[[#This Row],[Código del producto Vendido]],STOCK[],19,FALSE)*VENTAS[[#This Row],[Cantidad]],VENTAS[[#This Row],[Total]])</f>
        <v>19.794444444444402</v>
      </c>
      <c r="L16" s="12">
        <f>VENTAS[[#This Row],[Total]]-VENTAS[[#This Row],[Comisión 10%]]-VENTAS[[#This Row],[Costo SIN Comision]]</f>
        <v>5.2055555555555983</v>
      </c>
      <c r="M16" s="12"/>
      <c r="N16" s="16"/>
    </row>
    <row r="17" spans="1:14" ht="20" hidden="1" customHeight="1">
      <c r="A17" s="9">
        <v>45017</v>
      </c>
      <c r="B17" s="10"/>
      <c r="C17" s="10"/>
      <c r="D17" s="10"/>
      <c r="E17" s="10" t="s">
        <v>101</v>
      </c>
      <c r="F17" s="10" t="str">
        <f>IFERROR(VLOOKUP(VENTAS[[#This Row],[Código del producto Vendido]],STOCK[],5,FALSE),"-")</f>
        <v>Bañador estampado de planta</v>
      </c>
      <c r="G17" s="10">
        <v>1</v>
      </c>
      <c r="H17" s="12">
        <v>25</v>
      </c>
      <c r="I17" s="12">
        <f>VENTAS[[#This Row],[Cantidad]]*VENTAS[[#This Row],[Precio Venta]]</f>
        <v>25</v>
      </c>
      <c r="J17" s="12">
        <f>IF(VENTAS[[#This Row],[Nombre del Gestor]]&gt;1,VENTAS[[#This Row],[Total]]*10%,0)</f>
        <v>0</v>
      </c>
      <c r="K17" s="12">
        <f>IFERROR(VLOOKUP(VENTAS[[#This Row],[Código del producto Vendido]],STOCK[],16,FALSE)*VENTAS[[#This Row],[Cantidad]]+VLOOKUP(VENTAS[[#This Row],[Código del producto Vendido]],STOCK[],19,FALSE)*VENTAS[[#This Row],[Cantidad]],VENTAS[[#This Row],[Total]])</f>
        <v>15.9788888888889</v>
      </c>
      <c r="L17" s="12">
        <f>VENTAS[[#This Row],[Total]]-VENTAS[[#This Row],[Comisión 10%]]-VENTAS[[#This Row],[Costo SIN Comision]]</f>
        <v>9.0211111111111002</v>
      </c>
      <c r="M17" s="12"/>
      <c r="N17" s="16"/>
    </row>
    <row r="18" spans="1:14" ht="20" hidden="1" customHeight="1">
      <c r="A18" s="9">
        <v>45017</v>
      </c>
      <c r="B18" s="10"/>
      <c r="C18" s="10"/>
      <c r="D18" s="10"/>
      <c r="E18" s="10" t="s">
        <v>454</v>
      </c>
      <c r="F18" s="10" t="str">
        <f>IFERROR(VLOOKUP(VENTAS[[#This Row],[Código del producto Vendido]],STOCK[],5,FALSE),"-")</f>
        <v>Bañador bikini de manga raglán con cordón floral</v>
      </c>
      <c r="G18" s="10">
        <v>1</v>
      </c>
      <c r="H18" s="12">
        <v>25</v>
      </c>
      <c r="I18" s="12">
        <f>VENTAS[[#This Row],[Cantidad]]*VENTAS[[#This Row],[Precio Venta]]</f>
        <v>25</v>
      </c>
      <c r="J18" s="12">
        <f>IF(VENTAS[[#This Row],[Nombre del Gestor]]&gt;1,VENTAS[[#This Row],[Total]]*10%,0)</f>
        <v>0</v>
      </c>
      <c r="K18" s="12">
        <f>IFERROR(VLOOKUP(VENTAS[[#This Row],[Código del producto Vendido]],STOCK[],16,FALSE)*VENTAS[[#This Row],[Cantidad]]+VLOOKUP(VENTAS[[#This Row],[Código del producto Vendido]],STOCK[],19,FALSE)*VENTAS[[#This Row],[Cantidad]],VENTAS[[#This Row],[Total]])</f>
        <v>19.794444444444402</v>
      </c>
      <c r="L18" s="12">
        <f>VENTAS[[#This Row],[Total]]-VENTAS[[#This Row],[Comisión 10%]]-VENTAS[[#This Row],[Costo SIN Comision]]</f>
        <v>5.2055555555555983</v>
      </c>
      <c r="M18" s="12"/>
      <c r="N18" s="16"/>
    </row>
    <row r="19" spans="1:14" ht="20" hidden="1" customHeight="1">
      <c r="A19" s="9">
        <v>45017</v>
      </c>
      <c r="B19" s="10"/>
      <c r="C19" s="10"/>
      <c r="D19" s="10"/>
      <c r="E19" s="10" t="s">
        <v>117</v>
      </c>
      <c r="F19" s="10" t="str">
        <f>IFERROR(VLOOKUP(VENTAS[[#This Row],[Código del producto Vendido]],STOCK[],5,FALSE),"-")</f>
        <v>Bañador con estampado floral</v>
      </c>
      <c r="G19" s="10">
        <v>1</v>
      </c>
      <c r="H19" s="12">
        <v>25</v>
      </c>
      <c r="I19" s="12">
        <f>VENTAS[[#This Row],[Cantidad]]*VENTAS[[#This Row],[Precio Venta]]</f>
        <v>25</v>
      </c>
      <c r="J19" s="12">
        <f>IF(VENTAS[[#This Row],[Nombre del Gestor]]&gt;1,VENTAS[[#This Row],[Total]]*10%,0)</f>
        <v>0</v>
      </c>
      <c r="K19" s="12">
        <f>IFERROR(VLOOKUP(VENTAS[[#This Row],[Código del producto Vendido]],STOCK[],16,FALSE)*VENTAS[[#This Row],[Cantidad]]+VLOOKUP(VENTAS[[#This Row],[Código del producto Vendido]],STOCK[],19,FALSE)*VENTAS[[#This Row],[Cantidad]],VENTAS[[#This Row],[Total]])</f>
        <v>18.031111111111102</v>
      </c>
      <c r="L19" s="12">
        <f>VENTAS[[#This Row],[Total]]-VENTAS[[#This Row],[Comisión 10%]]-VENTAS[[#This Row],[Costo SIN Comision]]</f>
        <v>6.9688888888888982</v>
      </c>
      <c r="M19" s="12"/>
      <c r="N19" s="16"/>
    </row>
    <row r="20" spans="1:14" ht="20" hidden="1" customHeight="1">
      <c r="A20" s="9">
        <v>45017</v>
      </c>
      <c r="B20" s="10"/>
      <c r="C20" s="10"/>
      <c r="D20" s="10"/>
      <c r="E20" s="10" t="s">
        <v>118</v>
      </c>
      <c r="F20" s="10" t="str">
        <f>IFERROR(VLOOKUP(VENTAS[[#This Row],[Código del producto Vendido]],STOCK[],5,FALSE),"-")</f>
        <v>Bañador en contraste con cremallera</v>
      </c>
      <c r="G20" s="10">
        <v>1</v>
      </c>
      <c r="H20" s="12">
        <v>25</v>
      </c>
      <c r="I20" s="12">
        <f>VENTAS[[#This Row],[Cantidad]]*VENTAS[[#This Row],[Precio Venta]]</f>
        <v>25</v>
      </c>
      <c r="J20" s="12">
        <f>IF(VENTAS[[#This Row],[Nombre del Gestor]]&gt;1,VENTAS[[#This Row],[Total]]*10%,0)</f>
        <v>0</v>
      </c>
      <c r="K20" s="12">
        <f>IFERROR(VLOOKUP(VENTAS[[#This Row],[Código del producto Vendido]],STOCK[],16,FALSE)*VENTAS[[#This Row],[Cantidad]]+VLOOKUP(VENTAS[[#This Row],[Código del producto Vendido]],STOCK[],19,FALSE)*VENTAS[[#This Row],[Cantidad]],VENTAS[[#This Row],[Total]])</f>
        <v>16.6877777777778</v>
      </c>
      <c r="L20" s="12">
        <f>VENTAS[[#This Row],[Total]]-VENTAS[[#This Row],[Comisión 10%]]-VENTAS[[#This Row],[Costo SIN Comision]]</f>
        <v>8.3122222222222</v>
      </c>
      <c r="M20" s="12"/>
      <c r="N20" s="16"/>
    </row>
    <row r="21" spans="1:14" ht="20" hidden="1" customHeight="1">
      <c r="A21" s="9">
        <v>45017</v>
      </c>
      <c r="B21" s="10"/>
      <c r="C21" s="10"/>
      <c r="D21" s="10"/>
      <c r="E21" s="10" t="s">
        <v>120</v>
      </c>
      <c r="F21" s="10" t="str">
        <f>IFERROR(VLOOKUP(VENTAS[[#This Row],[Código del producto Vendido]],STOCK[],5,FALSE),"-")</f>
        <v>Bañador color combinado con cremallera_S</v>
      </c>
      <c r="G21" s="10">
        <v>1</v>
      </c>
      <c r="H21" s="12">
        <v>25</v>
      </c>
      <c r="I21" s="12">
        <f>VENTAS[[#This Row],[Cantidad]]*VENTAS[[#This Row],[Precio Venta]]</f>
        <v>25</v>
      </c>
      <c r="J21" s="12">
        <f>IF(VENTAS[[#This Row],[Nombre del Gestor]]&gt;1,VENTAS[[#This Row],[Total]]*10%,0)</f>
        <v>0</v>
      </c>
      <c r="K21" s="12">
        <f>IFERROR(VLOOKUP(VENTAS[[#This Row],[Código del producto Vendido]],STOCK[],16,FALSE)*VENTAS[[#This Row],[Cantidad]]+VLOOKUP(VENTAS[[#This Row],[Código del producto Vendido]],STOCK[],19,FALSE)*VENTAS[[#This Row],[Cantidad]],VENTAS[[#This Row],[Total]])</f>
        <v>16.772777777777801</v>
      </c>
      <c r="L21" s="12">
        <f>VENTAS[[#This Row],[Total]]-VENTAS[[#This Row],[Comisión 10%]]-VENTAS[[#This Row],[Costo SIN Comision]]</f>
        <v>8.2272222222221991</v>
      </c>
      <c r="M21" s="12"/>
      <c r="N21" s="16"/>
    </row>
    <row r="22" spans="1:14" ht="20" hidden="1" customHeight="1">
      <c r="A22" s="9">
        <v>45017</v>
      </c>
      <c r="B22" s="10"/>
      <c r="C22" s="10"/>
      <c r="D22" s="10"/>
      <c r="E22" s="10" t="s">
        <v>116</v>
      </c>
      <c r="F22" s="10" t="str">
        <f>IFERROR(VLOOKUP(VENTAS[[#This Row],[Código del producto Vendido]],STOCK[],5,FALSE),"-")</f>
        <v>Bikini con cordón lateral</v>
      </c>
      <c r="G22" s="10">
        <v>1</v>
      </c>
      <c r="H22" s="12">
        <v>22</v>
      </c>
      <c r="I22" s="12">
        <f>VENTAS[[#This Row],[Cantidad]]*VENTAS[[#This Row],[Precio Venta]]</f>
        <v>22</v>
      </c>
      <c r="J22" s="12">
        <f>IF(VENTAS[[#This Row],[Nombre del Gestor]]&gt;1,VENTAS[[#This Row],[Total]]*10%,0)</f>
        <v>0</v>
      </c>
      <c r="K22" s="12">
        <f>IFERROR(VLOOKUP(VENTAS[[#This Row],[Código del producto Vendido]],STOCK[],16,FALSE)*VENTAS[[#This Row],[Cantidad]]+VLOOKUP(VENTAS[[#This Row],[Código del producto Vendido]],STOCK[],19,FALSE)*VENTAS[[#This Row],[Cantidad]],VENTAS[[#This Row],[Total]])</f>
        <v>14.550555555555601</v>
      </c>
      <c r="L22" s="12">
        <f>VENTAS[[#This Row],[Total]]-VENTAS[[#This Row],[Comisión 10%]]-VENTAS[[#This Row],[Costo SIN Comision]]</f>
        <v>7.4494444444443992</v>
      </c>
      <c r="M22" s="12"/>
      <c r="N22" s="16"/>
    </row>
    <row r="23" spans="1:14" ht="20" hidden="1" customHeight="1">
      <c r="A23" s="9">
        <v>45017</v>
      </c>
      <c r="B23" s="10"/>
      <c r="C23" s="10"/>
      <c r="D23" s="10"/>
      <c r="E23" s="10" t="s">
        <v>157</v>
      </c>
      <c r="F23" s="10" t="str">
        <f>IFERROR(VLOOKUP(VENTAS[[#This Row],[Código del producto Vendido]],STOCK[],5,FALSE),"-")</f>
        <v>Jeans de pierna recta desgarro</v>
      </c>
      <c r="G23" s="10">
        <v>1</v>
      </c>
      <c r="H23" s="12">
        <v>30</v>
      </c>
      <c r="I23" s="12">
        <f>VENTAS[[#This Row],[Cantidad]]*VENTAS[[#This Row],[Precio Venta]]</f>
        <v>30</v>
      </c>
      <c r="J23" s="12">
        <f>IF(VENTAS[[#This Row],[Nombre del Gestor]]&gt;1,VENTAS[[#This Row],[Total]]*10%,0)</f>
        <v>0</v>
      </c>
      <c r="K23" s="12">
        <f>IFERROR(VLOOKUP(VENTAS[[#This Row],[Código del producto Vendido]],STOCK[],16,FALSE)*VENTAS[[#This Row],[Cantidad]]+VLOOKUP(VENTAS[[#This Row],[Código del producto Vendido]],STOCK[],19,FALSE)*VENTAS[[#This Row],[Cantidad]],VENTAS[[#This Row],[Total]])</f>
        <v>18.686666666666667</v>
      </c>
      <c r="L23" s="12">
        <f>VENTAS[[#This Row],[Total]]-VENTAS[[#This Row],[Comisión 10%]]-VENTAS[[#This Row],[Costo SIN Comision]]</f>
        <v>11.313333333333333</v>
      </c>
      <c r="M23" s="12"/>
      <c r="N23" s="16"/>
    </row>
    <row r="24" spans="1:14" ht="20" hidden="1" customHeight="1">
      <c r="A24" s="9">
        <v>45017</v>
      </c>
      <c r="B24" s="10"/>
      <c r="C24" s="10"/>
      <c r="D24" s="10"/>
      <c r="E24" s="10" t="s">
        <v>157</v>
      </c>
      <c r="F24" s="10" t="str">
        <f>IFERROR(VLOOKUP(VENTAS[[#This Row],[Código del producto Vendido]],STOCK[],5,FALSE),"-")</f>
        <v>Jeans de pierna recta desgarro</v>
      </c>
      <c r="G24" s="10">
        <v>1</v>
      </c>
      <c r="H24" s="12">
        <v>22</v>
      </c>
      <c r="I24" s="12">
        <f>VENTAS[[#This Row],[Cantidad]]*VENTAS[[#This Row],[Precio Venta]]</f>
        <v>22</v>
      </c>
      <c r="J24" s="12">
        <f>IF(VENTAS[[#This Row],[Nombre del Gestor]]&gt;1,VENTAS[[#This Row],[Total]]*10%,0)</f>
        <v>0</v>
      </c>
      <c r="K24" s="12">
        <f>IFERROR(VLOOKUP(VENTAS[[#This Row],[Código del producto Vendido]],STOCK[],16,FALSE)*VENTAS[[#This Row],[Cantidad]]+VLOOKUP(VENTAS[[#This Row],[Código del producto Vendido]],STOCK[],19,FALSE)*VENTAS[[#This Row],[Cantidad]],VENTAS[[#This Row],[Total]])</f>
        <v>18.686666666666667</v>
      </c>
      <c r="L24" s="12">
        <f>VENTAS[[#This Row],[Total]]-VENTAS[[#This Row],[Comisión 10%]]-VENTAS[[#This Row],[Costo SIN Comision]]</f>
        <v>3.3133333333333326</v>
      </c>
      <c r="M24" s="12"/>
      <c r="N24" s="16"/>
    </row>
    <row r="25" spans="1:14" ht="20" hidden="1" customHeight="1">
      <c r="A25" s="9">
        <v>45017</v>
      </c>
      <c r="B25" s="10"/>
      <c r="C25" s="10"/>
      <c r="D25" s="10"/>
      <c r="E25" s="10" t="s">
        <v>414</v>
      </c>
      <c r="F25" s="10" t="str">
        <f>IFERROR(VLOOKUP(VENTAS[[#This Row],[Código del producto Vendido]],STOCK[],5,FALSE),"-")</f>
        <v>Bañador bikini tropical con estampado de hoja de talle alto_L</v>
      </c>
      <c r="G25" s="10">
        <v>2</v>
      </c>
      <c r="H25" s="12">
        <v>22</v>
      </c>
      <c r="I25" s="12">
        <f>VENTAS[[#This Row],[Cantidad]]*VENTAS[[#This Row],[Precio Venta]]</f>
        <v>44</v>
      </c>
      <c r="J25" s="12">
        <f>IF(VENTAS[[#This Row],[Nombre del Gestor]]&gt;1,VENTAS[[#This Row],[Total]]*10%,0)</f>
        <v>0</v>
      </c>
      <c r="K25" s="12">
        <f>IFERROR(VLOOKUP(VENTAS[[#This Row],[Código del producto Vendido]],STOCK[],16,FALSE)*VENTAS[[#This Row],[Cantidad]]+VLOOKUP(VENTAS[[#This Row],[Código del producto Vendido]],STOCK[],19,FALSE)*VENTAS[[#This Row],[Cantidad]],VENTAS[[#This Row],[Total]])</f>
        <v>26.7777777777778</v>
      </c>
      <c r="L25" s="12">
        <f>VENTAS[[#This Row],[Total]]-VENTAS[[#This Row],[Comisión 10%]]-VENTAS[[#This Row],[Costo SIN Comision]]</f>
        <v>17.2222222222222</v>
      </c>
      <c r="M25" s="12"/>
      <c r="N25" s="16"/>
    </row>
    <row r="26" spans="1:14" ht="20" hidden="1" customHeight="1">
      <c r="A26" s="9">
        <v>45017</v>
      </c>
      <c r="B26" s="10"/>
      <c r="C26" s="10"/>
      <c r="D26" s="10"/>
      <c r="E26" s="10" t="s">
        <v>416</v>
      </c>
      <c r="F26" s="10" t="str">
        <f>IFERROR(VLOOKUP(VENTAS[[#This Row],[Código del producto Vendido]],STOCK[],5,FALSE),"-")</f>
        <v>Bañador bikini tropical con estampado de hoja de talle alto_M</v>
      </c>
      <c r="G26" s="10">
        <v>2</v>
      </c>
      <c r="H26" s="12">
        <v>22</v>
      </c>
      <c r="I26" s="12">
        <f>VENTAS[[#This Row],[Cantidad]]*VENTAS[[#This Row],[Precio Venta]]</f>
        <v>44</v>
      </c>
      <c r="J26" s="12">
        <f>IF(VENTAS[[#This Row],[Nombre del Gestor]]&gt;1,VENTAS[[#This Row],[Total]]*10%,0)</f>
        <v>0</v>
      </c>
      <c r="K26" s="12">
        <f>IFERROR(VLOOKUP(VENTAS[[#This Row],[Código del producto Vendido]],STOCK[],16,FALSE)*VENTAS[[#This Row],[Cantidad]]+VLOOKUP(VENTAS[[#This Row],[Código del producto Vendido]],STOCK[],19,FALSE)*VENTAS[[#This Row],[Cantidad]],VENTAS[[#This Row],[Total]])</f>
        <v>26.7777777777778</v>
      </c>
      <c r="L26" s="12">
        <f>VENTAS[[#This Row],[Total]]-VENTAS[[#This Row],[Comisión 10%]]-VENTAS[[#This Row],[Costo SIN Comision]]</f>
        <v>17.2222222222222</v>
      </c>
      <c r="M26" s="12"/>
      <c r="N26" s="16"/>
    </row>
    <row r="27" spans="1:14" ht="20" hidden="1" customHeight="1">
      <c r="A27" s="9">
        <v>45017</v>
      </c>
      <c r="B27" s="10"/>
      <c r="C27" s="10"/>
      <c r="D27" s="10"/>
      <c r="E27" s="10" t="s">
        <v>420</v>
      </c>
      <c r="F27" s="10" t="str">
        <f>IFERROR(VLOOKUP(VENTAS[[#This Row],[Código del producto Vendido]],STOCK[],5,FALSE),"-")</f>
        <v>Bañador una pieza tropical_XL</v>
      </c>
      <c r="G27" s="10">
        <v>2</v>
      </c>
      <c r="H27" s="12">
        <v>25</v>
      </c>
      <c r="I27" s="12">
        <f>VENTAS[[#This Row],[Cantidad]]*VENTAS[[#This Row],[Precio Venta]]</f>
        <v>50</v>
      </c>
      <c r="J27" s="12">
        <f>IF(VENTAS[[#This Row],[Nombre del Gestor]]&gt;1,VENTAS[[#This Row],[Total]]*10%,0)</f>
        <v>0</v>
      </c>
      <c r="K27" s="12">
        <f>IFERROR(VLOOKUP(VENTAS[[#This Row],[Código del producto Vendido]],STOCK[],16,FALSE)*VENTAS[[#This Row],[Cantidad]]+VLOOKUP(VENTAS[[#This Row],[Código del producto Vendido]],STOCK[],19,FALSE)*VENTAS[[#This Row],[Cantidad]],VENTAS[[#This Row],[Total]])</f>
        <v>27.6666666666666</v>
      </c>
      <c r="L27" s="12">
        <f>VENTAS[[#This Row],[Total]]-VENTAS[[#This Row],[Comisión 10%]]-VENTAS[[#This Row],[Costo SIN Comision]]</f>
        <v>22.3333333333334</v>
      </c>
      <c r="M27" s="12"/>
      <c r="N27" s="16"/>
    </row>
    <row r="28" spans="1:14" ht="20" hidden="1" customHeight="1">
      <c r="A28" s="9">
        <v>45017</v>
      </c>
      <c r="B28" s="10"/>
      <c r="C28" s="10"/>
      <c r="D28" s="10"/>
      <c r="E28" s="10" t="s">
        <v>422</v>
      </c>
      <c r="F28" s="10" t="str">
        <f>IFERROR(VLOOKUP(VENTAS[[#This Row],[Código del producto Vendido]],STOCK[],5,FALSE),"-")</f>
        <v>Bañador una pieza tropical_M</v>
      </c>
      <c r="G28" s="10">
        <v>3</v>
      </c>
      <c r="H28" s="12">
        <v>25</v>
      </c>
      <c r="I28" s="12">
        <f>VENTAS[[#This Row],[Cantidad]]*VENTAS[[#This Row],[Precio Venta]]</f>
        <v>75</v>
      </c>
      <c r="J28" s="12">
        <f>IF(VENTAS[[#This Row],[Nombre del Gestor]]&gt;1,VENTAS[[#This Row],[Total]]*10%,0)</f>
        <v>0</v>
      </c>
      <c r="K28" s="12">
        <f>IFERROR(VLOOKUP(VENTAS[[#This Row],[Código del producto Vendido]],STOCK[],16,FALSE)*VENTAS[[#This Row],[Cantidad]]+VLOOKUP(VENTAS[[#This Row],[Código del producto Vendido]],STOCK[],19,FALSE)*VENTAS[[#This Row],[Cantidad]],VENTAS[[#This Row],[Total]])</f>
        <v>41.499999999999901</v>
      </c>
      <c r="L28" s="12">
        <f>VENTAS[[#This Row],[Total]]-VENTAS[[#This Row],[Comisión 10%]]-VENTAS[[#This Row],[Costo SIN Comision]]</f>
        <v>33.500000000000099</v>
      </c>
      <c r="M28" s="12"/>
      <c r="N28" s="16"/>
    </row>
    <row r="29" spans="1:14" ht="20" hidden="1" customHeight="1">
      <c r="A29" s="9">
        <v>45017</v>
      </c>
      <c r="B29" s="10"/>
      <c r="C29" s="10"/>
      <c r="D29" s="10"/>
      <c r="E29" s="10" t="s">
        <v>424</v>
      </c>
      <c r="F29" s="10" t="str">
        <f>IFERROR(VLOOKUP(VENTAS[[#This Row],[Código del producto Vendido]],STOCK[],5,FALSE),"-")</f>
        <v>Bañador una pieza tropical_L</v>
      </c>
      <c r="G29" s="10">
        <v>3</v>
      </c>
      <c r="H29" s="12">
        <v>25</v>
      </c>
      <c r="I29" s="12">
        <f>VENTAS[[#This Row],[Cantidad]]*VENTAS[[#This Row],[Precio Venta]]</f>
        <v>75</v>
      </c>
      <c r="J29" s="12">
        <f>IF(VENTAS[[#This Row],[Nombre del Gestor]]&gt;1,VENTAS[[#This Row],[Total]]*10%,0)</f>
        <v>0</v>
      </c>
      <c r="K29" s="12">
        <f>IFERROR(VLOOKUP(VENTAS[[#This Row],[Código del producto Vendido]],STOCK[],16,FALSE)*VENTAS[[#This Row],[Cantidad]]+VLOOKUP(VENTAS[[#This Row],[Código del producto Vendido]],STOCK[],19,FALSE)*VENTAS[[#This Row],[Cantidad]],VENTAS[[#This Row],[Total]])</f>
        <v>41.499999999999901</v>
      </c>
      <c r="L29" s="12">
        <f>VENTAS[[#This Row],[Total]]-VENTAS[[#This Row],[Comisión 10%]]-VENTAS[[#This Row],[Costo SIN Comision]]</f>
        <v>33.500000000000099</v>
      </c>
      <c r="M29" s="12"/>
      <c r="N29" s="16"/>
    </row>
    <row r="30" spans="1:14" ht="20" hidden="1" customHeight="1">
      <c r="A30" s="9">
        <v>45017</v>
      </c>
      <c r="B30" s="10"/>
      <c r="C30" s="10"/>
      <c r="D30" s="10"/>
      <c r="E30" s="10" t="s">
        <v>449</v>
      </c>
      <c r="F30" s="10" t="str">
        <f>IFERROR(VLOOKUP(VENTAS[[#This Row],[Código del producto Vendido]],STOCK[],5,FALSE),"-")</f>
        <v>Bañador estampado de planta</v>
      </c>
      <c r="G30" s="10">
        <v>2</v>
      </c>
      <c r="H30" s="12">
        <v>25</v>
      </c>
      <c r="I30" s="12">
        <f>VENTAS[[#This Row],[Cantidad]]*VENTAS[[#This Row],[Precio Venta]]</f>
        <v>50</v>
      </c>
      <c r="J30" s="12">
        <f>IF(VENTAS[[#This Row],[Nombre del Gestor]]&gt;1,VENTAS[[#This Row],[Total]]*10%,0)</f>
        <v>0</v>
      </c>
      <c r="K30" s="12">
        <f>IFERROR(VLOOKUP(VENTAS[[#This Row],[Código del producto Vendido]],STOCK[],16,FALSE)*VENTAS[[#This Row],[Cantidad]]+VLOOKUP(VENTAS[[#This Row],[Código del producto Vendido]],STOCK[],19,FALSE)*VENTAS[[#This Row],[Cantidad]],VENTAS[[#This Row],[Total]])</f>
        <v>26.8333333333334</v>
      </c>
      <c r="L30" s="12">
        <f>VENTAS[[#This Row],[Total]]-VENTAS[[#This Row],[Comisión 10%]]-VENTAS[[#This Row],[Costo SIN Comision]]</f>
        <v>23.1666666666666</v>
      </c>
      <c r="M30" s="12"/>
      <c r="N30" s="16"/>
    </row>
    <row r="31" spans="1:14" ht="20" hidden="1" customHeight="1">
      <c r="A31" s="9">
        <v>45017</v>
      </c>
      <c r="B31" s="10"/>
      <c r="C31" s="10"/>
      <c r="D31" s="10"/>
      <c r="E31" s="10" t="s">
        <v>454</v>
      </c>
      <c r="F31" s="10" t="str">
        <f>IFERROR(VLOOKUP(VENTAS[[#This Row],[Código del producto Vendido]],STOCK[],5,FALSE),"-")</f>
        <v>Bañador bikini de manga raglán con cordón floral</v>
      </c>
      <c r="G31" s="10">
        <v>1</v>
      </c>
      <c r="H31" s="12">
        <v>25</v>
      </c>
      <c r="I31" s="12">
        <f>VENTAS[[#This Row],[Cantidad]]*VENTAS[[#This Row],[Precio Venta]]</f>
        <v>25</v>
      </c>
      <c r="J31" s="12">
        <f>IF(VENTAS[[#This Row],[Nombre del Gestor]]&gt;1,VENTAS[[#This Row],[Total]]*10%,0)</f>
        <v>0</v>
      </c>
      <c r="K31" s="12">
        <f>IFERROR(VLOOKUP(VENTAS[[#This Row],[Código del producto Vendido]],STOCK[],16,FALSE)*VENTAS[[#This Row],[Cantidad]]+VLOOKUP(VENTAS[[#This Row],[Código del producto Vendido]],STOCK[],19,FALSE)*VENTAS[[#This Row],[Cantidad]],VENTAS[[#This Row],[Total]])</f>
        <v>19.794444444444402</v>
      </c>
      <c r="L31" s="12">
        <f>VENTAS[[#This Row],[Total]]-VENTAS[[#This Row],[Comisión 10%]]-VENTAS[[#This Row],[Costo SIN Comision]]</f>
        <v>5.2055555555555983</v>
      </c>
      <c r="M31" s="12"/>
      <c r="N31" s="16"/>
    </row>
    <row r="32" spans="1:14" ht="20" hidden="1" customHeight="1">
      <c r="A32" s="9">
        <v>45017</v>
      </c>
      <c r="B32" s="10"/>
      <c r="C32" s="10"/>
      <c r="D32" s="10"/>
      <c r="E32" s="10" t="s">
        <v>451</v>
      </c>
      <c r="F32" s="10" t="str">
        <f>IFERROR(VLOOKUP(VENTAS[[#This Row],[Código del producto Vendido]],STOCK[],5,FALSE),"-")</f>
        <v>Bañador estampado de planta</v>
      </c>
      <c r="G32" s="10">
        <v>2</v>
      </c>
      <c r="H32" s="12">
        <v>25</v>
      </c>
      <c r="I32" s="12">
        <f>VENTAS[[#This Row],[Cantidad]]*VENTAS[[#This Row],[Precio Venta]]</f>
        <v>50</v>
      </c>
      <c r="J32" s="12">
        <f>IF(VENTAS[[#This Row],[Nombre del Gestor]]&gt;1,VENTAS[[#This Row],[Total]]*10%,0)</f>
        <v>0</v>
      </c>
      <c r="K32" s="12">
        <f>IFERROR(VLOOKUP(VENTAS[[#This Row],[Código del producto Vendido]],STOCK[],16,FALSE)*VENTAS[[#This Row],[Cantidad]]+VLOOKUP(VENTAS[[#This Row],[Código del producto Vendido]],STOCK[],19,FALSE)*VENTAS[[#This Row],[Cantidad]],VENTAS[[#This Row],[Total]])</f>
        <v>26.8333333333334</v>
      </c>
      <c r="L32" s="12">
        <f>VENTAS[[#This Row],[Total]]-VENTAS[[#This Row],[Comisión 10%]]-VENTAS[[#This Row],[Costo SIN Comision]]</f>
        <v>23.1666666666666</v>
      </c>
      <c r="M32" s="12"/>
      <c r="N32" s="16"/>
    </row>
    <row r="33" spans="1:14" ht="20" hidden="1" customHeight="1">
      <c r="A33" s="9">
        <v>45017</v>
      </c>
      <c r="B33" s="10"/>
      <c r="C33" s="10"/>
      <c r="D33" s="10"/>
      <c r="E33" s="10" t="s">
        <v>418</v>
      </c>
      <c r="F33" s="10" t="str">
        <f>IFERROR(VLOOKUP(VENTAS[[#This Row],[Código del producto Vendido]],STOCK[],5,FALSE),"-")</f>
        <v>Bikini tropical con estampado de hoja</v>
      </c>
      <c r="G33" s="10">
        <v>1</v>
      </c>
      <c r="H33" s="12">
        <v>25</v>
      </c>
      <c r="I33" s="12">
        <f>VENTAS[[#This Row],[Cantidad]]*VENTAS[[#This Row],[Precio Venta]]</f>
        <v>25</v>
      </c>
      <c r="J33" s="12">
        <f>IF(VENTAS[[#This Row],[Nombre del Gestor]]&gt;1,VENTAS[[#This Row],[Total]]*10%,0)</f>
        <v>0</v>
      </c>
      <c r="K33" s="12">
        <f>IFERROR(VLOOKUP(VENTAS[[#This Row],[Código del producto Vendido]],STOCK[],16,FALSE)*VENTAS[[#This Row],[Cantidad]]+VLOOKUP(VENTAS[[#This Row],[Código del producto Vendido]],STOCK[],19,FALSE)*VENTAS[[#This Row],[Cantidad]],VENTAS[[#This Row],[Total]])</f>
        <v>13.3888888888889</v>
      </c>
      <c r="L33" s="12">
        <f>VENTAS[[#This Row],[Total]]-VENTAS[[#This Row],[Comisión 10%]]-VENTAS[[#This Row],[Costo SIN Comision]]</f>
        <v>11.6111111111111</v>
      </c>
      <c r="M33" s="12"/>
      <c r="N33" s="16"/>
    </row>
    <row r="34" spans="1:14" ht="20" hidden="1" customHeight="1">
      <c r="A34" s="9">
        <v>45017</v>
      </c>
      <c r="B34" s="10"/>
      <c r="C34" s="10"/>
      <c r="D34" s="10"/>
      <c r="E34" s="10" t="s">
        <v>413</v>
      </c>
      <c r="F34" s="10" t="str">
        <f>IFERROR(VLOOKUP(VENTAS[[#This Row],[Código del producto Vendido]],STOCK[],5,FALSE),"-")</f>
        <v>Bikini Floral</v>
      </c>
      <c r="G34" s="10">
        <v>1</v>
      </c>
      <c r="H34" s="12">
        <v>25</v>
      </c>
      <c r="I34" s="12">
        <f>VENTAS[[#This Row],[Cantidad]]*VENTAS[[#This Row],[Precio Venta]]</f>
        <v>25</v>
      </c>
      <c r="J34" s="12">
        <f>IF(VENTAS[[#This Row],[Nombre del Gestor]]&gt;1,VENTAS[[#This Row],[Total]]*10%,0)</f>
        <v>0</v>
      </c>
      <c r="K34" s="12">
        <f>IFERROR(VLOOKUP(VENTAS[[#This Row],[Código del producto Vendido]],STOCK[],16,FALSE)*VENTAS[[#This Row],[Cantidad]]+VLOOKUP(VENTAS[[#This Row],[Código del producto Vendido]],STOCK[],19,FALSE)*VENTAS[[#This Row],[Cantidad]],VENTAS[[#This Row],[Total]])</f>
        <v>13.9444444444444</v>
      </c>
      <c r="L34" s="12">
        <f>VENTAS[[#This Row],[Total]]-VENTAS[[#This Row],[Comisión 10%]]-VENTAS[[#This Row],[Costo SIN Comision]]</f>
        <v>11.0555555555556</v>
      </c>
      <c r="M34" s="12"/>
      <c r="N34" s="16"/>
    </row>
    <row r="35" spans="1:14" ht="20" hidden="1" customHeight="1">
      <c r="A35" s="9">
        <v>45017</v>
      </c>
      <c r="B35" s="10"/>
      <c r="C35" s="10"/>
      <c r="D35" s="10"/>
      <c r="E35" s="10" t="s">
        <v>459</v>
      </c>
      <c r="F35" s="10" t="str">
        <f>IFERROR(VLOOKUP(VENTAS[[#This Row],[Código del producto Vendido]],STOCK[],5,FALSE),"-")</f>
        <v>Bañador bikini con estampado tropical_M</v>
      </c>
      <c r="G35" s="10">
        <v>1</v>
      </c>
      <c r="H35" s="12">
        <v>22</v>
      </c>
      <c r="I35" s="12">
        <f>VENTAS[[#This Row],[Cantidad]]*VENTAS[[#This Row],[Precio Venta]]</f>
        <v>22</v>
      </c>
      <c r="J35" s="12">
        <f>IF(VENTAS[[#This Row],[Nombre del Gestor]]&gt;1,VENTAS[[#This Row],[Total]]*10%,0)</f>
        <v>0</v>
      </c>
      <c r="K35" s="12">
        <f>IFERROR(VLOOKUP(VENTAS[[#This Row],[Código del producto Vendido]],STOCK[],16,FALSE)*VENTAS[[#This Row],[Cantidad]]+VLOOKUP(VENTAS[[#This Row],[Código del producto Vendido]],STOCK[],19,FALSE)*VENTAS[[#This Row],[Cantidad]],VENTAS[[#This Row],[Total]])</f>
        <v>11.202222222222201</v>
      </c>
      <c r="L35" s="12">
        <f>VENTAS[[#This Row],[Total]]-VENTAS[[#This Row],[Comisión 10%]]-VENTAS[[#This Row],[Costo SIN Comision]]</f>
        <v>10.797777777777799</v>
      </c>
      <c r="M35" s="12"/>
      <c r="N35" s="16"/>
    </row>
    <row r="36" spans="1:14" ht="20" hidden="1" customHeight="1">
      <c r="A36" s="9">
        <v>45017</v>
      </c>
      <c r="B36" s="10"/>
      <c r="C36" s="10"/>
      <c r="D36" s="10"/>
      <c r="E36" s="10" t="s">
        <v>461</v>
      </c>
      <c r="F36" s="10" t="str">
        <f>IFERROR(VLOOKUP(VENTAS[[#This Row],[Código del producto Vendido]],STOCK[],5,FALSE),"-")</f>
        <v>Bañador bikini con estampado tropical con nudo de talle alto_M</v>
      </c>
      <c r="G36" s="10">
        <v>1</v>
      </c>
      <c r="H36" s="12">
        <v>22</v>
      </c>
      <c r="I36" s="12">
        <f>VENTAS[[#This Row],[Cantidad]]*VENTAS[[#This Row],[Precio Venta]]</f>
        <v>22</v>
      </c>
      <c r="J36" s="12">
        <f>IF(VENTAS[[#This Row],[Nombre del Gestor]]&gt;1,VENTAS[[#This Row],[Total]]*10%,0)</f>
        <v>0</v>
      </c>
      <c r="K36" s="12">
        <f>IFERROR(VLOOKUP(VENTAS[[#This Row],[Código del producto Vendido]],STOCK[],16,FALSE)*VENTAS[[#This Row],[Cantidad]]+VLOOKUP(VENTAS[[#This Row],[Código del producto Vendido]],STOCK[],19,FALSE)*VENTAS[[#This Row],[Cantidad]],VENTAS[[#This Row],[Total]])</f>
        <v>11.4027777777778</v>
      </c>
      <c r="L36" s="12">
        <f>VENTAS[[#This Row],[Total]]-VENTAS[[#This Row],[Comisión 10%]]-VENTAS[[#This Row],[Costo SIN Comision]]</f>
        <v>10.5972222222222</v>
      </c>
      <c r="M36" s="12"/>
      <c r="N36" s="16"/>
    </row>
    <row r="37" spans="1:14" ht="20" hidden="1" customHeight="1">
      <c r="A37" s="9">
        <v>45017</v>
      </c>
      <c r="B37" s="10"/>
      <c r="C37" s="10"/>
      <c r="D37" s="10"/>
      <c r="E37" s="10" t="s">
        <v>473</v>
      </c>
      <c r="F37" s="10" t="str">
        <f>IFERROR(VLOOKUP(VENTAS[[#This Row],[Código del producto Vendido]],STOCK[],5,FALSE),"-")</f>
        <v>SHEIN Vestido de hombros descubiertos con botón falso de cintura fruncido de manga farol_S</v>
      </c>
      <c r="G37" s="10">
        <v>1</v>
      </c>
      <c r="H37" s="12">
        <v>25</v>
      </c>
      <c r="I37" s="12">
        <f>VENTAS[[#This Row],[Cantidad]]*VENTAS[[#This Row],[Precio Venta]]</f>
        <v>25</v>
      </c>
      <c r="J37" s="12">
        <f>IF(VENTAS[[#This Row],[Nombre del Gestor]]&gt;1,VENTAS[[#This Row],[Total]]*10%,0)</f>
        <v>0</v>
      </c>
      <c r="K37" s="12">
        <f>IFERROR(VLOOKUP(VENTAS[[#This Row],[Código del producto Vendido]],STOCK[],16,FALSE)*VENTAS[[#This Row],[Cantidad]]+VLOOKUP(VENTAS[[#This Row],[Código del producto Vendido]],STOCK[],19,FALSE)*VENTAS[[#This Row],[Cantidad]],VENTAS[[#This Row],[Total]])</f>
        <v>17.260555555555598</v>
      </c>
      <c r="L37" s="12">
        <f>VENTAS[[#This Row],[Total]]-VENTAS[[#This Row],[Comisión 10%]]-VENTAS[[#This Row],[Costo SIN Comision]]</f>
        <v>7.7394444444444019</v>
      </c>
      <c r="M37" s="12"/>
      <c r="N37" s="16"/>
    </row>
    <row r="38" spans="1:14" ht="20" hidden="1" customHeight="1">
      <c r="A38" s="9">
        <v>45017</v>
      </c>
      <c r="B38" s="10"/>
      <c r="C38" s="10"/>
      <c r="D38" s="10"/>
      <c r="E38" s="10" t="s">
        <v>475</v>
      </c>
      <c r="F38" s="10" t="str">
        <f>IFERROR(VLOOKUP(VENTAS[[#This Row],[Código del producto Vendido]],STOCK[],5,FALSE),"-")</f>
        <v>Bañador bikini push up de cuadros girante_M</v>
      </c>
      <c r="G38" s="10">
        <v>1</v>
      </c>
      <c r="H38" s="12">
        <v>22</v>
      </c>
      <c r="I38" s="12">
        <f>VENTAS[[#This Row],[Cantidad]]*VENTAS[[#This Row],[Precio Venta]]</f>
        <v>22</v>
      </c>
      <c r="J38" s="12">
        <f>IF(VENTAS[[#This Row],[Nombre del Gestor]]&gt;1,VENTAS[[#This Row],[Total]]*10%,0)</f>
        <v>0</v>
      </c>
      <c r="K38" s="12">
        <f>IFERROR(VLOOKUP(VENTAS[[#This Row],[Código del producto Vendido]],STOCK[],16,FALSE)*VENTAS[[#This Row],[Cantidad]]+VLOOKUP(VENTAS[[#This Row],[Código del producto Vendido]],STOCK[],19,FALSE)*VENTAS[[#This Row],[Cantidad]],VENTAS[[#This Row],[Total]])</f>
        <v>11.001111111111101</v>
      </c>
      <c r="L38" s="12">
        <f>VENTAS[[#This Row],[Total]]-VENTAS[[#This Row],[Comisión 10%]]-VENTAS[[#This Row],[Costo SIN Comision]]</f>
        <v>10.998888888888899</v>
      </c>
      <c r="M38" s="12"/>
      <c r="N38" s="16"/>
    </row>
    <row r="39" spans="1:14" ht="20" hidden="1" customHeight="1">
      <c r="A39" s="9">
        <v>45017</v>
      </c>
      <c r="B39" s="10"/>
      <c r="C39" s="10"/>
      <c r="D39" s="10"/>
      <c r="E39" s="10" t="s">
        <v>487</v>
      </c>
      <c r="F39" s="10" t="str">
        <f>IFERROR(VLOOKUP(VENTAS[[#This Row],[Código del producto Vendido]],STOCK[],5,FALSE),"-")</f>
        <v>Bolsa bandolera</v>
      </c>
      <c r="G39" s="10">
        <v>1</v>
      </c>
      <c r="H39" s="12">
        <v>15</v>
      </c>
      <c r="I39" s="12">
        <f>VENTAS[[#This Row],[Cantidad]]*VENTAS[[#This Row],[Precio Venta]]</f>
        <v>15</v>
      </c>
      <c r="J39" s="12">
        <f>IF(VENTAS[[#This Row],[Nombre del Gestor]]&gt;1,VENTAS[[#This Row],[Total]]*10%,0)</f>
        <v>0</v>
      </c>
      <c r="K39" s="12">
        <f>IFERROR(VLOOKUP(VENTAS[[#This Row],[Código del producto Vendido]],STOCK[],16,FALSE)*VENTAS[[#This Row],[Cantidad]]+VLOOKUP(VENTAS[[#This Row],[Código del producto Vendido]],STOCK[],19,FALSE)*VENTAS[[#This Row],[Cantidad]],VENTAS[[#This Row],[Total]])</f>
        <v>8.9444444444444393</v>
      </c>
      <c r="L39" s="12">
        <f>VENTAS[[#This Row],[Total]]-VENTAS[[#This Row],[Comisión 10%]]-VENTAS[[#This Row],[Costo SIN Comision]]</f>
        <v>6.0555555555555607</v>
      </c>
      <c r="M39" s="12"/>
      <c r="N39" s="16"/>
    </row>
    <row r="40" spans="1:14" ht="20" hidden="1" customHeight="1">
      <c r="A40" s="9">
        <v>45017</v>
      </c>
      <c r="B40" s="10"/>
      <c r="C40" s="10"/>
      <c r="D40" s="10"/>
      <c r="E40" s="10" t="s">
        <v>491</v>
      </c>
      <c r="F40" s="10" t="str">
        <f>IFERROR(VLOOKUP(VENTAS[[#This Row],[Código del producto Vendido]],STOCK[],5,FALSE),"-")</f>
        <v>Bolso cartera con solapa transparente</v>
      </c>
      <c r="G40" s="10">
        <v>1</v>
      </c>
      <c r="H40" s="12">
        <v>10</v>
      </c>
      <c r="I40" s="12">
        <f>VENTAS[[#This Row],[Cantidad]]*VENTAS[[#This Row],[Precio Venta]]</f>
        <v>10</v>
      </c>
      <c r="J40" s="12">
        <f>IF(VENTAS[[#This Row],[Nombre del Gestor]]&gt;1,VENTAS[[#This Row],[Total]]*10%,0)</f>
        <v>0</v>
      </c>
      <c r="K40" s="12">
        <f>IFERROR(VLOOKUP(VENTAS[[#This Row],[Código del producto Vendido]],STOCK[],16,FALSE)*VENTAS[[#This Row],[Cantidad]]+VLOOKUP(VENTAS[[#This Row],[Código del producto Vendido]],STOCK[],19,FALSE)*VENTAS[[#This Row],[Cantidad]],VENTAS[[#This Row],[Total]])</f>
        <v>5.13055555555556</v>
      </c>
      <c r="L40" s="12">
        <f>VENTAS[[#This Row],[Total]]-VENTAS[[#This Row],[Comisión 10%]]-VENTAS[[#This Row],[Costo SIN Comision]]</f>
        <v>4.86944444444444</v>
      </c>
      <c r="M40" s="12"/>
      <c r="N40" s="16"/>
    </row>
    <row r="41" spans="1:14" ht="20" hidden="1" customHeight="1">
      <c r="A41" s="9">
        <v>45017</v>
      </c>
      <c r="B41" s="10"/>
      <c r="C41" s="10"/>
      <c r="D41" s="10"/>
      <c r="E41" s="10" t="s">
        <v>491</v>
      </c>
      <c r="F41" s="10" t="str">
        <f>IFERROR(VLOOKUP(VENTAS[[#This Row],[Código del producto Vendido]],STOCK[],5,FALSE),"-")</f>
        <v>Bolso cartera con solapa transparente</v>
      </c>
      <c r="G41" s="10">
        <v>1</v>
      </c>
      <c r="H41" s="12">
        <v>10</v>
      </c>
      <c r="I41" s="12">
        <f>VENTAS[[#This Row],[Cantidad]]*VENTAS[[#This Row],[Precio Venta]]</f>
        <v>10</v>
      </c>
      <c r="J41" s="12">
        <f>IF(VENTAS[[#This Row],[Nombre del Gestor]]&gt;1,VENTAS[[#This Row],[Total]]*10%,0)</f>
        <v>0</v>
      </c>
      <c r="K41" s="12">
        <f>IFERROR(VLOOKUP(VENTAS[[#This Row],[Código del producto Vendido]],STOCK[],16,FALSE)*VENTAS[[#This Row],[Cantidad]]+VLOOKUP(VENTAS[[#This Row],[Código del producto Vendido]],STOCK[],19,FALSE)*VENTAS[[#This Row],[Cantidad]],VENTAS[[#This Row],[Total]])</f>
        <v>5.13055555555556</v>
      </c>
      <c r="L41" s="12">
        <f>VENTAS[[#This Row],[Total]]-VENTAS[[#This Row],[Comisión 10%]]-VENTAS[[#This Row],[Costo SIN Comision]]</f>
        <v>4.86944444444444</v>
      </c>
      <c r="M41" s="12"/>
      <c r="N41" s="16"/>
    </row>
    <row r="42" spans="1:14" ht="20" hidden="1" customHeight="1">
      <c r="A42" s="9">
        <v>45017</v>
      </c>
      <c r="B42" s="10"/>
      <c r="C42" s="10"/>
      <c r="D42" s="10"/>
      <c r="E42" s="10" t="s">
        <v>495</v>
      </c>
      <c r="F42" s="10" t="str">
        <f>IFERROR(VLOOKUP(VENTAS[[#This Row],[Código del producto Vendido]],STOCK[],5,FALSE),"-")</f>
        <v>Bañador bikini con nudo delantero bajo fruncido tropical_S</v>
      </c>
      <c r="G42" s="10">
        <v>1</v>
      </c>
      <c r="H42" s="12">
        <v>22</v>
      </c>
      <c r="I42" s="12">
        <f>VENTAS[[#This Row],[Cantidad]]*VENTAS[[#This Row],[Precio Venta]]</f>
        <v>22</v>
      </c>
      <c r="J42" s="12">
        <f>IF(VENTAS[[#This Row],[Nombre del Gestor]]&gt;1,VENTAS[[#This Row],[Total]]*10%,0)</f>
        <v>0</v>
      </c>
      <c r="K42" s="12">
        <f>IFERROR(VLOOKUP(VENTAS[[#This Row],[Código del producto Vendido]],STOCK[],16,FALSE)*VENTAS[[#This Row],[Cantidad]]+VLOOKUP(VENTAS[[#This Row],[Código del producto Vendido]],STOCK[],19,FALSE)*VENTAS[[#This Row],[Cantidad]],VENTAS[[#This Row],[Total]])</f>
        <v>12.4805555555556</v>
      </c>
      <c r="L42" s="12">
        <f>VENTAS[[#This Row],[Total]]-VENTAS[[#This Row],[Comisión 10%]]-VENTAS[[#This Row],[Costo SIN Comision]]</f>
        <v>9.5194444444443995</v>
      </c>
      <c r="M42" s="12"/>
      <c r="N42" s="16"/>
    </row>
    <row r="43" spans="1:14" ht="20" hidden="1" customHeight="1">
      <c r="A43" s="9">
        <v>45017</v>
      </c>
      <c r="B43" s="10"/>
      <c r="C43" s="10"/>
      <c r="D43" s="10"/>
      <c r="E43" s="10" t="s">
        <v>501</v>
      </c>
      <c r="F43" s="10" t="str">
        <f>IFERROR(VLOOKUP(VENTAS[[#This Row],[Código del producto Vendido]],STOCK[],5,FALSE),"-")</f>
        <v>3 piezas Bañador bikini push up con estampado tropical con falda de playa</v>
      </c>
      <c r="G43" s="10">
        <v>2</v>
      </c>
      <c r="H43" s="12">
        <v>25</v>
      </c>
      <c r="I43" s="12">
        <f>VENTAS[[#This Row],[Cantidad]]*VENTAS[[#This Row],[Precio Venta]]</f>
        <v>50</v>
      </c>
      <c r="J43" s="12">
        <f>IF(VENTAS[[#This Row],[Nombre del Gestor]]&gt;1,VENTAS[[#This Row],[Total]]*10%,0)</f>
        <v>0</v>
      </c>
      <c r="K43" s="12">
        <f>IFERROR(VLOOKUP(VENTAS[[#This Row],[Código del producto Vendido]],STOCK[],16,FALSE)*VENTAS[[#This Row],[Cantidad]]+VLOOKUP(VENTAS[[#This Row],[Código del producto Vendido]],STOCK[],19,FALSE)*VENTAS[[#This Row],[Cantidad]],VENTAS[[#This Row],[Total]])</f>
        <v>33.1111111111112</v>
      </c>
      <c r="L43" s="12">
        <f>VENTAS[[#This Row],[Total]]-VENTAS[[#This Row],[Comisión 10%]]-VENTAS[[#This Row],[Costo SIN Comision]]</f>
        <v>16.8888888888888</v>
      </c>
      <c r="M43" s="12"/>
      <c r="N43" s="16"/>
    </row>
    <row r="44" spans="1:14" ht="20" hidden="1" customHeight="1">
      <c r="A44" s="9">
        <v>45017</v>
      </c>
      <c r="B44" s="10"/>
      <c r="C44" s="10"/>
      <c r="D44" s="10"/>
      <c r="E44" s="10" t="s">
        <v>503</v>
      </c>
      <c r="F44" s="10" t="str">
        <f>IFERROR(VLOOKUP(VENTAS[[#This Row],[Código del producto Vendido]],STOCK[],5,FALSE),"-")</f>
        <v xml:space="preserve">Bikini push up tropical </v>
      </c>
      <c r="G44" s="10">
        <v>1</v>
      </c>
      <c r="H44" s="12">
        <v>25</v>
      </c>
      <c r="I44" s="12">
        <f>VENTAS[[#This Row],[Cantidad]]*VENTAS[[#This Row],[Precio Venta]]</f>
        <v>25</v>
      </c>
      <c r="J44" s="12">
        <f>IF(VENTAS[[#This Row],[Nombre del Gestor]]&gt;1,VENTAS[[#This Row],[Total]]*10%,0)</f>
        <v>0</v>
      </c>
      <c r="K44" s="12">
        <f>IFERROR(VLOOKUP(VENTAS[[#This Row],[Código del producto Vendido]],STOCK[],16,FALSE)*VENTAS[[#This Row],[Cantidad]]+VLOOKUP(VENTAS[[#This Row],[Código del producto Vendido]],STOCK[],19,FALSE)*VENTAS[[#This Row],[Cantidad]],VENTAS[[#This Row],[Total]])</f>
        <v>16.5555555555556</v>
      </c>
      <c r="L44" s="12">
        <f>VENTAS[[#This Row],[Total]]-VENTAS[[#This Row],[Comisión 10%]]-VENTAS[[#This Row],[Costo SIN Comision]]</f>
        <v>8.4444444444444002</v>
      </c>
      <c r="M44" s="12"/>
      <c r="N44" s="16"/>
    </row>
    <row r="45" spans="1:14" ht="20" hidden="1" customHeight="1">
      <c r="A45" s="9">
        <v>45017</v>
      </c>
      <c r="B45" s="10"/>
      <c r="C45" s="10"/>
      <c r="D45" s="10"/>
      <c r="E45" s="10" t="s">
        <v>508</v>
      </c>
      <c r="F45" s="10" t="str">
        <f>IFERROR(VLOOKUP(VENTAS[[#This Row],[Código del producto Vendido]],STOCK[],5,FALSE),"-")</f>
        <v>3 piezas Bañador bikini triángulo halter con estampado geométrico con pantalones cover up</v>
      </c>
      <c r="G45" s="10">
        <v>2</v>
      </c>
      <c r="H45" s="12">
        <v>25</v>
      </c>
      <c r="I45" s="12">
        <f>VENTAS[[#This Row],[Cantidad]]*VENTAS[[#This Row],[Precio Venta]]</f>
        <v>50</v>
      </c>
      <c r="J45" s="12">
        <f>IF(VENTAS[[#This Row],[Nombre del Gestor]]&gt;1,VENTAS[[#This Row],[Total]]*10%,0)</f>
        <v>0</v>
      </c>
      <c r="K45" s="12">
        <f>IFERROR(VLOOKUP(VENTAS[[#This Row],[Código del producto Vendido]],STOCK[],16,FALSE)*VENTAS[[#This Row],[Cantidad]]+VLOOKUP(VENTAS[[#This Row],[Código del producto Vendido]],STOCK[],19,FALSE)*VENTAS[[#This Row],[Cantidad]],VENTAS[[#This Row],[Total]])</f>
        <v>32.088888888888803</v>
      </c>
      <c r="L45" s="12">
        <f>VENTAS[[#This Row],[Total]]-VENTAS[[#This Row],[Comisión 10%]]-VENTAS[[#This Row],[Costo SIN Comision]]</f>
        <v>17.911111111111197</v>
      </c>
      <c r="M45" s="12"/>
      <c r="N45" s="16"/>
    </row>
    <row r="46" spans="1:14" ht="20" hidden="1" customHeight="1">
      <c r="A46" s="9">
        <v>45017</v>
      </c>
      <c r="B46" s="10"/>
      <c r="C46" s="10"/>
      <c r="D46" s="10"/>
      <c r="E46" s="10" t="s">
        <v>536</v>
      </c>
      <c r="F46" s="10" t="str">
        <f>IFERROR(VLOOKUP(VENTAS[[#This Row],[Código del producto Vendido]],STOCK[],5,FALSE),"-")</f>
        <v xml:space="preserve">Gafas minimalista de moda </v>
      </c>
      <c r="G46" s="10">
        <v>1</v>
      </c>
      <c r="H46" s="12">
        <v>10</v>
      </c>
      <c r="I46" s="12">
        <f>VENTAS[[#This Row],[Cantidad]]*VENTAS[[#This Row],[Precio Venta]]</f>
        <v>10</v>
      </c>
      <c r="J46" s="12">
        <f>IF(VENTAS[[#This Row],[Nombre del Gestor]]&gt;1,VENTAS[[#This Row],[Total]]*10%,0)</f>
        <v>0</v>
      </c>
      <c r="K46" s="12">
        <f>IFERROR(VLOOKUP(VENTAS[[#This Row],[Código del producto Vendido]],STOCK[],16,FALSE)*VENTAS[[#This Row],[Cantidad]]+VLOOKUP(VENTAS[[#This Row],[Código del producto Vendido]],STOCK[],19,FALSE)*VENTAS[[#This Row],[Cantidad]],VENTAS[[#This Row],[Total]])</f>
        <v>5.8305555555555602</v>
      </c>
      <c r="L46" s="12">
        <f>VENTAS[[#This Row],[Total]]-VENTAS[[#This Row],[Comisión 10%]]-VENTAS[[#This Row],[Costo SIN Comision]]</f>
        <v>4.1694444444444398</v>
      </c>
      <c r="M46" s="12"/>
      <c r="N46" s="16"/>
    </row>
    <row r="47" spans="1:14" ht="20" hidden="1" customHeight="1">
      <c r="A47" s="9">
        <v>45017</v>
      </c>
      <c r="B47" s="10"/>
      <c r="C47" s="10"/>
      <c r="D47" s="10"/>
      <c r="E47" s="10" t="s">
        <v>538</v>
      </c>
      <c r="F47" s="10" t="str">
        <f>IFERROR(VLOOKUP(VENTAS[[#This Row],[Código del producto Vendido]],STOCK[],5,FALSE),"-")</f>
        <v>Sandalias de tiras con diseño de diamante de imitación con tacón grueso Plateado_MX24</v>
      </c>
      <c r="G47" s="10">
        <v>1</v>
      </c>
      <c r="H47" s="12">
        <v>40</v>
      </c>
      <c r="I47" s="12">
        <f>VENTAS[[#This Row],[Cantidad]]*VENTAS[[#This Row],[Precio Venta]]</f>
        <v>40</v>
      </c>
      <c r="J47" s="12">
        <f>IF(VENTAS[[#This Row],[Nombre del Gestor]]&gt;1,VENTAS[[#This Row],[Total]]*10%,0)</f>
        <v>0</v>
      </c>
      <c r="K47" s="12">
        <f>IFERROR(VLOOKUP(VENTAS[[#This Row],[Código del producto Vendido]],STOCK[],16,FALSE)*VENTAS[[#This Row],[Cantidad]]+VLOOKUP(VENTAS[[#This Row],[Código del producto Vendido]],STOCK[],19,FALSE)*VENTAS[[#This Row],[Cantidad]],VENTAS[[#This Row],[Total]])</f>
        <v>27.922222222222199</v>
      </c>
      <c r="L47" s="12">
        <f>VENTAS[[#This Row],[Total]]-VENTAS[[#This Row],[Comisión 10%]]-VENTAS[[#This Row],[Costo SIN Comision]]</f>
        <v>12.077777777777801</v>
      </c>
      <c r="M47" s="12"/>
      <c r="N47" s="16"/>
    </row>
    <row r="48" spans="1:14" ht="20" hidden="1" customHeight="1">
      <c r="A48" s="9">
        <v>45017</v>
      </c>
      <c r="B48" s="10"/>
      <c r="C48" s="10"/>
      <c r="D48" s="10"/>
      <c r="E48" s="10" t="s">
        <v>541</v>
      </c>
      <c r="F48" s="10" t="str">
        <f>IFERROR(VLOOKUP(VENTAS[[#This Row],[Código del producto Vendido]],STOCK[],5,FALSE),"-")</f>
        <v>SHEIN Felegant Shorts PU de cintura con volante con cordón Negro_5</v>
      </c>
      <c r="G48" s="10">
        <v>1</v>
      </c>
      <c r="H48" s="12">
        <v>19</v>
      </c>
      <c r="I48" s="12">
        <f>VENTAS[[#This Row],[Cantidad]]*VENTAS[[#This Row],[Precio Venta]]</f>
        <v>19</v>
      </c>
      <c r="J48" s="12">
        <f>IF(VENTAS[[#This Row],[Nombre del Gestor]]&gt;1,VENTAS[[#This Row],[Total]]*10%,0)</f>
        <v>0</v>
      </c>
      <c r="K48" s="12">
        <f>IFERROR(VLOOKUP(VENTAS[[#This Row],[Código del producto Vendido]],STOCK[],16,FALSE)*VENTAS[[#This Row],[Cantidad]]+VLOOKUP(VENTAS[[#This Row],[Código del producto Vendido]],STOCK[],19,FALSE)*VENTAS[[#This Row],[Cantidad]],VENTAS[[#This Row],[Total]])</f>
        <v>12.522222222222201</v>
      </c>
      <c r="L48" s="12">
        <f>VENTAS[[#This Row],[Total]]-VENTAS[[#This Row],[Comisión 10%]]-VENTAS[[#This Row],[Costo SIN Comision]]</f>
        <v>6.4777777777777992</v>
      </c>
      <c r="M48" s="12"/>
      <c r="N48" s="16"/>
    </row>
    <row r="49" spans="1:14" ht="20" hidden="1" customHeight="1">
      <c r="A49" s="9">
        <v>45017</v>
      </c>
      <c r="B49" s="10" t="s">
        <v>4167</v>
      </c>
      <c r="C49" s="10"/>
      <c r="D49" s="10"/>
      <c r="E49" s="10" t="s">
        <v>551</v>
      </c>
      <c r="F49" s="10" t="str">
        <f>IFERROR(VLOOKUP(VENTAS[[#This Row],[Código del producto Vendido]],STOCK[],5,FALSE),"-")</f>
        <v>Botines con tacón con cordón</v>
      </c>
      <c r="G49" s="10">
        <v>1</v>
      </c>
      <c r="H49" s="12">
        <v>40</v>
      </c>
      <c r="I49" s="12">
        <f>VENTAS[[#This Row],[Cantidad]]*VENTAS[[#This Row],[Precio Venta]]</f>
        <v>40</v>
      </c>
      <c r="J49" s="12">
        <f>IF(VENTAS[[#This Row],[Nombre del Gestor]]&gt;1,VENTAS[[#This Row],[Total]]*10%,0)</f>
        <v>0</v>
      </c>
      <c r="K49" s="12">
        <f>IFERROR(VLOOKUP(VENTAS[[#This Row],[Código del producto Vendido]],STOCK[],16,FALSE)*VENTAS[[#This Row],[Cantidad]]+VLOOKUP(VENTAS[[#This Row],[Código del producto Vendido]],STOCK[],19,FALSE)*VENTAS[[#This Row],[Cantidad]],VENTAS[[#This Row],[Total]])</f>
        <v>27.786111111111101</v>
      </c>
      <c r="L49" s="12">
        <f>VENTAS[[#This Row],[Total]]-VENTAS[[#This Row],[Comisión 10%]]-VENTAS[[#This Row],[Costo SIN Comision]]</f>
        <v>12.213888888888899</v>
      </c>
      <c r="M49" s="12"/>
      <c r="N49" s="16"/>
    </row>
    <row r="50" spans="1:14" ht="20" hidden="1" customHeight="1">
      <c r="A50" s="9">
        <v>45017</v>
      </c>
      <c r="B50" s="10"/>
      <c r="C50" s="10"/>
      <c r="D50" s="10"/>
      <c r="E50" s="10" t="s">
        <v>553</v>
      </c>
      <c r="F50" s="10" t="str">
        <f>IFERROR(VLOOKUP(VENTAS[[#This Row],[Código del producto Vendido]],STOCK[],5,FALSE),"-")</f>
        <v>Falda con abertura alta_XS</v>
      </c>
      <c r="G50" s="10">
        <v>1</v>
      </c>
      <c r="H50" s="12">
        <v>17</v>
      </c>
      <c r="I50" s="12">
        <f>VENTAS[[#This Row],[Cantidad]]*VENTAS[[#This Row],[Precio Venta]]</f>
        <v>17</v>
      </c>
      <c r="J50" s="12">
        <f>IF(VENTAS[[#This Row],[Nombre del Gestor]]&gt;1,VENTAS[[#This Row],[Total]]*10%,0)</f>
        <v>0</v>
      </c>
      <c r="K50" s="12">
        <f>IFERROR(VLOOKUP(VENTAS[[#This Row],[Código del producto Vendido]],STOCK[],16,FALSE)*VENTAS[[#This Row],[Cantidad]]+VLOOKUP(VENTAS[[#This Row],[Código del producto Vendido]],STOCK[],19,FALSE)*VENTAS[[#This Row],[Cantidad]],VENTAS[[#This Row],[Total]])</f>
        <v>9.8894444444444503</v>
      </c>
      <c r="L50" s="12">
        <f>VENTAS[[#This Row],[Total]]-VENTAS[[#This Row],[Comisión 10%]]-VENTAS[[#This Row],[Costo SIN Comision]]</f>
        <v>7.1105555555555497</v>
      </c>
      <c r="M50" s="12"/>
      <c r="N50" s="16"/>
    </row>
    <row r="51" spans="1:14" ht="20" hidden="1" customHeight="1">
      <c r="A51" s="9">
        <v>45017</v>
      </c>
      <c r="B51" s="10"/>
      <c r="C51" s="10"/>
      <c r="D51" s="10"/>
      <c r="E51" s="10" t="s">
        <v>564</v>
      </c>
      <c r="F51" s="10" t="str">
        <f>IFERROR(VLOOKUP(VENTAS[[#This Row],[Código del producto Vendido]],STOCK[],5,FALSE),"-")</f>
        <v>Vestido de espalda abierta de manga farol_S</v>
      </c>
      <c r="G51" s="10">
        <v>3</v>
      </c>
      <c r="H51" s="12">
        <v>15</v>
      </c>
      <c r="I51" s="12">
        <f>VENTAS[[#This Row],[Cantidad]]*VENTAS[[#This Row],[Precio Venta]]</f>
        <v>45</v>
      </c>
      <c r="J51" s="12">
        <f>IF(VENTAS[[#This Row],[Nombre del Gestor]]&gt;1,VENTAS[[#This Row],[Total]]*10%,0)</f>
        <v>0</v>
      </c>
      <c r="K51" s="12">
        <f>IFERROR(VLOOKUP(VENTAS[[#This Row],[Código del producto Vendido]],STOCK[],16,FALSE)*VENTAS[[#This Row],[Cantidad]]+VLOOKUP(VENTAS[[#This Row],[Código del producto Vendido]],STOCK[],19,FALSE)*VENTAS[[#This Row],[Cantidad]],VENTAS[[#This Row],[Total]])</f>
        <v>32.166666666666657</v>
      </c>
      <c r="L51" s="12">
        <f>VENTAS[[#This Row],[Total]]-VENTAS[[#This Row],[Comisión 10%]]-VENTAS[[#This Row],[Costo SIN Comision]]</f>
        <v>12.833333333333343</v>
      </c>
      <c r="M51" s="12"/>
      <c r="N51" s="16"/>
    </row>
    <row r="52" spans="1:14" ht="20" hidden="1" customHeight="1">
      <c r="A52" s="9"/>
      <c r="B52" s="10" t="s">
        <v>4167</v>
      </c>
      <c r="C52" s="10"/>
      <c r="D52" s="10"/>
      <c r="E52" s="10" t="s">
        <v>566</v>
      </c>
      <c r="F52" s="10" t="str">
        <f>IFERROR(VLOOKUP(VENTAS[[#This Row],[Código del producto Vendido]],STOCK[],5,FALSE),"-")</f>
        <v>Vestido de espalda abierta de manga farol_XS</v>
      </c>
      <c r="G52" s="10">
        <v>3</v>
      </c>
      <c r="H52" s="12">
        <v>20</v>
      </c>
      <c r="I52" s="12">
        <f>VENTAS[[#This Row],[Cantidad]]*VENTAS[[#This Row],[Precio Venta]]</f>
        <v>60</v>
      </c>
      <c r="J52" s="12">
        <f>IF(VENTAS[[#This Row],[Nombre del Gestor]]&gt;1,VENTAS[[#This Row],[Total]]*10%,0)</f>
        <v>0</v>
      </c>
      <c r="K52" s="12">
        <f>IFERROR(VLOOKUP(VENTAS[[#This Row],[Código del producto Vendido]],STOCK[],16,FALSE)*VENTAS[[#This Row],[Cantidad]]+VLOOKUP(VENTAS[[#This Row],[Código del producto Vendido]],STOCK[],19,FALSE)*VENTAS[[#This Row],[Cantidad]],VENTAS[[#This Row],[Total]])</f>
        <v>32.166666666666657</v>
      </c>
      <c r="L52" s="12">
        <f>VENTAS[[#This Row],[Total]]-VENTAS[[#This Row],[Comisión 10%]]-VENTAS[[#This Row],[Costo SIN Comision]]</f>
        <v>27.833333333333343</v>
      </c>
      <c r="M52" s="12"/>
      <c r="N52" s="16"/>
    </row>
    <row r="53" spans="1:14" ht="20" hidden="1" customHeight="1">
      <c r="A53" s="9"/>
      <c r="B53" s="10" t="s">
        <v>4167</v>
      </c>
      <c r="C53" s="10"/>
      <c r="D53" s="10"/>
      <c r="E53" s="10" t="s">
        <v>658</v>
      </c>
      <c r="F53" s="10" t="str">
        <f>IFERROR(VLOOKUP(VENTAS[[#This Row],[Código del producto Vendido]],STOCK[],5,FALSE),"-")</f>
        <v>SHEIN Vestido lencero floral de muslo con abertura_XS</v>
      </c>
      <c r="G53" s="10">
        <v>4</v>
      </c>
      <c r="H53" s="12">
        <v>15</v>
      </c>
      <c r="I53" s="12">
        <f>VENTAS[[#This Row],[Cantidad]]*VENTAS[[#This Row],[Precio Venta]]</f>
        <v>60</v>
      </c>
      <c r="J53" s="12">
        <f>IF(VENTAS[[#This Row],[Nombre del Gestor]]&gt;1,VENTAS[[#This Row],[Total]]*10%,0)</f>
        <v>0</v>
      </c>
      <c r="K53" s="12">
        <f>IFERROR(VLOOKUP(VENTAS[[#This Row],[Código del producto Vendido]],STOCK[],16,FALSE)*VENTAS[[#This Row],[Cantidad]]+VLOOKUP(VENTAS[[#This Row],[Código del producto Vendido]],STOCK[],19,FALSE)*VENTAS[[#This Row],[Cantidad]],VENTAS[[#This Row],[Total]])</f>
        <v>42.888888888888879</v>
      </c>
      <c r="L53" s="12">
        <f>VENTAS[[#This Row],[Total]]-VENTAS[[#This Row],[Comisión 10%]]-VENTAS[[#This Row],[Costo SIN Comision]]</f>
        <v>17.111111111111121</v>
      </c>
      <c r="M53" s="12"/>
      <c r="N53" s="16"/>
    </row>
    <row r="54" spans="1:14" ht="20" hidden="1" customHeight="1">
      <c r="A54" s="9"/>
      <c r="B54" s="10" t="s">
        <v>4167</v>
      </c>
      <c r="C54" s="10"/>
      <c r="D54" s="10"/>
      <c r="E54" s="10" t="s">
        <v>660</v>
      </c>
      <c r="F54" s="10" t="str">
        <f>IFERROR(VLOOKUP(VENTAS[[#This Row],[Código del producto Vendido]],STOCK[],5,FALSE),"-")</f>
        <v>SHEIN Vestido lencero floral de muslo con abertura_S</v>
      </c>
      <c r="G54" s="10">
        <v>4</v>
      </c>
      <c r="H54" s="12">
        <v>20</v>
      </c>
      <c r="I54" s="12">
        <f>VENTAS[[#This Row],[Cantidad]]*VENTAS[[#This Row],[Precio Venta]]</f>
        <v>80</v>
      </c>
      <c r="J54" s="12">
        <f>IF(VENTAS[[#This Row],[Nombre del Gestor]]&gt;1,VENTAS[[#This Row],[Total]]*10%,0)</f>
        <v>0</v>
      </c>
      <c r="K54" s="12">
        <f>IFERROR(VLOOKUP(VENTAS[[#This Row],[Código del producto Vendido]],STOCK[],16,FALSE)*VENTAS[[#This Row],[Cantidad]]+VLOOKUP(VENTAS[[#This Row],[Código del producto Vendido]],STOCK[],19,FALSE)*VENTAS[[#This Row],[Cantidad]],VENTAS[[#This Row],[Total]])</f>
        <v>42.888888888888879</v>
      </c>
      <c r="L54" s="12">
        <f>VENTAS[[#This Row],[Total]]-VENTAS[[#This Row],[Comisión 10%]]-VENTAS[[#This Row],[Costo SIN Comision]]</f>
        <v>37.111111111111121</v>
      </c>
      <c r="M54" s="12"/>
      <c r="N54" s="16"/>
    </row>
    <row r="55" spans="1:14" ht="20" hidden="1" customHeight="1">
      <c r="A55" s="9"/>
      <c r="B55" s="10" t="s">
        <v>4167</v>
      </c>
      <c r="C55" s="10"/>
      <c r="D55" s="10"/>
      <c r="E55" s="10" t="s">
        <v>656</v>
      </c>
      <c r="F55" s="10" t="str">
        <f>IFERROR(VLOOKUP(VENTAS[[#This Row],[Código del producto Vendido]],STOCK[],5,FALSE),"-")</f>
        <v>Vestido floral de manga farol de espalda abierta con cordón bajo con fruncido_L</v>
      </c>
      <c r="G55" s="10">
        <v>4</v>
      </c>
      <c r="H55" s="12">
        <v>20</v>
      </c>
      <c r="I55" s="12">
        <f>VENTAS[[#This Row],[Cantidad]]*VENTAS[[#This Row],[Precio Venta]]</f>
        <v>80</v>
      </c>
      <c r="J55" s="12">
        <f>IF(VENTAS[[#This Row],[Nombre del Gestor]]&gt;1,VENTAS[[#This Row],[Total]]*10%,0)</f>
        <v>0</v>
      </c>
      <c r="K55" s="12">
        <f>IFERROR(VLOOKUP(VENTAS[[#This Row],[Código del producto Vendido]],STOCK[],16,FALSE)*VENTAS[[#This Row],[Cantidad]]+VLOOKUP(VENTAS[[#This Row],[Código del producto Vendido]],STOCK[],19,FALSE)*VENTAS[[#This Row],[Cantidad]],VENTAS[[#This Row],[Total]])</f>
        <v>42.888888888888879</v>
      </c>
      <c r="L55" s="12">
        <f>VENTAS[[#This Row],[Total]]-VENTAS[[#This Row],[Comisión 10%]]-VENTAS[[#This Row],[Costo SIN Comision]]</f>
        <v>37.111111111111121</v>
      </c>
      <c r="M55" s="12"/>
      <c r="N55" s="16"/>
    </row>
    <row r="56" spans="1:14" ht="20" hidden="1" customHeight="1">
      <c r="A56" s="9"/>
      <c r="B56" s="10" t="s">
        <v>4167</v>
      </c>
      <c r="C56" s="10"/>
      <c r="D56" s="10"/>
      <c r="E56" s="10" t="s">
        <v>654</v>
      </c>
      <c r="F56" s="10" t="str">
        <f>IFERROR(VLOOKUP(VENTAS[[#This Row],[Código del producto Vendido]],STOCK[],5,FALSE),"-")</f>
        <v>Vestido floral de manga farol de espalda abierta con cordón bajo con fruncido_M</v>
      </c>
      <c r="G56" s="10">
        <v>4</v>
      </c>
      <c r="H56" s="12">
        <v>20</v>
      </c>
      <c r="I56" s="12">
        <f>VENTAS[[#This Row],[Cantidad]]*VENTAS[[#This Row],[Precio Venta]]</f>
        <v>80</v>
      </c>
      <c r="J56" s="12">
        <f>IF(VENTAS[[#This Row],[Nombre del Gestor]]&gt;1,VENTAS[[#This Row],[Total]]*10%,0)</f>
        <v>0</v>
      </c>
      <c r="K56" s="12">
        <f>IFERROR(VLOOKUP(VENTAS[[#This Row],[Código del producto Vendido]],STOCK[],16,FALSE)*VENTAS[[#This Row],[Cantidad]]+VLOOKUP(VENTAS[[#This Row],[Código del producto Vendido]],STOCK[],19,FALSE)*VENTAS[[#This Row],[Cantidad]],VENTAS[[#This Row],[Total]])</f>
        <v>42.888888888888879</v>
      </c>
      <c r="L56" s="12">
        <f>VENTAS[[#This Row],[Total]]-VENTAS[[#This Row],[Comisión 10%]]-VENTAS[[#This Row],[Costo SIN Comision]]</f>
        <v>37.111111111111121</v>
      </c>
      <c r="M56" s="12"/>
      <c r="N56" s="16"/>
    </row>
    <row r="57" spans="1:14" ht="20" hidden="1" customHeight="1">
      <c r="A57" s="9"/>
      <c r="B57" s="10" t="s">
        <v>4167</v>
      </c>
      <c r="C57" s="10"/>
      <c r="D57" s="10"/>
      <c r="E57" s="10" t="s">
        <v>652</v>
      </c>
      <c r="F57" s="10" t="str">
        <f>IFERROR(VLOOKUP(VENTAS[[#This Row],[Código del producto Vendido]],STOCK[],5,FALSE),"-")</f>
        <v>Vestido floral de manga farol de espalda abierta con cordón bajo con fruncido_S</v>
      </c>
      <c r="G57" s="10">
        <v>4</v>
      </c>
      <c r="H57" s="12">
        <v>20</v>
      </c>
      <c r="I57" s="12">
        <f>VENTAS[[#This Row],[Cantidad]]*VENTAS[[#This Row],[Precio Venta]]</f>
        <v>80</v>
      </c>
      <c r="J57" s="12">
        <f>IF(VENTAS[[#This Row],[Nombre del Gestor]]&gt;1,VENTAS[[#This Row],[Total]]*10%,0)</f>
        <v>0</v>
      </c>
      <c r="K57" s="12">
        <f>IFERROR(VLOOKUP(VENTAS[[#This Row],[Código del producto Vendido]],STOCK[],16,FALSE)*VENTAS[[#This Row],[Cantidad]]+VLOOKUP(VENTAS[[#This Row],[Código del producto Vendido]],STOCK[],19,FALSE)*VENTAS[[#This Row],[Cantidad]],VENTAS[[#This Row],[Total]])</f>
        <v>42.888888888888879</v>
      </c>
      <c r="L57" s="12">
        <f>VENTAS[[#This Row],[Total]]-VENTAS[[#This Row],[Comisión 10%]]-VENTAS[[#This Row],[Costo SIN Comision]]</f>
        <v>37.111111111111121</v>
      </c>
      <c r="M57" s="12"/>
      <c r="N57" s="16"/>
    </row>
    <row r="58" spans="1:14" ht="20" hidden="1" customHeight="1">
      <c r="A58" s="9"/>
      <c r="B58" s="10" t="s">
        <v>4167</v>
      </c>
      <c r="C58" s="10"/>
      <c r="D58" s="10"/>
      <c r="E58" s="10" t="s">
        <v>650</v>
      </c>
      <c r="F58" s="10" t="str">
        <f>IFERROR(VLOOKUP(VENTAS[[#This Row],[Código del producto Vendido]],STOCK[],5,FALSE),"-")</f>
        <v>Vestido floral de manga farol de espalda abierta con cordón bajo con fruncido_XS</v>
      </c>
      <c r="G58" s="10">
        <v>4</v>
      </c>
      <c r="H58" s="12">
        <v>20</v>
      </c>
      <c r="I58" s="12">
        <f>VENTAS[[#This Row],[Cantidad]]*VENTAS[[#This Row],[Precio Venta]]</f>
        <v>80</v>
      </c>
      <c r="J58" s="12">
        <f>IF(VENTAS[[#This Row],[Nombre del Gestor]]&gt;1,VENTAS[[#This Row],[Total]]*10%,0)</f>
        <v>0</v>
      </c>
      <c r="K58" s="12">
        <f>IFERROR(VLOOKUP(VENTAS[[#This Row],[Código del producto Vendido]],STOCK[],16,FALSE)*VENTAS[[#This Row],[Cantidad]]+VLOOKUP(VENTAS[[#This Row],[Código del producto Vendido]],STOCK[],19,FALSE)*VENTAS[[#This Row],[Cantidad]],VENTAS[[#This Row],[Total]])</f>
        <v>42.888888888888879</v>
      </c>
      <c r="L58" s="12">
        <f>VENTAS[[#This Row],[Total]]-VENTAS[[#This Row],[Comisión 10%]]-VENTAS[[#This Row],[Costo SIN Comision]]</f>
        <v>37.111111111111121</v>
      </c>
      <c r="M58" s="12"/>
      <c r="N58" s="16"/>
    </row>
    <row r="59" spans="1:14" ht="20" hidden="1" customHeight="1">
      <c r="A59" s="9">
        <v>45017</v>
      </c>
      <c r="B59" s="10"/>
      <c r="C59" s="10"/>
      <c r="D59" s="10"/>
      <c r="E59" s="10" t="s">
        <v>4168</v>
      </c>
      <c r="F59" s="10" t="str">
        <f>IFERROR(VLOOKUP(VENTAS[[#This Row],[Código del producto Vendido]],STOCK[],5,FALSE),"-")</f>
        <v>-</v>
      </c>
      <c r="G59" s="10">
        <v>1</v>
      </c>
      <c r="H59" s="12">
        <v>15</v>
      </c>
      <c r="I59" s="12">
        <f>VENTAS[[#This Row],[Cantidad]]*VENTAS[[#This Row],[Precio Venta]]</f>
        <v>15</v>
      </c>
      <c r="J59" s="12">
        <f>IF(VENTAS[[#This Row],[Nombre del Gestor]]&gt;1,VENTAS[[#This Row],[Total]]*10%,0)</f>
        <v>0</v>
      </c>
      <c r="K59" s="12">
        <f>IFERROR(VLOOKUP(VENTAS[[#This Row],[Código del producto Vendido]],STOCK[],16,FALSE)*VENTAS[[#This Row],[Cantidad]]+VLOOKUP(VENTAS[[#This Row],[Código del producto Vendido]],STOCK[],19,FALSE)*VENTAS[[#This Row],[Cantidad]],VENTAS[[#This Row],[Total]])</f>
        <v>15</v>
      </c>
      <c r="L59" s="12">
        <f>VENTAS[[#This Row],[Total]]-VENTAS[[#This Row],[Comisión 10%]]-VENTAS[[#This Row],[Costo SIN Comision]]</f>
        <v>0</v>
      </c>
      <c r="M59" s="12"/>
      <c r="N59" s="16"/>
    </row>
    <row r="60" spans="1:14" ht="20" hidden="1" customHeight="1">
      <c r="A60" s="9"/>
      <c r="B60" s="10" t="s">
        <v>4167</v>
      </c>
      <c r="C60" s="10"/>
      <c r="D60" s="10"/>
      <c r="E60" s="10" t="s">
        <v>4169</v>
      </c>
      <c r="F60" s="10" t="str">
        <f>IFERROR(VLOOKUP(VENTAS[[#This Row],[Código del producto Vendido]],STOCK[],5,FALSE),"-")</f>
        <v>-</v>
      </c>
      <c r="G60" s="10">
        <v>1</v>
      </c>
      <c r="H60" s="12">
        <v>15</v>
      </c>
      <c r="I60" s="12">
        <f>VENTAS[[#This Row],[Cantidad]]*VENTAS[[#This Row],[Precio Venta]]</f>
        <v>15</v>
      </c>
      <c r="J60" s="12">
        <f>IF(VENTAS[[#This Row],[Nombre del Gestor]]&gt;1,VENTAS[[#This Row],[Total]]*10%,0)</f>
        <v>0</v>
      </c>
      <c r="K60" s="12">
        <f>IFERROR(VLOOKUP(VENTAS[[#This Row],[Código del producto Vendido]],STOCK[],16,FALSE)*VENTAS[[#This Row],[Cantidad]]+VLOOKUP(VENTAS[[#This Row],[Código del producto Vendido]],STOCK[],19,FALSE)*VENTAS[[#This Row],[Cantidad]],VENTAS[[#This Row],[Total]])</f>
        <v>15</v>
      </c>
      <c r="L60" s="12">
        <f>VENTAS[[#This Row],[Total]]-VENTAS[[#This Row],[Comisión 10%]]-VENTAS[[#This Row],[Costo SIN Comision]]</f>
        <v>0</v>
      </c>
      <c r="M60" s="12"/>
      <c r="N60" s="16"/>
    </row>
    <row r="61" spans="1:14" ht="20" hidden="1" customHeight="1">
      <c r="A61" s="9"/>
      <c r="B61" s="10" t="s">
        <v>4167</v>
      </c>
      <c r="C61" s="10"/>
      <c r="D61" s="10"/>
      <c r="E61" s="10" t="s">
        <v>4169</v>
      </c>
      <c r="F61" s="10" t="str">
        <f>IFERROR(VLOOKUP(VENTAS[[#This Row],[Código del producto Vendido]],STOCK[],5,FALSE),"-")</f>
        <v>-</v>
      </c>
      <c r="G61" s="10">
        <v>1</v>
      </c>
      <c r="H61" s="12">
        <v>0</v>
      </c>
      <c r="I61" s="12">
        <f>VENTAS[[#This Row],[Cantidad]]*VENTAS[[#This Row],[Precio Venta]]</f>
        <v>0</v>
      </c>
      <c r="J61" s="12">
        <f>IF(VENTAS[[#This Row],[Nombre del Gestor]]&gt;1,VENTAS[[#This Row],[Total]]*10%,0)</f>
        <v>0</v>
      </c>
      <c r="K61" s="12">
        <f>IFERROR(VLOOKUP(VENTAS[[#This Row],[Código del producto Vendido]],STOCK[],16,FALSE)*VENTAS[[#This Row],[Cantidad]]+VLOOKUP(VENTAS[[#This Row],[Código del producto Vendido]],STOCK[],19,FALSE)*VENTAS[[#This Row],[Cantidad]],VENTAS[[#This Row],[Total]])</f>
        <v>0</v>
      </c>
      <c r="L61" s="12">
        <f>VENTAS[[#This Row],[Total]]-VENTAS[[#This Row],[Comisión 10%]]-VENTAS[[#This Row],[Costo SIN Comision]]</f>
        <v>0</v>
      </c>
      <c r="M61" s="12"/>
      <c r="N61" s="16"/>
    </row>
    <row r="62" spans="1:14" ht="20" hidden="1" customHeight="1">
      <c r="A62" s="9"/>
      <c r="B62" s="10" t="s">
        <v>4167</v>
      </c>
      <c r="C62" s="10"/>
      <c r="D62" s="10"/>
      <c r="E62" s="10" t="s">
        <v>643</v>
      </c>
      <c r="F62" s="10" t="str">
        <f>IFERROR(VLOOKUP(VENTAS[[#This Row],[Código del producto Vendido]],STOCK[],5,FALSE),"-")</f>
        <v>Vestido floral de manga farol escote corazón con cordón lateral_S</v>
      </c>
      <c r="G62" s="10">
        <v>3</v>
      </c>
      <c r="H62" s="12">
        <v>15</v>
      </c>
      <c r="I62" s="12">
        <f>VENTAS[[#This Row],[Cantidad]]*VENTAS[[#This Row],[Precio Venta]]</f>
        <v>45</v>
      </c>
      <c r="J62" s="12">
        <f>IF(VENTAS[[#This Row],[Nombre del Gestor]]&gt;1,VENTAS[[#This Row],[Total]]*10%,0)</f>
        <v>0</v>
      </c>
      <c r="K62" s="12">
        <f>IFERROR(VLOOKUP(VENTAS[[#This Row],[Código del producto Vendido]],STOCK[],16,FALSE)*VENTAS[[#This Row],[Cantidad]]+VLOOKUP(VENTAS[[#This Row],[Código del producto Vendido]],STOCK[],19,FALSE)*VENTAS[[#This Row],[Cantidad]],VENTAS[[#This Row],[Total]])</f>
        <v>32.166666666666657</v>
      </c>
      <c r="L62" s="12">
        <f>VENTAS[[#This Row],[Total]]-VENTAS[[#This Row],[Comisión 10%]]-VENTAS[[#This Row],[Costo SIN Comision]]</f>
        <v>12.833333333333343</v>
      </c>
      <c r="M62" s="12"/>
      <c r="N62" s="16"/>
    </row>
    <row r="63" spans="1:14" ht="20" hidden="1" customHeight="1">
      <c r="A63" s="9"/>
      <c r="B63" s="10" t="s">
        <v>4167</v>
      </c>
      <c r="C63" s="10"/>
      <c r="D63" s="10"/>
      <c r="E63" s="10" t="s">
        <v>638</v>
      </c>
      <c r="F63" s="10" t="str">
        <f>IFERROR(VLOOKUP(VENTAS[[#This Row],[Código del producto Vendido]],STOCK[],5,FALSE),"-")</f>
        <v>SHEIN Vestido con estampado floral con nudo delantero de manga farol_L</v>
      </c>
      <c r="G63" s="10">
        <v>4</v>
      </c>
      <c r="H63" s="12">
        <v>15</v>
      </c>
      <c r="I63" s="12">
        <f>VENTAS[[#This Row],[Cantidad]]*VENTAS[[#This Row],[Precio Venta]]</f>
        <v>60</v>
      </c>
      <c r="J63" s="12">
        <f>IF(VENTAS[[#This Row],[Nombre del Gestor]]&gt;1,VENTAS[[#This Row],[Total]]*10%,0)</f>
        <v>0</v>
      </c>
      <c r="K63" s="12">
        <f>IFERROR(VLOOKUP(VENTAS[[#This Row],[Código del producto Vendido]],STOCK[],16,FALSE)*VENTAS[[#This Row],[Cantidad]]+VLOOKUP(VENTAS[[#This Row],[Código del producto Vendido]],STOCK[],19,FALSE)*VENTAS[[#This Row],[Cantidad]],VENTAS[[#This Row],[Total]])</f>
        <v>42.888888888888879</v>
      </c>
      <c r="L63" s="12">
        <f>VENTAS[[#This Row],[Total]]-VENTAS[[#This Row],[Comisión 10%]]-VENTAS[[#This Row],[Costo SIN Comision]]</f>
        <v>17.111111111111121</v>
      </c>
      <c r="M63" s="12"/>
      <c r="N63" s="16"/>
    </row>
    <row r="64" spans="1:14" ht="20" hidden="1" customHeight="1">
      <c r="A64" s="9"/>
      <c r="B64" s="10" t="s">
        <v>4167</v>
      </c>
      <c r="C64" s="10"/>
      <c r="D64" s="10"/>
      <c r="E64" s="10" t="s">
        <v>4170</v>
      </c>
      <c r="F64" s="10" t="str">
        <f>IFERROR(VLOOKUP(VENTAS[[#This Row],[Código del producto Vendido]],STOCK[],5,FALSE),"-")</f>
        <v>-</v>
      </c>
      <c r="G64" s="10">
        <v>2</v>
      </c>
      <c r="H64" s="12">
        <v>15</v>
      </c>
      <c r="I64" s="12">
        <f>VENTAS[[#This Row],[Cantidad]]*VENTAS[[#This Row],[Precio Venta]]</f>
        <v>30</v>
      </c>
      <c r="J64" s="12">
        <f>IF(VENTAS[[#This Row],[Nombre del Gestor]]&gt;1,VENTAS[[#This Row],[Total]]*10%,0)</f>
        <v>0</v>
      </c>
      <c r="K64" s="12">
        <f>IFERROR(VLOOKUP(VENTAS[[#This Row],[Código del producto Vendido]],STOCK[],16,FALSE)*VENTAS[[#This Row],[Cantidad]]+VLOOKUP(VENTAS[[#This Row],[Código del producto Vendido]],STOCK[],19,FALSE)*VENTAS[[#This Row],[Cantidad]],VENTAS[[#This Row],[Total]])</f>
        <v>30</v>
      </c>
      <c r="L64" s="12">
        <f>VENTAS[[#This Row],[Total]]-VENTAS[[#This Row],[Comisión 10%]]-VENTAS[[#This Row],[Costo SIN Comision]]</f>
        <v>0</v>
      </c>
      <c r="M64" s="12"/>
      <c r="N64" s="16"/>
    </row>
    <row r="65" spans="1:14" ht="20" hidden="1" customHeight="1">
      <c r="A65" s="9"/>
      <c r="B65" s="10" t="s">
        <v>4167</v>
      </c>
      <c r="C65" s="10"/>
      <c r="D65" s="10"/>
      <c r="E65" s="10" t="s">
        <v>4171</v>
      </c>
      <c r="F65" s="10" t="str">
        <f>IFERROR(VLOOKUP(VENTAS[[#This Row],[Código del producto Vendido]],STOCK[],5,FALSE),"-")</f>
        <v>-</v>
      </c>
      <c r="G65" s="10">
        <v>2</v>
      </c>
      <c r="H65" s="12">
        <v>15</v>
      </c>
      <c r="I65" s="12">
        <f>VENTAS[[#This Row],[Cantidad]]*VENTAS[[#This Row],[Precio Venta]]</f>
        <v>30</v>
      </c>
      <c r="J65" s="12">
        <f>IF(VENTAS[[#This Row],[Nombre del Gestor]]&gt;1,VENTAS[[#This Row],[Total]]*10%,0)</f>
        <v>0</v>
      </c>
      <c r="K65" s="12">
        <f>IFERROR(VLOOKUP(VENTAS[[#This Row],[Código del producto Vendido]],STOCK[],16,FALSE)*VENTAS[[#This Row],[Cantidad]]+VLOOKUP(VENTAS[[#This Row],[Código del producto Vendido]],STOCK[],19,FALSE)*VENTAS[[#This Row],[Cantidad]],VENTAS[[#This Row],[Total]])</f>
        <v>30</v>
      </c>
      <c r="L65" s="12">
        <f>VENTAS[[#This Row],[Total]]-VENTAS[[#This Row],[Comisión 10%]]-VENTAS[[#This Row],[Costo SIN Comision]]</f>
        <v>0</v>
      </c>
      <c r="M65" s="12"/>
      <c r="N65" s="16"/>
    </row>
    <row r="66" spans="1:14" ht="20" hidden="1" customHeight="1">
      <c r="A66" s="9"/>
      <c r="B66" s="10" t="s">
        <v>4167</v>
      </c>
      <c r="C66" s="10"/>
      <c r="D66" s="10"/>
      <c r="E66" s="10" t="s">
        <v>4172</v>
      </c>
      <c r="F66" s="10" t="str">
        <f>IFERROR(VLOOKUP(VENTAS[[#This Row],[Código del producto Vendido]],STOCK[],5,FALSE),"-")</f>
        <v>-</v>
      </c>
      <c r="G66" s="10">
        <v>3</v>
      </c>
      <c r="H66" s="12">
        <v>15</v>
      </c>
      <c r="I66" s="12">
        <f>VENTAS[[#This Row],[Cantidad]]*VENTAS[[#This Row],[Precio Venta]]</f>
        <v>45</v>
      </c>
      <c r="J66" s="12">
        <f>IF(VENTAS[[#This Row],[Nombre del Gestor]]&gt;1,VENTAS[[#This Row],[Total]]*10%,0)</f>
        <v>0</v>
      </c>
      <c r="K66" s="12">
        <f>IFERROR(VLOOKUP(VENTAS[[#This Row],[Código del producto Vendido]],STOCK[],16,FALSE)*VENTAS[[#This Row],[Cantidad]]+VLOOKUP(VENTAS[[#This Row],[Código del producto Vendido]],STOCK[],19,FALSE)*VENTAS[[#This Row],[Cantidad]],VENTAS[[#This Row],[Total]])</f>
        <v>45</v>
      </c>
      <c r="L66" s="12">
        <f>VENTAS[[#This Row],[Total]]-VENTAS[[#This Row],[Comisión 10%]]-VENTAS[[#This Row],[Costo SIN Comision]]</f>
        <v>0</v>
      </c>
      <c r="M66" s="12"/>
      <c r="N66" s="16"/>
    </row>
    <row r="67" spans="1:14" ht="20" hidden="1" customHeight="1">
      <c r="A67" s="9"/>
      <c r="B67" s="10" t="s">
        <v>4167</v>
      </c>
      <c r="C67" s="10"/>
      <c r="D67" s="10"/>
      <c r="E67" s="10" t="s">
        <v>4173</v>
      </c>
      <c r="F67" s="10" t="str">
        <f>IFERROR(VLOOKUP(VENTAS[[#This Row],[Código del producto Vendido]],STOCK[],5,FALSE),"-")</f>
        <v>-</v>
      </c>
      <c r="G67" s="10">
        <v>2</v>
      </c>
      <c r="H67" s="12">
        <v>20</v>
      </c>
      <c r="I67" s="12">
        <f>VENTAS[[#This Row],[Cantidad]]*VENTAS[[#This Row],[Precio Venta]]</f>
        <v>40</v>
      </c>
      <c r="J67" s="12">
        <f>IF(VENTAS[[#This Row],[Nombre del Gestor]]&gt;1,VENTAS[[#This Row],[Total]]*10%,0)</f>
        <v>0</v>
      </c>
      <c r="K67" s="12">
        <f>IFERROR(VLOOKUP(VENTAS[[#This Row],[Código del producto Vendido]],STOCK[],16,FALSE)*VENTAS[[#This Row],[Cantidad]]+VLOOKUP(VENTAS[[#This Row],[Código del producto Vendido]],STOCK[],19,FALSE)*VENTAS[[#This Row],[Cantidad]],VENTAS[[#This Row],[Total]])</f>
        <v>40</v>
      </c>
      <c r="L67" s="12">
        <f>VENTAS[[#This Row],[Total]]-VENTAS[[#This Row],[Comisión 10%]]-VENTAS[[#This Row],[Costo SIN Comision]]</f>
        <v>0</v>
      </c>
      <c r="M67" s="12"/>
      <c r="N67" s="16"/>
    </row>
    <row r="68" spans="1:14" ht="20" hidden="1" customHeight="1">
      <c r="A68" s="9"/>
      <c r="B68" s="10" t="s">
        <v>4167</v>
      </c>
      <c r="C68" s="10"/>
      <c r="D68" s="10"/>
      <c r="E68" s="10" t="s">
        <v>633</v>
      </c>
      <c r="F68" s="10" t="str">
        <f>IFERROR(VLOOKUP(VENTAS[[#This Row],[Código del producto Vendido]],STOCK[],5,FALSE),"-")</f>
        <v>Vestido floral con abertura trasera</v>
      </c>
      <c r="G68" s="10">
        <v>2</v>
      </c>
      <c r="H68" s="12">
        <v>20</v>
      </c>
      <c r="I68" s="12">
        <f>VENTAS[[#This Row],[Cantidad]]*VENTAS[[#This Row],[Precio Venta]]</f>
        <v>40</v>
      </c>
      <c r="J68" s="12">
        <f>IF(VENTAS[[#This Row],[Nombre del Gestor]]&gt;1,VENTAS[[#This Row],[Total]]*10%,0)</f>
        <v>0</v>
      </c>
      <c r="K68" s="12">
        <f>IFERROR(VLOOKUP(VENTAS[[#This Row],[Código del producto Vendido]],STOCK[],16,FALSE)*VENTAS[[#This Row],[Cantidad]]+VLOOKUP(VENTAS[[#This Row],[Código del producto Vendido]],STOCK[],19,FALSE)*VENTAS[[#This Row],[Cantidad]],VENTAS[[#This Row],[Total]])</f>
        <v>21.444444444444439</v>
      </c>
      <c r="L68" s="12">
        <f>VENTAS[[#This Row],[Total]]-VENTAS[[#This Row],[Comisión 10%]]-VENTAS[[#This Row],[Costo SIN Comision]]</f>
        <v>18.555555555555561</v>
      </c>
      <c r="M68" s="12"/>
      <c r="N68" s="16"/>
    </row>
    <row r="69" spans="1:14" ht="20" hidden="1" customHeight="1">
      <c r="A69" s="9"/>
      <c r="B69" s="10" t="s">
        <v>4167</v>
      </c>
      <c r="C69" s="10"/>
      <c r="D69" s="10"/>
      <c r="E69" s="10" t="s">
        <v>4174</v>
      </c>
      <c r="F69" s="10" t="str">
        <f>IFERROR(VLOOKUP(VENTAS[[#This Row],[Código del producto Vendido]],STOCK[],5,FALSE),"-")</f>
        <v>-</v>
      </c>
      <c r="G69" s="10">
        <v>1</v>
      </c>
      <c r="H69" s="12">
        <v>15</v>
      </c>
      <c r="I69" s="12">
        <f>VENTAS[[#This Row],[Cantidad]]*VENTAS[[#This Row],[Precio Venta]]</f>
        <v>15</v>
      </c>
      <c r="J69" s="12">
        <f>IF(VENTAS[[#This Row],[Nombre del Gestor]]&gt;1,VENTAS[[#This Row],[Total]]*10%,0)</f>
        <v>0</v>
      </c>
      <c r="K69" s="12">
        <f>IFERROR(VLOOKUP(VENTAS[[#This Row],[Código del producto Vendido]],STOCK[],16,FALSE)*VENTAS[[#This Row],[Cantidad]]+VLOOKUP(VENTAS[[#This Row],[Código del producto Vendido]],STOCK[],19,FALSE)*VENTAS[[#This Row],[Cantidad]],VENTAS[[#This Row],[Total]])</f>
        <v>15</v>
      </c>
      <c r="L69" s="12">
        <f>VENTAS[[#This Row],[Total]]-VENTAS[[#This Row],[Comisión 10%]]-VENTAS[[#This Row],[Costo SIN Comision]]</f>
        <v>0</v>
      </c>
      <c r="M69" s="12"/>
      <c r="N69" s="16"/>
    </row>
    <row r="70" spans="1:14" ht="20" hidden="1" customHeight="1">
      <c r="A70" s="9"/>
      <c r="B70" s="10" t="s">
        <v>4167</v>
      </c>
      <c r="C70" s="10"/>
      <c r="D70" s="10"/>
      <c r="E70" s="10" t="s">
        <v>4175</v>
      </c>
      <c r="F70" s="10" t="str">
        <f>IFERROR(VLOOKUP(VENTAS[[#This Row],[Código del producto Vendido]],STOCK[],5,FALSE),"-")</f>
        <v>-</v>
      </c>
      <c r="G70" s="10">
        <v>1</v>
      </c>
      <c r="H70" s="12">
        <v>15</v>
      </c>
      <c r="I70" s="12">
        <f>VENTAS[[#This Row],[Cantidad]]*VENTAS[[#This Row],[Precio Venta]]</f>
        <v>15</v>
      </c>
      <c r="J70" s="12">
        <f>IF(VENTAS[[#This Row],[Nombre del Gestor]]&gt;1,VENTAS[[#This Row],[Total]]*10%,0)</f>
        <v>0</v>
      </c>
      <c r="K70" s="12">
        <f>IFERROR(VLOOKUP(VENTAS[[#This Row],[Código del producto Vendido]],STOCK[],16,FALSE)*VENTAS[[#This Row],[Cantidad]]+VLOOKUP(VENTAS[[#This Row],[Código del producto Vendido]],STOCK[],19,FALSE)*VENTAS[[#This Row],[Cantidad]],VENTAS[[#This Row],[Total]])</f>
        <v>15</v>
      </c>
      <c r="L70" s="12">
        <f>VENTAS[[#This Row],[Total]]-VENTAS[[#This Row],[Comisión 10%]]-VENTAS[[#This Row],[Costo SIN Comision]]</f>
        <v>0</v>
      </c>
      <c r="M70" s="12"/>
      <c r="N70" s="16"/>
    </row>
    <row r="71" spans="1:14" ht="20" hidden="1" customHeight="1">
      <c r="A71" s="9"/>
      <c r="B71" s="10" t="s">
        <v>4167</v>
      </c>
      <c r="C71" s="10"/>
      <c r="D71" s="10"/>
      <c r="E71" s="10" t="s">
        <v>409</v>
      </c>
      <c r="F71" s="10" t="str">
        <f>IFERROR(VLOOKUP(VENTAS[[#This Row],[Código del producto Vendido]],STOCK[],5,FALSE),"-")</f>
        <v xml:space="preserve">Bañador una pieza de color combinado </v>
      </c>
      <c r="G71" s="10">
        <v>1</v>
      </c>
      <c r="H71" s="12">
        <v>20</v>
      </c>
      <c r="I71" s="12">
        <f>VENTAS[[#This Row],[Cantidad]]*VENTAS[[#This Row],[Precio Venta]]</f>
        <v>20</v>
      </c>
      <c r="J71" s="12">
        <f>IF(VENTAS[[#This Row],[Nombre del Gestor]]&gt;1,VENTAS[[#This Row],[Total]]*10%,0)</f>
        <v>0</v>
      </c>
      <c r="K71" s="12">
        <f>IFERROR(VLOOKUP(VENTAS[[#This Row],[Código del producto Vendido]],STOCK[],16,FALSE)*VENTAS[[#This Row],[Cantidad]]+VLOOKUP(VENTAS[[#This Row],[Código del producto Vendido]],STOCK[],19,FALSE)*VENTAS[[#This Row],[Cantidad]],VENTAS[[#This Row],[Total]])</f>
        <v>9.6666666666666696</v>
      </c>
      <c r="L71" s="12">
        <f>VENTAS[[#This Row],[Total]]-VENTAS[[#This Row],[Comisión 10%]]-VENTAS[[#This Row],[Costo SIN Comision]]</f>
        <v>10.33333333333333</v>
      </c>
      <c r="M71" s="12"/>
      <c r="N71" s="16"/>
    </row>
    <row r="72" spans="1:14" ht="20" hidden="1" customHeight="1">
      <c r="A72" s="9"/>
      <c r="B72" s="10" t="s">
        <v>4167</v>
      </c>
      <c r="C72" s="10"/>
      <c r="D72" s="10"/>
      <c r="E72" s="10" t="s">
        <v>410</v>
      </c>
      <c r="F72" s="10" t="str">
        <f>IFERROR(VLOOKUP(VENTAS[[#This Row],[Código del producto Vendido]],STOCK[],5,FALSE),"-")</f>
        <v xml:space="preserve">Bañador una pieza de color combinado </v>
      </c>
      <c r="G72" s="10">
        <v>1</v>
      </c>
      <c r="H72" s="12">
        <v>20</v>
      </c>
      <c r="I72" s="12">
        <f>VENTAS[[#This Row],[Cantidad]]*VENTAS[[#This Row],[Precio Venta]]</f>
        <v>20</v>
      </c>
      <c r="J72" s="12">
        <f>IF(VENTAS[[#This Row],[Nombre del Gestor]]&gt;1,VENTAS[[#This Row],[Total]]*10%,0)</f>
        <v>0</v>
      </c>
      <c r="K72" s="12">
        <f>IFERROR(VLOOKUP(VENTAS[[#This Row],[Código del producto Vendido]],STOCK[],16,FALSE)*VENTAS[[#This Row],[Cantidad]]+VLOOKUP(VENTAS[[#This Row],[Código del producto Vendido]],STOCK[],19,FALSE)*VENTAS[[#This Row],[Cantidad]],VENTAS[[#This Row],[Total]])</f>
        <v>9.6666666666666696</v>
      </c>
      <c r="L72" s="12">
        <f>VENTAS[[#This Row],[Total]]-VENTAS[[#This Row],[Comisión 10%]]-VENTAS[[#This Row],[Costo SIN Comision]]</f>
        <v>10.33333333333333</v>
      </c>
      <c r="M72" s="12"/>
      <c r="N72" s="16"/>
    </row>
    <row r="73" spans="1:14" ht="20" hidden="1" customHeight="1">
      <c r="A73" s="9"/>
      <c r="B73" s="10" t="s">
        <v>4167</v>
      </c>
      <c r="C73" s="10"/>
      <c r="D73" s="10"/>
      <c r="E73" s="10" t="s">
        <v>606</v>
      </c>
      <c r="F73" s="10" t="str">
        <f>IFERROR(VLOOKUP(VENTAS[[#This Row],[Código del producto Vendido]],STOCK[],5,FALSE),"-")</f>
        <v>SHEIN Vestido con estampado floral pecho con fruncido con nudo delantero bajo con fruncido_L</v>
      </c>
      <c r="G73" s="10">
        <v>1</v>
      </c>
      <c r="H73" s="12">
        <v>20</v>
      </c>
      <c r="I73" s="12">
        <f>VENTAS[[#This Row],[Cantidad]]*VENTAS[[#This Row],[Precio Venta]]</f>
        <v>20</v>
      </c>
      <c r="J73" s="12">
        <f>IF(VENTAS[[#This Row],[Nombre del Gestor]]&gt;1,VENTAS[[#This Row],[Total]]*10%,0)</f>
        <v>0</v>
      </c>
      <c r="K73" s="12">
        <f>IFERROR(VLOOKUP(VENTAS[[#This Row],[Código del producto Vendido]],STOCK[],16,FALSE)*VENTAS[[#This Row],[Cantidad]]+VLOOKUP(VENTAS[[#This Row],[Código del producto Vendido]],STOCK[],19,FALSE)*VENTAS[[#This Row],[Cantidad]],VENTAS[[#This Row],[Total]])</f>
        <v>10.72222222222222</v>
      </c>
      <c r="L73" s="12">
        <f>VENTAS[[#This Row],[Total]]-VENTAS[[#This Row],[Comisión 10%]]-VENTAS[[#This Row],[Costo SIN Comision]]</f>
        <v>9.2777777777777803</v>
      </c>
      <c r="M73" s="12"/>
      <c r="N73" s="16"/>
    </row>
    <row r="74" spans="1:14" ht="20" hidden="1" customHeight="1">
      <c r="A74" s="9"/>
      <c r="B74" s="10" t="s">
        <v>4167</v>
      </c>
      <c r="C74" s="10"/>
      <c r="D74" s="10"/>
      <c r="E74" s="10" t="s">
        <v>4176</v>
      </c>
      <c r="F74" s="10" t="str">
        <f>IFERROR(VLOOKUP(VENTAS[[#This Row],[Código del producto Vendido]],STOCK[],5,FALSE),"-")</f>
        <v>-</v>
      </c>
      <c r="G74" s="10">
        <v>1</v>
      </c>
      <c r="H74" s="12">
        <v>15</v>
      </c>
      <c r="I74" s="12">
        <f>VENTAS[[#This Row],[Cantidad]]*VENTAS[[#This Row],[Precio Venta]]</f>
        <v>15</v>
      </c>
      <c r="J74" s="12">
        <f>IF(VENTAS[[#This Row],[Nombre del Gestor]]&gt;1,VENTAS[[#This Row],[Total]]*10%,0)</f>
        <v>0</v>
      </c>
      <c r="K74" s="12">
        <f>IFERROR(VLOOKUP(VENTAS[[#This Row],[Código del producto Vendido]],STOCK[],16,FALSE)*VENTAS[[#This Row],[Cantidad]]+VLOOKUP(VENTAS[[#This Row],[Código del producto Vendido]],STOCK[],19,FALSE)*VENTAS[[#This Row],[Cantidad]],VENTAS[[#This Row],[Total]])</f>
        <v>15</v>
      </c>
      <c r="L74" s="12">
        <f>VENTAS[[#This Row],[Total]]-VENTAS[[#This Row],[Comisión 10%]]-VENTAS[[#This Row],[Costo SIN Comision]]</f>
        <v>0</v>
      </c>
      <c r="M74" s="12"/>
      <c r="N74" s="16"/>
    </row>
    <row r="75" spans="1:14" ht="20" hidden="1" customHeight="1">
      <c r="A75" s="9"/>
      <c r="B75" s="10" t="s">
        <v>4167</v>
      </c>
      <c r="C75" s="10"/>
      <c r="D75" s="10"/>
      <c r="E75" s="10" t="s">
        <v>621</v>
      </c>
      <c r="F75" s="10" t="str">
        <f>IFERROR(VLOOKUP(VENTAS[[#This Row],[Código del producto Vendido]],STOCK[],5,FALSE),"-")</f>
        <v>Vestido pecho con fruncido cruzado cintura con estampado floral_S</v>
      </c>
      <c r="G75" s="10">
        <v>3</v>
      </c>
      <c r="H75" s="12">
        <v>20</v>
      </c>
      <c r="I75" s="12">
        <f>VENTAS[[#This Row],[Cantidad]]*VENTAS[[#This Row],[Precio Venta]]</f>
        <v>60</v>
      </c>
      <c r="J75" s="12">
        <f>IF(VENTAS[[#This Row],[Nombre del Gestor]]&gt;1,VENTAS[[#This Row],[Total]]*10%,0)</f>
        <v>0</v>
      </c>
      <c r="K75" s="12">
        <f>IFERROR(VLOOKUP(VENTAS[[#This Row],[Código del producto Vendido]],STOCK[],16,FALSE)*VENTAS[[#This Row],[Cantidad]]+VLOOKUP(VENTAS[[#This Row],[Código del producto Vendido]],STOCK[],19,FALSE)*VENTAS[[#This Row],[Cantidad]],VENTAS[[#This Row],[Total]])</f>
        <v>32.166666666666657</v>
      </c>
      <c r="L75" s="12">
        <f>VENTAS[[#This Row],[Total]]-VENTAS[[#This Row],[Comisión 10%]]-VENTAS[[#This Row],[Costo SIN Comision]]</f>
        <v>27.833333333333343</v>
      </c>
      <c r="M75" s="12"/>
      <c r="N75" s="16"/>
    </row>
    <row r="76" spans="1:14" ht="20" hidden="1" customHeight="1">
      <c r="A76" s="9"/>
      <c r="B76" s="10" t="s">
        <v>4167</v>
      </c>
      <c r="C76" s="10"/>
      <c r="D76" s="10"/>
      <c r="E76" s="10" t="s">
        <v>623</v>
      </c>
      <c r="F76" s="10" t="str">
        <f>IFERROR(VLOOKUP(VENTAS[[#This Row],[Código del producto Vendido]],STOCK[],5,FALSE),"-")</f>
        <v>Vestido pecho con fruncido cruzado cintura con estampado floral_M</v>
      </c>
      <c r="G76" s="10">
        <v>3</v>
      </c>
      <c r="H76" s="12">
        <v>20</v>
      </c>
      <c r="I76" s="12">
        <f>VENTAS[[#This Row],[Cantidad]]*VENTAS[[#This Row],[Precio Venta]]</f>
        <v>60</v>
      </c>
      <c r="J76" s="12">
        <f>IF(VENTAS[[#This Row],[Nombre del Gestor]]&gt;1,VENTAS[[#This Row],[Total]]*10%,0)</f>
        <v>0</v>
      </c>
      <c r="K76" s="12">
        <f>IFERROR(VLOOKUP(VENTAS[[#This Row],[Código del producto Vendido]],STOCK[],16,FALSE)*VENTAS[[#This Row],[Cantidad]]+VLOOKUP(VENTAS[[#This Row],[Código del producto Vendido]],STOCK[],19,FALSE)*VENTAS[[#This Row],[Cantidad]],VENTAS[[#This Row],[Total]])</f>
        <v>32.166666666666657</v>
      </c>
      <c r="L76" s="12">
        <f>VENTAS[[#This Row],[Total]]-VENTAS[[#This Row],[Comisión 10%]]-VENTAS[[#This Row],[Costo SIN Comision]]</f>
        <v>27.833333333333343</v>
      </c>
      <c r="M76" s="12"/>
      <c r="N76" s="16"/>
    </row>
    <row r="77" spans="1:14" ht="20" hidden="1" customHeight="1">
      <c r="A77" s="9"/>
      <c r="B77" s="10" t="s">
        <v>4167</v>
      </c>
      <c r="C77" s="10"/>
      <c r="D77" s="10"/>
      <c r="E77" s="10" t="s">
        <v>625</v>
      </c>
      <c r="F77" s="10" t="str">
        <f>IFERROR(VLOOKUP(VENTAS[[#This Row],[Código del producto Vendido]],STOCK[],5,FALSE),"-")</f>
        <v>Vestido pecho con fruncido cruzado cintura con estampado floral_L</v>
      </c>
      <c r="G77" s="10">
        <v>2</v>
      </c>
      <c r="H77" s="12">
        <v>20</v>
      </c>
      <c r="I77" s="12">
        <f>VENTAS[[#This Row],[Cantidad]]*VENTAS[[#This Row],[Precio Venta]]</f>
        <v>40</v>
      </c>
      <c r="J77" s="12">
        <f>IF(VENTAS[[#This Row],[Nombre del Gestor]]&gt;1,VENTAS[[#This Row],[Total]]*10%,0)</f>
        <v>0</v>
      </c>
      <c r="K77" s="12">
        <f>IFERROR(VLOOKUP(VENTAS[[#This Row],[Código del producto Vendido]],STOCK[],16,FALSE)*VENTAS[[#This Row],[Cantidad]]+VLOOKUP(VENTAS[[#This Row],[Código del producto Vendido]],STOCK[],19,FALSE)*VENTAS[[#This Row],[Cantidad]],VENTAS[[#This Row],[Total]])</f>
        <v>21.444444444444439</v>
      </c>
      <c r="L77" s="12">
        <f>VENTAS[[#This Row],[Total]]-VENTAS[[#This Row],[Comisión 10%]]-VENTAS[[#This Row],[Costo SIN Comision]]</f>
        <v>18.555555555555561</v>
      </c>
      <c r="M77" s="12"/>
      <c r="N77" s="16"/>
    </row>
    <row r="78" spans="1:14" ht="20" hidden="1" customHeight="1">
      <c r="A78" s="9"/>
      <c r="B78" s="10" t="s">
        <v>4167</v>
      </c>
      <c r="C78" s="10"/>
      <c r="D78" s="10"/>
      <c r="E78" s="10" t="s">
        <v>612</v>
      </c>
      <c r="F78" s="10" t="str">
        <f>IFERROR(VLOOKUP(VENTAS[[#This Row],[Código del producto Vendido]],STOCK[],5,FALSE),"-")</f>
        <v>SHEIN Vestido fruncido de cuello con cordón de manga con volante de lunares_M</v>
      </c>
      <c r="G78" s="10">
        <v>3</v>
      </c>
      <c r="H78" s="12">
        <v>20</v>
      </c>
      <c r="I78" s="12">
        <f>VENTAS[[#This Row],[Cantidad]]*VENTAS[[#This Row],[Precio Venta]]</f>
        <v>60</v>
      </c>
      <c r="J78" s="12">
        <f>IF(VENTAS[[#This Row],[Nombre del Gestor]]&gt;1,VENTAS[[#This Row],[Total]]*10%,0)</f>
        <v>0</v>
      </c>
      <c r="K78" s="12">
        <f>IFERROR(VLOOKUP(VENTAS[[#This Row],[Código del producto Vendido]],STOCK[],16,FALSE)*VENTAS[[#This Row],[Cantidad]]+VLOOKUP(VENTAS[[#This Row],[Código del producto Vendido]],STOCK[],19,FALSE)*VENTAS[[#This Row],[Cantidad]],VENTAS[[#This Row],[Total]])</f>
        <v>32.166666666666657</v>
      </c>
      <c r="L78" s="12">
        <f>VENTAS[[#This Row],[Total]]-VENTAS[[#This Row],[Comisión 10%]]-VENTAS[[#This Row],[Costo SIN Comision]]</f>
        <v>27.833333333333343</v>
      </c>
      <c r="M78" s="12"/>
      <c r="N78" s="16"/>
    </row>
    <row r="79" spans="1:14" ht="20" hidden="1" customHeight="1">
      <c r="A79" s="9"/>
      <c r="B79" s="10" t="s">
        <v>4167</v>
      </c>
      <c r="C79" s="10"/>
      <c r="D79" s="10"/>
      <c r="E79" s="10" t="s">
        <v>610</v>
      </c>
      <c r="F79" s="10" t="str">
        <f>IFERROR(VLOOKUP(VENTAS[[#This Row],[Código del producto Vendido]],STOCK[],5,FALSE),"-")</f>
        <v>SHEIN Vestido fruncido de cuello con cordón de manga con volante de lunares_XS</v>
      </c>
      <c r="G79" s="10">
        <v>3</v>
      </c>
      <c r="H79" s="12">
        <v>20</v>
      </c>
      <c r="I79" s="12">
        <f>VENTAS[[#This Row],[Cantidad]]*VENTAS[[#This Row],[Precio Venta]]</f>
        <v>60</v>
      </c>
      <c r="J79" s="12">
        <f>IF(VENTAS[[#This Row],[Nombre del Gestor]]&gt;1,VENTAS[[#This Row],[Total]]*10%,0)</f>
        <v>0</v>
      </c>
      <c r="K79" s="12">
        <f>IFERROR(VLOOKUP(VENTAS[[#This Row],[Código del producto Vendido]],STOCK[],16,FALSE)*VENTAS[[#This Row],[Cantidad]]+VLOOKUP(VENTAS[[#This Row],[Código del producto Vendido]],STOCK[],19,FALSE)*VENTAS[[#This Row],[Cantidad]],VENTAS[[#This Row],[Total]])</f>
        <v>32.166666666666657</v>
      </c>
      <c r="L79" s="12">
        <f>VENTAS[[#This Row],[Total]]-VENTAS[[#This Row],[Comisión 10%]]-VENTAS[[#This Row],[Costo SIN Comision]]</f>
        <v>27.833333333333343</v>
      </c>
      <c r="M79" s="12"/>
      <c r="N79" s="16"/>
    </row>
    <row r="80" spans="1:14" ht="20" hidden="1" customHeight="1">
      <c r="A80" s="9"/>
      <c r="B80" s="10" t="s">
        <v>4167</v>
      </c>
      <c r="C80" s="10"/>
      <c r="D80" s="10"/>
      <c r="E80" s="10" t="s">
        <v>675</v>
      </c>
      <c r="F80" s="10" t="str">
        <f>IFERROR(VLOOKUP(VENTAS[[#This Row],[Código del producto Vendido]],STOCK[],5,FALSE),"-")</f>
        <v>SHEIN Frenchy Vestido de leopardo &amp; piel de tigre con estampado de manga mariposa sin cinturón_S</v>
      </c>
      <c r="G80" s="10">
        <v>3</v>
      </c>
      <c r="H80" s="12">
        <v>20</v>
      </c>
      <c r="I80" s="12">
        <f>VENTAS[[#This Row],[Cantidad]]*VENTAS[[#This Row],[Precio Venta]]</f>
        <v>60</v>
      </c>
      <c r="J80" s="12">
        <f>IF(VENTAS[[#This Row],[Nombre del Gestor]]&gt;1,VENTAS[[#This Row],[Total]]*10%,0)</f>
        <v>0</v>
      </c>
      <c r="K80" s="12">
        <f>IFERROR(VLOOKUP(VENTAS[[#This Row],[Código del producto Vendido]],STOCK[],16,FALSE)*VENTAS[[#This Row],[Cantidad]]+VLOOKUP(VENTAS[[#This Row],[Código del producto Vendido]],STOCK[],19,FALSE)*VENTAS[[#This Row],[Cantidad]],VENTAS[[#This Row],[Total]])</f>
        <v>32.166666666666657</v>
      </c>
      <c r="L80" s="12">
        <f>VENTAS[[#This Row],[Total]]-VENTAS[[#This Row],[Comisión 10%]]-VENTAS[[#This Row],[Costo SIN Comision]]</f>
        <v>27.833333333333343</v>
      </c>
      <c r="M80" s="12"/>
      <c r="N80" s="16"/>
    </row>
    <row r="81" spans="1:14" ht="20" hidden="1" customHeight="1">
      <c r="A81" s="9"/>
      <c r="B81" s="10" t="s">
        <v>4167</v>
      </c>
      <c r="C81" s="10"/>
      <c r="D81" s="10"/>
      <c r="E81" s="10" t="s">
        <v>681</v>
      </c>
      <c r="F81" s="10" t="str">
        <f>IFERROR(VLOOKUP(VENTAS[[#This Row],[Código del producto Vendido]],STOCK[],5,FALSE),"-")</f>
        <v>Vestido de espalda abierta de manga farol_L</v>
      </c>
      <c r="G81" s="10">
        <v>3</v>
      </c>
      <c r="H81" s="12">
        <v>20</v>
      </c>
      <c r="I81" s="12">
        <f>VENTAS[[#This Row],[Cantidad]]*VENTAS[[#This Row],[Precio Venta]]</f>
        <v>60</v>
      </c>
      <c r="J81" s="12">
        <f>IF(VENTAS[[#This Row],[Nombre del Gestor]]&gt;1,VENTAS[[#This Row],[Total]]*10%,0)</f>
        <v>0</v>
      </c>
      <c r="K81" s="12">
        <f>IFERROR(VLOOKUP(VENTAS[[#This Row],[Código del producto Vendido]],STOCK[],16,FALSE)*VENTAS[[#This Row],[Cantidad]]+VLOOKUP(VENTAS[[#This Row],[Código del producto Vendido]],STOCK[],19,FALSE)*VENTAS[[#This Row],[Cantidad]],VENTAS[[#This Row],[Total]])</f>
        <v>32.166666666666657</v>
      </c>
      <c r="L81" s="12">
        <f>VENTAS[[#This Row],[Total]]-VENTAS[[#This Row],[Comisión 10%]]-VENTAS[[#This Row],[Costo SIN Comision]]</f>
        <v>27.833333333333343</v>
      </c>
      <c r="M81" s="12"/>
      <c r="N81" s="16"/>
    </row>
    <row r="82" spans="1:14" ht="20" hidden="1" customHeight="1">
      <c r="A82" s="9"/>
      <c r="B82" s="10" t="s">
        <v>4167</v>
      </c>
      <c r="C82" s="10"/>
      <c r="D82" s="10"/>
      <c r="E82" s="10" t="s">
        <v>683</v>
      </c>
      <c r="F82" s="10" t="str">
        <f>IFERROR(VLOOKUP(VENTAS[[#This Row],[Código del producto Vendido]],STOCK[],5,FALSE),"-")</f>
        <v>Vestido de espalda abierta de manga farol_M</v>
      </c>
      <c r="G82" s="10">
        <v>3</v>
      </c>
      <c r="H82" s="12">
        <v>20</v>
      </c>
      <c r="I82" s="12">
        <f>VENTAS[[#This Row],[Cantidad]]*VENTAS[[#This Row],[Precio Venta]]</f>
        <v>60</v>
      </c>
      <c r="J82" s="12">
        <f>IF(VENTAS[[#This Row],[Nombre del Gestor]]&gt;1,VENTAS[[#This Row],[Total]]*10%,0)</f>
        <v>0</v>
      </c>
      <c r="K82" s="12">
        <f>IFERROR(VLOOKUP(VENTAS[[#This Row],[Código del producto Vendido]],STOCK[],16,FALSE)*VENTAS[[#This Row],[Cantidad]]+VLOOKUP(VENTAS[[#This Row],[Código del producto Vendido]],STOCK[],19,FALSE)*VENTAS[[#This Row],[Cantidad]],VENTAS[[#This Row],[Total]])</f>
        <v>32.166666666666657</v>
      </c>
      <c r="L82" s="12">
        <f>VENTAS[[#This Row],[Total]]-VENTAS[[#This Row],[Comisión 10%]]-VENTAS[[#This Row],[Costo SIN Comision]]</f>
        <v>27.833333333333343</v>
      </c>
      <c r="M82" s="12"/>
      <c r="N82" s="16"/>
    </row>
    <row r="83" spans="1:14" ht="20" hidden="1" customHeight="1">
      <c r="A83" s="9"/>
      <c r="B83" s="10" t="s">
        <v>4167</v>
      </c>
      <c r="C83" s="10"/>
      <c r="D83" s="10"/>
      <c r="E83" s="10" t="s">
        <v>574</v>
      </c>
      <c r="F83" s="10" t="str">
        <f>IFERROR(VLOOKUP(VENTAS[[#This Row],[Código del producto Vendido]],STOCK[],5,FALSE),"-")</f>
        <v>Vestido de manga farol de cuello cuadrado_XS</v>
      </c>
      <c r="G83" s="10">
        <v>3</v>
      </c>
      <c r="H83" s="12">
        <v>15</v>
      </c>
      <c r="I83" s="12">
        <f>VENTAS[[#This Row],[Cantidad]]*VENTAS[[#This Row],[Precio Venta]]</f>
        <v>45</v>
      </c>
      <c r="J83" s="12">
        <f>IF(VENTAS[[#This Row],[Nombre del Gestor]]&gt;1,VENTAS[[#This Row],[Total]]*10%,0)</f>
        <v>0</v>
      </c>
      <c r="K83" s="12">
        <f>IFERROR(VLOOKUP(VENTAS[[#This Row],[Código del producto Vendido]],STOCK[],16,FALSE)*VENTAS[[#This Row],[Cantidad]]+VLOOKUP(VENTAS[[#This Row],[Código del producto Vendido]],STOCK[],19,FALSE)*VENTAS[[#This Row],[Cantidad]],VENTAS[[#This Row],[Total]])</f>
        <v>32.166666666666657</v>
      </c>
      <c r="L83" s="12">
        <f>VENTAS[[#This Row],[Total]]-VENTAS[[#This Row],[Comisión 10%]]-VENTAS[[#This Row],[Costo SIN Comision]]</f>
        <v>12.833333333333343</v>
      </c>
      <c r="M83" s="12"/>
      <c r="N83" s="16"/>
    </row>
    <row r="84" spans="1:14" ht="20" hidden="1" customHeight="1">
      <c r="A84" s="9"/>
      <c r="B84" s="10" t="s">
        <v>4167</v>
      </c>
      <c r="C84" s="10"/>
      <c r="D84" s="10"/>
      <c r="E84" s="10" t="s">
        <v>572</v>
      </c>
      <c r="F84" s="10" t="str">
        <f>IFERROR(VLOOKUP(VENTAS[[#This Row],[Código del producto Vendido]],STOCK[],5,FALSE),"-")</f>
        <v>Vestido de manga farol de cuello cuadrado_S</v>
      </c>
      <c r="G84" s="10">
        <v>3</v>
      </c>
      <c r="H84" s="12">
        <v>15</v>
      </c>
      <c r="I84" s="12">
        <f>VENTAS[[#This Row],[Cantidad]]*VENTAS[[#This Row],[Precio Venta]]</f>
        <v>45</v>
      </c>
      <c r="J84" s="12">
        <f>IF(VENTAS[[#This Row],[Nombre del Gestor]]&gt;1,VENTAS[[#This Row],[Total]]*10%,0)</f>
        <v>0</v>
      </c>
      <c r="K84" s="12">
        <f>IFERROR(VLOOKUP(VENTAS[[#This Row],[Código del producto Vendido]],STOCK[],16,FALSE)*VENTAS[[#This Row],[Cantidad]]+VLOOKUP(VENTAS[[#This Row],[Código del producto Vendido]],STOCK[],19,FALSE)*VENTAS[[#This Row],[Cantidad]],VENTAS[[#This Row],[Total]])</f>
        <v>32.166666666666657</v>
      </c>
      <c r="L84" s="12">
        <f>VENTAS[[#This Row],[Total]]-VENTAS[[#This Row],[Comisión 10%]]-VENTAS[[#This Row],[Costo SIN Comision]]</f>
        <v>12.833333333333343</v>
      </c>
      <c r="M84" s="12"/>
      <c r="N84" s="16"/>
    </row>
    <row r="85" spans="1:14" ht="20" hidden="1" customHeight="1">
      <c r="A85" s="9"/>
      <c r="B85" s="10" t="s">
        <v>4167</v>
      </c>
      <c r="C85" s="10"/>
      <c r="D85" s="10"/>
      <c r="E85" s="10" t="s">
        <v>570</v>
      </c>
      <c r="F85" s="10" t="str">
        <f>IFERROR(VLOOKUP(VENTAS[[#This Row],[Código del producto Vendido]],STOCK[],5,FALSE),"-")</f>
        <v>Vestido de manga farol de cuello cuadrado_M</v>
      </c>
      <c r="G85" s="10">
        <v>3</v>
      </c>
      <c r="H85" s="12">
        <v>15</v>
      </c>
      <c r="I85" s="12">
        <f>VENTAS[[#This Row],[Cantidad]]*VENTAS[[#This Row],[Precio Venta]]</f>
        <v>45</v>
      </c>
      <c r="J85" s="12">
        <f>IF(VENTAS[[#This Row],[Nombre del Gestor]]&gt;1,VENTAS[[#This Row],[Total]]*10%,0)</f>
        <v>0</v>
      </c>
      <c r="K85" s="12">
        <f>IFERROR(VLOOKUP(VENTAS[[#This Row],[Código del producto Vendido]],STOCK[],16,FALSE)*VENTAS[[#This Row],[Cantidad]]+VLOOKUP(VENTAS[[#This Row],[Código del producto Vendido]],STOCK[],19,FALSE)*VENTAS[[#This Row],[Cantidad]],VENTAS[[#This Row],[Total]])</f>
        <v>32.166666666666657</v>
      </c>
      <c r="L85" s="12">
        <f>VENTAS[[#This Row],[Total]]-VENTAS[[#This Row],[Comisión 10%]]-VENTAS[[#This Row],[Costo SIN Comision]]</f>
        <v>12.833333333333343</v>
      </c>
      <c r="M85" s="12"/>
      <c r="N85" s="16"/>
    </row>
    <row r="86" spans="1:14" ht="20" hidden="1" customHeight="1">
      <c r="A86" s="9"/>
      <c r="B86" s="10" t="s">
        <v>4167</v>
      </c>
      <c r="C86" s="10"/>
      <c r="D86" s="10"/>
      <c r="E86" s="10" t="s">
        <v>568</v>
      </c>
      <c r="F86" s="10" t="str">
        <f>IFERROR(VLOOKUP(VENTAS[[#This Row],[Código del producto Vendido]],STOCK[],5,FALSE),"-")</f>
        <v>Vestido de manga farol de cuello cuadrado_L</v>
      </c>
      <c r="G86" s="10">
        <v>3</v>
      </c>
      <c r="H86" s="12">
        <v>15</v>
      </c>
      <c r="I86" s="12">
        <f>VENTAS[[#This Row],[Cantidad]]*VENTAS[[#This Row],[Precio Venta]]</f>
        <v>45</v>
      </c>
      <c r="J86" s="12">
        <f>IF(VENTAS[[#This Row],[Nombre del Gestor]]&gt;1,VENTAS[[#This Row],[Total]]*10%,0)</f>
        <v>0</v>
      </c>
      <c r="K86" s="12">
        <f>IFERROR(VLOOKUP(VENTAS[[#This Row],[Código del producto Vendido]],STOCK[],16,FALSE)*VENTAS[[#This Row],[Cantidad]]+VLOOKUP(VENTAS[[#This Row],[Código del producto Vendido]],STOCK[],19,FALSE)*VENTAS[[#This Row],[Cantidad]],VENTAS[[#This Row],[Total]])</f>
        <v>32.166666666666657</v>
      </c>
      <c r="L86" s="12">
        <f>VENTAS[[#This Row],[Total]]-VENTAS[[#This Row],[Comisión 10%]]-VENTAS[[#This Row],[Costo SIN Comision]]</f>
        <v>12.833333333333343</v>
      </c>
      <c r="M86" s="12"/>
      <c r="N86" s="16"/>
    </row>
    <row r="87" spans="1:14" ht="20" hidden="1" customHeight="1">
      <c r="A87" s="9"/>
      <c r="B87" s="10" t="s">
        <v>4167</v>
      </c>
      <c r="C87" s="10"/>
      <c r="D87" s="10"/>
      <c r="E87" s="10" t="s">
        <v>499</v>
      </c>
      <c r="F87" s="10" t="str">
        <f>IFERROR(VLOOKUP(VENTAS[[#This Row],[Código del producto Vendido]],STOCK[],5,FALSE),"-")</f>
        <v>Vestido Bohemio</v>
      </c>
      <c r="G87" s="10">
        <v>1</v>
      </c>
      <c r="H87" s="12">
        <v>25</v>
      </c>
      <c r="I87" s="12">
        <f>VENTAS[[#This Row],[Cantidad]]*VENTAS[[#This Row],[Precio Venta]]</f>
        <v>25</v>
      </c>
      <c r="J87" s="12">
        <f>IF(VENTAS[[#This Row],[Nombre del Gestor]]&gt;1,VENTAS[[#This Row],[Total]]*10%,0)</f>
        <v>0</v>
      </c>
      <c r="K87" s="12">
        <f>IFERROR(VLOOKUP(VENTAS[[#This Row],[Código del producto Vendido]],STOCK[],16,FALSE)*VENTAS[[#This Row],[Cantidad]]+VLOOKUP(VENTAS[[#This Row],[Código del producto Vendido]],STOCK[],19,FALSE)*VENTAS[[#This Row],[Cantidad]],VENTAS[[#This Row],[Total]])</f>
        <v>10.189444444444449</v>
      </c>
      <c r="L87" s="12">
        <f>VENTAS[[#This Row],[Total]]-VENTAS[[#This Row],[Comisión 10%]]-VENTAS[[#This Row],[Costo SIN Comision]]</f>
        <v>14.810555555555551</v>
      </c>
      <c r="M87" s="12"/>
      <c r="N87" s="16"/>
    </row>
    <row r="88" spans="1:14" ht="20" hidden="1" customHeight="1">
      <c r="A88" s="9"/>
      <c r="B88" s="10" t="s">
        <v>4167</v>
      </c>
      <c r="C88" s="10"/>
      <c r="D88" s="10"/>
      <c r="E88" s="10" t="s">
        <v>452</v>
      </c>
      <c r="F88" s="10" t="str">
        <f>IFERROR(VLOOKUP(VENTAS[[#This Row],[Código del producto Vendido]],STOCK[],5,FALSE),"-")</f>
        <v>Bañador bikini de manga raglán con cordón floral</v>
      </c>
      <c r="G88" s="10">
        <v>3</v>
      </c>
      <c r="H88" s="12">
        <v>25</v>
      </c>
      <c r="I88" s="12">
        <f>VENTAS[[#This Row],[Cantidad]]*VENTAS[[#This Row],[Precio Venta]]</f>
        <v>75</v>
      </c>
      <c r="J88" s="12">
        <f>IF(VENTAS[[#This Row],[Nombre del Gestor]]&gt;1,VENTAS[[#This Row],[Total]]*10%,0)</f>
        <v>0</v>
      </c>
      <c r="K88" s="12">
        <f>IFERROR(VLOOKUP(VENTAS[[#This Row],[Código del producto Vendido]],STOCK[],16,FALSE)*VENTAS[[#This Row],[Cantidad]]+VLOOKUP(VENTAS[[#This Row],[Código del producto Vendido]],STOCK[],19,FALSE)*VENTAS[[#This Row],[Cantidad]],VENTAS[[#This Row],[Total]])</f>
        <v>59.383333333333205</v>
      </c>
      <c r="L88" s="12">
        <f>VENTAS[[#This Row],[Total]]-VENTAS[[#This Row],[Comisión 10%]]-VENTAS[[#This Row],[Costo SIN Comision]]</f>
        <v>15.616666666666795</v>
      </c>
      <c r="M88" s="12"/>
      <c r="N88" s="16"/>
    </row>
    <row r="89" spans="1:14" ht="20" hidden="1" customHeight="1">
      <c r="A89" s="9"/>
      <c r="B89" s="10" t="s">
        <v>4167</v>
      </c>
      <c r="C89" s="10"/>
      <c r="D89" s="10"/>
      <c r="E89" s="10" t="s">
        <v>324</v>
      </c>
      <c r="F89" s="10" t="str">
        <f>IFERROR(VLOOKUP(VENTAS[[#This Row],[Código del producto Vendido]],STOCK[],5,FALSE),"-")</f>
        <v>Vestido Tie-Dye Bohemio</v>
      </c>
      <c r="G89" s="10">
        <v>1</v>
      </c>
      <c r="H89" s="12">
        <v>12</v>
      </c>
      <c r="I89" s="12">
        <f>VENTAS[[#This Row],[Cantidad]]*VENTAS[[#This Row],[Precio Venta]]</f>
        <v>12</v>
      </c>
      <c r="J89" s="12">
        <f>IF(VENTAS[[#This Row],[Nombre del Gestor]]&gt;1,VENTAS[[#This Row],[Total]]*10%,0)</f>
        <v>0</v>
      </c>
      <c r="K89" s="12">
        <f>IFERROR(VLOOKUP(VENTAS[[#This Row],[Código del producto Vendido]],STOCK[],16,FALSE)*VENTAS[[#This Row],[Cantidad]]+VLOOKUP(VENTAS[[#This Row],[Código del producto Vendido]],STOCK[],19,FALSE)*VENTAS[[#This Row],[Cantidad]],VENTAS[[#This Row],[Total]])</f>
        <v>7.2455555555555602</v>
      </c>
      <c r="L89" s="12">
        <f>VENTAS[[#This Row],[Total]]-VENTAS[[#This Row],[Comisión 10%]]-VENTAS[[#This Row],[Costo SIN Comision]]</f>
        <v>4.7544444444444398</v>
      </c>
      <c r="M89" s="12"/>
      <c r="N89" s="16"/>
    </row>
    <row r="90" spans="1:14" ht="20" hidden="1" customHeight="1">
      <c r="A90" s="9"/>
      <c r="B90" s="10" t="s">
        <v>4167</v>
      </c>
      <c r="C90" s="10"/>
      <c r="D90" s="10"/>
      <c r="E90" s="10" t="s">
        <v>328</v>
      </c>
      <c r="F90" s="10" t="str">
        <f>IFERROR(VLOOKUP(VENTAS[[#This Row],[Código del producto Vendido]],STOCK[],5,FALSE),"-")</f>
        <v>Vestido tubo con abertura de muslo con abertura</v>
      </c>
      <c r="G90" s="10">
        <v>1</v>
      </c>
      <c r="H90" s="12">
        <v>15</v>
      </c>
      <c r="I90" s="12">
        <f>VENTAS[[#This Row],[Cantidad]]*VENTAS[[#This Row],[Precio Venta]]</f>
        <v>15</v>
      </c>
      <c r="J90" s="12">
        <f>IF(VENTAS[[#This Row],[Nombre del Gestor]]&gt;1,VENTAS[[#This Row],[Total]]*10%,0)</f>
        <v>0</v>
      </c>
      <c r="K90" s="12">
        <f>IFERROR(VLOOKUP(VENTAS[[#This Row],[Código del producto Vendido]],STOCK[],16,FALSE)*VENTAS[[#This Row],[Cantidad]]+VLOOKUP(VENTAS[[#This Row],[Código del producto Vendido]],STOCK[],19,FALSE)*VENTAS[[#This Row],[Cantidad]],VENTAS[[#This Row],[Total]])</f>
        <v>12.14</v>
      </c>
      <c r="L90" s="12">
        <f>VENTAS[[#This Row],[Total]]-VENTAS[[#This Row],[Comisión 10%]]-VENTAS[[#This Row],[Costo SIN Comision]]</f>
        <v>2.8599999999999994</v>
      </c>
      <c r="M90" s="12"/>
      <c r="N90" s="16"/>
    </row>
    <row r="91" spans="1:14" ht="20" hidden="1" customHeight="1">
      <c r="A91" s="9"/>
      <c r="B91" s="10" t="s">
        <v>4167</v>
      </c>
      <c r="C91" s="10"/>
      <c r="D91" s="10"/>
      <c r="E91" s="10" t="s">
        <v>399</v>
      </c>
      <c r="F91" s="10" t="str">
        <f>IFERROR(VLOOKUP(VENTAS[[#This Row],[Código del producto Vendido]],STOCK[],5,FALSE),"-")</f>
        <v>EMERY ROSE Vestido Volante rígido Floral Sencillo_L</v>
      </c>
      <c r="G91" s="10">
        <v>1</v>
      </c>
      <c r="H91" s="12">
        <v>35</v>
      </c>
      <c r="I91" s="12">
        <f>VENTAS[[#This Row],[Cantidad]]*VENTAS[[#This Row],[Precio Venta]]</f>
        <v>35</v>
      </c>
      <c r="J91" s="12">
        <f>IF(VENTAS[[#This Row],[Nombre del Gestor]]&gt;1,VENTAS[[#This Row],[Total]]*10%,0)</f>
        <v>0</v>
      </c>
      <c r="K91" s="12">
        <f>IFERROR(VLOOKUP(VENTAS[[#This Row],[Código del producto Vendido]],STOCK[],16,FALSE)*VENTAS[[#This Row],[Cantidad]]+VLOOKUP(VENTAS[[#This Row],[Código del producto Vendido]],STOCK[],19,FALSE)*VENTAS[[#This Row],[Cantidad]],VENTAS[[#This Row],[Total]])</f>
        <v>19.21</v>
      </c>
      <c r="L91" s="12">
        <f>VENTAS[[#This Row],[Total]]-VENTAS[[#This Row],[Comisión 10%]]-VENTAS[[#This Row],[Costo SIN Comision]]</f>
        <v>15.79</v>
      </c>
      <c r="M91" s="12"/>
      <c r="N91" s="16"/>
    </row>
    <row r="92" spans="1:14" ht="20" hidden="1" customHeight="1">
      <c r="A92" s="9"/>
      <c r="B92" s="10" t="s">
        <v>4167</v>
      </c>
      <c r="C92" s="10"/>
      <c r="D92" s="10"/>
      <c r="E92" s="10" t="s">
        <v>974</v>
      </c>
      <c r="F92" s="10" t="str">
        <f>IFERROR(VLOOKUP(VENTAS[[#This Row],[Código del producto Vendido]],STOCK[],5,FALSE),"-")</f>
        <v>Bañador despalda descubierta</v>
      </c>
      <c r="G92" s="10">
        <v>1</v>
      </c>
      <c r="H92" s="12">
        <v>25</v>
      </c>
      <c r="I92" s="12">
        <f>VENTAS[[#This Row],[Cantidad]]*VENTAS[[#This Row],[Precio Venta]]</f>
        <v>25</v>
      </c>
      <c r="J92" s="12">
        <f>IF(VENTAS[[#This Row],[Nombre del Gestor]]&gt;1,VENTAS[[#This Row],[Total]]*10%,0)</f>
        <v>0</v>
      </c>
      <c r="K92" s="12">
        <f>IFERROR(VLOOKUP(VENTAS[[#This Row],[Código del producto Vendido]],STOCK[],16,FALSE)*VENTAS[[#This Row],[Cantidad]]+VLOOKUP(VENTAS[[#This Row],[Código del producto Vendido]],STOCK[],19,FALSE)*VENTAS[[#This Row],[Cantidad]],VENTAS[[#This Row],[Total]])</f>
        <v>15.324999999999999</v>
      </c>
      <c r="L92" s="12">
        <f>VENTAS[[#This Row],[Total]]-VENTAS[[#This Row],[Comisión 10%]]-VENTAS[[#This Row],[Costo SIN Comision]]</f>
        <v>9.6750000000000007</v>
      </c>
      <c r="M92" s="12"/>
      <c r="N92" s="16"/>
    </row>
    <row r="93" spans="1:14" ht="20" hidden="1" customHeight="1">
      <c r="A93" s="9"/>
      <c r="B93" s="10" t="s">
        <v>4167</v>
      </c>
      <c r="C93" s="10"/>
      <c r="D93" s="10"/>
      <c r="E93" s="10" t="s">
        <v>395</v>
      </c>
      <c r="F93" s="10" t="str">
        <f>IFERROR(VLOOKUP(VENTAS[[#This Row],[Código del producto Vendido]],STOCK[],5,FALSE),"-")</f>
        <v>Bolsa cartera de cocodrilo_Naranja Quemada</v>
      </c>
      <c r="G93" s="10">
        <v>2</v>
      </c>
      <c r="H93" s="12">
        <v>16</v>
      </c>
      <c r="I93" s="12">
        <f>VENTAS[[#This Row],[Cantidad]]*VENTAS[[#This Row],[Precio Venta]]</f>
        <v>32</v>
      </c>
      <c r="J93" s="12">
        <f>IF(VENTAS[[#This Row],[Nombre del Gestor]]&gt;1,VENTAS[[#This Row],[Total]]*10%,0)</f>
        <v>0</v>
      </c>
      <c r="K93" s="12">
        <f>IFERROR(VLOOKUP(VENTAS[[#This Row],[Código del producto Vendido]],STOCK[],16,FALSE)*VENTAS[[#This Row],[Cantidad]]+VLOOKUP(VENTAS[[#This Row],[Código del producto Vendido]],STOCK[],19,FALSE)*VENTAS[[#This Row],[Cantidad]],VENTAS[[#This Row],[Total]])</f>
        <v>18.757777777777779</v>
      </c>
      <c r="L93" s="12">
        <f>VENTAS[[#This Row],[Total]]-VENTAS[[#This Row],[Comisión 10%]]-VENTAS[[#This Row],[Costo SIN Comision]]</f>
        <v>13.242222222222221</v>
      </c>
      <c r="M93" s="12"/>
      <c r="N93" s="16"/>
    </row>
    <row r="94" spans="1:14" ht="20" hidden="1" customHeight="1">
      <c r="A94" s="9"/>
      <c r="B94" s="10" t="s">
        <v>4167</v>
      </c>
      <c r="C94" s="10"/>
      <c r="D94" s="10"/>
      <c r="E94" s="10" t="s">
        <v>386</v>
      </c>
      <c r="F94" s="10" t="str">
        <f>IFERROR(VLOOKUP(VENTAS[[#This Row],[Código del producto Vendido]],STOCK[],5,FALSE),"-")</f>
        <v>Bolsa cartera con manija_Negro</v>
      </c>
      <c r="G94" s="10">
        <v>2</v>
      </c>
      <c r="H94" s="12">
        <v>16</v>
      </c>
      <c r="I94" s="12">
        <f>VENTAS[[#This Row],[Cantidad]]*VENTAS[[#This Row],[Precio Venta]]</f>
        <v>32</v>
      </c>
      <c r="J94" s="12">
        <f>IF(VENTAS[[#This Row],[Nombre del Gestor]]&gt;1,VENTAS[[#This Row],[Total]]*10%,0)</f>
        <v>0</v>
      </c>
      <c r="K94" s="12">
        <f>IFERROR(VLOOKUP(VENTAS[[#This Row],[Código del producto Vendido]],STOCK[],16,FALSE)*VENTAS[[#This Row],[Cantidad]]+VLOOKUP(VENTAS[[#This Row],[Código del producto Vendido]],STOCK[],19,FALSE)*VENTAS[[#This Row],[Cantidad]],VENTAS[[#This Row],[Total]])</f>
        <v>15.600000000000001</v>
      </c>
      <c r="L94" s="12">
        <f>VENTAS[[#This Row],[Total]]-VENTAS[[#This Row],[Comisión 10%]]-VENTAS[[#This Row],[Costo SIN Comision]]</f>
        <v>16.399999999999999</v>
      </c>
      <c r="M94" s="12"/>
      <c r="N94" s="16"/>
    </row>
    <row r="95" spans="1:14" ht="20" hidden="1" customHeight="1">
      <c r="A95" s="9"/>
      <c r="B95" s="10" t="s">
        <v>4167</v>
      </c>
      <c r="C95" s="10"/>
      <c r="D95" s="10"/>
      <c r="E95" s="10" t="s">
        <v>389</v>
      </c>
      <c r="F95" s="10" t="str">
        <f>IFERROR(VLOOKUP(VENTAS[[#This Row],[Código del producto Vendido]],STOCK[],5,FALSE),"-")</f>
        <v>Bolsa cartera con solapa con lagartija_Caqui</v>
      </c>
      <c r="G95" s="10">
        <v>2</v>
      </c>
      <c r="H95" s="12">
        <v>16</v>
      </c>
      <c r="I95" s="12">
        <f>VENTAS[[#This Row],[Cantidad]]*VENTAS[[#This Row],[Precio Venta]]</f>
        <v>32</v>
      </c>
      <c r="J95" s="12">
        <f>IF(VENTAS[[#This Row],[Nombre del Gestor]]&gt;1,VENTAS[[#This Row],[Total]]*10%,0)</f>
        <v>0</v>
      </c>
      <c r="K95" s="12">
        <f>IFERROR(VLOOKUP(VENTAS[[#This Row],[Código del producto Vendido]],STOCK[],16,FALSE)*VENTAS[[#This Row],[Cantidad]]+VLOOKUP(VENTAS[[#This Row],[Código del producto Vendido]],STOCK[],19,FALSE)*VENTAS[[#This Row],[Cantidad]],VENTAS[[#This Row],[Total]])</f>
        <v>16.062222222222221</v>
      </c>
      <c r="L95" s="12">
        <f>VENTAS[[#This Row],[Total]]-VENTAS[[#This Row],[Comisión 10%]]-VENTAS[[#This Row],[Costo SIN Comision]]</f>
        <v>15.937777777777779</v>
      </c>
      <c r="M95" s="12"/>
      <c r="N95" s="16"/>
    </row>
    <row r="96" spans="1:14" ht="20" hidden="1" customHeight="1">
      <c r="A96" s="9"/>
      <c r="B96" s="10" t="s">
        <v>4167</v>
      </c>
      <c r="C96" s="10"/>
      <c r="D96" s="10"/>
      <c r="E96" s="10" t="s">
        <v>383</v>
      </c>
      <c r="F96" s="10" t="str">
        <f>IFERROR(VLOOKUP(VENTAS[[#This Row],[Código del producto Vendido]],STOCK[],5,FALSE),"-")</f>
        <v>Cinturón con hebilla_Unitalla</v>
      </c>
      <c r="G96" s="10">
        <v>1</v>
      </c>
      <c r="H96" s="12">
        <v>10</v>
      </c>
      <c r="I96" s="12">
        <f>VENTAS[[#This Row],[Cantidad]]*VENTAS[[#This Row],[Precio Venta]]</f>
        <v>10</v>
      </c>
      <c r="J96" s="12">
        <f>IF(VENTAS[[#This Row],[Nombre del Gestor]]&gt;1,VENTAS[[#This Row],[Total]]*10%,0)</f>
        <v>0</v>
      </c>
      <c r="K96" s="12">
        <f>IFERROR(VLOOKUP(VENTAS[[#This Row],[Código del producto Vendido]],STOCK[],16,FALSE)*VENTAS[[#This Row],[Cantidad]]+VLOOKUP(VENTAS[[#This Row],[Código del producto Vendido]],STOCK[],19,FALSE)*VENTAS[[#This Row],[Cantidad]],VENTAS[[#This Row],[Total]])</f>
        <v>5.7294444444444395</v>
      </c>
      <c r="L96" s="12">
        <f>VENTAS[[#This Row],[Total]]-VENTAS[[#This Row],[Comisión 10%]]-VENTAS[[#This Row],[Costo SIN Comision]]</f>
        <v>4.2705555555555605</v>
      </c>
      <c r="M96" s="12"/>
      <c r="N96" s="16"/>
    </row>
    <row r="97" spans="1:14" ht="20" hidden="1" customHeight="1">
      <c r="A97" s="9"/>
      <c r="B97" s="10" t="s">
        <v>4167</v>
      </c>
      <c r="C97" s="10"/>
      <c r="D97" s="10"/>
      <c r="E97" s="10" t="s">
        <v>377</v>
      </c>
      <c r="F97" s="10" t="str">
        <f>IFERROR(VLOOKUP(VENTAS[[#This Row],[Código del producto Vendido]],STOCK[],5,FALSE),"-")</f>
        <v>SHEIN Felegant Vestido ajustado con estampado de leopardo_M</v>
      </c>
      <c r="G97" s="10">
        <v>1</v>
      </c>
      <c r="H97" s="12">
        <v>15</v>
      </c>
      <c r="I97" s="12">
        <f>VENTAS[[#This Row],[Cantidad]]*VENTAS[[#This Row],[Precio Venta]]</f>
        <v>15</v>
      </c>
      <c r="J97" s="12">
        <f>IF(VENTAS[[#This Row],[Nombre del Gestor]]&gt;1,VENTAS[[#This Row],[Total]]*10%,0)</f>
        <v>0</v>
      </c>
      <c r="K97" s="12">
        <f>IFERROR(VLOOKUP(VENTAS[[#This Row],[Código del producto Vendido]],STOCK[],16,FALSE)*VENTAS[[#This Row],[Cantidad]]+VLOOKUP(VENTAS[[#This Row],[Código del producto Vendido]],STOCK[],19,FALSE)*VENTAS[[#This Row],[Cantidad]],VENTAS[[#This Row],[Total]])</f>
        <v>7.2483333333333295</v>
      </c>
      <c r="L97" s="12">
        <f>VENTAS[[#This Row],[Total]]-VENTAS[[#This Row],[Comisión 10%]]-VENTAS[[#This Row],[Costo SIN Comision]]</f>
        <v>7.7516666666666705</v>
      </c>
      <c r="M97" s="12"/>
      <c r="N97" s="16"/>
    </row>
    <row r="98" spans="1:14" ht="20" hidden="1" customHeight="1">
      <c r="A98" s="9"/>
      <c r="B98" s="10" t="s">
        <v>4167</v>
      </c>
      <c r="C98" s="10"/>
      <c r="D98" s="10"/>
      <c r="E98" s="10" t="s">
        <v>375</v>
      </c>
      <c r="F98" s="10" t="str">
        <f>IFERROR(VLOOKUP(VENTAS[[#This Row],[Código del producto Vendido]],STOCK[],5,FALSE),"-")</f>
        <v>SHEIN Belle Vestido de dama de honor de hombros descubiertos fruncido cruzado_S</v>
      </c>
      <c r="G98" s="10">
        <v>1</v>
      </c>
      <c r="H98" s="12">
        <v>30</v>
      </c>
      <c r="I98" s="12">
        <f>VENTAS[[#This Row],[Cantidad]]*VENTAS[[#This Row],[Precio Venta]]</f>
        <v>30</v>
      </c>
      <c r="J98" s="12">
        <f>IF(VENTAS[[#This Row],[Nombre del Gestor]]&gt;1,VENTAS[[#This Row],[Total]]*10%,0)</f>
        <v>0</v>
      </c>
      <c r="K98" s="12">
        <f>IFERROR(VLOOKUP(VENTAS[[#This Row],[Código del producto Vendido]],STOCK[],16,FALSE)*VENTAS[[#This Row],[Cantidad]]+VLOOKUP(VENTAS[[#This Row],[Código del producto Vendido]],STOCK[],19,FALSE)*VENTAS[[#This Row],[Cantidad]],VENTAS[[#This Row],[Total]])</f>
        <v>19.4577777777778</v>
      </c>
      <c r="L98" s="12">
        <f>VENTAS[[#This Row],[Total]]-VENTAS[[#This Row],[Comisión 10%]]-VENTAS[[#This Row],[Costo SIN Comision]]</f>
        <v>10.5422222222222</v>
      </c>
      <c r="M98" s="12"/>
      <c r="N98" s="16"/>
    </row>
    <row r="99" spans="1:14" ht="20" hidden="1" customHeight="1">
      <c r="A99" s="9"/>
      <c r="B99" s="10" t="s">
        <v>4167</v>
      </c>
      <c r="C99" s="10"/>
      <c r="D99" s="10"/>
      <c r="E99" s="10" t="s">
        <v>373</v>
      </c>
      <c r="F99" s="10" t="str">
        <f>IFERROR(VLOOKUP(VENTAS[[#This Row],[Código del producto Vendido]],STOCK[],5,FALSE),"-")</f>
        <v>SHEIN VCAY Vestido ajustado con estampado de corazón de confeti de hombros descubiertos ribete fruncido_S</v>
      </c>
      <c r="G99" s="10">
        <v>1</v>
      </c>
      <c r="H99" s="12">
        <v>12</v>
      </c>
      <c r="I99" s="12">
        <f>VENTAS[[#This Row],[Cantidad]]*VENTAS[[#This Row],[Precio Venta]]</f>
        <v>12</v>
      </c>
      <c r="J99" s="12">
        <f>IF(VENTAS[[#This Row],[Nombre del Gestor]]&gt;1,VENTAS[[#This Row],[Total]]*10%,0)</f>
        <v>0</v>
      </c>
      <c r="K99" s="12">
        <f>IFERROR(VLOOKUP(VENTAS[[#This Row],[Código del producto Vendido]],STOCK[],16,FALSE)*VENTAS[[#This Row],[Cantidad]]+VLOOKUP(VENTAS[[#This Row],[Código del producto Vendido]],STOCK[],19,FALSE)*VENTAS[[#This Row],[Cantidad]],VENTAS[[#This Row],[Total]])</f>
        <v>8.3744444444444408</v>
      </c>
      <c r="L99" s="12">
        <f>VENTAS[[#This Row],[Total]]-VENTAS[[#This Row],[Comisión 10%]]-VENTAS[[#This Row],[Costo SIN Comision]]</f>
        <v>3.6255555555555592</v>
      </c>
      <c r="M99" s="12"/>
      <c r="N99" s="16"/>
    </row>
    <row r="100" spans="1:14" ht="20" hidden="1" customHeight="1">
      <c r="A100" s="9"/>
      <c r="B100" s="10" t="s">
        <v>4167</v>
      </c>
      <c r="C100" s="10"/>
      <c r="D100" s="10"/>
      <c r="E100" s="10" t="s">
        <v>370</v>
      </c>
      <c r="F100" s="10" t="str">
        <f>IFERROR(VLOOKUP(VENTAS[[#This Row],[Código del producto Vendido]],STOCK[],5,FALSE),"-")</f>
        <v>SHEIN Vestido niña ceremonia de tirantes bajo con malla con lazo grande_98CM</v>
      </c>
      <c r="G100" s="10">
        <v>1</v>
      </c>
      <c r="H100" s="12">
        <v>30</v>
      </c>
      <c r="I100" s="12">
        <f>VENTAS[[#This Row],[Cantidad]]*VENTAS[[#This Row],[Precio Venta]]</f>
        <v>30</v>
      </c>
      <c r="J100" s="12">
        <f>IF(VENTAS[[#This Row],[Nombre del Gestor]]&gt;1,VENTAS[[#This Row],[Total]]*10%,0)</f>
        <v>0</v>
      </c>
      <c r="K100" s="12">
        <f>IFERROR(VLOOKUP(VENTAS[[#This Row],[Código del producto Vendido]],STOCK[],16,FALSE)*VENTAS[[#This Row],[Cantidad]]+VLOOKUP(VENTAS[[#This Row],[Código del producto Vendido]],STOCK[],19,FALSE)*VENTAS[[#This Row],[Cantidad]],VENTAS[[#This Row],[Total]])</f>
        <v>12.4555555555556</v>
      </c>
      <c r="L100" s="12">
        <f>VENTAS[[#This Row],[Total]]-VENTAS[[#This Row],[Comisión 10%]]-VENTAS[[#This Row],[Costo SIN Comision]]</f>
        <v>17.544444444444402</v>
      </c>
      <c r="M100" s="12"/>
      <c r="N100" s="16"/>
    </row>
    <row r="101" spans="1:14" ht="20" hidden="1" customHeight="1">
      <c r="A101" s="9"/>
      <c r="B101" s="10" t="s">
        <v>4167</v>
      </c>
      <c r="C101" s="10"/>
      <c r="D101" s="10"/>
      <c r="E101" s="10" t="s">
        <v>356</v>
      </c>
      <c r="F101" s="10" t="str">
        <f>IFERROR(VLOOKUP(VENTAS[[#This Row],[Código del producto Vendido]],STOCK[],5,FALSE),"-")</f>
        <v>EMERY ROSE Vestido maxi floral con estampado de pañuelo de manga farol bajo con fruncido</v>
      </c>
      <c r="G101" s="10">
        <v>1</v>
      </c>
      <c r="H101" s="12">
        <v>35</v>
      </c>
      <c r="I101" s="12">
        <f>VENTAS[[#This Row],[Cantidad]]*VENTAS[[#This Row],[Precio Venta]]</f>
        <v>35</v>
      </c>
      <c r="J101" s="12">
        <f>IF(VENTAS[[#This Row],[Nombre del Gestor]]&gt;1,VENTAS[[#This Row],[Total]]*10%,0)</f>
        <v>0</v>
      </c>
      <c r="K101" s="12">
        <f>IFERROR(VLOOKUP(VENTAS[[#This Row],[Código del producto Vendido]],STOCK[],16,FALSE)*VENTAS[[#This Row],[Cantidad]]+VLOOKUP(VENTAS[[#This Row],[Código del producto Vendido]],STOCK[],19,FALSE)*VENTAS[[#This Row],[Cantidad]],VENTAS[[#This Row],[Total]])</f>
        <v>19.732777777777798</v>
      </c>
      <c r="L101" s="12">
        <f>VENTAS[[#This Row],[Total]]-VENTAS[[#This Row],[Comisión 10%]]-VENTAS[[#This Row],[Costo SIN Comision]]</f>
        <v>15.267222222222202</v>
      </c>
      <c r="M101" s="12"/>
      <c r="N101" s="16"/>
    </row>
    <row r="102" spans="1:14" ht="20" hidden="1" customHeight="1">
      <c r="A102" s="9"/>
      <c r="B102" s="10" t="s">
        <v>4167</v>
      </c>
      <c r="C102" s="10"/>
      <c r="D102" s="10"/>
      <c r="E102" s="10" t="s">
        <v>346</v>
      </c>
      <c r="F102" s="10" t="str">
        <f>IFERROR(VLOOKUP(VENTAS[[#This Row],[Código del producto Vendido]],STOCK[],5,FALSE),"-")</f>
        <v>SHEIN Belle Vestido de dama de honor de hombros descubiertos fruncido cruzado de satén</v>
      </c>
      <c r="G102" s="10">
        <v>1</v>
      </c>
      <c r="H102" s="12">
        <v>30</v>
      </c>
      <c r="I102" s="12">
        <f>VENTAS[[#This Row],[Cantidad]]*VENTAS[[#This Row],[Precio Venta]]</f>
        <v>30</v>
      </c>
      <c r="J102" s="12">
        <f>IF(VENTAS[[#This Row],[Nombre del Gestor]]&gt;1,VENTAS[[#This Row],[Total]]*10%,0)</f>
        <v>0</v>
      </c>
      <c r="K102" s="12">
        <f>IFERROR(VLOOKUP(VENTAS[[#This Row],[Código del producto Vendido]],STOCK[],16,FALSE)*VENTAS[[#This Row],[Cantidad]]+VLOOKUP(VENTAS[[#This Row],[Código del producto Vendido]],STOCK[],19,FALSE)*VENTAS[[#This Row],[Cantidad]],VENTAS[[#This Row],[Total]])</f>
        <v>19.688888888888897</v>
      </c>
      <c r="L102" s="12">
        <f>VENTAS[[#This Row],[Total]]-VENTAS[[#This Row],[Comisión 10%]]-VENTAS[[#This Row],[Costo SIN Comision]]</f>
        <v>10.311111111111103</v>
      </c>
      <c r="M102" s="12"/>
      <c r="N102" s="16"/>
    </row>
    <row r="103" spans="1:14" ht="20" hidden="1" customHeight="1">
      <c r="A103" s="9"/>
      <c r="B103" s="10" t="s">
        <v>4167</v>
      </c>
      <c r="C103" s="10"/>
      <c r="D103" s="10"/>
      <c r="E103" s="10" t="s">
        <v>336</v>
      </c>
      <c r="F103" s="10" t="str">
        <f>IFERROR(VLOOKUP(VENTAS[[#This Row],[Código del producto Vendido]],STOCK[],5,FALSE),"-")</f>
        <v xml:space="preserve">Vestido cruzado de lunares </v>
      </c>
      <c r="G103" s="10">
        <v>1</v>
      </c>
      <c r="H103" s="12">
        <v>25</v>
      </c>
      <c r="I103" s="12">
        <f>VENTAS[[#This Row],[Cantidad]]*VENTAS[[#This Row],[Precio Venta]]</f>
        <v>25</v>
      </c>
      <c r="J103" s="12">
        <f>IF(VENTAS[[#This Row],[Nombre del Gestor]]&gt;1,VENTAS[[#This Row],[Total]]*10%,0)</f>
        <v>0</v>
      </c>
      <c r="K103" s="12">
        <f>IFERROR(VLOOKUP(VENTAS[[#This Row],[Código del producto Vendido]],STOCK[],16,FALSE)*VENTAS[[#This Row],[Cantidad]]+VLOOKUP(VENTAS[[#This Row],[Código del producto Vendido]],STOCK[],19,FALSE)*VENTAS[[#This Row],[Cantidad]],VENTAS[[#This Row],[Total]])</f>
        <v>12.721666666666669</v>
      </c>
      <c r="L103" s="12">
        <f>VENTAS[[#This Row],[Total]]-VENTAS[[#This Row],[Comisión 10%]]-VENTAS[[#This Row],[Costo SIN Comision]]</f>
        <v>12.278333333333331</v>
      </c>
      <c r="M103" s="12"/>
      <c r="N103" s="16"/>
    </row>
    <row r="104" spans="1:14" ht="20" hidden="1" customHeight="1">
      <c r="A104" s="9"/>
      <c r="B104" s="10" t="s">
        <v>4167</v>
      </c>
      <c r="C104" s="10"/>
      <c r="D104" s="10"/>
      <c r="E104" s="10" t="s">
        <v>334</v>
      </c>
      <c r="F104" s="10" t="str">
        <f>IFERROR(VLOOKUP(VENTAS[[#This Row],[Código del producto Vendido]],STOCK[],5,FALSE),"-")</f>
        <v xml:space="preserve">Vestido cruzado de lunares </v>
      </c>
      <c r="G104" s="10">
        <v>1</v>
      </c>
      <c r="H104" s="12">
        <v>25</v>
      </c>
      <c r="I104" s="12">
        <f>VENTAS[[#This Row],[Cantidad]]*VENTAS[[#This Row],[Precio Venta]]</f>
        <v>25</v>
      </c>
      <c r="J104" s="12">
        <f>IF(VENTAS[[#This Row],[Nombre del Gestor]]&gt;1,VENTAS[[#This Row],[Total]]*10%,0)</f>
        <v>0</v>
      </c>
      <c r="K104" s="12">
        <f>IFERROR(VLOOKUP(VENTAS[[#This Row],[Código del producto Vendido]],STOCK[],16,FALSE)*VENTAS[[#This Row],[Cantidad]]+VLOOKUP(VENTAS[[#This Row],[Código del producto Vendido]],STOCK[],19,FALSE)*VENTAS[[#This Row],[Cantidad]],VENTAS[[#This Row],[Total]])</f>
        <v>12.721666666666669</v>
      </c>
      <c r="L104" s="12">
        <f>VENTAS[[#This Row],[Total]]-VENTAS[[#This Row],[Comisión 10%]]-VENTAS[[#This Row],[Costo SIN Comision]]</f>
        <v>12.278333333333331</v>
      </c>
      <c r="M104" s="12"/>
      <c r="N104" s="16"/>
    </row>
    <row r="105" spans="1:14" ht="20" hidden="1" customHeight="1">
      <c r="A105" s="9"/>
      <c r="B105" s="10" t="s">
        <v>4167</v>
      </c>
      <c r="C105" s="10"/>
      <c r="D105" s="10"/>
      <c r="E105" s="10" t="s">
        <v>617</v>
      </c>
      <c r="F105" s="10" t="str">
        <f>IFERROR(VLOOKUP(VENTAS[[#This Row],[Código del producto Vendido]],STOCK[],5,FALSE),"-")</f>
        <v xml:space="preserve">Cinturón trenzado </v>
      </c>
      <c r="G105" s="10">
        <v>2</v>
      </c>
      <c r="H105" s="12">
        <v>10</v>
      </c>
      <c r="I105" s="12">
        <f>VENTAS[[#This Row],[Cantidad]]*VENTAS[[#This Row],[Precio Venta]]</f>
        <v>20</v>
      </c>
      <c r="J105" s="12">
        <f>IF(VENTAS[[#This Row],[Nombre del Gestor]]&gt;1,VENTAS[[#This Row],[Total]]*10%,0)</f>
        <v>0</v>
      </c>
      <c r="K105" s="12">
        <f>IFERROR(VLOOKUP(VENTAS[[#This Row],[Código del producto Vendido]],STOCK[],16,FALSE)*VENTAS[[#This Row],[Cantidad]]+VLOOKUP(VENTAS[[#This Row],[Código del producto Vendido]],STOCK[],19,FALSE)*VENTAS[[#This Row],[Cantidad]],VENTAS[[#This Row],[Total]])</f>
        <v>8.3000000000000007</v>
      </c>
      <c r="L105" s="12">
        <f>VENTAS[[#This Row],[Total]]-VENTAS[[#This Row],[Comisión 10%]]-VENTAS[[#This Row],[Costo SIN Comision]]</f>
        <v>11.7</v>
      </c>
      <c r="M105" s="12"/>
      <c r="N105" s="16"/>
    </row>
    <row r="106" spans="1:14" ht="20" hidden="1" customHeight="1">
      <c r="A106" s="9"/>
      <c r="B106" s="10"/>
      <c r="C106" s="10"/>
      <c r="D106" s="10"/>
      <c r="E106" s="10" t="s">
        <v>617</v>
      </c>
      <c r="F106" s="10" t="str">
        <f>IFERROR(VLOOKUP(VENTAS[[#This Row],[Código del producto Vendido]],STOCK[],5,FALSE),"-")</f>
        <v xml:space="preserve">Cinturón trenzado </v>
      </c>
      <c r="G106" s="10">
        <v>1</v>
      </c>
      <c r="H106" s="12">
        <v>10</v>
      </c>
      <c r="I106" s="12">
        <f>VENTAS[[#This Row],[Cantidad]]*VENTAS[[#This Row],[Precio Venta]]</f>
        <v>10</v>
      </c>
      <c r="J106" s="12">
        <f>IF(VENTAS[[#This Row],[Nombre del Gestor]]&gt;1,VENTAS[[#This Row],[Total]]*10%,0)</f>
        <v>0</v>
      </c>
      <c r="K106" s="12">
        <f>IFERROR(VLOOKUP(VENTAS[[#This Row],[Código del producto Vendido]],STOCK[],16,FALSE)*VENTAS[[#This Row],[Cantidad]]+VLOOKUP(VENTAS[[#This Row],[Código del producto Vendido]],STOCK[],19,FALSE)*VENTAS[[#This Row],[Cantidad]],VENTAS[[#This Row],[Total]])</f>
        <v>4.1500000000000004</v>
      </c>
      <c r="L106" s="12">
        <f>VENTAS[[#This Row],[Total]]-VENTAS[[#This Row],[Comisión 10%]]-VENTAS[[#This Row],[Costo SIN Comision]]</f>
        <v>5.85</v>
      </c>
      <c r="M106" s="12"/>
      <c r="N106" s="16"/>
    </row>
    <row r="107" spans="1:14" ht="20" hidden="1" customHeight="1">
      <c r="A107" s="9"/>
      <c r="B107" s="10" t="s">
        <v>4167</v>
      </c>
      <c r="C107" s="10"/>
      <c r="D107" s="10"/>
      <c r="E107" s="10" t="s">
        <v>685</v>
      </c>
      <c r="F107" s="10" t="str">
        <f>IFERROR(VLOOKUP(VENTAS[[#This Row],[Código del producto Vendido]],STOCK[],5,FALSE),"-")</f>
        <v>Top de cuello cruzado con nudo lateral</v>
      </c>
      <c r="G107" s="10">
        <v>3</v>
      </c>
      <c r="H107" s="12">
        <v>10</v>
      </c>
      <c r="I107" s="12">
        <f>VENTAS[[#This Row],[Cantidad]]*VENTAS[[#This Row],[Precio Venta]]</f>
        <v>30</v>
      </c>
      <c r="J107" s="12">
        <f>IF(VENTAS[[#This Row],[Nombre del Gestor]]&gt;1,VENTAS[[#This Row],[Total]]*10%,0)</f>
        <v>0</v>
      </c>
      <c r="K107" s="12">
        <f>IFERROR(VLOOKUP(VENTAS[[#This Row],[Código del producto Vendido]],STOCK[],16,FALSE)*VENTAS[[#This Row],[Cantidad]]+VLOOKUP(VENTAS[[#This Row],[Código del producto Vendido]],STOCK[],19,FALSE)*VENTAS[[#This Row],[Cantidad]],VENTAS[[#This Row],[Total]])</f>
        <v>15.804999999999989</v>
      </c>
      <c r="L107" s="12">
        <f>VENTAS[[#This Row],[Total]]-VENTAS[[#This Row],[Comisión 10%]]-VENTAS[[#This Row],[Costo SIN Comision]]</f>
        <v>14.195000000000011</v>
      </c>
      <c r="M107" s="12"/>
      <c r="N107" s="16"/>
    </row>
    <row r="108" spans="1:14" ht="20" hidden="1" customHeight="1">
      <c r="A108" s="9"/>
      <c r="B108" s="10" t="s">
        <v>4167</v>
      </c>
      <c r="C108" s="10"/>
      <c r="D108" s="10"/>
      <c r="E108" s="10" t="s">
        <v>578</v>
      </c>
      <c r="F108" s="10" t="str">
        <f>IFERROR(VLOOKUP(VENTAS[[#This Row],[Código del producto Vendido]],STOCK[],5,FALSE),"-")</f>
        <v>SHEIN SXY Camiseta corta unicolor con abertura_XS</v>
      </c>
      <c r="G108" s="10">
        <v>3</v>
      </c>
      <c r="H108" s="12">
        <v>10</v>
      </c>
      <c r="I108" s="12">
        <f>VENTAS[[#This Row],[Cantidad]]*VENTAS[[#This Row],[Precio Venta]]</f>
        <v>30</v>
      </c>
      <c r="J108" s="12">
        <f>IF(VENTAS[[#This Row],[Nombre del Gestor]]&gt;1,VENTAS[[#This Row],[Total]]*10%,0)</f>
        <v>0</v>
      </c>
      <c r="K108" s="12">
        <f>IFERROR(VLOOKUP(VENTAS[[#This Row],[Código del producto Vendido]],STOCK[],16,FALSE)*VENTAS[[#This Row],[Cantidad]]+VLOOKUP(VENTAS[[#This Row],[Código del producto Vendido]],STOCK[],19,FALSE)*VENTAS[[#This Row],[Cantidad]],VENTAS[[#This Row],[Total]])</f>
        <v>16.400000000000009</v>
      </c>
      <c r="L108" s="12">
        <f>VENTAS[[#This Row],[Total]]-VENTAS[[#This Row],[Comisión 10%]]-VENTAS[[#This Row],[Costo SIN Comision]]</f>
        <v>13.599999999999991</v>
      </c>
      <c r="M108" s="12"/>
      <c r="N108" s="16"/>
    </row>
    <row r="109" spans="1:14" ht="20" hidden="1" customHeight="1">
      <c r="A109" s="9"/>
      <c r="B109" s="10" t="s">
        <v>4167</v>
      </c>
      <c r="C109" s="10"/>
      <c r="D109" s="10"/>
      <c r="E109" s="10" t="s">
        <v>582</v>
      </c>
      <c r="F109" s="10" t="str">
        <f>IFERROR(VLOOKUP(VENTAS[[#This Row],[Código del producto Vendido]],STOCK[],5,FALSE),"-")</f>
        <v>SHEIN SXY Camiseta corta unicolor con abertura</v>
      </c>
      <c r="G109" s="10">
        <v>3</v>
      </c>
      <c r="H109" s="12">
        <v>10</v>
      </c>
      <c r="I109" s="12">
        <f>VENTAS[[#This Row],[Cantidad]]*VENTAS[[#This Row],[Precio Venta]]</f>
        <v>30</v>
      </c>
      <c r="J109" s="12">
        <f>IF(VENTAS[[#This Row],[Nombre del Gestor]]&gt;1,VENTAS[[#This Row],[Total]]*10%,0)</f>
        <v>0</v>
      </c>
      <c r="K109" s="12">
        <f>IFERROR(VLOOKUP(VENTAS[[#This Row],[Código del producto Vendido]],STOCK[],16,FALSE)*VENTAS[[#This Row],[Cantidad]]+VLOOKUP(VENTAS[[#This Row],[Código del producto Vendido]],STOCK[],19,FALSE)*VENTAS[[#This Row],[Cantidad]],VENTAS[[#This Row],[Total]])</f>
        <v>15.080000000000009</v>
      </c>
      <c r="L109" s="12">
        <f>VENTAS[[#This Row],[Total]]-VENTAS[[#This Row],[Comisión 10%]]-VENTAS[[#This Row],[Costo SIN Comision]]</f>
        <v>14.919999999999991</v>
      </c>
      <c r="M109" s="12"/>
      <c r="N109" s="16"/>
    </row>
    <row r="110" spans="1:14" ht="20" hidden="1" customHeight="1">
      <c r="A110" s="9"/>
      <c r="B110" s="10" t="s">
        <v>4167</v>
      </c>
      <c r="C110" s="10"/>
      <c r="D110" s="10"/>
      <c r="E110" s="10" t="s">
        <v>580</v>
      </c>
      <c r="F110" s="10" t="str">
        <f>IFERROR(VLOOKUP(VENTAS[[#This Row],[Código del producto Vendido]],STOCK[],5,FALSE),"-")</f>
        <v>Camiseta corta unicolor con abertura</v>
      </c>
      <c r="G110" s="10">
        <v>2</v>
      </c>
      <c r="H110" s="12">
        <v>9</v>
      </c>
      <c r="I110" s="12">
        <f>VENTAS[[#This Row],[Cantidad]]*VENTAS[[#This Row],[Precio Venta]]</f>
        <v>18</v>
      </c>
      <c r="J110" s="12">
        <f>IF(VENTAS[[#This Row],[Nombre del Gestor]]&gt;1,VENTAS[[#This Row],[Total]]*10%,0)</f>
        <v>0</v>
      </c>
      <c r="K110" s="12">
        <f>IFERROR(VLOOKUP(VENTAS[[#This Row],[Código del producto Vendido]],STOCK[],16,FALSE)*VENTAS[[#This Row],[Cantidad]]+VLOOKUP(VENTAS[[#This Row],[Código del producto Vendido]],STOCK[],19,FALSE)*VENTAS[[#This Row],[Cantidad]],VENTAS[[#This Row],[Total]])</f>
        <v>10.05333333333334</v>
      </c>
      <c r="L110" s="12">
        <f>VENTAS[[#This Row],[Total]]-VENTAS[[#This Row],[Comisión 10%]]-VENTAS[[#This Row],[Costo SIN Comision]]</f>
        <v>7.9466666666666601</v>
      </c>
      <c r="M110" s="12"/>
      <c r="N110" s="16"/>
    </row>
    <row r="111" spans="1:14" ht="20" hidden="1" customHeight="1">
      <c r="A111" s="9"/>
      <c r="B111" s="10" t="s">
        <v>4167</v>
      </c>
      <c r="C111" s="10"/>
      <c r="D111" s="10"/>
      <c r="E111" s="10" t="s">
        <v>4177</v>
      </c>
      <c r="F111" s="10" t="str">
        <f>IFERROR(VLOOKUP(VENTAS[[#This Row],[Código del producto Vendido]],STOCK[],5,FALSE),"-")</f>
        <v>-</v>
      </c>
      <c r="G111" s="10">
        <v>2</v>
      </c>
      <c r="H111" s="12">
        <v>14</v>
      </c>
      <c r="I111" s="12">
        <f>VENTAS[[#This Row],[Cantidad]]*VENTAS[[#This Row],[Precio Venta]]</f>
        <v>28</v>
      </c>
      <c r="J111" s="12">
        <f>IF(VENTAS[[#This Row],[Nombre del Gestor]]&gt;1,VENTAS[[#This Row],[Total]]*10%,0)</f>
        <v>0</v>
      </c>
      <c r="K111" s="12">
        <f>IFERROR(VLOOKUP(VENTAS[[#This Row],[Código del producto Vendido]],STOCK[],16,FALSE)*VENTAS[[#This Row],[Cantidad]]+VLOOKUP(VENTAS[[#This Row],[Código del producto Vendido]],STOCK[],19,FALSE)*VENTAS[[#This Row],[Cantidad]],VENTAS[[#This Row],[Total]])</f>
        <v>28</v>
      </c>
      <c r="L111" s="12">
        <f>VENTAS[[#This Row],[Total]]-VENTAS[[#This Row],[Comisión 10%]]-VENTAS[[#This Row],[Costo SIN Comision]]</f>
        <v>0</v>
      </c>
      <c r="M111" s="12"/>
      <c r="N111" s="16"/>
    </row>
    <row r="112" spans="1:14" ht="20" hidden="1" customHeight="1">
      <c r="A112" s="9"/>
      <c r="B112" s="10" t="s">
        <v>4167</v>
      </c>
      <c r="C112" s="10"/>
      <c r="D112" s="10"/>
      <c r="E112" s="10" t="s">
        <v>590</v>
      </c>
      <c r="F112" s="10" t="str">
        <f>IFERROR(VLOOKUP(VENTAS[[#This Row],[Código del producto Vendido]],STOCK[],5,FALSE),"-")</f>
        <v>SHEIN SXY Top corto con nudo con abertura de manga farol_S</v>
      </c>
      <c r="G112" s="10">
        <v>1</v>
      </c>
      <c r="H112" s="12">
        <v>9</v>
      </c>
      <c r="I112" s="12">
        <f>VENTAS[[#This Row],[Cantidad]]*VENTAS[[#This Row],[Precio Venta]]</f>
        <v>9</v>
      </c>
      <c r="J112" s="12">
        <f>IF(VENTAS[[#This Row],[Nombre del Gestor]]&gt;1,VENTAS[[#This Row],[Total]]*10%,0)</f>
        <v>0</v>
      </c>
      <c r="K112" s="12">
        <f>IFERROR(VLOOKUP(VENTAS[[#This Row],[Código del producto Vendido]],STOCK[],16,FALSE)*VENTAS[[#This Row],[Cantidad]]+VLOOKUP(VENTAS[[#This Row],[Código del producto Vendido]],STOCK[],19,FALSE)*VENTAS[[#This Row],[Cantidad]],VENTAS[[#This Row],[Total]])</f>
        <v>5.7350000000000003</v>
      </c>
      <c r="L112" s="12">
        <f>VENTAS[[#This Row],[Total]]-VENTAS[[#This Row],[Comisión 10%]]-VENTAS[[#This Row],[Costo SIN Comision]]</f>
        <v>3.2649999999999997</v>
      </c>
      <c r="M112" s="12"/>
      <c r="N112" s="16"/>
    </row>
    <row r="113" spans="1:14" ht="20" hidden="1" customHeight="1">
      <c r="A113" s="9"/>
      <c r="B113" s="10" t="s">
        <v>4167</v>
      </c>
      <c r="C113" s="10"/>
      <c r="D113" s="10"/>
      <c r="E113" s="10" t="s">
        <v>592</v>
      </c>
      <c r="F113" s="10" t="str">
        <f>IFERROR(VLOOKUP(VENTAS[[#This Row],[Código del producto Vendido]],STOCK[],5,FALSE),"-")</f>
        <v>SHEIN SXY Top corto con nudo con abertura de manga farol_M</v>
      </c>
      <c r="G113" s="10">
        <v>3</v>
      </c>
      <c r="H113" s="12">
        <v>9</v>
      </c>
      <c r="I113" s="12">
        <f>VENTAS[[#This Row],[Cantidad]]*VENTAS[[#This Row],[Precio Venta]]</f>
        <v>27</v>
      </c>
      <c r="J113" s="12">
        <f>IF(VENTAS[[#This Row],[Nombre del Gestor]]&gt;1,VENTAS[[#This Row],[Total]]*10%,0)</f>
        <v>0</v>
      </c>
      <c r="K113" s="12">
        <f>IFERROR(VLOOKUP(VENTAS[[#This Row],[Código del producto Vendido]],STOCK[],16,FALSE)*VENTAS[[#This Row],[Cantidad]]+VLOOKUP(VENTAS[[#This Row],[Código del producto Vendido]],STOCK[],19,FALSE)*VENTAS[[#This Row],[Cantidad]],VENTAS[[#This Row],[Total]])</f>
        <v>17.204999999999998</v>
      </c>
      <c r="L113" s="12">
        <f>VENTAS[[#This Row],[Total]]-VENTAS[[#This Row],[Comisión 10%]]-VENTAS[[#This Row],[Costo SIN Comision]]</f>
        <v>9.7950000000000017</v>
      </c>
      <c r="M113" s="12"/>
      <c r="N113" s="16"/>
    </row>
    <row r="114" spans="1:14" ht="20" hidden="1" customHeight="1">
      <c r="A114" s="9"/>
      <c r="B114" s="10" t="s">
        <v>4167</v>
      </c>
      <c r="C114" s="10"/>
      <c r="D114" s="10"/>
      <c r="E114" s="10" t="s">
        <v>666</v>
      </c>
      <c r="F114" s="10" t="str">
        <f>IFERROR(VLOOKUP(VENTAS[[#This Row],[Código del producto Vendido]],STOCK[],5,FALSE),"-")</f>
        <v>SHEIN SXY Camiseta con abertura de malla_M</v>
      </c>
      <c r="G114" s="10">
        <v>3</v>
      </c>
      <c r="H114" s="12">
        <v>10</v>
      </c>
      <c r="I114" s="12">
        <f>VENTAS[[#This Row],[Cantidad]]*VENTAS[[#This Row],[Precio Venta]]</f>
        <v>30</v>
      </c>
      <c r="J114" s="12">
        <f>IF(VENTAS[[#This Row],[Nombre del Gestor]]&gt;1,VENTAS[[#This Row],[Total]]*10%,0)</f>
        <v>0</v>
      </c>
      <c r="K114" s="12">
        <f>IFERROR(VLOOKUP(VENTAS[[#This Row],[Código del producto Vendido]],STOCK[],16,FALSE)*VENTAS[[#This Row],[Cantidad]]+VLOOKUP(VENTAS[[#This Row],[Código del producto Vendido]],STOCK[],19,FALSE)*VENTAS[[#This Row],[Cantidad]],VENTAS[[#This Row],[Total]])</f>
        <v>16.329999999999991</v>
      </c>
      <c r="L114" s="12">
        <f>VENTAS[[#This Row],[Total]]-VENTAS[[#This Row],[Comisión 10%]]-VENTAS[[#This Row],[Costo SIN Comision]]</f>
        <v>13.670000000000009</v>
      </c>
      <c r="M114" s="12"/>
      <c r="N114" s="16"/>
    </row>
    <row r="115" spans="1:14" ht="20" hidden="1" customHeight="1">
      <c r="A115" s="9"/>
      <c r="B115" s="10" t="s">
        <v>4167</v>
      </c>
      <c r="C115" s="10"/>
      <c r="D115" s="10"/>
      <c r="E115" s="10" t="s">
        <v>668</v>
      </c>
      <c r="F115" s="10" t="str">
        <f>IFERROR(VLOOKUP(VENTAS[[#This Row],[Código del producto Vendido]],STOCK[],5,FALSE),"-")</f>
        <v>SHEIN SXY Camiseta con abertura de malla_S</v>
      </c>
      <c r="G115" s="10">
        <v>3</v>
      </c>
      <c r="H115" s="12">
        <v>10</v>
      </c>
      <c r="I115" s="12">
        <f>VENTAS[[#This Row],[Cantidad]]*VENTAS[[#This Row],[Precio Venta]]</f>
        <v>30</v>
      </c>
      <c r="J115" s="12">
        <f>IF(VENTAS[[#This Row],[Nombre del Gestor]]&gt;1,VENTAS[[#This Row],[Total]]*10%,0)</f>
        <v>0</v>
      </c>
      <c r="K115" s="12">
        <f>IFERROR(VLOOKUP(VENTAS[[#This Row],[Código del producto Vendido]],STOCK[],16,FALSE)*VENTAS[[#This Row],[Cantidad]]+VLOOKUP(VENTAS[[#This Row],[Código del producto Vendido]],STOCK[],19,FALSE)*VENTAS[[#This Row],[Cantidad]],VENTAS[[#This Row],[Total]])</f>
        <v>16.329999999999991</v>
      </c>
      <c r="L115" s="12">
        <f>VENTAS[[#This Row],[Total]]-VENTAS[[#This Row],[Comisión 10%]]-VENTAS[[#This Row],[Costo SIN Comision]]</f>
        <v>13.670000000000009</v>
      </c>
      <c r="M115" s="12"/>
      <c r="N115" s="16"/>
    </row>
    <row r="116" spans="1:14" ht="20" hidden="1" customHeight="1">
      <c r="A116" s="9"/>
      <c r="B116" s="10" t="s">
        <v>4167</v>
      </c>
      <c r="C116" s="10"/>
      <c r="D116" s="10"/>
      <c r="E116" s="10" t="s">
        <v>670</v>
      </c>
      <c r="F116" s="10" t="str">
        <f>IFERROR(VLOOKUP(VENTAS[[#This Row],[Código del producto Vendido]],STOCK[],5,FALSE),"-")</f>
        <v>SHEIN SXY Camiseta con abertura de malla_XS</v>
      </c>
      <c r="G116" s="10">
        <v>3</v>
      </c>
      <c r="H116" s="12">
        <v>9</v>
      </c>
      <c r="I116" s="12">
        <f>VENTAS[[#This Row],[Cantidad]]*VENTAS[[#This Row],[Precio Venta]]</f>
        <v>27</v>
      </c>
      <c r="J116" s="12">
        <f>IF(VENTAS[[#This Row],[Nombre del Gestor]]&gt;1,VENTAS[[#This Row],[Total]]*10%,0)</f>
        <v>0</v>
      </c>
      <c r="K116" s="12">
        <f>IFERROR(VLOOKUP(VENTAS[[#This Row],[Código del producto Vendido]],STOCK[],16,FALSE)*VENTAS[[#This Row],[Cantidad]]+VLOOKUP(VENTAS[[#This Row],[Código del producto Vendido]],STOCK[],19,FALSE)*VENTAS[[#This Row],[Cantidad]],VENTAS[[#This Row],[Total]])</f>
        <v>16.329999999999991</v>
      </c>
      <c r="L116" s="12">
        <f>VENTAS[[#This Row],[Total]]-VENTAS[[#This Row],[Comisión 10%]]-VENTAS[[#This Row],[Costo SIN Comision]]</f>
        <v>10.670000000000009</v>
      </c>
      <c r="M116" s="12"/>
      <c r="N116" s="16"/>
    </row>
    <row r="117" spans="1:14" ht="20" hidden="1" customHeight="1">
      <c r="A117" s="9"/>
      <c r="B117" s="10" t="s">
        <v>4167</v>
      </c>
      <c r="C117" s="10"/>
      <c r="D117" s="10"/>
      <c r="E117" s="10" t="s">
        <v>4178</v>
      </c>
      <c r="F117" s="10" t="str">
        <f>IFERROR(VLOOKUP(VENTAS[[#This Row],[Código del producto Vendido]],STOCK[],5,FALSE),"-")</f>
        <v>-</v>
      </c>
      <c r="G117" s="10">
        <v>1</v>
      </c>
      <c r="H117" s="12">
        <v>9</v>
      </c>
      <c r="I117" s="12">
        <f>VENTAS[[#This Row],[Cantidad]]*VENTAS[[#This Row],[Precio Venta]]</f>
        <v>9</v>
      </c>
      <c r="J117" s="12">
        <f>IF(VENTAS[[#This Row],[Nombre del Gestor]]&gt;1,VENTAS[[#This Row],[Total]]*10%,0)</f>
        <v>0</v>
      </c>
      <c r="K117" s="12">
        <f>IFERROR(VLOOKUP(VENTAS[[#This Row],[Código del producto Vendido]],STOCK[],16,FALSE)*VENTAS[[#This Row],[Cantidad]]+VLOOKUP(VENTAS[[#This Row],[Código del producto Vendido]],STOCK[],19,FALSE)*VENTAS[[#This Row],[Cantidad]],VENTAS[[#This Row],[Total]])</f>
        <v>9</v>
      </c>
      <c r="L117" s="12">
        <f>VENTAS[[#This Row],[Total]]-VENTAS[[#This Row],[Comisión 10%]]-VENTAS[[#This Row],[Costo SIN Comision]]</f>
        <v>0</v>
      </c>
      <c r="M117" s="12"/>
      <c r="N117" s="16"/>
    </row>
    <row r="118" spans="1:14" ht="20" hidden="1" customHeight="1">
      <c r="A118" s="9"/>
      <c r="B118" s="10" t="s">
        <v>4167</v>
      </c>
      <c r="C118" s="10"/>
      <c r="D118" s="10"/>
      <c r="E118" s="10" t="s">
        <v>4179</v>
      </c>
      <c r="F118" s="10" t="str">
        <f>IFERROR(VLOOKUP(VENTAS[[#This Row],[Código del producto Vendido]],STOCK[],5,FALSE),"-")</f>
        <v>-</v>
      </c>
      <c r="G118" s="10">
        <v>1</v>
      </c>
      <c r="H118" s="12">
        <v>10</v>
      </c>
      <c r="I118" s="12">
        <f>VENTAS[[#This Row],[Cantidad]]*VENTAS[[#This Row],[Precio Venta]]</f>
        <v>10</v>
      </c>
      <c r="J118" s="12">
        <f>IF(VENTAS[[#This Row],[Nombre del Gestor]]&gt;1,VENTAS[[#This Row],[Total]]*10%,0)</f>
        <v>0</v>
      </c>
      <c r="K118" s="12">
        <f>IFERROR(VLOOKUP(VENTAS[[#This Row],[Código del producto Vendido]],STOCK[],16,FALSE)*VENTAS[[#This Row],[Cantidad]]+VLOOKUP(VENTAS[[#This Row],[Código del producto Vendido]],STOCK[],19,FALSE)*VENTAS[[#This Row],[Cantidad]],VENTAS[[#This Row],[Total]])</f>
        <v>10</v>
      </c>
      <c r="L118" s="12">
        <f>VENTAS[[#This Row],[Total]]-VENTAS[[#This Row],[Comisión 10%]]-VENTAS[[#This Row],[Costo SIN Comision]]</f>
        <v>0</v>
      </c>
      <c r="M118" s="12"/>
      <c r="N118" s="16"/>
    </row>
    <row r="119" spans="1:14" ht="20" hidden="1" customHeight="1">
      <c r="A119" s="9"/>
      <c r="B119" s="10" t="s">
        <v>4167</v>
      </c>
      <c r="C119" s="10"/>
      <c r="D119" s="10"/>
      <c r="E119" s="10" t="s">
        <v>4180</v>
      </c>
      <c r="F119" s="10" t="str">
        <f>IFERROR(VLOOKUP(VENTAS[[#This Row],[Código del producto Vendido]],STOCK[],5,FALSE),"-")</f>
        <v>-</v>
      </c>
      <c r="G119" s="10">
        <v>2</v>
      </c>
      <c r="H119" s="12">
        <v>9</v>
      </c>
      <c r="I119" s="12">
        <f>VENTAS[[#This Row],[Cantidad]]*VENTAS[[#This Row],[Precio Venta]]</f>
        <v>18</v>
      </c>
      <c r="J119" s="12">
        <f>IF(VENTAS[[#This Row],[Nombre del Gestor]]&gt;1,VENTAS[[#This Row],[Total]]*10%,0)</f>
        <v>0</v>
      </c>
      <c r="K119" s="12">
        <f>IFERROR(VLOOKUP(VENTAS[[#This Row],[Código del producto Vendido]],STOCK[],16,FALSE)*VENTAS[[#This Row],[Cantidad]]+VLOOKUP(VENTAS[[#This Row],[Código del producto Vendido]],STOCK[],19,FALSE)*VENTAS[[#This Row],[Cantidad]],VENTAS[[#This Row],[Total]])</f>
        <v>18</v>
      </c>
      <c r="L119" s="12">
        <f>VENTAS[[#This Row],[Total]]-VENTAS[[#This Row],[Comisión 10%]]-VENTAS[[#This Row],[Costo SIN Comision]]</f>
        <v>0</v>
      </c>
      <c r="M119" s="12"/>
      <c r="N119" s="16"/>
    </row>
    <row r="120" spans="1:14" ht="20" hidden="1" customHeight="1">
      <c r="A120" s="9"/>
      <c r="B120" s="10" t="s">
        <v>4167</v>
      </c>
      <c r="C120" s="10"/>
      <c r="D120" s="10"/>
      <c r="E120" s="10" t="s">
        <v>4181</v>
      </c>
      <c r="F120" s="10" t="str">
        <f>IFERROR(VLOOKUP(VENTAS[[#This Row],[Código del producto Vendido]],STOCK[],5,FALSE),"-")</f>
        <v>-</v>
      </c>
      <c r="G120" s="10">
        <v>2</v>
      </c>
      <c r="H120" s="12">
        <v>9</v>
      </c>
      <c r="I120" s="12">
        <f>VENTAS[[#This Row],[Cantidad]]*VENTAS[[#This Row],[Precio Venta]]</f>
        <v>18</v>
      </c>
      <c r="J120" s="12">
        <f>IF(VENTAS[[#This Row],[Nombre del Gestor]]&gt;1,VENTAS[[#This Row],[Total]]*10%,0)</f>
        <v>0</v>
      </c>
      <c r="K120" s="12">
        <f>IFERROR(VLOOKUP(VENTAS[[#This Row],[Código del producto Vendido]],STOCK[],16,FALSE)*VENTAS[[#This Row],[Cantidad]]+VLOOKUP(VENTAS[[#This Row],[Código del producto Vendido]],STOCK[],19,FALSE)*VENTAS[[#This Row],[Cantidad]],VENTAS[[#This Row],[Total]])</f>
        <v>18</v>
      </c>
      <c r="L120" s="12">
        <f>VENTAS[[#This Row],[Total]]-VENTAS[[#This Row],[Comisión 10%]]-VENTAS[[#This Row],[Costo SIN Comision]]</f>
        <v>0</v>
      </c>
      <c r="M120" s="12"/>
      <c r="N120" s="16"/>
    </row>
    <row r="121" spans="1:14" ht="20" hidden="1" customHeight="1">
      <c r="A121" s="9"/>
      <c r="B121" s="10" t="s">
        <v>4167</v>
      </c>
      <c r="C121" s="10"/>
      <c r="D121" s="10"/>
      <c r="E121" s="10" t="s">
        <v>616</v>
      </c>
      <c r="F121" s="10" t="str">
        <f>IFERROR(VLOOKUP(VENTAS[[#This Row],[Código del producto Vendido]],STOCK[],5,FALSE),"-")</f>
        <v>Camiseta corta de manga farol</v>
      </c>
      <c r="G121" s="10">
        <v>2</v>
      </c>
      <c r="H121" s="12">
        <v>9</v>
      </c>
      <c r="I121" s="12">
        <f>VENTAS[[#This Row],[Cantidad]]*VENTAS[[#This Row],[Precio Venta]]</f>
        <v>18</v>
      </c>
      <c r="J121" s="12">
        <f>IF(VENTAS[[#This Row],[Nombre del Gestor]]&gt;1,VENTAS[[#This Row],[Total]]*10%,0)</f>
        <v>0</v>
      </c>
      <c r="K121" s="12">
        <f>IFERROR(VLOOKUP(VENTAS[[#This Row],[Código del producto Vendido]],STOCK[],16,FALSE)*VENTAS[[#This Row],[Cantidad]]+VLOOKUP(VENTAS[[#This Row],[Código del producto Vendido]],STOCK[],19,FALSE)*VENTAS[[#This Row],[Cantidad]],VENTAS[[#This Row],[Total]])</f>
        <v>11.47</v>
      </c>
      <c r="L121" s="12">
        <f>VENTAS[[#This Row],[Total]]-VENTAS[[#This Row],[Comisión 10%]]-VENTAS[[#This Row],[Costo SIN Comision]]</f>
        <v>6.5299999999999994</v>
      </c>
      <c r="M121" s="12"/>
      <c r="N121" s="16"/>
    </row>
    <row r="122" spans="1:14" ht="20" hidden="1" customHeight="1">
      <c r="A122" s="9"/>
      <c r="B122" s="10" t="s">
        <v>4167</v>
      </c>
      <c r="C122" s="10"/>
      <c r="D122" s="10"/>
      <c r="E122" s="10" t="s">
        <v>4182</v>
      </c>
      <c r="F122" s="10" t="str">
        <f>IFERROR(VLOOKUP(VENTAS[[#This Row],[Código del producto Vendido]],STOCK[],5,FALSE),"-")</f>
        <v>-</v>
      </c>
      <c r="G122" s="10">
        <v>1</v>
      </c>
      <c r="H122" s="12">
        <v>9</v>
      </c>
      <c r="I122" s="12">
        <f>VENTAS[[#This Row],[Cantidad]]*VENTAS[[#This Row],[Precio Venta]]</f>
        <v>9</v>
      </c>
      <c r="J122" s="12">
        <f>IF(VENTAS[[#This Row],[Nombre del Gestor]]&gt;1,VENTAS[[#This Row],[Total]]*10%,0)</f>
        <v>0</v>
      </c>
      <c r="K122" s="12">
        <f>IFERROR(VLOOKUP(VENTAS[[#This Row],[Código del producto Vendido]],STOCK[],16,FALSE)*VENTAS[[#This Row],[Cantidad]]+VLOOKUP(VENTAS[[#This Row],[Código del producto Vendido]],STOCK[],19,FALSE)*VENTAS[[#This Row],[Cantidad]],VENTAS[[#This Row],[Total]])</f>
        <v>9</v>
      </c>
      <c r="L122" s="12">
        <f>VENTAS[[#This Row],[Total]]-VENTAS[[#This Row],[Comisión 10%]]-VENTAS[[#This Row],[Costo SIN Comision]]</f>
        <v>0</v>
      </c>
      <c r="M122" s="12"/>
      <c r="N122" s="16"/>
    </row>
    <row r="123" spans="1:14" ht="20" hidden="1" customHeight="1">
      <c r="A123" s="9"/>
      <c r="B123" s="10" t="s">
        <v>4167</v>
      </c>
      <c r="C123" s="10"/>
      <c r="D123" s="10"/>
      <c r="E123" s="10" t="s">
        <v>614</v>
      </c>
      <c r="F123" s="10" t="str">
        <f>IFERROR(VLOOKUP(VENTAS[[#This Row],[Código del producto Vendido]],STOCK[],5,FALSE),"-")</f>
        <v>Camiseta corta de manga farol</v>
      </c>
      <c r="G123" s="10">
        <v>2</v>
      </c>
      <c r="H123" s="12">
        <v>9</v>
      </c>
      <c r="I123" s="12">
        <f>VENTAS[[#This Row],[Cantidad]]*VENTAS[[#This Row],[Precio Venta]]</f>
        <v>18</v>
      </c>
      <c r="J123" s="12">
        <f>IF(VENTAS[[#This Row],[Nombre del Gestor]]&gt;1,VENTAS[[#This Row],[Total]]*10%,0)</f>
        <v>0</v>
      </c>
      <c r="K123" s="12">
        <f>IFERROR(VLOOKUP(VENTAS[[#This Row],[Código del producto Vendido]],STOCK[],16,FALSE)*VENTAS[[#This Row],[Cantidad]]+VLOOKUP(VENTAS[[#This Row],[Código del producto Vendido]],STOCK[],19,FALSE)*VENTAS[[#This Row],[Cantidad]],VENTAS[[#This Row],[Total]])</f>
        <v>11.47</v>
      </c>
      <c r="L123" s="12">
        <f>VENTAS[[#This Row],[Total]]-VENTAS[[#This Row],[Comisión 10%]]-VENTAS[[#This Row],[Costo SIN Comision]]</f>
        <v>6.5299999999999994</v>
      </c>
      <c r="M123" s="12"/>
      <c r="N123" s="16"/>
    </row>
    <row r="124" spans="1:14" ht="20" hidden="1" customHeight="1">
      <c r="A124" s="9"/>
      <c r="B124" s="10" t="s">
        <v>4167</v>
      </c>
      <c r="C124" s="10"/>
      <c r="D124" s="10"/>
      <c r="E124" s="10" t="s">
        <v>4183</v>
      </c>
      <c r="F124" s="10" t="str">
        <f>IFERROR(VLOOKUP(VENTAS[[#This Row],[Código del producto Vendido]],STOCK[],5,FALSE),"-")</f>
        <v>-</v>
      </c>
      <c r="G124" s="10">
        <v>1</v>
      </c>
      <c r="H124" s="12">
        <v>9</v>
      </c>
      <c r="I124" s="12">
        <f>VENTAS[[#This Row],[Cantidad]]*VENTAS[[#This Row],[Precio Venta]]</f>
        <v>9</v>
      </c>
      <c r="J124" s="12">
        <f>IF(VENTAS[[#This Row],[Nombre del Gestor]]&gt;1,VENTAS[[#This Row],[Total]]*10%,0)</f>
        <v>0</v>
      </c>
      <c r="K124" s="12">
        <f>IFERROR(VLOOKUP(VENTAS[[#This Row],[Código del producto Vendido]],STOCK[],16,FALSE)*VENTAS[[#This Row],[Cantidad]]+VLOOKUP(VENTAS[[#This Row],[Código del producto Vendido]],STOCK[],19,FALSE)*VENTAS[[#This Row],[Cantidad]],VENTAS[[#This Row],[Total]])</f>
        <v>9</v>
      </c>
      <c r="L124" s="12">
        <f>VENTAS[[#This Row],[Total]]-VENTAS[[#This Row],[Comisión 10%]]-VENTAS[[#This Row],[Costo SIN Comision]]</f>
        <v>0</v>
      </c>
      <c r="M124" s="12"/>
      <c r="N124" s="16"/>
    </row>
    <row r="125" spans="1:14" ht="20" hidden="1" customHeight="1">
      <c r="A125" s="9"/>
      <c r="B125" s="10" t="s">
        <v>4167</v>
      </c>
      <c r="C125" s="10"/>
      <c r="D125" s="10"/>
      <c r="E125" s="10" t="s">
        <v>588</v>
      </c>
      <c r="F125" s="10" t="str">
        <f>IFERROR(VLOOKUP(VENTAS[[#This Row],[Código del producto Vendido]],STOCK[],5,FALSE),"-")</f>
        <v>Top corto manga farol</v>
      </c>
      <c r="G125" s="10">
        <v>2</v>
      </c>
      <c r="H125" s="12">
        <v>9</v>
      </c>
      <c r="I125" s="12">
        <f>VENTAS[[#This Row],[Cantidad]]*VENTAS[[#This Row],[Precio Venta]]</f>
        <v>18</v>
      </c>
      <c r="J125" s="12">
        <f>IF(VENTAS[[#This Row],[Nombre del Gestor]]&gt;1,VENTAS[[#This Row],[Total]]*10%,0)</f>
        <v>0</v>
      </c>
      <c r="K125" s="12">
        <f>IFERROR(VLOOKUP(VENTAS[[#This Row],[Código del producto Vendido]],STOCK[],16,FALSE)*VENTAS[[#This Row],[Cantidad]]+VLOOKUP(VENTAS[[#This Row],[Código del producto Vendido]],STOCK[],19,FALSE)*VENTAS[[#This Row],[Cantidad]],VENTAS[[#This Row],[Total]])</f>
        <v>11.47</v>
      </c>
      <c r="L125" s="12">
        <f>VENTAS[[#This Row],[Total]]-VENTAS[[#This Row],[Comisión 10%]]-VENTAS[[#This Row],[Costo SIN Comision]]</f>
        <v>6.5299999999999994</v>
      </c>
      <c r="M125" s="12"/>
      <c r="N125" s="16"/>
    </row>
    <row r="126" spans="1:14" ht="20" hidden="1" customHeight="1">
      <c r="A126" s="9"/>
      <c r="B126" s="10" t="s">
        <v>4167</v>
      </c>
      <c r="C126" s="10"/>
      <c r="D126" s="10"/>
      <c r="E126" s="10" t="s">
        <v>576</v>
      </c>
      <c r="F126" s="10" t="str">
        <f>IFERROR(VLOOKUP(VENTAS[[#This Row],[Código del producto Vendido]],STOCK[],5,FALSE),"-")</f>
        <v>Top de hombros descubiertos unicolor ribete con fruncido_S</v>
      </c>
      <c r="G126" s="10">
        <v>3</v>
      </c>
      <c r="H126" s="12">
        <v>12</v>
      </c>
      <c r="I126" s="12">
        <f>VENTAS[[#This Row],[Cantidad]]*VENTAS[[#This Row],[Precio Venta]]</f>
        <v>36</v>
      </c>
      <c r="J126" s="12">
        <f>IF(VENTAS[[#This Row],[Nombre del Gestor]]&gt;1,VENTAS[[#This Row],[Total]]*10%,0)</f>
        <v>0</v>
      </c>
      <c r="K126" s="12">
        <f>IFERROR(VLOOKUP(VENTAS[[#This Row],[Código del producto Vendido]],STOCK[],16,FALSE)*VENTAS[[#This Row],[Cantidad]]+VLOOKUP(VENTAS[[#This Row],[Código del producto Vendido]],STOCK[],19,FALSE)*VENTAS[[#This Row],[Cantidad]],VENTAS[[#This Row],[Total]])</f>
        <v>15.275000000000009</v>
      </c>
      <c r="L126" s="12">
        <f>VENTAS[[#This Row],[Total]]-VENTAS[[#This Row],[Comisión 10%]]-VENTAS[[#This Row],[Costo SIN Comision]]</f>
        <v>20.724999999999991</v>
      </c>
      <c r="M126" s="12"/>
      <c r="N126" s="16"/>
    </row>
    <row r="127" spans="1:14" ht="20" hidden="1" customHeight="1">
      <c r="A127" s="9">
        <v>45045</v>
      </c>
      <c r="B127" s="10"/>
      <c r="C127" s="10" t="s">
        <v>4184</v>
      </c>
      <c r="D127" s="10"/>
      <c r="E127" s="10" t="s">
        <v>54</v>
      </c>
      <c r="F127" s="10" t="str">
        <f>IFERROR(VLOOKUP(VENTAS[[#This Row],[Código del producto Vendido]],STOCK[],5,FALSE),"-")</f>
        <v>Pareo pantalón</v>
      </c>
      <c r="G127" s="10">
        <v>1</v>
      </c>
      <c r="H127" s="12">
        <v>15</v>
      </c>
      <c r="I127" s="12">
        <f>VENTAS[[#This Row],[Cantidad]]*VENTAS[[#This Row],[Precio Venta]]</f>
        <v>15</v>
      </c>
      <c r="J127" s="12">
        <f>IF(VENTAS[[#This Row],[Nombre del Gestor]]&gt;1,VENTAS[[#This Row],[Total]]*10%,0)</f>
        <v>0</v>
      </c>
      <c r="K127" s="12">
        <f>IFERROR(VLOOKUP(VENTAS[[#This Row],[Código del producto Vendido]],STOCK[],16,FALSE)*VENTAS[[#This Row],[Cantidad]]+VLOOKUP(VENTAS[[#This Row],[Código del producto Vendido]],STOCK[],19,FALSE)*VENTAS[[#This Row],[Cantidad]],VENTAS[[#This Row],[Total]])</f>
        <v>10.063333333333331</v>
      </c>
      <c r="L127" s="12">
        <f>VENTAS[[#This Row],[Total]]-VENTAS[[#This Row],[Comisión 10%]]-VENTAS[[#This Row],[Costo SIN Comision]]</f>
        <v>4.9366666666666692</v>
      </c>
      <c r="M127" s="12"/>
      <c r="N127" s="16"/>
    </row>
    <row r="128" spans="1:14" ht="20" hidden="1" customHeight="1">
      <c r="A128" s="9">
        <v>45045</v>
      </c>
      <c r="B128" s="10"/>
      <c r="C128" s="10" t="s">
        <v>4185</v>
      </c>
      <c r="D128" s="10"/>
      <c r="E128" s="10" t="s">
        <v>139</v>
      </c>
      <c r="F128" s="10" t="str">
        <f>IFERROR(VLOOKUP(VENTAS[[#This Row],[Código del producto Vendido]],STOCK[],5,FALSE),"-")</f>
        <v>Bañador con estampado de girasol con cover up</v>
      </c>
      <c r="G128" s="10">
        <v>1</v>
      </c>
      <c r="H128" s="12">
        <v>20</v>
      </c>
      <c r="I128" s="12">
        <f>VENTAS[[#This Row],[Cantidad]]*VENTAS[[#This Row],[Precio Venta]]</f>
        <v>20</v>
      </c>
      <c r="J128" s="12">
        <f>IF(VENTAS[[#This Row],[Nombre del Gestor]]&gt;1,VENTAS[[#This Row],[Total]]*10%,0)</f>
        <v>0</v>
      </c>
      <c r="K128" s="12">
        <f>IFERROR(VLOOKUP(VENTAS[[#This Row],[Código del producto Vendido]],STOCK[],16,FALSE)*VENTAS[[#This Row],[Cantidad]]+VLOOKUP(VENTAS[[#This Row],[Código del producto Vendido]],STOCK[],19,FALSE)*VENTAS[[#This Row],[Cantidad]],VENTAS[[#This Row],[Total]])</f>
        <v>12.805</v>
      </c>
      <c r="L128" s="12">
        <f>VENTAS[[#This Row],[Total]]-VENTAS[[#This Row],[Comisión 10%]]-VENTAS[[#This Row],[Costo SIN Comision]]</f>
        <v>7.1950000000000003</v>
      </c>
      <c r="M128" s="12"/>
      <c r="N128" s="16"/>
    </row>
    <row r="129" spans="1:14" ht="20" hidden="1" customHeight="1">
      <c r="A129" s="9">
        <v>45045</v>
      </c>
      <c r="B129" s="10"/>
      <c r="C129" s="10" t="s">
        <v>4186</v>
      </c>
      <c r="D129" s="10"/>
      <c r="E129" s="10" t="s">
        <v>625</v>
      </c>
      <c r="F129" s="10" t="str">
        <f>IFERROR(VLOOKUP(VENTAS[[#This Row],[Código del producto Vendido]],STOCK[],5,FALSE),"-")</f>
        <v>Vestido pecho con fruncido cruzado cintura con estampado floral_L</v>
      </c>
      <c r="G129" s="10">
        <v>1</v>
      </c>
      <c r="H129" s="12">
        <v>15</v>
      </c>
      <c r="I129" s="12">
        <f>VENTAS[[#This Row],[Cantidad]]*VENTAS[[#This Row],[Precio Venta]]</f>
        <v>15</v>
      </c>
      <c r="J129" s="12">
        <f>IF(VENTAS[[#This Row],[Nombre del Gestor]]&gt;1,VENTAS[[#This Row],[Total]]*10%,0)</f>
        <v>0</v>
      </c>
      <c r="K129" s="12">
        <f>IFERROR(VLOOKUP(VENTAS[[#This Row],[Código del producto Vendido]],STOCK[],16,FALSE)*VENTAS[[#This Row],[Cantidad]]+VLOOKUP(VENTAS[[#This Row],[Código del producto Vendido]],STOCK[],19,FALSE)*VENTAS[[#This Row],[Cantidad]],VENTAS[[#This Row],[Total]])</f>
        <v>10.72222222222222</v>
      </c>
      <c r="L129" s="12">
        <f>VENTAS[[#This Row],[Total]]-VENTAS[[#This Row],[Comisión 10%]]-VENTAS[[#This Row],[Costo SIN Comision]]</f>
        <v>4.2777777777777803</v>
      </c>
      <c r="M129" s="12"/>
      <c r="N129" s="16"/>
    </row>
    <row r="130" spans="1:14" ht="20" hidden="1" customHeight="1">
      <c r="A130" s="9">
        <v>45045</v>
      </c>
      <c r="B130" s="10"/>
      <c r="C130" s="10" t="s">
        <v>4187</v>
      </c>
      <c r="D130" s="10"/>
      <c r="E130" s="10" t="s">
        <v>602</v>
      </c>
      <c r="F130" s="10" t="str">
        <f>IFERROR(VLOOKUP(VENTAS[[#This Row],[Código del producto Vendido]],STOCK[],5,FALSE),"-")</f>
        <v>Vestido floral de mangas farol</v>
      </c>
      <c r="G130" s="10">
        <v>1</v>
      </c>
      <c r="H130" s="12">
        <v>15</v>
      </c>
      <c r="I130" s="12">
        <f>VENTAS[[#This Row],[Cantidad]]*VENTAS[[#This Row],[Precio Venta]]</f>
        <v>15</v>
      </c>
      <c r="J130" s="12">
        <f>IF(VENTAS[[#This Row],[Nombre del Gestor]]&gt;1,VENTAS[[#This Row],[Total]]*10%,0)</f>
        <v>0</v>
      </c>
      <c r="K130" s="12">
        <f>IFERROR(VLOOKUP(VENTAS[[#This Row],[Código del producto Vendido]],STOCK[],16,FALSE)*VENTAS[[#This Row],[Cantidad]]+VLOOKUP(VENTAS[[#This Row],[Código del producto Vendido]],STOCK[],19,FALSE)*VENTAS[[#This Row],[Cantidad]],VENTAS[[#This Row],[Total]])</f>
        <v>10.72222222222222</v>
      </c>
      <c r="L130" s="12">
        <f>VENTAS[[#This Row],[Total]]-VENTAS[[#This Row],[Comisión 10%]]-VENTAS[[#This Row],[Costo SIN Comision]]</f>
        <v>4.2777777777777803</v>
      </c>
      <c r="M130" s="12"/>
      <c r="N130" s="16"/>
    </row>
    <row r="131" spans="1:14" ht="20" hidden="1" customHeight="1">
      <c r="A131" s="9">
        <v>45045</v>
      </c>
      <c r="B131" s="10"/>
      <c r="C131" s="10" t="s">
        <v>4188</v>
      </c>
      <c r="D131" s="10"/>
      <c r="E131" s="10" t="s">
        <v>643</v>
      </c>
      <c r="F131" s="10" t="str">
        <f>IFERROR(VLOOKUP(VENTAS[[#This Row],[Código del producto Vendido]],STOCK[],5,FALSE),"-")</f>
        <v>Vestido floral de manga farol escote corazón con cordón lateral_S</v>
      </c>
      <c r="G131" s="10">
        <v>1</v>
      </c>
      <c r="H131" s="12">
        <v>15</v>
      </c>
      <c r="I131" s="12">
        <f>VENTAS[[#This Row],[Cantidad]]*VENTAS[[#This Row],[Precio Venta]]</f>
        <v>15</v>
      </c>
      <c r="J131" s="12">
        <f>IF(VENTAS[[#This Row],[Nombre del Gestor]]&gt;1,VENTAS[[#This Row],[Total]]*10%,0)</f>
        <v>0</v>
      </c>
      <c r="K131" s="12">
        <f>IFERROR(VLOOKUP(VENTAS[[#This Row],[Código del producto Vendido]],STOCK[],16,FALSE)*VENTAS[[#This Row],[Cantidad]]+VLOOKUP(VENTAS[[#This Row],[Código del producto Vendido]],STOCK[],19,FALSE)*VENTAS[[#This Row],[Cantidad]],VENTAS[[#This Row],[Total]])</f>
        <v>10.72222222222222</v>
      </c>
      <c r="L131" s="12">
        <f>VENTAS[[#This Row],[Total]]-VENTAS[[#This Row],[Comisión 10%]]-VENTAS[[#This Row],[Costo SIN Comision]]</f>
        <v>4.2777777777777803</v>
      </c>
      <c r="M131" s="12"/>
      <c r="N131" s="16"/>
    </row>
    <row r="132" spans="1:14" ht="20" hidden="1" customHeight="1">
      <c r="A132" s="9"/>
      <c r="B132" s="10" t="s">
        <v>4167</v>
      </c>
      <c r="C132" s="10"/>
      <c r="D132" s="10"/>
      <c r="E132" s="10" t="s">
        <v>723</v>
      </c>
      <c r="F132" s="10" t="str">
        <f>IFERROR(VLOOKUP(VENTAS[[#This Row],[Código del producto Vendido]],STOCK[],5,FALSE),"-")</f>
        <v>Top acanalado sin mangas</v>
      </c>
      <c r="G132" s="10">
        <v>5</v>
      </c>
      <c r="H132" s="12">
        <v>9</v>
      </c>
      <c r="I132" s="12">
        <f>VENTAS[[#This Row],[Cantidad]]*VENTAS[[#This Row],[Precio Venta]]</f>
        <v>45</v>
      </c>
      <c r="J132" s="12">
        <f>IF(VENTAS[[#This Row],[Nombre del Gestor]]&gt;1,VENTAS[[#This Row],[Total]]*10%,0)</f>
        <v>0</v>
      </c>
      <c r="K132" s="12">
        <f>IFERROR(VLOOKUP(VENTAS[[#This Row],[Código del producto Vendido]],STOCK[],16,FALSE)*VENTAS[[#This Row],[Cantidad]]+VLOOKUP(VENTAS[[#This Row],[Código del producto Vendido]],STOCK[],19,FALSE)*VENTAS[[#This Row],[Cantidad]],VENTAS[[#This Row],[Total]])</f>
        <v>25.1111111111111</v>
      </c>
      <c r="L132" s="12">
        <f>VENTAS[[#This Row],[Total]]-VENTAS[[#This Row],[Comisión 10%]]-VENTAS[[#This Row],[Costo SIN Comision]]</f>
        <v>19.8888888888889</v>
      </c>
      <c r="M132" s="12"/>
      <c r="N132" s="16"/>
    </row>
    <row r="133" spans="1:14" ht="20" hidden="1" customHeight="1">
      <c r="A133" s="9"/>
      <c r="B133" s="10" t="s">
        <v>4167</v>
      </c>
      <c r="C133" s="10"/>
      <c r="D133" s="10"/>
      <c r="E133" s="10" t="s">
        <v>728</v>
      </c>
      <c r="F133" s="10" t="str">
        <f>IFERROR(VLOOKUP(VENTAS[[#This Row],[Código del producto Vendido]],STOCK[],5,FALSE),"-")</f>
        <v>Top acanalado sin mangas</v>
      </c>
      <c r="G133" s="10">
        <v>5</v>
      </c>
      <c r="H133" s="12">
        <v>9</v>
      </c>
      <c r="I133" s="12">
        <f>VENTAS[[#This Row],[Cantidad]]*VENTAS[[#This Row],[Precio Venta]]</f>
        <v>45</v>
      </c>
      <c r="J133" s="12">
        <f>IF(VENTAS[[#This Row],[Nombre del Gestor]]&gt;1,VENTAS[[#This Row],[Total]]*10%,0)</f>
        <v>0</v>
      </c>
      <c r="K133" s="12">
        <f>IFERROR(VLOOKUP(VENTAS[[#This Row],[Código del producto Vendido]],STOCK[],16,FALSE)*VENTAS[[#This Row],[Cantidad]]+VLOOKUP(VENTAS[[#This Row],[Código del producto Vendido]],STOCK[],19,FALSE)*VENTAS[[#This Row],[Cantidad]],VENTAS[[#This Row],[Total]])</f>
        <v>25.1111111111111</v>
      </c>
      <c r="L133" s="12">
        <f>VENTAS[[#This Row],[Total]]-VENTAS[[#This Row],[Comisión 10%]]-VENTAS[[#This Row],[Costo SIN Comision]]</f>
        <v>19.8888888888889</v>
      </c>
      <c r="M133" s="12"/>
      <c r="N133" s="16"/>
    </row>
    <row r="134" spans="1:14" ht="20" hidden="1" customHeight="1">
      <c r="A134" s="9">
        <v>45047</v>
      </c>
      <c r="B134" s="10"/>
      <c r="C134" s="10" t="s">
        <v>4189</v>
      </c>
      <c r="D134" s="10"/>
      <c r="E134" s="10" t="s">
        <v>128</v>
      </c>
      <c r="F134" s="10" t="str">
        <f>IFERROR(VLOOKUP(VENTAS[[#This Row],[Código del producto Vendido]],STOCK[],5,FALSE),"-")</f>
        <v>Bañador chicas con estampado de letra con cremallera</v>
      </c>
      <c r="G134" s="10">
        <v>1</v>
      </c>
      <c r="H134" s="12">
        <v>20</v>
      </c>
      <c r="I134" s="12">
        <f>VENTAS[[#This Row],[Cantidad]]*VENTAS[[#This Row],[Precio Venta]]</f>
        <v>20</v>
      </c>
      <c r="J134" s="12">
        <f>IF(VENTAS[[#This Row],[Nombre del Gestor]]&gt;1,VENTAS[[#This Row],[Total]]*10%,0)</f>
        <v>0</v>
      </c>
      <c r="K134" s="12">
        <f>IFERROR(VLOOKUP(VENTAS[[#This Row],[Código del producto Vendido]],STOCK[],16,FALSE)*VENTAS[[#This Row],[Cantidad]]+VLOOKUP(VENTAS[[#This Row],[Código del producto Vendido]],STOCK[],19,FALSE)*VENTAS[[#This Row],[Cantidad]],VENTAS[[#This Row],[Total]])</f>
        <v>14.766111111111099</v>
      </c>
      <c r="L134" s="12">
        <f>VENTAS[[#This Row],[Total]]-VENTAS[[#This Row],[Comisión 10%]]-VENTAS[[#This Row],[Costo SIN Comision]]</f>
        <v>5.2338888888889006</v>
      </c>
      <c r="M134" s="12"/>
      <c r="N134" s="16"/>
    </row>
    <row r="135" spans="1:14" ht="20" hidden="1" customHeight="1">
      <c r="A135" s="9">
        <v>45047</v>
      </c>
      <c r="B135" s="10"/>
      <c r="C135" s="10" t="s">
        <v>4189</v>
      </c>
      <c r="D135" s="10"/>
      <c r="E135" s="10" t="s">
        <v>95</v>
      </c>
      <c r="F135" s="10" t="str">
        <f>IFERROR(VLOOKUP(VENTAS[[#This Row],[Código del producto Vendido]],STOCK[],5,FALSE),"-")</f>
        <v>Sets de Bikini Casual</v>
      </c>
      <c r="G135" s="10">
        <v>1</v>
      </c>
      <c r="H135" s="12">
        <v>25</v>
      </c>
      <c r="I135" s="12">
        <f>VENTAS[[#This Row],[Cantidad]]*VENTAS[[#This Row],[Precio Venta]]</f>
        <v>25</v>
      </c>
      <c r="J135" s="12">
        <f>IF(VENTAS[[#This Row],[Nombre del Gestor]]&gt;1,VENTAS[[#This Row],[Total]]*10%,0)</f>
        <v>0</v>
      </c>
      <c r="K135" s="12">
        <f>IFERROR(VLOOKUP(VENTAS[[#This Row],[Código del producto Vendido]],STOCK[],16,FALSE)*VENTAS[[#This Row],[Cantidad]]+VLOOKUP(VENTAS[[#This Row],[Código del producto Vendido]],STOCK[],19,FALSE)*VENTAS[[#This Row],[Cantidad]],VENTAS[[#This Row],[Total]])</f>
        <v>14.4261111111111</v>
      </c>
      <c r="L135" s="12">
        <f>VENTAS[[#This Row],[Total]]-VENTAS[[#This Row],[Comisión 10%]]-VENTAS[[#This Row],[Costo SIN Comision]]</f>
        <v>10.5738888888889</v>
      </c>
      <c r="M135" s="12"/>
      <c r="N135" s="16"/>
    </row>
    <row r="136" spans="1:14" s="2" customFormat="1" ht="20" hidden="1" customHeight="1">
      <c r="A136" s="17">
        <v>45047</v>
      </c>
      <c r="B136" s="18"/>
      <c r="C136" s="18" t="s">
        <v>4190</v>
      </c>
      <c r="D136" s="18"/>
      <c r="E136" s="18" t="s">
        <v>619</v>
      </c>
      <c r="F136" s="18" t="str">
        <f>IFERROR(VLOOKUP(VENTAS[[#This Row],[Código del producto Vendido]],STOCK[],5,FALSE),"-")</f>
        <v xml:space="preserve">Vestido pecho con fruncido </v>
      </c>
      <c r="G136" s="18">
        <v>1</v>
      </c>
      <c r="H136" s="20">
        <v>15</v>
      </c>
      <c r="I136" s="12">
        <f>VENTAS[[#This Row],[Cantidad]]*VENTAS[[#This Row],[Precio Venta]]</f>
        <v>15</v>
      </c>
      <c r="J136" s="12">
        <f>IF(VENTAS[[#This Row],[Nombre del Gestor]]&gt;1,VENTAS[[#This Row],[Total]]*10%,0)</f>
        <v>0</v>
      </c>
      <c r="K136" s="12">
        <f>IFERROR(VLOOKUP(VENTAS[[#This Row],[Código del producto Vendido]],STOCK[],16,FALSE)*VENTAS[[#This Row],[Cantidad]]+VLOOKUP(VENTAS[[#This Row],[Código del producto Vendido]],STOCK[],19,FALSE)*VENTAS[[#This Row],[Cantidad]],VENTAS[[#This Row],[Total]])</f>
        <v>10.72222222222222</v>
      </c>
      <c r="L136" s="12">
        <f>VENTAS[[#This Row],[Total]]-VENTAS[[#This Row],[Comisión 10%]]-VENTAS[[#This Row],[Costo SIN Comision]]</f>
        <v>4.2777777777777803</v>
      </c>
      <c r="M136" s="20"/>
      <c r="N136" s="22"/>
    </row>
    <row r="137" spans="1:14" ht="20" hidden="1" customHeight="1">
      <c r="A137" s="9"/>
      <c r="B137" s="10"/>
      <c r="C137" s="10"/>
      <c r="D137" s="10"/>
      <c r="E137" s="10" t="s">
        <v>120</v>
      </c>
      <c r="F137" s="10" t="str">
        <f>IFERROR(VLOOKUP(VENTAS[[#This Row],[Código del producto Vendido]],STOCK[],5,FALSE),"-")</f>
        <v>Bañador color combinado con cremallera_S</v>
      </c>
      <c r="G137" s="10">
        <v>1</v>
      </c>
      <c r="H137" s="12">
        <v>25</v>
      </c>
      <c r="I137" s="12">
        <f>VENTAS[[#This Row],[Cantidad]]*VENTAS[[#This Row],[Precio Venta]]</f>
        <v>25</v>
      </c>
      <c r="J137" s="12">
        <f>IF(VENTAS[[#This Row],[Nombre del Gestor]]&gt;1,VENTAS[[#This Row],[Total]]*10%,0)</f>
        <v>0</v>
      </c>
      <c r="K137" s="12">
        <f>IFERROR(VLOOKUP(VENTAS[[#This Row],[Código del producto Vendido]],STOCK[],16,FALSE)*VENTAS[[#This Row],[Cantidad]]+VLOOKUP(VENTAS[[#This Row],[Código del producto Vendido]],STOCK[],19,FALSE)*VENTAS[[#This Row],[Cantidad]],VENTAS[[#This Row],[Total]])</f>
        <v>16.772777777777801</v>
      </c>
      <c r="L137" s="12">
        <f>VENTAS[[#This Row],[Total]]-VENTAS[[#This Row],[Comisión 10%]]-VENTAS[[#This Row],[Costo SIN Comision]]</f>
        <v>8.2272222222221991</v>
      </c>
      <c r="M137" s="12"/>
      <c r="N137" s="16"/>
    </row>
    <row r="138" spans="1:14" ht="20" hidden="1" customHeight="1">
      <c r="A138" s="9">
        <v>45048</v>
      </c>
      <c r="B138" s="10"/>
      <c r="C138" s="10"/>
      <c r="D138" s="10"/>
      <c r="E138" s="10" t="s">
        <v>31</v>
      </c>
      <c r="F138" s="10" t="str">
        <f>IFERROR(VLOOKUP(VENTAS[[#This Row],[Código del producto Vendido]],STOCK[],5,FALSE),"-")</f>
        <v xml:space="preserve">Pareo falda </v>
      </c>
      <c r="G138" s="10">
        <v>1</v>
      </c>
      <c r="H138" s="12">
        <v>8</v>
      </c>
      <c r="I138" s="12">
        <f>VENTAS[[#This Row],[Cantidad]]*VENTAS[[#This Row],[Precio Venta]]</f>
        <v>8</v>
      </c>
      <c r="J138" s="12">
        <f>IF(VENTAS[[#This Row],[Nombre del Gestor]]&gt;1,VENTAS[[#This Row],[Total]]*10%,0)</f>
        <v>0</v>
      </c>
      <c r="K138" s="12">
        <f>IFERROR(VLOOKUP(VENTAS[[#This Row],[Código del producto Vendido]],STOCK[],16,FALSE)*VENTAS[[#This Row],[Cantidad]]+VLOOKUP(VENTAS[[#This Row],[Código del producto Vendido]],STOCK[],19,FALSE)*VENTAS[[#This Row],[Cantidad]],VENTAS[[#This Row],[Total]])</f>
        <v>4.3372222222222199</v>
      </c>
      <c r="L138" s="12">
        <f>VENTAS[[#This Row],[Total]]-VENTAS[[#This Row],[Comisión 10%]]-VENTAS[[#This Row],[Costo SIN Comision]]</f>
        <v>3.6627777777777801</v>
      </c>
      <c r="M138" s="12"/>
      <c r="N138" s="16"/>
    </row>
    <row r="139" spans="1:14" ht="20" hidden="1" customHeight="1">
      <c r="A139" s="9">
        <v>45048</v>
      </c>
      <c r="B139" s="10"/>
      <c r="C139" s="10"/>
      <c r="D139" s="10"/>
      <c r="E139" s="10" t="s">
        <v>111</v>
      </c>
      <c r="F139" s="10" t="str">
        <f>IFERROR(VLOOKUP(VENTAS[[#This Row],[Código del producto Vendido]],STOCK[],5,FALSE),"-")</f>
        <v>Bañador de zíper en color combinado</v>
      </c>
      <c r="G139" s="10">
        <v>1</v>
      </c>
      <c r="H139" s="12">
        <v>25</v>
      </c>
      <c r="I139" s="12">
        <f>VENTAS[[#This Row],[Cantidad]]*VENTAS[[#This Row],[Precio Venta]]</f>
        <v>25</v>
      </c>
      <c r="J139" s="12">
        <f>IF(VENTAS[[#This Row],[Nombre del Gestor]]&gt;1,VENTAS[[#This Row],[Total]]*10%,0)</f>
        <v>0</v>
      </c>
      <c r="K139" s="12">
        <f>IFERROR(VLOOKUP(VENTAS[[#This Row],[Código del producto Vendido]],STOCK[],16,FALSE)*VENTAS[[#This Row],[Cantidad]]+VLOOKUP(VENTAS[[#This Row],[Código del producto Vendido]],STOCK[],19,FALSE)*VENTAS[[#This Row],[Cantidad]],VENTAS[[#This Row],[Total]])</f>
        <v>19.1588888888889</v>
      </c>
      <c r="L139" s="12">
        <f>VENTAS[[#This Row],[Total]]-VENTAS[[#This Row],[Comisión 10%]]-VENTAS[[#This Row],[Costo SIN Comision]]</f>
        <v>5.8411111111111005</v>
      </c>
      <c r="M139" s="12"/>
      <c r="N139" s="16"/>
    </row>
    <row r="140" spans="1:14" ht="20" hidden="1" customHeight="1">
      <c r="A140" s="9">
        <v>45048</v>
      </c>
      <c r="B140" s="10"/>
      <c r="C140" s="10"/>
      <c r="D140" s="10"/>
      <c r="E140" s="10" t="s">
        <v>124</v>
      </c>
      <c r="F140" s="10" t="str">
        <f>IFERROR(VLOOKUP(VENTAS[[#This Row],[Código del producto Vendido]],STOCK[],5,FALSE),"-")</f>
        <v>Bikini chicas estampado tropical</v>
      </c>
      <c r="G140" s="10">
        <v>1</v>
      </c>
      <c r="H140" s="12">
        <v>20</v>
      </c>
      <c r="I140" s="12">
        <f>VENTAS[[#This Row],[Cantidad]]*VENTAS[[#This Row],[Precio Venta]]</f>
        <v>20</v>
      </c>
      <c r="J140" s="12">
        <f>IF(VENTAS[[#This Row],[Nombre del Gestor]]&gt;1,VENTAS[[#This Row],[Total]]*10%,0)</f>
        <v>0</v>
      </c>
      <c r="K140" s="12">
        <f>IFERROR(VLOOKUP(VENTAS[[#This Row],[Código del producto Vendido]],STOCK[],16,FALSE)*VENTAS[[#This Row],[Cantidad]]+VLOOKUP(VENTAS[[#This Row],[Código del producto Vendido]],STOCK[],19,FALSE)*VENTAS[[#This Row],[Cantidad]],VENTAS[[#This Row],[Total]])</f>
        <v>12.84444444444444</v>
      </c>
      <c r="L140" s="12">
        <f>VENTAS[[#This Row],[Total]]-VENTAS[[#This Row],[Comisión 10%]]-VENTAS[[#This Row],[Costo SIN Comision]]</f>
        <v>7.1555555555555603</v>
      </c>
      <c r="M140" s="12"/>
      <c r="N140" s="16"/>
    </row>
    <row r="141" spans="1:14" ht="20" hidden="1" customHeight="1">
      <c r="A141" s="9">
        <v>45051</v>
      </c>
      <c r="B141" s="10"/>
      <c r="C141" s="10" t="s">
        <v>4191</v>
      </c>
      <c r="D141" s="10"/>
      <c r="E141" s="10" t="s">
        <v>104</v>
      </c>
      <c r="F141" s="10" t="str">
        <f>IFERROR(VLOOKUP(VENTAS[[#This Row],[Código del producto Vendido]],STOCK[],5,FALSE),"-")</f>
        <v xml:space="preserve">Bañador con tira cruzada </v>
      </c>
      <c r="G141" s="10">
        <v>1</v>
      </c>
      <c r="H141" s="12">
        <v>22</v>
      </c>
      <c r="I141" s="12">
        <f>VENTAS[[#This Row],[Cantidad]]*VENTAS[[#This Row],[Precio Venta]]</f>
        <v>22</v>
      </c>
      <c r="J141" s="12">
        <f>IF(VENTAS[[#This Row],[Nombre del Gestor]]&gt;1,VENTAS[[#This Row],[Total]]*10%,0)</f>
        <v>0</v>
      </c>
      <c r="K141" s="12">
        <f>IFERROR(VLOOKUP(VENTAS[[#This Row],[Código del producto Vendido]],STOCK[],16,FALSE)*VENTAS[[#This Row],[Cantidad]]+VLOOKUP(VENTAS[[#This Row],[Código del producto Vendido]],STOCK[],19,FALSE)*VENTAS[[#This Row],[Cantidad]],VENTAS[[#This Row],[Total]])</f>
        <v>14.828333333333301</v>
      </c>
      <c r="L141" s="12">
        <f>VENTAS[[#This Row],[Total]]-VENTAS[[#This Row],[Comisión 10%]]-VENTAS[[#This Row],[Costo SIN Comision]]</f>
        <v>7.1716666666666988</v>
      </c>
      <c r="M141" s="12"/>
      <c r="N141" s="16"/>
    </row>
    <row r="142" spans="1:14" ht="20" hidden="1" customHeight="1">
      <c r="A142" s="9">
        <v>45057</v>
      </c>
      <c r="B142" s="10"/>
      <c r="C142" s="10" t="s">
        <v>4192</v>
      </c>
      <c r="D142" s="10"/>
      <c r="E142" s="10" t="s">
        <v>50</v>
      </c>
      <c r="F142" s="10" t="str">
        <f>IFERROR(VLOOKUP(VENTAS[[#This Row],[Código del producto Vendido]],STOCK[],5,FALSE),"-")</f>
        <v>Vestido Camisero Elegante</v>
      </c>
      <c r="G142" s="10">
        <v>1</v>
      </c>
      <c r="H142" s="12">
        <v>30</v>
      </c>
      <c r="I142" s="12">
        <f>VENTAS[[#This Row],[Cantidad]]*VENTAS[[#This Row],[Precio Venta]]</f>
        <v>30</v>
      </c>
      <c r="J142" s="12">
        <f>IF(VENTAS[[#This Row],[Nombre del Gestor]]&gt;1,VENTAS[[#This Row],[Total]]*10%,0)</f>
        <v>0</v>
      </c>
      <c r="K142" s="12">
        <f>IFERROR(VLOOKUP(VENTAS[[#This Row],[Código del producto Vendido]],STOCK[],16,FALSE)*VENTAS[[#This Row],[Cantidad]]+VLOOKUP(VENTAS[[#This Row],[Código del producto Vendido]],STOCK[],19,FALSE)*VENTAS[[#This Row],[Cantidad]],VENTAS[[#This Row],[Total]])</f>
        <v>18.577222222222201</v>
      </c>
      <c r="L142" s="12">
        <f>VENTAS[[#This Row],[Total]]-VENTAS[[#This Row],[Comisión 10%]]-VENTAS[[#This Row],[Costo SIN Comision]]</f>
        <v>11.422777777777799</v>
      </c>
      <c r="M142" s="12"/>
      <c r="N142" s="16"/>
    </row>
    <row r="143" spans="1:14" ht="20" hidden="1" customHeight="1">
      <c r="A143" s="9">
        <v>45057</v>
      </c>
      <c r="B143" s="10"/>
      <c r="C143" s="10" t="s">
        <v>4192</v>
      </c>
      <c r="D143" s="10"/>
      <c r="E143" s="10" t="s">
        <v>290</v>
      </c>
      <c r="F143" s="10" t="str">
        <f>IFERROR(VLOOKUP(VENTAS[[#This Row],[Código del producto Vendido]],STOCK[],5,FALSE),"-")</f>
        <v>Conjunto de cuello profundo con girante delantero con falda</v>
      </c>
      <c r="G143" s="10">
        <v>1</v>
      </c>
      <c r="H143" s="12">
        <v>25</v>
      </c>
      <c r="I143" s="12">
        <f>VENTAS[[#This Row],[Cantidad]]*VENTAS[[#This Row],[Precio Venta]]</f>
        <v>25</v>
      </c>
      <c r="J143" s="12">
        <f>IF(VENTAS[[#This Row],[Nombre del Gestor]]&gt;1,VENTAS[[#This Row],[Total]]*10%,0)</f>
        <v>0</v>
      </c>
      <c r="K143" s="12">
        <f>IFERROR(VLOOKUP(VENTAS[[#This Row],[Código del producto Vendido]],STOCK[],16,FALSE)*VENTAS[[#This Row],[Cantidad]]+VLOOKUP(VENTAS[[#This Row],[Código del producto Vendido]],STOCK[],19,FALSE)*VENTAS[[#This Row],[Cantidad]],VENTAS[[#This Row],[Total]])</f>
        <v>13.233333333333301</v>
      </c>
      <c r="L143" s="12">
        <f>VENTAS[[#This Row],[Total]]-VENTAS[[#This Row],[Comisión 10%]]-VENTAS[[#This Row],[Costo SIN Comision]]</f>
        <v>11.766666666666699</v>
      </c>
      <c r="M143" s="12"/>
      <c r="N143" s="16"/>
    </row>
    <row r="144" spans="1:14" ht="20" hidden="1" customHeight="1">
      <c r="A144" s="9">
        <v>45057</v>
      </c>
      <c r="B144" s="10"/>
      <c r="C144" s="10" t="s">
        <v>4193</v>
      </c>
      <c r="D144" s="10"/>
      <c r="E144" s="10" t="s">
        <v>320</v>
      </c>
      <c r="F144" s="10" t="str">
        <f>IFERROR(VLOOKUP(VENTAS[[#This Row],[Código del producto Vendido]],STOCK[],5,FALSE),"-")</f>
        <v>Falda en mezclilla de talle alto con abertura</v>
      </c>
      <c r="G144" s="10">
        <v>1</v>
      </c>
      <c r="H144" s="12">
        <v>35</v>
      </c>
      <c r="I144" s="12">
        <f>VENTAS[[#This Row],[Cantidad]]*VENTAS[[#This Row],[Precio Venta]]</f>
        <v>35</v>
      </c>
      <c r="J144" s="12">
        <f>IF(VENTAS[[#This Row],[Nombre del Gestor]]&gt;1,VENTAS[[#This Row],[Total]]*10%,0)</f>
        <v>0</v>
      </c>
      <c r="K144" s="12">
        <f>IFERROR(VLOOKUP(VENTAS[[#This Row],[Código del producto Vendido]],STOCK[],16,FALSE)*VENTAS[[#This Row],[Cantidad]]+VLOOKUP(VENTAS[[#This Row],[Código del producto Vendido]],STOCK[],19,FALSE)*VENTAS[[#This Row],[Cantidad]],VENTAS[[#This Row],[Total]])</f>
        <v>19</v>
      </c>
      <c r="L144" s="12">
        <f>VENTAS[[#This Row],[Total]]-VENTAS[[#This Row],[Comisión 10%]]-VENTAS[[#This Row],[Costo SIN Comision]]</f>
        <v>16</v>
      </c>
      <c r="M144" s="12"/>
      <c r="N144" s="16"/>
    </row>
    <row r="145" spans="1:14" ht="20" hidden="1" customHeight="1">
      <c r="A145" s="9">
        <v>45057</v>
      </c>
      <c r="B145" s="10"/>
      <c r="C145" s="10" t="s">
        <v>4194</v>
      </c>
      <c r="D145" s="10"/>
      <c r="E145" s="10" t="s">
        <v>54</v>
      </c>
      <c r="F145" s="10" t="str">
        <f>IFERROR(VLOOKUP(VENTAS[[#This Row],[Código del producto Vendido]],STOCK[],5,FALSE),"-")</f>
        <v>Pareo pantalón</v>
      </c>
      <c r="G145" s="10">
        <v>1</v>
      </c>
      <c r="H145" s="12">
        <v>15</v>
      </c>
      <c r="I145" s="12">
        <f>VENTAS[[#This Row],[Cantidad]]*VENTAS[[#This Row],[Precio Venta]]</f>
        <v>15</v>
      </c>
      <c r="J145" s="12">
        <f>IF(VENTAS[[#This Row],[Nombre del Gestor]]&gt;1,VENTAS[[#This Row],[Total]]*10%,0)</f>
        <v>0</v>
      </c>
      <c r="K145" s="12">
        <f>IFERROR(VLOOKUP(VENTAS[[#This Row],[Código del producto Vendido]],STOCK[],16,FALSE)*VENTAS[[#This Row],[Cantidad]]+VLOOKUP(VENTAS[[#This Row],[Código del producto Vendido]],STOCK[],19,FALSE)*VENTAS[[#This Row],[Cantidad]],VENTAS[[#This Row],[Total]])</f>
        <v>10.063333333333331</v>
      </c>
      <c r="L145" s="12">
        <f>VENTAS[[#This Row],[Total]]-VENTAS[[#This Row],[Comisión 10%]]-VENTAS[[#This Row],[Costo SIN Comision]]</f>
        <v>4.9366666666666692</v>
      </c>
      <c r="M145" s="12"/>
      <c r="N145" s="16"/>
    </row>
    <row r="146" spans="1:14" ht="20" hidden="1" customHeight="1">
      <c r="A146" s="9"/>
      <c r="B146" s="10" t="s">
        <v>4195</v>
      </c>
      <c r="C146" s="10"/>
      <c r="D146" s="10"/>
      <c r="E146" s="10" t="s">
        <v>73</v>
      </c>
      <c r="F146" s="10" t="str">
        <f>IFERROR(VLOOKUP(VENTAS[[#This Row],[Código del producto Vendido]],STOCK[],5,FALSE),"-")</f>
        <v>Bañador con estampado floral</v>
      </c>
      <c r="G146" s="10">
        <v>1</v>
      </c>
      <c r="H146" s="12">
        <v>25</v>
      </c>
      <c r="I146" s="12">
        <f>VENTAS[[#This Row],[Cantidad]]*VENTAS[[#This Row],[Precio Venta]]</f>
        <v>25</v>
      </c>
      <c r="J146" s="12">
        <f>IF(VENTAS[[#This Row],[Nombre del Gestor]]&gt;1,VENTAS[[#This Row],[Total]]*10%,0)</f>
        <v>0</v>
      </c>
      <c r="K146" s="12">
        <f>IFERROR(VLOOKUP(VENTAS[[#This Row],[Código del producto Vendido]],STOCK[],16,FALSE)*VENTAS[[#This Row],[Cantidad]]+VLOOKUP(VENTAS[[#This Row],[Código del producto Vendido]],STOCK[],19,FALSE)*VENTAS[[#This Row],[Cantidad]],VENTAS[[#This Row],[Total]])</f>
        <v>19.838888888888899</v>
      </c>
      <c r="L146" s="12">
        <f>VENTAS[[#This Row],[Total]]-VENTAS[[#This Row],[Comisión 10%]]-VENTAS[[#This Row],[Costo SIN Comision]]</f>
        <v>5.1611111111111008</v>
      </c>
      <c r="M146" s="12"/>
      <c r="N146" s="16"/>
    </row>
    <row r="147" spans="1:14" ht="20" hidden="1" customHeight="1">
      <c r="A147" s="9">
        <v>45062</v>
      </c>
      <c r="B147" s="10"/>
      <c r="C147" s="10" t="s">
        <v>4196</v>
      </c>
      <c r="D147" s="10"/>
      <c r="E147" s="10" t="s">
        <v>545</v>
      </c>
      <c r="F147" s="10" t="str">
        <f>IFERROR(VLOOKUP(VENTAS[[#This Row],[Código del producto Vendido]],STOCK[],5,FALSE),"-")</f>
        <v>Cubierta de pezón de metal vinculado</v>
      </c>
      <c r="G147" s="10">
        <v>1</v>
      </c>
      <c r="H147" s="12">
        <v>8</v>
      </c>
      <c r="I147" s="12">
        <f>VENTAS[[#This Row],[Cantidad]]*VENTAS[[#This Row],[Precio Venta]]</f>
        <v>8</v>
      </c>
      <c r="J147" s="12">
        <f>IF(VENTAS[[#This Row],[Nombre del Gestor]]&gt;1,VENTAS[[#This Row],[Total]]*10%,0)</f>
        <v>0</v>
      </c>
      <c r="K147" s="12">
        <f>IFERROR(VLOOKUP(VENTAS[[#This Row],[Código del producto Vendido]],STOCK[],16,FALSE)*VENTAS[[#This Row],[Cantidad]]+VLOOKUP(VENTAS[[#This Row],[Código del producto Vendido]],STOCK[],19,FALSE)*VENTAS[[#This Row],[Cantidad]],VENTAS[[#This Row],[Total]])</f>
        <v>3.8644444444444401</v>
      </c>
      <c r="L147" s="12">
        <f>VENTAS[[#This Row],[Total]]-VENTAS[[#This Row],[Comisión 10%]]-VENTAS[[#This Row],[Costo SIN Comision]]</f>
        <v>4.1355555555555599</v>
      </c>
      <c r="M147" s="12"/>
      <c r="N147" s="16"/>
    </row>
    <row r="148" spans="1:14" ht="20" hidden="1" customHeight="1">
      <c r="A148" s="9"/>
      <c r="B148" s="10" t="s">
        <v>4195</v>
      </c>
      <c r="C148" s="10"/>
      <c r="D148" s="10"/>
      <c r="E148" s="10" t="s">
        <v>56</v>
      </c>
      <c r="F148" s="10" t="str">
        <f>IFERROR(VLOOKUP(VENTAS[[#This Row],[Código del producto Vendido]],STOCK[],5,FALSE),"-")</f>
        <v>Pareo pantalón en malla</v>
      </c>
      <c r="G148" s="10">
        <v>1</v>
      </c>
      <c r="H148" s="12">
        <v>15</v>
      </c>
      <c r="I148" s="12">
        <f>VENTAS[[#This Row],[Cantidad]]*VENTAS[[#This Row],[Precio Venta]]</f>
        <v>15</v>
      </c>
      <c r="J148" s="12">
        <f>IF(VENTAS[[#This Row],[Nombre del Gestor]]&gt;1,VENTAS[[#This Row],[Total]]*10%,0)</f>
        <v>0</v>
      </c>
      <c r="K148" s="12">
        <f>IFERROR(VLOOKUP(VENTAS[[#This Row],[Código del producto Vendido]],STOCK[],16,FALSE)*VENTAS[[#This Row],[Cantidad]]+VLOOKUP(VENTAS[[#This Row],[Código del producto Vendido]],STOCK[],19,FALSE)*VENTAS[[#This Row],[Cantidad]],VENTAS[[#This Row],[Total]])</f>
        <v>10.063333333333331</v>
      </c>
      <c r="L148" s="12">
        <f>VENTAS[[#This Row],[Total]]-VENTAS[[#This Row],[Comisión 10%]]-VENTAS[[#This Row],[Costo SIN Comision]]</f>
        <v>4.9366666666666692</v>
      </c>
      <c r="M148" s="12"/>
      <c r="N148" s="16"/>
    </row>
    <row r="149" spans="1:14" ht="20" hidden="1" customHeight="1">
      <c r="A149" s="9">
        <v>45062</v>
      </c>
      <c r="B149" s="10"/>
      <c r="C149" s="10" t="s">
        <v>4196</v>
      </c>
      <c r="D149" s="10"/>
      <c r="E149" s="10" t="s">
        <v>433</v>
      </c>
      <c r="F149" s="10" t="str">
        <f>IFERROR(VLOOKUP(VENTAS[[#This Row],[Código del producto Vendido]],STOCK[],5,FALSE),"-")</f>
        <v xml:space="preserve">Vestido con cordón de espalda abierta </v>
      </c>
      <c r="G149" s="10">
        <v>1</v>
      </c>
      <c r="H149" s="12">
        <v>25</v>
      </c>
      <c r="I149" s="12">
        <f>VENTAS[[#This Row],[Cantidad]]*VENTAS[[#This Row],[Precio Venta]]</f>
        <v>25</v>
      </c>
      <c r="J149" s="12">
        <f>IF(VENTAS[[#This Row],[Nombre del Gestor]]&gt;1,VENTAS[[#This Row],[Total]]*10%,0)</f>
        <v>0</v>
      </c>
      <c r="K149" s="12">
        <f>IFERROR(VLOOKUP(VENTAS[[#This Row],[Código del producto Vendido]],STOCK[],16,FALSE)*VENTAS[[#This Row],[Cantidad]]+VLOOKUP(VENTAS[[#This Row],[Código del producto Vendido]],STOCK[],19,FALSE)*VENTAS[[#This Row],[Cantidad]],VENTAS[[#This Row],[Total]])</f>
        <v>15.907777777777801</v>
      </c>
      <c r="L149" s="12">
        <f>VENTAS[[#This Row],[Total]]-VENTAS[[#This Row],[Comisión 10%]]-VENTAS[[#This Row],[Costo SIN Comision]]</f>
        <v>9.0922222222221993</v>
      </c>
      <c r="M149" s="12"/>
      <c r="N149" s="16"/>
    </row>
    <row r="150" spans="1:14" ht="20" hidden="1" customHeight="1">
      <c r="A150" s="9">
        <v>45062</v>
      </c>
      <c r="B150" s="10"/>
      <c r="C150" s="10" t="s">
        <v>4196</v>
      </c>
      <c r="D150" s="10"/>
      <c r="E150" s="10" t="s">
        <v>907</v>
      </c>
      <c r="F150" s="10" t="str">
        <f>IFERROR(VLOOKUP(VENTAS[[#This Row],[Código del producto Vendido]],STOCK[],5,FALSE),"-")</f>
        <v xml:space="preserve"> Top Cuello V Verde</v>
      </c>
      <c r="G150" s="10">
        <v>1</v>
      </c>
      <c r="H150" s="12">
        <v>12</v>
      </c>
      <c r="I150" s="12">
        <f>VENTAS[[#This Row],[Cantidad]]*VENTAS[[#This Row],[Precio Venta]]</f>
        <v>12</v>
      </c>
      <c r="J150" s="12">
        <f>IF(VENTAS[[#This Row],[Nombre del Gestor]]&gt;1,VENTAS[[#This Row],[Total]]*10%,0)</f>
        <v>0</v>
      </c>
      <c r="K150" s="12">
        <f>IFERROR(VLOOKUP(VENTAS[[#This Row],[Código del producto Vendido]],STOCK[],16,FALSE)*VENTAS[[#This Row],[Cantidad]]+VLOOKUP(VENTAS[[#This Row],[Código del producto Vendido]],STOCK[],19,FALSE)*VENTAS[[#This Row],[Cantidad]],VENTAS[[#This Row],[Total]])</f>
        <v>8.0054545454545405</v>
      </c>
      <c r="L150" s="12">
        <f>VENTAS[[#This Row],[Total]]-VENTAS[[#This Row],[Comisión 10%]]-VENTAS[[#This Row],[Costo SIN Comision]]</f>
        <v>3.9945454545454595</v>
      </c>
      <c r="M150" s="12"/>
      <c r="N150" s="16"/>
    </row>
    <row r="151" spans="1:14" ht="20" hidden="1" customHeight="1">
      <c r="A151" s="19">
        <v>45062</v>
      </c>
      <c r="B151" s="10"/>
      <c r="C151" s="10" t="s">
        <v>4196</v>
      </c>
      <c r="D151" s="10"/>
      <c r="E151" s="10" t="s">
        <v>890</v>
      </c>
      <c r="F151" s="10" t="str">
        <f>IFERROR(VLOOKUP(VENTAS[[#This Row],[Código del producto Vendido]],STOCK[],5,FALSE),"-")</f>
        <v>Top Cuello encaje y mangas abombadas</v>
      </c>
      <c r="G151" s="10">
        <v>1</v>
      </c>
      <c r="H151" s="12">
        <v>12</v>
      </c>
      <c r="I151" s="12">
        <f>VENTAS[[#This Row],[Cantidad]]*VENTAS[[#This Row],[Precio Venta]]</f>
        <v>12</v>
      </c>
      <c r="J151" s="12">
        <f>IF(VENTAS[[#This Row],[Nombre del Gestor]]&gt;1,VENTAS[[#This Row],[Total]]*10%,0)</f>
        <v>0</v>
      </c>
      <c r="K151" s="12">
        <f>IFERROR(VLOOKUP(VENTAS[[#This Row],[Código del producto Vendido]],STOCK[],16,FALSE)*VENTAS[[#This Row],[Cantidad]]+VLOOKUP(VENTAS[[#This Row],[Código del producto Vendido]],STOCK[],19,FALSE)*VENTAS[[#This Row],[Cantidad]],VENTAS[[#This Row],[Total]])</f>
        <v>6.3581818181818202</v>
      </c>
      <c r="L151" s="12">
        <f>VENTAS[[#This Row],[Total]]-VENTAS[[#This Row],[Comisión 10%]]-VENTAS[[#This Row],[Costo SIN Comision]]</f>
        <v>5.6418181818181798</v>
      </c>
      <c r="M151" s="12"/>
      <c r="N151" s="16"/>
    </row>
    <row r="152" spans="1:14" ht="20" hidden="1" customHeight="1">
      <c r="A152" s="9">
        <v>45062</v>
      </c>
      <c r="B152" s="10"/>
      <c r="C152" s="10" t="s">
        <v>4196</v>
      </c>
      <c r="D152" s="10"/>
      <c r="E152" s="10" t="s">
        <v>633</v>
      </c>
      <c r="F152" s="10" t="str">
        <f>IFERROR(VLOOKUP(VENTAS[[#This Row],[Código del producto Vendido]],STOCK[],5,FALSE),"-")</f>
        <v>Vestido floral con abertura trasera</v>
      </c>
      <c r="G152" s="10">
        <v>1</v>
      </c>
      <c r="H152" s="12">
        <v>15</v>
      </c>
      <c r="I152" s="12">
        <f>VENTAS[[#This Row],[Cantidad]]*VENTAS[[#This Row],[Precio Venta]]</f>
        <v>15</v>
      </c>
      <c r="J152" s="12">
        <f>IF(VENTAS[[#This Row],[Nombre del Gestor]]&gt;1,VENTAS[[#This Row],[Total]]*10%,0)</f>
        <v>0</v>
      </c>
      <c r="K152" s="12">
        <f>IFERROR(VLOOKUP(VENTAS[[#This Row],[Código del producto Vendido]],STOCK[],16,FALSE)*VENTAS[[#This Row],[Cantidad]]+VLOOKUP(VENTAS[[#This Row],[Código del producto Vendido]],STOCK[],19,FALSE)*VENTAS[[#This Row],[Cantidad]],VENTAS[[#This Row],[Total]])</f>
        <v>10.72222222222222</v>
      </c>
      <c r="L152" s="12">
        <f>VENTAS[[#This Row],[Total]]-VENTAS[[#This Row],[Comisión 10%]]-VENTAS[[#This Row],[Costo SIN Comision]]</f>
        <v>4.2777777777777803</v>
      </c>
      <c r="M152" s="12"/>
      <c r="N152" s="16"/>
    </row>
    <row r="153" spans="1:14" ht="20" hidden="1" customHeight="1">
      <c r="A153" s="9">
        <v>45062</v>
      </c>
      <c r="B153" s="10"/>
      <c r="C153" s="10" t="s">
        <v>4196</v>
      </c>
      <c r="D153" s="10"/>
      <c r="E153" s="10" t="s">
        <v>1004</v>
      </c>
      <c r="F153" s="10" t="str">
        <f>IFERROR(VLOOKUP(VENTAS[[#This Row],[Código del producto Vendido]],STOCK[],5,FALSE),"-")</f>
        <v>Vestido frenchy de puntos</v>
      </c>
      <c r="G153" s="10">
        <v>1</v>
      </c>
      <c r="H153" s="12">
        <v>22</v>
      </c>
      <c r="I153" s="12">
        <f>VENTAS[[#This Row],[Cantidad]]*VENTAS[[#This Row],[Precio Venta]]</f>
        <v>22</v>
      </c>
      <c r="J153" s="12">
        <f>IF(VENTAS[[#This Row],[Nombre del Gestor]]&gt;1,VENTAS[[#This Row],[Total]]*10%,0)</f>
        <v>0</v>
      </c>
      <c r="K153" s="12">
        <f>IFERROR(VLOOKUP(VENTAS[[#This Row],[Código del producto Vendido]],STOCK[],16,FALSE)*VENTAS[[#This Row],[Cantidad]]+VLOOKUP(VENTAS[[#This Row],[Código del producto Vendido]],STOCK[],19,FALSE)*VENTAS[[#This Row],[Cantidad]],VENTAS[[#This Row],[Total]])</f>
        <v>15.3272727272727</v>
      </c>
      <c r="L153" s="12">
        <f>VENTAS[[#This Row],[Total]]-VENTAS[[#This Row],[Comisión 10%]]-VENTAS[[#This Row],[Costo SIN Comision]]</f>
        <v>6.6727272727273004</v>
      </c>
      <c r="M153" s="12"/>
      <c r="N153" s="16"/>
    </row>
    <row r="154" spans="1:14" ht="20" hidden="1" customHeight="1">
      <c r="A154" s="19">
        <v>45062</v>
      </c>
      <c r="B154" s="10"/>
      <c r="C154" s="10" t="s">
        <v>4196</v>
      </c>
      <c r="D154" s="10"/>
      <c r="E154" s="10" t="s">
        <v>999</v>
      </c>
      <c r="F154" s="10" t="str">
        <f>IFERROR(VLOOKUP(VENTAS[[#This Row],[Código del producto Vendido]],STOCK[],5,FALSE),"-")</f>
        <v>Top Acanalado</v>
      </c>
      <c r="G154" s="10">
        <v>1</v>
      </c>
      <c r="H154" s="12">
        <v>12</v>
      </c>
      <c r="I154" s="12">
        <f>VENTAS[[#This Row],[Cantidad]]*VENTAS[[#This Row],[Precio Venta]]</f>
        <v>12</v>
      </c>
      <c r="J154" s="12">
        <f>IF(VENTAS[[#This Row],[Nombre del Gestor]]&gt;1,VENTAS[[#This Row],[Total]]*10%,0)</f>
        <v>0</v>
      </c>
      <c r="K154" s="12">
        <f>IFERROR(VLOOKUP(VENTAS[[#This Row],[Código del producto Vendido]],STOCK[],16,FALSE)*VENTAS[[#This Row],[Cantidad]]+VLOOKUP(VENTAS[[#This Row],[Código del producto Vendido]],STOCK[],19,FALSE)*VENTAS[[#This Row],[Cantidad]],VENTAS[[#This Row],[Total]])</f>
        <v>9.2799999999999994</v>
      </c>
      <c r="L154" s="12">
        <f>VENTAS[[#This Row],[Total]]-VENTAS[[#This Row],[Comisión 10%]]-VENTAS[[#This Row],[Costo SIN Comision]]</f>
        <v>2.7200000000000006</v>
      </c>
      <c r="M154" s="12"/>
      <c r="N154" s="16"/>
    </row>
    <row r="155" spans="1:14" ht="20" hidden="1" customHeight="1">
      <c r="A155" s="9">
        <v>45061</v>
      </c>
      <c r="B155" s="10"/>
      <c r="C155" s="10" t="s">
        <v>4197</v>
      </c>
      <c r="D155" s="10"/>
      <c r="E155" s="10" t="s">
        <v>1022</v>
      </c>
      <c r="F155" s="10" t="str">
        <f>IFERROR(VLOOKUP(VENTAS[[#This Row],[Código del producto Vendido]],STOCK[],5,FALSE),"-")</f>
        <v>Falda Margarita</v>
      </c>
      <c r="G155" s="10">
        <v>1</v>
      </c>
      <c r="H155" s="12">
        <v>18</v>
      </c>
      <c r="I155" s="12">
        <f>VENTAS[[#This Row],[Cantidad]]*VENTAS[[#This Row],[Precio Venta]]</f>
        <v>18</v>
      </c>
      <c r="J155" s="12">
        <f>IF(VENTAS[[#This Row],[Nombre del Gestor]]&gt;1,VENTAS[[#This Row],[Total]]*10%,0)</f>
        <v>0</v>
      </c>
      <c r="K155" s="12">
        <f>IFERROR(VLOOKUP(VENTAS[[#This Row],[Código del producto Vendido]],STOCK[],16,FALSE)*VENTAS[[#This Row],[Cantidad]]+VLOOKUP(VENTAS[[#This Row],[Código del producto Vendido]],STOCK[],19,FALSE)*VENTAS[[#This Row],[Cantidad]],VENTAS[[#This Row],[Total]])</f>
        <v>8.1050000000000004</v>
      </c>
      <c r="L155" s="12">
        <f>VENTAS[[#This Row],[Total]]-VENTAS[[#This Row],[Comisión 10%]]-VENTAS[[#This Row],[Costo SIN Comision]]</f>
        <v>9.8949999999999996</v>
      </c>
      <c r="M155" s="12"/>
      <c r="N155" s="16"/>
    </row>
    <row r="156" spans="1:14" ht="20" hidden="1" customHeight="1">
      <c r="A156" s="9">
        <v>45061</v>
      </c>
      <c r="B156" s="10"/>
      <c r="C156" s="10" t="s">
        <v>4197</v>
      </c>
      <c r="D156" s="10"/>
      <c r="E156" s="10" t="s">
        <v>1016</v>
      </c>
      <c r="F156" s="10" t="str">
        <f>IFERROR(VLOOKUP(VENTAS[[#This Row],[Código del producto Vendido]],STOCK[],5,FALSE),"-")</f>
        <v>Top Dreamer Negro</v>
      </c>
      <c r="G156" s="10">
        <v>1</v>
      </c>
      <c r="H156" s="12">
        <v>12</v>
      </c>
      <c r="I156" s="12">
        <f>VENTAS[[#This Row],[Cantidad]]*VENTAS[[#This Row],[Precio Venta]]</f>
        <v>12</v>
      </c>
      <c r="J156" s="12">
        <f>IF(VENTAS[[#This Row],[Nombre del Gestor]]&gt;1,VENTAS[[#This Row],[Total]]*10%,0)</f>
        <v>0</v>
      </c>
      <c r="K156" s="12">
        <f>IFERROR(VLOOKUP(VENTAS[[#This Row],[Código del producto Vendido]],STOCK[],16,FALSE)*VENTAS[[#This Row],[Cantidad]]+VLOOKUP(VENTAS[[#This Row],[Código del producto Vendido]],STOCK[],19,FALSE)*VENTAS[[#This Row],[Cantidad]],VENTAS[[#This Row],[Total]])</f>
        <v>7.1568181818181795</v>
      </c>
      <c r="L156" s="12">
        <f>VENTAS[[#This Row],[Total]]-VENTAS[[#This Row],[Comisión 10%]]-VENTAS[[#This Row],[Costo SIN Comision]]</f>
        <v>4.8431818181818205</v>
      </c>
      <c r="M156" s="12"/>
      <c r="N156" s="16"/>
    </row>
    <row r="157" spans="1:14" ht="20" hidden="1" customHeight="1">
      <c r="A157" s="9">
        <v>45061</v>
      </c>
      <c r="B157" s="10"/>
      <c r="C157" s="10" t="s">
        <v>4197</v>
      </c>
      <c r="D157" s="10"/>
      <c r="E157" s="10" t="s">
        <v>980</v>
      </c>
      <c r="F157" s="10" t="str">
        <f>IFERROR(VLOOKUP(VENTAS[[#This Row],[Código del producto Vendido]],STOCK[],5,FALSE),"-")</f>
        <v xml:space="preserve"> Top Mangas Fruncidas</v>
      </c>
      <c r="G157" s="10">
        <v>1</v>
      </c>
      <c r="H157" s="12">
        <v>11</v>
      </c>
      <c r="I157" s="12">
        <f>VENTAS[[#This Row],[Cantidad]]*VENTAS[[#This Row],[Precio Venta]]</f>
        <v>11</v>
      </c>
      <c r="J157" s="12">
        <f>IF(VENTAS[[#This Row],[Nombre del Gestor]]&gt;1,VENTAS[[#This Row],[Total]]*10%,0)</f>
        <v>0</v>
      </c>
      <c r="K157" s="12">
        <f>IFERROR(VLOOKUP(VENTAS[[#This Row],[Código del producto Vendido]],STOCK[],16,FALSE)*VENTAS[[#This Row],[Cantidad]]+VLOOKUP(VENTAS[[#This Row],[Código del producto Vendido]],STOCK[],19,FALSE)*VENTAS[[#This Row],[Cantidad]],VENTAS[[#This Row],[Total]])</f>
        <v>6.8113636363636401</v>
      </c>
      <c r="L157" s="12">
        <f>VENTAS[[#This Row],[Total]]-VENTAS[[#This Row],[Comisión 10%]]-VENTAS[[#This Row],[Costo SIN Comision]]</f>
        <v>4.1886363636363599</v>
      </c>
      <c r="M157" s="12"/>
      <c r="N157" s="16"/>
    </row>
    <row r="158" spans="1:14" ht="20" hidden="1" customHeight="1">
      <c r="A158" s="9">
        <v>45061</v>
      </c>
      <c r="B158" s="10"/>
      <c r="C158" s="10" t="s">
        <v>4197</v>
      </c>
      <c r="D158" s="10"/>
      <c r="E158" s="10" t="s">
        <v>1048</v>
      </c>
      <c r="F158" s="10" t="str">
        <f>IFERROR(VLOOKUP(VENTAS[[#This Row],[Código del producto Vendido]],STOCK[],5,FALSE),"-")</f>
        <v>Pantaloneta Camel</v>
      </c>
      <c r="G158" s="10">
        <v>1</v>
      </c>
      <c r="H158" s="12">
        <v>30</v>
      </c>
      <c r="I158" s="12">
        <f>VENTAS[[#This Row],[Cantidad]]*VENTAS[[#This Row],[Precio Venta]]</f>
        <v>30</v>
      </c>
      <c r="J158" s="12">
        <f>IF(VENTAS[[#This Row],[Nombre del Gestor]]&gt;1,VENTAS[[#This Row],[Total]]*10%,0)</f>
        <v>0</v>
      </c>
      <c r="K158" s="12">
        <f>IFERROR(VLOOKUP(VENTAS[[#This Row],[Código del producto Vendido]],STOCK[],16,FALSE)*VENTAS[[#This Row],[Cantidad]]+VLOOKUP(VENTAS[[#This Row],[Código del producto Vendido]],STOCK[],19,FALSE)*VENTAS[[#This Row],[Cantidad]],VENTAS[[#This Row],[Total]])</f>
        <v>18.647727272727302</v>
      </c>
      <c r="L158" s="12">
        <f>VENTAS[[#This Row],[Total]]-VENTAS[[#This Row],[Comisión 10%]]-VENTAS[[#This Row],[Costo SIN Comision]]</f>
        <v>11.352272727272698</v>
      </c>
      <c r="M158" s="12"/>
      <c r="N158" s="16"/>
    </row>
    <row r="159" spans="1:14" ht="20" hidden="1" customHeight="1">
      <c r="A159" s="9">
        <v>45061</v>
      </c>
      <c r="B159" s="10"/>
      <c r="C159" s="10" t="s">
        <v>4197</v>
      </c>
      <c r="D159" s="10"/>
      <c r="E159" s="10" t="s">
        <v>914</v>
      </c>
      <c r="F159" s="10" t="str">
        <f>IFERROR(VLOOKUP(VENTAS[[#This Row],[Código del producto Vendido]],STOCK[],5,FALSE),"-")</f>
        <v>Camiseta con figura</v>
      </c>
      <c r="G159" s="10">
        <v>1</v>
      </c>
      <c r="H159" s="12">
        <v>15</v>
      </c>
      <c r="I159" s="12">
        <f>VENTAS[[#This Row],[Cantidad]]*VENTAS[[#This Row],[Precio Venta]]</f>
        <v>15</v>
      </c>
      <c r="J159" s="12">
        <f>IF(VENTAS[[#This Row],[Nombre del Gestor]]&gt;1,VENTAS[[#This Row],[Total]]*10%,0)</f>
        <v>0</v>
      </c>
      <c r="K159" s="12">
        <f>IFERROR(VLOOKUP(VENTAS[[#This Row],[Código del producto Vendido]],STOCK[],16,FALSE)*VENTAS[[#This Row],[Cantidad]]+VLOOKUP(VENTAS[[#This Row],[Código del producto Vendido]],STOCK[],19,FALSE)*VENTAS[[#This Row],[Cantidad]],VENTAS[[#This Row],[Total]])</f>
        <v>10.07727272727273</v>
      </c>
      <c r="L159" s="12">
        <f>VENTAS[[#This Row],[Total]]-VENTAS[[#This Row],[Comisión 10%]]-VENTAS[[#This Row],[Costo SIN Comision]]</f>
        <v>4.9227272727272702</v>
      </c>
      <c r="M159" s="12"/>
      <c r="N159" s="16"/>
    </row>
    <row r="160" spans="1:14" ht="20" hidden="1" customHeight="1">
      <c r="A160" s="9">
        <v>45061</v>
      </c>
      <c r="B160" s="10"/>
      <c r="C160" s="10" t="s">
        <v>4197</v>
      </c>
      <c r="D160" s="10"/>
      <c r="E160" s="10" t="s">
        <v>1043</v>
      </c>
      <c r="F160" s="10" t="str">
        <f>IFERROR(VLOOKUP(VENTAS[[#This Row],[Código del producto Vendido]],STOCK[],5,FALSE),"-")</f>
        <v>Jeans Elastizados Pierna Ancha</v>
      </c>
      <c r="G160" s="10">
        <v>1</v>
      </c>
      <c r="H160" s="12">
        <v>35</v>
      </c>
      <c r="I160" s="12">
        <f>VENTAS[[#This Row],[Cantidad]]*VENTAS[[#This Row],[Precio Venta]]</f>
        <v>35</v>
      </c>
      <c r="J160" s="12">
        <f>IF(VENTAS[[#This Row],[Nombre del Gestor]]&gt;1,VENTAS[[#This Row],[Total]]*10%,0)</f>
        <v>0</v>
      </c>
      <c r="K160" s="12">
        <f>IFERROR(VLOOKUP(VENTAS[[#This Row],[Código del producto Vendido]],STOCK[],16,FALSE)*VENTAS[[#This Row],[Cantidad]]+VLOOKUP(VENTAS[[#This Row],[Código del producto Vendido]],STOCK[],19,FALSE)*VENTAS[[#This Row],[Cantidad]],VENTAS[[#This Row],[Total]])</f>
        <v>27.522727272727298</v>
      </c>
      <c r="L160" s="12">
        <f>VENTAS[[#This Row],[Total]]-VENTAS[[#This Row],[Comisión 10%]]-VENTAS[[#This Row],[Costo SIN Comision]]</f>
        <v>7.4772727272727018</v>
      </c>
      <c r="M160" s="12"/>
      <c r="N160" s="16"/>
    </row>
    <row r="161" spans="1:14" ht="20" hidden="1" customHeight="1">
      <c r="A161" s="9">
        <v>45062</v>
      </c>
      <c r="B161" s="10"/>
      <c r="C161" s="10" t="s">
        <v>4198</v>
      </c>
      <c r="D161" s="10"/>
      <c r="E161" s="10" t="s">
        <v>51</v>
      </c>
      <c r="F161" s="10" t="str">
        <f>IFERROR(VLOOKUP(VENTAS[[#This Row],[Código del producto Vendido]],STOCK[],5,FALSE),"-")</f>
        <v>Pareo Pantalón</v>
      </c>
      <c r="G161" s="10">
        <v>1</v>
      </c>
      <c r="H161" s="12">
        <v>15</v>
      </c>
      <c r="I161" s="12">
        <f>VENTAS[[#This Row],[Cantidad]]*VENTAS[[#This Row],[Precio Venta]]</f>
        <v>15</v>
      </c>
      <c r="J161" s="12">
        <f>IF(VENTAS[[#This Row],[Nombre del Gestor]]&gt;1,VENTAS[[#This Row],[Total]]*10%,0)</f>
        <v>0</v>
      </c>
      <c r="K161" s="12">
        <f>IFERROR(VLOOKUP(VENTAS[[#This Row],[Código del producto Vendido]],STOCK[],16,FALSE)*VENTAS[[#This Row],[Cantidad]]+VLOOKUP(VENTAS[[#This Row],[Código del producto Vendido]],STOCK[],19,FALSE)*VENTAS[[#This Row],[Cantidad]],VENTAS[[#This Row],[Total]])</f>
        <v>10.063333333333331</v>
      </c>
      <c r="L161" s="12">
        <f>VENTAS[[#This Row],[Total]]-VENTAS[[#This Row],[Comisión 10%]]-VENTAS[[#This Row],[Costo SIN Comision]]</f>
        <v>4.9366666666666692</v>
      </c>
      <c r="M161" s="12"/>
      <c r="N161" s="16"/>
    </row>
    <row r="162" spans="1:14" ht="20" hidden="1" customHeight="1">
      <c r="A162" s="9">
        <v>45062</v>
      </c>
      <c r="B162" s="10"/>
      <c r="C162" s="10" t="s">
        <v>4198</v>
      </c>
      <c r="D162" s="10"/>
      <c r="E162" s="10" t="s">
        <v>900</v>
      </c>
      <c r="F162" s="10" t="str">
        <f>IFERROR(VLOOKUP(VENTAS[[#This Row],[Código del producto Vendido]],STOCK[],5,FALSE),"-")</f>
        <v>Bañador con adorno de malla</v>
      </c>
      <c r="G162" s="10">
        <v>1</v>
      </c>
      <c r="H162" s="12">
        <v>25</v>
      </c>
      <c r="I162" s="12">
        <f>VENTAS[[#This Row],[Cantidad]]*VENTAS[[#This Row],[Precio Venta]]</f>
        <v>25</v>
      </c>
      <c r="J162" s="12">
        <f>IF(VENTAS[[#This Row],[Nombre del Gestor]]&gt;1,VENTAS[[#This Row],[Total]]*10%,0)</f>
        <v>0</v>
      </c>
      <c r="K162" s="12">
        <f>IFERROR(VLOOKUP(VENTAS[[#This Row],[Código del producto Vendido]],STOCK[],16,FALSE)*VENTAS[[#This Row],[Cantidad]]+VLOOKUP(VENTAS[[#This Row],[Código del producto Vendido]],STOCK[],19,FALSE)*VENTAS[[#This Row],[Cantidad]],VENTAS[[#This Row],[Total]])</f>
        <v>15.329545454545499</v>
      </c>
      <c r="L162" s="12">
        <f>VENTAS[[#This Row],[Total]]-VENTAS[[#This Row],[Comisión 10%]]-VENTAS[[#This Row],[Costo SIN Comision]]</f>
        <v>9.6704545454545006</v>
      </c>
      <c r="M162" s="12"/>
      <c r="N162" s="16"/>
    </row>
    <row r="163" spans="1:14" ht="20" hidden="1" customHeight="1">
      <c r="A163" s="9">
        <v>45059</v>
      </c>
      <c r="B163" s="10" t="s">
        <v>1074</v>
      </c>
      <c r="C163" s="10" t="s">
        <v>4184</v>
      </c>
      <c r="D163" s="10"/>
      <c r="E163" s="10" t="s">
        <v>956</v>
      </c>
      <c r="F163" s="10" t="str">
        <f>IFERROR(VLOOKUP(VENTAS[[#This Row],[Código del producto Vendido]],STOCK[],5,FALSE),"-")</f>
        <v>Bañador una pieza con mariposa aplique fruncido</v>
      </c>
      <c r="G163" s="10">
        <v>1</v>
      </c>
      <c r="H163" s="12">
        <v>22</v>
      </c>
      <c r="I163" s="12">
        <f>VENTAS[[#This Row],[Cantidad]]*VENTAS[[#This Row],[Precio Venta]]</f>
        <v>22</v>
      </c>
      <c r="J163" s="12">
        <f>IF(VENTAS[[#This Row],[Nombre del Gestor]]&gt;1,VENTAS[[#This Row],[Total]]*10%,0)</f>
        <v>0</v>
      </c>
      <c r="K163" s="12">
        <f>IFERROR(VLOOKUP(VENTAS[[#This Row],[Código del producto Vendido]],STOCK[],16,FALSE)*VENTAS[[#This Row],[Cantidad]]+VLOOKUP(VENTAS[[#This Row],[Código del producto Vendido]],STOCK[],19,FALSE)*VENTAS[[#This Row],[Cantidad]],VENTAS[[#This Row],[Total]])</f>
        <v>11.92272727272727</v>
      </c>
      <c r="L163" s="12">
        <f>VENTAS[[#This Row],[Total]]-VENTAS[[#This Row],[Comisión 10%]]-VENTAS[[#This Row],[Costo SIN Comision]]</f>
        <v>10.07727272727273</v>
      </c>
      <c r="M163" s="12"/>
      <c r="N163" s="16"/>
    </row>
    <row r="164" spans="1:14" ht="20" hidden="1" customHeight="1">
      <c r="A164" s="9">
        <v>45064</v>
      </c>
      <c r="B164" s="10"/>
      <c r="C164" s="10" t="s">
        <v>4199</v>
      </c>
      <c r="D164" s="10"/>
      <c r="E164" s="10" t="s">
        <v>1040</v>
      </c>
      <c r="F164" s="10" t="str">
        <f>IFERROR(VLOOKUP(VENTAS[[#This Row],[Código del producto Vendido]],STOCK[],5,FALSE),"-")</f>
        <v>Jeans Elastizados Pierna Ancha</v>
      </c>
      <c r="G164" s="10">
        <v>1</v>
      </c>
      <c r="H164" s="12">
        <v>35</v>
      </c>
      <c r="I164" s="12">
        <f>VENTAS[[#This Row],[Cantidad]]*VENTAS[[#This Row],[Precio Venta]]</f>
        <v>35</v>
      </c>
      <c r="J164" s="12">
        <f>IF(VENTAS[[#This Row],[Nombre del Gestor]]&gt;1,VENTAS[[#This Row],[Total]]*10%,0)</f>
        <v>0</v>
      </c>
      <c r="K164" s="12">
        <f>IFERROR(VLOOKUP(VENTAS[[#This Row],[Código del producto Vendido]],STOCK[],16,FALSE)*VENTAS[[#This Row],[Cantidad]]+VLOOKUP(VENTAS[[#This Row],[Código del producto Vendido]],STOCK[],19,FALSE)*VENTAS[[#This Row],[Cantidad]],VENTAS[[#This Row],[Total]])</f>
        <v>27.522727272727298</v>
      </c>
      <c r="L164" s="12">
        <f>VENTAS[[#This Row],[Total]]-VENTAS[[#This Row],[Comisión 10%]]-VENTAS[[#This Row],[Costo SIN Comision]]</f>
        <v>7.4772727272727018</v>
      </c>
      <c r="M164" s="12"/>
      <c r="N164" s="16"/>
    </row>
    <row r="165" spans="1:14" ht="20" hidden="1" customHeight="1">
      <c r="A165" s="9">
        <v>45064</v>
      </c>
      <c r="B165" s="10"/>
      <c r="C165" s="10" t="s">
        <v>4199</v>
      </c>
      <c r="D165" s="10"/>
      <c r="E165" s="10" t="s">
        <v>983</v>
      </c>
      <c r="F165" s="10" t="str">
        <f>IFERROR(VLOOKUP(VENTAS[[#This Row],[Código del producto Vendido]],STOCK[],5,FALSE),"-")</f>
        <v xml:space="preserve"> Top Mangas Fruncidas</v>
      </c>
      <c r="G165" s="10">
        <v>1</v>
      </c>
      <c r="H165" s="12">
        <v>12</v>
      </c>
      <c r="I165" s="12">
        <f>VENTAS[[#This Row],[Cantidad]]*VENTAS[[#This Row],[Precio Venta]]</f>
        <v>12</v>
      </c>
      <c r="J165" s="12">
        <f>IF(VENTAS[[#This Row],[Nombre del Gestor]]&gt;1,VENTAS[[#This Row],[Total]]*10%,0)</f>
        <v>0</v>
      </c>
      <c r="K165" s="12">
        <f>IFERROR(VLOOKUP(VENTAS[[#This Row],[Código del producto Vendido]],STOCK[],16,FALSE)*VENTAS[[#This Row],[Cantidad]]+VLOOKUP(VENTAS[[#This Row],[Código del producto Vendido]],STOCK[],19,FALSE)*VENTAS[[#This Row],[Cantidad]],VENTAS[[#This Row],[Total]])</f>
        <v>6.8113636363636401</v>
      </c>
      <c r="L165" s="12">
        <f>VENTAS[[#This Row],[Total]]-VENTAS[[#This Row],[Comisión 10%]]-VENTAS[[#This Row],[Costo SIN Comision]]</f>
        <v>5.1886363636363599</v>
      </c>
      <c r="M165" s="12"/>
      <c r="N165" s="16"/>
    </row>
    <row r="166" spans="1:14" ht="20" hidden="1" customHeight="1">
      <c r="A166" s="9">
        <v>45064</v>
      </c>
      <c r="B166" s="10"/>
      <c r="C166" s="10" t="s">
        <v>4200</v>
      </c>
      <c r="D166" s="10"/>
      <c r="E166" s="21" t="s">
        <v>942</v>
      </c>
      <c r="F166" s="10" t="str">
        <f>IFERROR(VLOOKUP(VENTAS[[#This Row],[Código del producto Vendido]],STOCK[],5,FALSE),"-")</f>
        <v>Vestido Tropical</v>
      </c>
      <c r="G166" s="10">
        <v>1</v>
      </c>
      <c r="H166" s="12">
        <v>30</v>
      </c>
      <c r="I166" s="12">
        <f>VENTAS[[#This Row],[Cantidad]]*VENTAS[[#This Row],[Precio Venta]]</f>
        <v>30</v>
      </c>
      <c r="J166" s="12">
        <f>IF(VENTAS[[#This Row],[Nombre del Gestor]]&gt;1,VENTAS[[#This Row],[Total]]*10%,0)</f>
        <v>0</v>
      </c>
      <c r="K166" s="12">
        <f>IFERROR(VLOOKUP(VENTAS[[#This Row],[Código del producto Vendido]],STOCK[],16,FALSE)*VENTAS[[#This Row],[Cantidad]]+VLOOKUP(VENTAS[[#This Row],[Código del producto Vendido]],STOCK[],19,FALSE)*VENTAS[[#This Row],[Cantidad]],VENTAS[[#This Row],[Total]])</f>
        <v>18.848636363636402</v>
      </c>
      <c r="L166" s="12">
        <f>VENTAS[[#This Row],[Total]]-VENTAS[[#This Row],[Comisión 10%]]-VENTAS[[#This Row],[Costo SIN Comision]]</f>
        <v>11.151363636363598</v>
      </c>
      <c r="M166" s="12"/>
      <c r="N166" s="16"/>
    </row>
    <row r="167" spans="1:14" ht="20" hidden="1" customHeight="1">
      <c r="A167" s="9">
        <v>45064</v>
      </c>
      <c r="B167" s="10"/>
      <c r="C167" s="10" t="s">
        <v>4200</v>
      </c>
      <c r="D167" s="10"/>
      <c r="E167" s="10" t="s">
        <v>986</v>
      </c>
      <c r="F167" s="10" t="str">
        <f>IFERROR(VLOOKUP(VENTAS[[#This Row],[Código del producto Vendido]],STOCK[],5,FALSE),"-")</f>
        <v>Vestido con abertura</v>
      </c>
      <c r="G167" s="10">
        <v>1</v>
      </c>
      <c r="H167" s="12">
        <v>22</v>
      </c>
      <c r="I167" s="12">
        <f>VENTAS[[#This Row],[Cantidad]]*VENTAS[[#This Row],[Precio Venta]]</f>
        <v>22</v>
      </c>
      <c r="J167" s="12">
        <f>IF(VENTAS[[#This Row],[Nombre del Gestor]]&gt;1,VENTAS[[#This Row],[Total]]*10%,0)</f>
        <v>0</v>
      </c>
      <c r="K167" s="12">
        <f>IFERROR(VLOOKUP(VENTAS[[#This Row],[Código del producto Vendido]],STOCK[],16,FALSE)*VENTAS[[#This Row],[Cantidad]]+VLOOKUP(VENTAS[[#This Row],[Código del producto Vendido]],STOCK[],19,FALSE)*VENTAS[[#This Row],[Cantidad]],VENTAS[[#This Row],[Total]])</f>
        <v>15.527727272727301</v>
      </c>
      <c r="L167" s="12">
        <f>VENTAS[[#This Row],[Total]]-VENTAS[[#This Row],[Comisión 10%]]-VENTAS[[#This Row],[Costo SIN Comision]]</f>
        <v>6.4722727272726992</v>
      </c>
      <c r="M167" s="12"/>
      <c r="N167" s="16"/>
    </row>
    <row r="168" spans="1:14" ht="20" hidden="1" customHeight="1">
      <c r="A168" s="9">
        <v>45064</v>
      </c>
      <c r="B168" s="10"/>
      <c r="C168" s="10" t="s">
        <v>4191</v>
      </c>
      <c r="D168" s="10"/>
      <c r="E168" s="10" t="s">
        <v>31</v>
      </c>
      <c r="F168" s="10" t="str">
        <f>IFERROR(VLOOKUP(VENTAS[[#This Row],[Código del producto Vendido]],STOCK[],5,FALSE),"-")</f>
        <v xml:space="preserve">Pareo falda </v>
      </c>
      <c r="G168" s="10">
        <v>4</v>
      </c>
      <c r="H168" s="12">
        <v>8</v>
      </c>
      <c r="I168" s="12">
        <f>VENTAS[[#This Row],[Cantidad]]*VENTAS[[#This Row],[Precio Venta]]</f>
        <v>32</v>
      </c>
      <c r="J168" s="12">
        <f>IF(VENTAS[[#This Row],[Nombre del Gestor]]&gt;1,VENTAS[[#This Row],[Total]]*10%,0)</f>
        <v>0</v>
      </c>
      <c r="K168" s="12">
        <f>IFERROR(VLOOKUP(VENTAS[[#This Row],[Código del producto Vendido]],STOCK[],16,FALSE)*VENTAS[[#This Row],[Cantidad]]+VLOOKUP(VENTAS[[#This Row],[Código del producto Vendido]],STOCK[],19,FALSE)*VENTAS[[#This Row],[Cantidad]],VENTAS[[#This Row],[Total]])</f>
        <v>17.348888888888879</v>
      </c>
      <c r="L168" s="12">
        <f>VENTAS[[#This Row],[Total]]-VENTAS[[#This Row],[Comisión 10%]]-VENTAS[[#This Row],[Costo SIN Comision]]</f>
        <v>14.651111111111121</v>
      </c>
      <c r="M168" s="12"/>
      <c r="N168" s="16"/>
    </row>
    <row r="169" spans="1:14" ht="20" hidden="1" customHeight="1">
      <c r="A169" s="9">
        <v>45064</v>
      </c>
      <c r="B169" s="10"/>
      <c r="C169" s="10" t="s">
        <v>4191</v>
      </c>
      <c r="D169" s="10"/>
      <c r="E169" s="10" t="s">
        <v>109</v>
      </c>
      <c r="F169" s="10" t="str">
        <f>IFERROR(VLOOKUP(VENTAS[[#This Row],[Código del producto Vendido]],STOCK[],5,FALSE),"-")</f>
        <v>Bañador color combinado</v>
      </c>
      <c r="G169" s="10">
        <v>1</v>
      </c>
      <c r="H169" s="12">
        <v>25</v>
      </c>
      <c r="I169" s="12">
        <f>VENTAS[[#This Row],[Cantidad]]*VENTAS[[#This Row],[Precio Venta]]</f>
        <v>25</v>
      </c>
      <c r="J169" s="12">
        <f>IF(VENTAS[[#This Row],[Nombre del Gestor]]&gt;1,VENTAS[[#This Row],[Total]]*10%,0)</f>
        <v>0</v>
      </c>
      <c r="K169" s="12">
        <f>IFERROR(VLOOKUP(VENTAS[[#This Row],[Código del producto Vendido]],STOCK[],16,FALSE)*VENTAS[[#This Row],[Cantidad]]+VLOOKUP(VENTAS[[#This Row],[Código del producto Vendido]],STOCK[],19,FALSE)*VENTAS[[#This Row],[Cantidad]],VENTAS[[#This Row],[Total]])</f>
        <v>18.4788888888889</v>
      </c>
      <c r="L169" s="12">
        <f>VENTAS[[#This Row],[Total]]-VENTAS[[#This Row],[Comisión 10%]]-VENTAS[[#This Row],[Costo SIN Comision]]</f>
        <v>6.5211111111111002</v>
      </c>
      <c r="M169" s="12"/>
      <c r="N169" s="16"/>
    </row>
    <row r="170" spans="1:14" ht="20" hidden="1" customHeight="1">
      <c r="A170" s="9">
        <v>45064</v>
      </c>
      <c r="B170" s="10"/>
      <c r="C170" s="10" t="s">
        <v>4201</v>
      </c>
      <c r="D170" s="10"/>
      <c r="E170" s="10" t="s">
        <v>897</v>
      </c>
      <c r="F170" s="10" t="str">
        <f>IFERROR(VLOOKUP(VENTAS[[#This Row],[Código del producto Vendido]],STOCK[],5,FALSE),"-")</f>
        <v>Bañador con adorno de malla</v>
      </c>
      <c r="G170" s="10">
        <v>1</v>
      </c>
      <c r="H170" s="12">
        <v>25</v>
      </c>
      <c r="I170" s="12">
        <f>VENTAS[[#This Row],[Cantidad]]*VENTAS[[#This Row],[Precio Venta]]</f>
        <v>25</v>
      </c>
      <c r="J170" s="12">
        <f>IF(VENTAS[[#This Row],[Nombre del Gestor]]&gt;1,VENTAS[[#This Row],[Total]]*10%,0)</f>
        <v>0</v>
      </c>
      <c r="K170" s="12">
        <f>IFERROR(VLOOKUP(VENTAS[[#This Row],[Código del producto Vendido]],STOCK[],16,FALSE)*VENTAS[[#This Row],[Cantidad]]+VLOOKUP(VENTAS[[#This Row],[Código del producto Vendido]],STOCK[],19,FALSE)*VENTAS[[#This Row],[Cantidad]],VENTAS[[#This Row],[Total]])</f>
        <v>16.179545454545497</v>
      </c>
      <c r="L170" s="12">
        <f>VENTAS[[#This Row],[Total]]-VENTAS[[#This Row],[Comisión 10%]]-VENTAS[[#This Row],[Costo SIN Comision]]</f>
        <v>8.8204545454545027</v>
      </c>
      <c r="M170" s="12"/>
      <c r="N170" s="16"/>
    </row>
    <row r="171" spans="1:14" ht="20" hidden="1" customHeight="1">
      <c r="A171" s="9">
        <v>45064</v>
      </c>
      <c r="B171" s="10"/>
      <c r="C171" s="10" t="s">
        <v>4202</v>
      </c>
      <c r="D171" s="10"/>
      <c r="E171" s="10" t="s">
        <v>1002</v>
      </c>
      <c r="F171" s="10" t="str">
        <f>IFERROR(VLOOKUP(VENTAS[[#This Row],[Código del producto Vendido]],STOCK[],5,FALSE),"-")</f>
        <v>Vestido frenchy de puntos</v>
      </c>
      <c r="G171" s="10">
        <v>1</v>
      </c>
      <c r="H171" s="12">
        <v>22</v>
      </c>
      <c r="I171" s="12">
        <f>VENTAS[[#This Row],[Cantidad]]*VENTAS[[#This Row],[Precio Venta]]</f>
        <v>22</v>
      </c>
      <c r="J171" s="12">
        <f>IF(VENTAS[[#This Row],[Nombre del Gestor]]&gt;1,VENTAS[[#This Row],[Total]]*10%,0)</f>
        <v>0</v>
      </c>
      <c r="K171" s="12">
        <f>IFERROR(VLOOKUP(VENTAS[[#This Row],[Código del producto Vendido]],STOCK[],16,FALSE)*VENTAS[[#This Row],[Cantidad]]+VLOOKUP(VENTAS[[#This Row],[Código del producto Vendido]],STOCK[],19,FALSE)*VENTAS[[#This Row],[Cantidad]],VENTAS[[#This Row],[Total]])</f>
        <v>15.3272727272727</v>
      </c>
      <c r="L171" s="12">
        <f>VENTAS[[#This Row],[Total]]-VENTAS[[#This Row],[Comisión 10%]]-VENTAS[[#This Row],[Costo SIN Comision]]</f>
        <v>6.6727272727273004</v>
      </c>
      <c r="M171" s="12"/>
      <c r="N171" s="16"/>
    </row>
    <row r="172" spans="1:14" ht="20" hidden="1" customHeight="1">
      <c r="A172" s="9">
        <v>45065</v>
      </c>
      <c r="B172" s="10"/>
      <c r="C172" s="10" t="s">
        <v>4203</v>
      </c>
      <c r="D172" s="10"/>
      <c r="E172" s="10" t="s">
        <v>952</v>
      </c>
      <c r="F172" s="10" t="str">
        <f>IFERROR(VLOOKUP(VENTAS[[#This Row],[Código del producto Vendido]],STOCK[],5,FALSE),"-")</f>
        <v xml:space="preserve"> Pantaloneta Verde</v>
      </c>
      <c r="G172" s="10">
        <v>1</v>
      </c>
      <c r="H172" s="12">
        <v>25</v>
      </c>
      <c r="I172" s="12">
        <f>VENTAS[[#This Row],[Cantidad]]*VENTAS[[#This Row],[Precio Venta]]</f>
        <v>25</v>
      </c>
      <c r="J172" s="12">
        <f>IF(VENTAS[[#This Row],[Nombre del Gestor]]&gt;1,VENTAS[[#This Row],[Total]]*10%,0)</f>
        <v>0</v>
      </c>
      <c r="K172" s="12">
        <f>IFERROR(VLOOKUP(VENTAS[[#This Row],[Código del producto Vendido]],STOCK[],16,FALSE)*VENTAS[[#This Row],[Cantidad]]+VLOOKUP(VENTAS[[#This Row],[Código del producto Vendido]],STOCK[],19,FALSE)*VENTAS[[#This Row],[Cantidad]],VENTAS[[#This Row],[Total]])</f>
        <v>14.871363636363629</v>
      </c>
      <c r="L172" s="12">
        <f>VENTAS[[#This Row],[Total]]-VENTAS[[#This Row],[Comisión 10%]]-VENTAS[[#This Row],[Costo SIN Comision]]</f>
        <v>10.128636363636371</v>
      </c>
      <c r="M172" s="12"/>
      <c r="N172" s="16"/>
    </row>
    <row r="173" spans="1:14" ht="20" hidden="1" customHeight="1">
      <c r="A173" s="9">
        <v>45065</v>
      </c>
      <c r="B173" s="10"/>
      <c r="C173" s="10" t="s">
        <v>4204</v>
      </c>
      <c r="D173" s="10"/>
      <c r="E173" s="10" t="s">
        <v>437</v>
      </c>
      <c r="F173" s="10" t="str">
        <f>IFERROR(VLOOKUP(VENTAS[[#This Row],[Código del producto Vendido]],STOCK[],5,FALSE),"-")</f>
        <v>Bañador bikini floral</v>
      </c>
      <c r="G173" s="10">
        <v>1</v>
      </c>
      <c r="H173" s="12">
        <v>25</v>
      </c>
      <c r="I173" s="12">
        <f>VENTAS[[#This Row],[Cantidad]]*VENTAS[[#This Row],[Precio Venta]]</f>
        <v>25</v>
      </c>
      <c r="J173" s="12">
        <f>IF(VENTAS[[#This Row],[Nombre del Gestor]]&gt;1,VENTAS[[#This Row],[Total]]*10%,0)</f>
        <v>0</v>
      </c>
      <c r="K173" s="12">
        <f>IFERROR(VLOOKUP(VENTAS[[#This Row],[Código del producto Vendido]],STOCK[],16,FALSE)*VENTAS[[#This Row],[Cantidad]]+VLOOKUP(VENTAS[[#This Row],[Código del producto Vendido]],STOCK[],19,FALSE)*VENTAS[[#This Row],[Cantidad]],VENTAS[[#This Row],[Total]])</f>
        <v>16.6044444444444</v>
      </c>
      <c r="L173" s="12">
        <f>VENTAS[[#This Row],[Total]]-VENTAS[[#This Row],[Comisión 10%]]-VENTAS[[#This Row],[Costo SIN Comision]]</f>
        <v>8.3955555555555996</v>
      </c>
      <c r="M173" s="12"/>
      <c r="N173" s="16"/>
    </row>
    <row r="174" spans="1:14" ht="20" hidden="1" customHeight="1">
      <c r="A174" s="9">
        <v>45065</v>
      </c>
      <c r="B174" s="10"/>
      <c r="C174" s="10" t="s">
        <v>4205</v>
      </c>
      <c r="D174" s="10"/>
      <c r="E174" s="10" t="s">
        <v>368</v>
      </c>
      <c r="F174" s="10" t="str">
        <f>IFERROR(VLOOKUP(VENTAS[[#This Row],[Código del producto Vendido]],STOCK[],5,FALSE),"-")</f>
        <v>Vestido de un hombro con nudo</v>
      </c>
      <c r="G174" s="10">
        <v>1</v>
      </c>
      <c r="H174" s="12">
        <v>15</v>
      </c>
      <c r="I174" s="12">
        <f>VENTAS[[#This Row],[Cantidad]]*VENTAS[[#This Row],[Precio Venta]]</f>
        <v>15</v>
      </c>
      <c r="J174" s="12">
        <f>IF(VENTAS[[#This Row],[Nombre del Gestor]]&gt;1,VENTAS[[#This Row],[Total]]*10%,0)</f>
        <v>0</v>
      </c>
      <c r="K174" s="12">
        <f>IFERROR(VLOOKUP(VENTAS[[#This Row],[Código del producto Vendido]],STOCK[],16,FALSE)*VENTAS[[#This Row],[Cantidad]]+VLOOKUP(VENTAS[[#This Row],[Código del producto Vendido]],STOCK[],19,FALSE)*VENTAS[[#This Row],[Cantidad]],VENTAS[[#This Row],[Total]])</f>
        <v>12.835000000000001</v>
      </c>
      <c r="L174" s="12">
        <f>VENTAS[[#This Row],[Total]]-VENTAS[[#This Row],[Comisión 10%]]-VENTAS[[#This Row],[Costo SIN Comision]]</f>
        <v>2.1649999999999991</v>
      </c>
      <c r="M174" s="12"/>
      <c r="N174" s="16"/>
    </row>
    <row r="175" spans="1:14" ht="20" hidden="1" customHeight="1">
      <c r="A175" s="9">
        <v>45065</v>
      </c>
      <c r="B175" s="10"/>
      <c r="C175" s="10" t="s">
        <v>4205</v>
      </c>
      <c r="D175" s="10"/>
      <c r="E175" s="10" t="s">
        <v>379</v>
      </c>
      <c r="F175" s="10" t="str">
        <f>IFERROR(VLOOKUP(VENTAS[[#This Row],[Código del producto Vendido]],STOCK[],5,FALSE),"-")</f>
        <v>Elegant Vestido ajustado con estampado de leopardo</v>
      </c>
      <c r="G175" s="10">
        <v>1</v>
      </c>
      <c r="H175" s="12">
        <v>15</v>
      </c>
      <c r="I175" s="12">
        <f>VENTAS[[#This Row],[Cantidad]]*VENTAS[[#This Row],[Precio Venta]]</f>
        <v>15</v>
      </c>
      <c r="J175" s="12">
        <f>IF(VENTAS[[#This Row],[Nombre del Gestor]]&gt;1,VENTAS[[#This Row],[Total]]*10%,0)</f>
        <v>0</v>
      </c>
      <c r="K175" s="12">
        <f>IFERROR(VLOOKUP(VENTAS[[#This Row],[Código del producto Vendido]],STOCK[],16,FALSE)*VENTAS[[#This Row],[Cantidad]]+VLOOKUP(VENTAS[[#This Row],[Código del producto Vendido]],STOCK[],19,FALSE)*VENTAS[[#This Row],[Cantidad]],VENTAS[[#This Row],[Total]])</f>
        <v>7.2483333333333295</v>
      </c>
      <c r="L175" s="12">
        <f>VENTAS[[#This Row],[Total]]-VENTAS[[#This Row],[Comisión 10%]]-VENTAS[[#This Row],[Costo SIN Comision]]</f>
        <v>7.7516666666666705</v>
      </c>
      <c r="M175" s="12"/>
      <c r="N175" s="16"/>
    </row>
    <row r="176" spans="1:14" ht="20" hidden="1" customHeight="1">
      <c r="A176" s="9">
        <v>45065</v>
      </c>
      <c r="B176" s="10"/>
      <c r="C176" s="10" t="s">
        <v>4205</v>
      </c>
      <c r="D176" s="10"/>
      <c r="E176" s="10" t="s">
        <v>584</v>
      </c>
      <c r="F176" s="10" t="str">
        <f>IFERROR(VLOOKUP(VENTAS[[#This Row],[Código del producto Vendido]],STOCK[],5,FALSE),"-")</f>
        <v>Top cruzado blanco</v>
      </c>
      <c r="G176" s="10">
        <v>1</v>
      </c>
      <c r="H176" s="12">
        <v>9</v>
      </c>
      <c r="I176" s="12">
        <f>VENTAS[[#This Row],[Cantidad]]*VENTAS[[#This Row],[Precio Venta]]</f>
        <v>9</v>
      </c>
      <c r="J176" s="12">
        <f>IF(VENTAS[[#This Row],[Nombre del Gestor]]&gt;1,VENTAS[[#This Row],[Total]]*10%,0)</f>
        <v>0</v>
      </c>
      <c r="K176" s="12">
        <f>IFERROR(VLOOKUP(VENTAS[[#This Row],[Código del producto Vendido]],STOCK[],16,FALSE)*VENTAS[[#This Row],[Cantidad]]+VLOOKUP(VENTAS[[#This Row],[Código del producto Vendido]],STOCK[],19,FALSE)*VENTAS[[#This Row],[Cantidad]],VENTAS[[#This Row],[Total]])</f>
        <v>5.1933333333333307</v>
      </c>
      <c r="L176" s="12">
        <f>VENTAS[[#This Row],[Total]]-VENTAS[[#This Row],[Comisión 10%]]-VENTAS[[#This Row],[Costo SIN Comision]]</f>
        <v>3.8066666666666693</v>
      </c>
      <c r="M176" s="12"/>
      <c r="N176" s="16"/>
    </row>
    <row r="177" spans="1:14" ht="20" hidden="1" customHeight="1">
      <c r="A177" s="9">
        <v>45065</v>
      </c>
      <c r="B177" s="10"/>
      <c r="C177" s="10" t="s">
        <v>4205</v>
      </c>
      <c r="D177" s="10"/>
      <c r="E177" s="10" t="s">
        <v>729</v>
      </c>
      <c r="F177" s="10" t="str">
        <f>IFERROR(VLOOKUP(VENTAS[[#This Row],[Código del producto Vendido]],STOCK[],5,FALSE),"-")</f>
        <v>Vestido acanalado de un hombro</v>
      </c>
      <c r="G177" s="10">
        <v>1</v>
      </c>
      <c r="H177" s="12">
        <v>18</v>
      </c>
      <c r="I177" s="12">
        <f>VENTAS[[#This Row],[Cantidad]]*VENTAS[[#This Row],[Precio Venta]]</f>
        <v>18</v>
      </c>
      <c r="J177" s="12">
        <f>IF(VENTAS[[#This Row],[Nombre del Gestor]]&gt;1,VENTAS[[#This Row],[Total]]*10%,0)</f>
        <v>0</v>
      </c>
      <c r="K177" s="12">
        <f>IFERROR(VLOOKUP(VENTAS[[#This Row],[Código del producto Vendido]],STOCK[],16,FALSE)*VENTAS[[#This Row],[Cantidad]]+VLOOKUP(VENTAS[[#This Row],[Código del producto Vendido]],STOCK[],19,FALSE)*VENTAS[[#This Row],[Cantidad]],VENTAS[[#This Row],[Total]])</f>
        <v>11.944444444444439</v>
      </c>
      <c r="L177" s="12">
        <f>VENTAS[[#This Row],[Total]]-VENTAS[[#This Row],[Comisión 10%]]-VENTAS[[#This Row],[Costo SIN Comision]]</f>
        <v>6.0555555555555607</v>
      </c>
      <c r="M177" s="12"/>
      <c r="N177" s="16"/>
    </row>
    <row r="178" spans="1:14" ht="20" hidden="1" customHeight="1">
      <c r="A178" s="9"/>
      <c r="B178" s="10" t="s">
        <v>4195</v>
      </c>
      <c r="C178" s="10" t="s">
        <v>4196</v>
      </c>
      <c r="D178" s="10"/>
      <c r="E178" s="10" t="s">
        <v>4206</v>
      </c>
      <c r="F178" s="10" t="str">
        <f>IFERROR(VLOOKUP(VENTAS[[#This Row],[Código del producto Vendido]],STOCK[],5,FALSE),"-")</f>
        <v>-</v>
      </c>
      <c r="G178" s="10">
        <v>1</v>
      </c>
      <c r="H178" s="12">
        <v>18</v>
      </c>
      <c r="I178" s="12">
        <f>VENTAS[[#This Row],[Cantidad]]*VENTAS[[#This Row],[Precio Venta]]</f>
        <v>18</v>
      </c>
      <c r="J178" s="12">
        <f>IF(VENTAS[[#This Row],[Nombre del Gestor]]&gt;1,VENTAS[[#This Row],[Total]]*10%,0)</f>
        <v>0</v>
      </c>
      <c r="K178" s="12">
        <f>IFERROR(VLOOKUP(VENTAS[[#This Row],[Código del producto Vendido]],STOCK[],16,FALSE)*VENTAS[[#This Row],[Cantidad]]+VLOOKUP(VENTAS[[#This Row],[Código del producto Vendido]],STOCK[],19,FALSE)*VENTAS[[#This Row],[Cantidad]],VENTAS[[#This Row],[Total]])</f>
        <v>18</v>
      </c>
      <c r="L178" s="12">
        <f>VENTAS[[#This Row],[Total]]-VENTAS[[#This Row],[Comisión 10%]]-VENTAS[[#This Row],[Costo SIN Comision]]</f>
        <v>0</v>
      </c>
      <c r="M178" s="12"/>
      <c r="N178" s="16"/>
    </row>
    <row r="179" spans="1:14" ht="20" hidden="1" customHeight="1">
      <c r="A179" s="9">
        <v>45065</v>
      </c>
      <c r="B179" s="10"/>
      <c r="C179" s="10" t="s">
        <v>4207</v>
      </c>
      <c r="D179" s="10"/>
      <c r="E179" s="10" t="s">
        <v>1040</v>
      </c>
      <c r="F179" s="10" t="str">
        <f>IFERROR(VLOOKUP(VENTAS[[#This Row],[Código del producto Vendido]],STOCK[],5,FALSE),"-")</f>
        <v>Jeans Elastizados Pierna Ancha</v>
      </c>
      <c r="G179" s="10">
        <v>1</v>
      </c>
      <c r="H179" s="12">
        <v>35</v>
      </c>
      <c r="I179" s="12">
        <f>VENTAS[[#This Row],[Cantidad]]*VENTAS[[#This Row],[Precio Venta]]</f>
        <v>35</v>
      </c>
      <c r="J179" s="12">
        <f>IF(VENTAS[[#This Row],[Nombre del Gestor]]&gt;1,VENTAS[[#This Row],[Total]]*10%,0)</f>
        <v>0</v>
      </c>
      <c r="K179" s="12">
        <f>IFERROR(VLOOKUP(VENTAS[[#This Row],[Código del producto Vendido]],STOCK[],16,FALSE)*VENTAS[[#This Row],[Cantidad]]+VLOOKUP(VENTAS[[#This Row],[Código del producto Vendido]],STOCK[],19,FALSE)*VENTAS[[#This Row],[Cantidad]],VENTAS[[#This Row],[Total]])</f>
        <v>27.522727272727298</v>
      </c>
      <c r="L179" s="12">
        <f>VENTAS[[#This Row],[Total]]-VENTAS[[#This Row],[Comisión 10%]]-VENTAS[[#This Row],[Costo SIN Comision]]</f>
        <v>7.4772727272727018</v>
      </c>
      <c r="M179" s="12"/>
      <c r="N179" s="16"/>
    </row>
    <row r="180" spans="1:14" ht="20" hidden="1" customHeight="1">
      <c r="A180" s="9">
        <v>45067</v>
      </c>
      <c r="B180" s="10"/>
      <c r="C180" s="10" t="s">
        <v>4208</v>
      </c>
      <c r="D180" s="10"/>
      <c r="E180" s="10" t="s">
        <v>914</v>
      </c>
      <c r="F180" s="10" t="str">
        <f>IFERROR(VLOOKUP(VENTAS[[#This Row],[Código del producto Vendido]],STOCK[],5,FALSE),"-")</f>
        <v>Camiseta con figura</v>
      </c>
      <c r="G180" s="10">
        <v>1</v>
      </c>
      <c r="H180" s="12">
        <v>14</v>
      </c>
      <c r="I180" s="12">
        <f>VENTAS[[#This Row],[Cantidad]]*VENTAS[[#This Row],[Precio Venta]]</f>
        <v>14</v>
      </c>
      <c r="J180" s="12">
        <f>IF(VENTAS[[#This Row],[Nombre del Gestor]]&gt;1,VENTAS[[#This Row],[Total]]*10%,0)</f>
        <v>0</v>
      </c>
      <c r="K180" s="12">
        <f>IFERROR(VLOOKUP(VENTAS[[#This Row],[Código del producto Vendido]],STOCK[],16,FALSE)*VENTAS[[#This Row],[Cantidad]]+VLOOKUP(VENTAS[[#This Row],[Código del producto Vendido]],STOCK[],19,FALSE)*VENTAS[[#This Row],[Cantidad]],VENTAS[[#This Row],[Total]])</f>
        <v>10.07727272727273</v>
      </c>
      <c r="L180" s="12">
        <f>VENTAS[[#This Row],[Total]]-VENTAS[[#This Row],[Comisión 10%]]-VENTAS[[#This Row],[Costo SIN Comision]]</f>
        <v>3.9227272727272702</v>
      </c>
      <c r="M180" s="12"/>
      <c r="N180" s="16"/>
    </row>
    <row r="181" spans="1:14" ht="20" hidden="1" customHeight="1">
      <c r="A181" s="9">
        <v>45067</v>
      </c>
      <c r="B181" s="10"/>
      <c r="C181" s="10" t="s">
        <v>4208</v>
      </c>
      <c r="D181" s="10"/>
      <c r="E181" s="10" t="s">
        <v>1047</v>
      </c>
      <c r="F181" s="10" t="str">
        <f>IFERROR(VLOOKUP(VENTAS[[#This Row],[Código del producto Vendido]],STOCK[],5,FALSE),"-")</f>
        <v>Jeans Ajustados Claro</v>
      </c>
      <c r="G181" s="10">
        <v>1</v>
      </c>
      <c r="H181" s="12">
        <v>35</v>
      </c>
      <c r="I181" s="12">
        <f>VENTAS[[#This Row],[Cantidad]]*VENTAS[[#This Row],[Precio Venta]]</f>
        <v>35</v>
      </c>
      <c r="J181" s="12">
        <f>IF(VENTAS[[#This Row],[Nombre del Gestor]]&gt;1,VENTAS[[#This Row],[Total]]*10%,0)</f>
        <v>0</v>
      </c>
      <c r="K181" s="12">
        <f>IFERROR(VLOOKUP(VENTAS[[#This Row],[Código del producto Vendido]],STOCK[],16,FALSE)*VENTAS[[#This Row],[Cantidad]]+VLOOKUP(VENTAS[[#This Row],[Código del producto Vendido]],STOCK[],19,FALSE)*VENTAS[[#This Row],[Cantidad]],VENTAS[[#This Row],[Total]])</f>
        <v>25.818181818181799</v>
      </c>
      <c r="L181" s="12">
        <f>VENTAS[[#This Row],[Total]]-VENTAS[[#This Row],[Comisión 10%]]-VENTAS[[#This Row],[Costo SIN Comision]]</f>
        <v>9.1818181818182012</v>
      </c>
      <c r="M181" s="12"/>
      <c r="N181" s="16"/>
    </row>
    <row r="182" spans="1:14" ht="20" hidden="1" customHeight="1">
      <c r="A182" s="9">
        <v>45067</v>
      </c>
      <c r="B182" s="10"/>
      <c r="C182" s="10" t="s">
        <v>4208</v>
      </c>
      <c r="D182" s="10"/>
      <c r="E182" s="10" t="s">
        <v>772</v>
      </c>
      <c r="F182" s="10" t="str">
        <f>IFERROR(VLOOKUP(VENTAS[[#This Row],[Código del producto Vendido]],STOCK[],5,FALSE),"-")</f>
        <v>Sandalias prácticas</v>
      </c>
      <c r="G182" s="10">
        <v>1</v>
      </c>
      <c r="H182" s="12">
        <v>30</v>
      </c>
      <c r="I182" s="12">
        <f>VENTAS[[#This Row],[Cantidad]]*VENTAS[[#This Row],[Precio Venta]]</f>
        <v>30</v>
      </c>
      <c r="J182" s="12">
        <f>IF(VENTAS[[#This Row],[Nombre del Gestor]]&gt;1,VENTAS[[#This Row],[Total]]*10%,0)</f>
        <v>0</v>
      </c>
      <c r="K182" s="12">
        <f>IFERROR(VLOOKUP(VENTAS[[#This Row],[Código del producto Vendido]],STOCK[],16,FALSE)*VENTAS[[#This Row],[Cantidad]]+VLOOKUP(VENTAS[[#This Row],[Código del producto Vendido]],STOCK[],19,FALSE)*VENTAS[[#This Row],[Cantidad]],VENTAS[[#This Row],[Total]])</f>
        <v>23.2777777777778</v>
      </c>
      <c r="L182" s="12">
        <f>VENTAS[[#This Row],[Total]]-VENTAS[[#This Row],[Comisión 10%]]-VENTAS[[#This Row],[Costo SIN Comision]]</f>
        <v>6.7222222222222001</v>
      </c>
      <c r="M182" s="12"/>
      <c r="N182" s="16"/>
    </row>
    <row r="183" spans="1:14" ht="20" hidden="1" customHeight="1">
      <c r="A183" s="9">
        <v>45067</v>
      </c>
      <c r="B183" s="10"/>
      <c r="C183" s="10" t="s">
        <v>4209</v>
      </c>
      <c r="D183" s="10"/>
      <c r="E183" s="10" t="s">
        <v>191</v>
      </c>
      <c r="F183" s="10" t="str">
        <f>IFERROR(VLOOKUP(VENTAS[[#This Row],[Código del producto Vendido]],STOCK[],5,FALSE),"-")</f>
        <v>Pantalones de pierna ancha de talle alto con abertura</v>
      </c>
      <c r="G183" s="10">
        <v>1</v>
      </c>
      <c r="H183" s="12">
        <v>25</v>
      </c>
      <c r="I183" s="12">
        <f>VENTAS[[#This Row],[Cantidad]]*VENTAS[[#This Row],[Precio Venta]]</f>
        <v>25</v>
      </c>
      <c r="J183" s="12">
        <f>IF(VENTAS[[#This Row],[Nombre del Gestor]]&gt;1,VENTAS[[#This Row],[Total]]*10%,0)</f>
        <v>0</v>
      </c>
      <c r="K183" s="12">
        <f>IFERROR(VLOOKUP(VENTAS[[#This Row],[Código del producto Vendido]],STOCK[],16,FALSE)*VENTAS[[#This Row],[Cantidad]]+VLOOKUP(VENTAS[[#This Row],[Código del producto Vendido]],STOCK[],19,FALSE)*VENTAS[[#This Row],[Cantidad]],VENTAS[[#This Row],[Total]])</f>
        <v>13.071111111111101</v>
      </c>
      <c r="L183" s="12">
        <f>VENTAS[[#This Row],[Total]]-VENTAS[[#This Row],[Comisión 10%]]-VENTAS[[#This Row],[Costo SIN Comision]]</f>
        <v>11.928888888888899</v>
      </c>
      <c r="M183" s="12"/>
      <c r="N183" s="16"/>
    </row>
    <row r="184" spans="1:14" ht="20" hidden="1" customHeight="1">
      <c r="A184" s="9">
        <v>45067</v>
      </c>
      <c r="B184" s="10"/>
      <c r="C184" s="10" t="s">
        <v>4209</v>
      </c>
      <c r="D184" s="10"/>
      <c r="E184" s="10" t="s">
        <v>1028</v>
      </c>
      <c r="F184" s="10" t="str">
        <f>IFERROR(VLOOKUP(VENTAS[[#This Row],[Código del producto Vendido]],STOCK[],5,FALSE),"-")</f>
        <v>Top Dreamer Blanco</v>
      </c>
      <c r="G184" s="10">
        <v>1</v>
      </c>
      <c r="H184" s="12">
        <v>12</v>
      </c>
      <c r="I184" s="12">
        <f>VENTAS[[#This Row],[Cantidad]]*VENTAS[[#This Row],[Precio Venta]]</f>
        <v>12</v>
      </c>
      <c r="J184" s="12">
        <f>IF(VENTAS[[#This Row],[Nombre del Gestor]]&gt;1,VENTAS[[#This Row],[Total]]*10%,0)</f>
        <v>0</v>
      </c>
      <c r="K184" s="12">
        <f>IFERROR(VLOOKUP(VENTAS[[#This Row],[Código del producto Vendido]],STOCK[],16,FALSE)*VENTAS[[#This Row],[Cantidad]]+VLOOKUP(VENTAS[[#This Row],[Código del producto Vendido]],STOCK[],19,FALSE)*VENTAS[[#This Row],[Cantidad]],VENTAS[[#This Row],[Total]])</f>
        <v>6.7590909090909097</v>
      </c>
      <c r="L184" s="12">
        <f>VENTAS[[#This Row],[Total]]-VENTAS[[#This Row],[Comisión 10%]]-VENTAS[[#This Row],[Costo SIN Comision]]</f>
        <v>5.2409090909090903</v>
      </c>
      <c r="M184" s="12"/>
      <c r="N184" s="16"/>
    </row>
    <row r="185" spans="1:14" ht="20" hidden="1" customHeight="1">
      <c r="A185" s="9">
        <v>45067</v>
      </c>
      <c r="B185" s="10"/>
      <c r="C185" s="10" t="s">
        <v>4209</v>
      </c>
      <c r="D185" s="10"/>
      <c r="E185" s="10" t="s">
        <v>233</v>
      </c>
      <c r="F185" s="10" t="str">
        <f>IFERROR(VLOOKUP(VENTAS[[#This Row],[Código del producto Vendido]],STOCK[],5,FALSE),"-")</f>
        <v>Top estampado de cuello con cordón</v>
      </c>
      <c r="G185" s="10">
        <v>1</v>
      </c>
      <c r="H185" s="12">
        <v>12</v>
      </c>
      <c r="I185" s="12">
        <f>VENTAS[[#This Row],[Cantidad]]*VENTAS[[#This Row],[Precio Venta]]</f>
        <v>12</v>
      </c>
      <c r="J185" s="12">
        <f>IF(VENTAS[[#This Row],[Nombre del Gestor]]&gt;1,VENTAS[[#This Row],[Total]]*10%,0)</f>
        <v>0</v>
      </c>
      <c r="K185" s="12">
        <f>IFERROR(VLOOKUP(VENTAS[[#This Row],[Código del producto Vendido]],STOCK[],16,FALSE)*VENTAS[[#This Row],[Cantidad]]+VLOOKUP(VENTAS[[#This Row],[Código del producto Vendido]],STOCK[],19,FALSE)*VENTAS[[#This Row],[Cantidad]],VENTAS[[#This Row],[Total]])</f>
        <v>8.2222222222222197</v>
      </c>
      <c r="L185" s="12">
        <f>VENTAS[[#This Row],[Total]]-VENTAS[[#This Row],[Comisión 10%]]-VENTAS[[#This Row],[Costo SIN Comision]]</f>
        <v>3.7777777777777803</v>
      </c>
      <c r="M185" s="12"/>
      <c r="N185" s="16"/>
    </row>
    <row r="186" spans="1:14" ht="20" hidden="1" customHeight="1">
      <c r="A186" s="9">
        <v>45067</v>
      </c>
      <c r="B186" s="10"/>
      <c r="C186" s="10" t="s">
        <v>4210</v>
      </c>
      <c r="D186" s="10"/>
      <c r="E186" s="10" t="s">
        <v>943</v>
      </c>
      <c r="F186" s="10" t="str">
        <f>IFERROR(VLOOKUP(VENTAS[[#This Row],[Código del producto Vendido]],STOCK[],5,FALSE),"-")</f>
        <v>Vestido Tropical</v>
      </c>
      <c r="G186" s="10">
        <v>1</v>
      </c>
      <c r="H186" s="12">
        <v>30</v>
      </c>
      <c r="I186" s="12">
        <f>VENTAS[[#This Row],[Cantidad]]*VENTAS[[#This Row],[Precio Venta]]</f>
        <v>30</v>
      </c>
      <c r="J186" s="12">
        <f>IF(VENTAS[[#This Row],[Nombre del Gestor]]&gt;1,VENTAS[[#This Row],[Total]]*10%,0)</f>
        <v>0</v>
      </c>
      <c r="K186" s="12">
        <f>IFERROR(VLOOKUP(VENTAS[[#This Row],[Código del producto Vendido]],STOCK[],16,FALSE)*VENTAS[[#This Row],[Cantidad]]+VLOOKUP(VENTAS[[#This Row],[Código del producto Vendido]],STOCK[],19,FALSE)*VENTAS[[#This Row],[Cantidad]],VENTAS[[#This Row],[Total]])</f>
        <v>19.0186363636364</v>
      </c>
      <c r="L186" s="12">
        <f>VENTAS[[#This Row],[Total]]-VENTAS[[#This Row],[Comisión 10%]]-VENTAS[[#This Row],[Costo SIN Comision]]</f>
        <v>10.9813636363636</v>
      </c>
      <c r="M186" s="12"/>
      <c r="N186" s="16"/>
    </row>
    <row r="187" spans="1:14" ht="20" hidden="1" customHeight="1">
      <c r="A187" s="9">
        <v>45067</v>
      </c>
      <c r="B187" s="10"/>
      <c r="C187" s="10" t="s">
        <v>4210</v>
      </c>
      <c r="D187" s="10"/>
      <c r="E187" s="10" t="s">
        <v>81</v>
      </c>
      <c r="F187" s="10" t="str">
        <f>IFERROR(VLOOKUP(VENTAS[[#This Row],[Código del producto Vendido]],STOCK[],5,FALSE),"-")</f>
        <v>Pareo pantalón de malla</v>
      </c>
      <c r="G187" s="10">
        <v>1</v>
      </c>
      <c r="H187" s="12">
        <v>15</v>
      </c>
      <c r="I187" s="12">
        <f>VENTAS[[#This Row],[Cantidad]]*VENTAS[[#This Row],[Precio Venta]]</f>
        <v>15</v>
      </c>
      <c r="J187" s="12">
        <f>IF(VENTAS[[#This Row],[Nombre del Gestor]]&gt;1,VENTAS[[#This Row],[Total]]*10%,0)</f>
        <v>0</v>
      </c>
      <c r="K187" s="12">
        <f>IFERROR(VLOOKUP(VENTAS[[#This Row],[Código del producto Vendido]],STOCK[],16,FALSE)*VENTAS[[#This Row],[Cantidad]]+VLOOKUP(VENTAS[[#This Row],[Código del producto Vendido]],STOCK[],19,FALSE)*VENTAS[[#This Row],[Cantidad]],VENTAS[[#This Row],[Total]])</f>
        <v>9.9555555555555593</v>
      </c>
      <c r="L187" s="12">
        <f>VENTAS[[#This Row],[Total]]-VENTAS[[#This Row],[Comisión 10%]]-VENTAS[[#This Row],[Costo SIN Comision]]</f>
        <v>5.0444444444444407</v>
      </c>
      <c r="M187" s="12"/>
      <c r="N187" s="16"/>
    </row>
    <row r="188" spans="1:14" ht="20" hidden="1" customHeight="1">
      <c r="A188" s="9">
        <v>45068</v>
      </c>
      <c r="B188" s="10"/>
      <c r="C188" s="10" t="s">
        <v>4211</v>
      </c>
      <c r="D188" s="10"/>
      <c r="E188" s="10" t="s">
        <v>166</v>
      </c>
      <c r="F188" s="10" t="str">
        <f>IFERROR(VLOOKUP(VENTAS[[#This Row],[Código del producto Vendido]],STOCK[],5,FALSE),"-")</f>
        <v>Vestido de manga farol con cordón delantero</v>
      </c>
      <c r="G188" s="10">
        <v>1</v>
      </c>
      <c r="H188" s="12">
        <v>25</v>
      </c>
      <c r="I188" s="12">
        <f>VENTAS[[#This Row],[Cantidad]]*VENTAS[[#This Row],[Precio Venta]]</f>
        <v>25</v>
      </c>
      <c r="J188" s="12">
        <f>IF(VENTAS[[#This Row],[Nombre del Gestor]]&gt;1,VENTAS[[#This Row],[Total]]*10%,0)</f>
        <v>0</v>
      </c>
      <c r="K188" s="12">
        <f>IFERROR(VLOOKUP(VENTAS[[#This Row],[Código del producto Vendido]],STOCK[],16,FALSE)*VENTAS[[#This Row],[Cantidad]]+VLOOKUP(VENTAS[[#This Row],[Código del producto Vendido]],STOCK[],19,FALSE)*VENTAS[[#This Row],[Cantidad]],VENTAS[[#This Row],[Total]])</f>
        <v>17.322222222222202</v>
      </c>
      <c r="L188" s="12">
        <f>VENTAS[[#This Row],[Total]]-VENTAS[[#This Row],[Comisión 10%]]-VENTAS[[#This Row],[Costo SIN Comision]]</f>
        <v>7.6777777777777985</v>
      </c>
      <c r="M188" s="12"/>
      <c r="N188" s="16"/>
    </row>
    <row r="189" spans="1:14" ht="20" hidden="1" customHeight="1">
      <c r="A189" s="9">
        <v>45068</v>
      </c>
      <c r="B189" s="10"/>
      <c r="C189" s="10" t="s">
        <v>4211</v>
      </c>
      <c r="D189" s="10"/>
      <c r="E189" s="10" t="s">
        <v>243</v>
      </c>
      <c r="F189" s="10" t="str">
        <f>IFERROR(VLOOKUP(VENTAS[[#This Row],[Código del producto Vendido]],STOCK[],5,FALSE),"-")</f>
        <v>Vestido de cuello cuadrado de espalda abierta</v>
      </c>
      <c r="G189" s="10">
        <v>1</v>
      </c>
      <c r="H189" s="12">
        <v>20</v>
      </c>
      <c r="I189" s="12">
        <f>VENTAS[[#This Row],[Cantidad]]*VENTAS[[#This Row],[Precio Venta]]</f>
        <v>20</v>
      </c>
      <c r="J189" s="12">
        <f>IF(VENTAS[[#This Row],[Nombre del Gestor]]&gt;1,VENTAS[[#This Row],[Total]]*10%,0)</f>
        <v>0</v>
      </c>
      <c r="K189" s="12">
        <f>IFERROR(VLOOKUP(VENTAS[[#This Row],[Código del producto Vendido]],STOCK[],16,FALSE)*VENTAS[[#This Row],[Cantidad]]+VLOOKUP(VENTAS[[#This Row],[Código del producto Vendido]],STOCK[],19,FALSE)*VENTAS[[#This Row],[Cantidad]],VENTAS[[#This Row],[Total]])</f>
        <v>11.7955555555556</v>
      </c>
      <c r="L189" s="12">
        <f>VENTAS[[#This Row],[Total]]-VENTAS[[#This Row],[Comisión 10%]]-VENTAS[[#This Row],[Costo SIN Comision]]</f>
        <v>8.2044444444444</v>
      </c>
      <c r="M189" s="12"/>
      <c r="N189" s="16"/>
    </row>
    <row r="190" spans="1:14" ht="20" hidden="1" customHeight="1">
      <c r="A190" s="9">
        <v>45068</v>
      </c>
      <c r="B190" s="10"/>
      <c r="C190" s="10" t="s">
        <v>4192</v>
      </c>
      <c r="D190" s="10"/>
      <c r="E190" s="10" t="s">
        <v>200</v>
      </c>
      <c r="F190" s="10" t="str">
        <f>IFERROR(VLOOKUP(VENTAS[[#This Row],[Código del producto Vendido]],STOCK[],5,FALSE),"-")</f>
        <v>Vestido ajustado de tirantes</v>
      </c>
      <c r="G190" s="10">
        <v>1</v>
      </c>
      <c r="H190" s="12">
        <v>18</v>
      </c>
      <c r="I190" s="12">
        <f>VENTAS[[#This Row],[Cantidad]]*VENTAS[[#This Row],[Precio Venta]]</f>
        <v>18</v>
      </c>
      <c r="J190" s="12">
        <f>IF(VENTAS[[#This Row],[Nombre del Gestor]]&gt;1,VENTAS[[#This Row],[Total]]*10%,0)</f>
        <v>0</v>
      </c>
      <c r="K190" s="12">
        <f>IFERROR(VLOOKUP(VENTAS[[#This Row],[Código del producto Vendido]],STOCK[],16,FALSE)*VENTAS[[#This Row],[Cantidad]]+VLOOKUP(VENTAS[[#This Row],[Código del producto Vendido]],STOCK[],19,FALSE)*VENTAS[[#This Row],[Cantidad]],VENTAS[[#This Row],[Total]])</f>
        <v>7.7066666666666697</v>
      </c>
      <c r="L190" s="12">
        <f>VENTAS[[#This Row],[Total]]-VENTAS[[#This Row],[Comisión 10%]]-VENTAS[[#This Row],[Costo SIN Comision]]</f>
        <v>10.293333333333329</v>
      </c>
      <c r="M190" s="12"/>
      <c r="N190" s="16"/>
    </row>
    <row r="191" spans="1:14" ht="20" hidden="1" customHeight="1">
      <c r="A191" s="9">
        <v>45059</v>
      </c>
      <c r="B191" s="10"/>
      <c r="C191" s="10" t="s">
        <v>4212</v>
      </c>
      <c r="D191" s="10"/>
      <c r="E191" s="10" t="s">
        <v>642</v>
      </c>
      <c r="F191" s="10" t="str">
        <f>IFERROR(VLOOKUP(VENTAS[[#This Row],[Código del producto Vendido]],STOCK[],5,FALSE),"-")</f>
        <v>Vestido con estampado floral</v>
      </c>
      <c r="G191" s="10">
        <v>1</v>
      </c>
      <c r="H191" s="12">
        <v>15</v>
      </c>
      <c r="I191" s="12">
        <f>VENTAS[[#This Row],[Cantidad]]*VENTAS[[#This Row],[Precio Venta]]</f>
        <v>15</v>
      </c>
      <c r="J191" s="12">
        <f>IF(VENTAS[[#This Row],[Nombre del Gestor]]&gt;1,VENTAS[[#This Row],[Total]]*10%,0)</f>
        <v>0</v>
      </c>
      <c r="K191" s="12">
        <f>IFERROR(VLOOKUP(VENTAS[[#This Row],[Código del producto Vendido]],STOCK[],16,FALSE)*VENTAS[[#This Row],[Cantidad]]+VLOOKUP(VENTAS[[#This Row],[Código del producto Vendido]],STOCK[],19,FALSE)*VENTAS[[#This Row],[Cantidad]],VENTAS[[#This Row],[Total]])</f>
        <v>10.72222222222222</v>
      </c>
      <c r="L191" s="12">
        <f>VENTAS[[#This Row],[Total]]-VENTAS[[#This Row],[Comisión 10%]]-VENTAS[[#This Row],[Costo SIN Comision]]</f>
        <v>4.2777777777777803</v>
      </c>
      <c r="M191" s="12"/>
      <c r="N191" s="16"/>
    </row>
    <row r="192" spans="1:14" ht="20" hidden="1" customHeight="1">
      <c r="A192" s="9">
        <v>45059</v>
      </c>
      <c r="B192" s="10"/>
      <c r="C192" s="10" t="s">
        <v>4212</v>
      </c>
      <c r="D192" s="10"/>
      <c r="E192" s="10" t="s">
        <v>635</v>
      </c>
      <c r="F192" s="10" t="str">
        <f>IFERROR(VLOOKUP(VENTAS[[#This Row],[Código del producto Vendido]],STOCK[],5,FALSE),"-")</f>
        <v>Vestido floral escote corazón</v>
      </c>
      <c r="G192" s="10">
        <v>1</v>
      </c>
      <c r="H192" s="12">
        <v>15</v>
      </c>
      <c r="I192" s="12">
        <f>VENTAS[[#This Row],[Cantidad]]*VENTAS[[#This Row],[Precio Venta]]</f>
        <v>15</v>
      </c>
      <c r="J192" s="12">
        <f>IF(VENTAS[[#This Row],[Nombre del Gestor]]&gt;1,VENTAS[[#This Row],[Total]]*10%,0)</f>
        <v>0</v>
      </c>
      <c r="K192" s="12">
        <f>IFERROR(VLOOKUP(VENTAS[[#This Row],[Código del producto Vendido]],STOCK[],16,FALSE)*VENTAS[[#This Row],[Cantidad]]+VLOOKUP(VENTAS[[#This Row],[Código del producto Vendido]],STOCK[],19,FALSE)*VENTAS[[#This Row],[Cantidad]],VENTAS[[#This Row],[Total]])</f>
        <v>10.72222222222222</v>
      </c>
      <c r="L192" s="12">
        <f>VENTAS[[#This Row],[Total]]-VENTAS[[#This Row],[Comisión 10%]]-VENTAS[[#This Row],[Costo SIN Comision]]</f>
        <v>4.2777777777777803</v>
      </c>
      <c r="M192" s="12"/>
      <c r="N192" s="16"/>
    </row>
    <row r="193" spans="1:14" ht="20" hidden="1" customHeight="1">
      <c r="A193" s="9"/>
      <c r="B193" s="10"/>
      <c r="C193" s="10" t="s">
        <v>4213</v>
      </c>
      <c r="D193" s="10"/>
      <c r="E193" s="10" t="s">
        <v>909</v>
      </c>
      <c r="F193" s="10" t="str">
        <f>IFERROR(VLOOKUP(VENTAS[[#This Row],[Código del producto Vendido]],STOCK[],5,FALSE),"-")</f>
        <v>Bañador Surf</v>
      </c>
      <c r="G193" s="10">
        <v>1</v>
      </c>
      <c r="H193" s="12">
        <v>25</v>
      </c>
      <c r="I193" s="12">
        <f>VENTAS[[#This Row],[Cantidad]]*VENTAS[[#This Row],[Precio Venta]]</f>
        <v>25</v>
      </c>
      <c r="J193" s="12">
        <f>IF(VENTAS[[#This Row],[Nombre del Gestor]]&gt;1,VENTAS[[#This Row],[Total]]*10%,0)</f>
        <v>0</v>
      </c>
      <c r="K193" s="12">
        <f>IFERROR(VLOOKUP(VENTAS[[#This Row],[Código del producto Vendido]],STOCK[],16,FALSE)*VENTAS[[#This Row],[Cantidad]]+VLOOKUP(VENTAS[[#This Row],[Código del producto Vendido]],STOCK[],19,FALSE)*VENTAS[[#This Row],[Cantidad]],VENTAS[[#This Row],[Total]])</f>
        <v>15.045454545454501</v>
      </c>
      <c r="L193" s="12">
        <f>VENTAS[[#This Row],[Total]]-VENTAS[[#This Row],[Comisión 10%]]-VENTAS[[#This Row],[Costo SIN Comision]]</f>
        <v>9.9545454545454994</v>
      </c>
      <c r="M193" s="12"/>
      <c r="N193" s="16"/>
    </row>
    <row r="194" spans="1:14" ht="20" hidden="1" customHeight="1">
      <c r="A194" s="9"/>
      <c r="B194" s="10" t="s">
        <v>4214</v>
      </c>
      <c r="C194" s="23" t="s">
        <v>4215</v>
      </c>
      <c r="D194" s="23"/>
      <c r="E194" s="10" t="s">
        <v>924</v>
      </c>
      <c r="F194" s="10" t="str">
        <f>IFERROR(VLOOKUP(VENTAS[[#This Row],[Código del producto Vendido]],STOCK[],5,FALSE),"-")</f>
        <v>Pantaloneta Roja</v>
      </c>
      <c r="G194" s="10">
        <v>1</v>
      </c>
      <c r="H194" s="12">
        <v>15</v>
      </c>
      <c r="I194" s="12">
        <f>VENTAS[[#This Row],[Cantidad]]*VENTAS[[#This Row],[Precio Venta]]</f>
        <v>15</v>
      </c>
      <c r="J194" s="12">
        <f>IF(VENTAS[[#This Row],[Nombre del Gestor]]&gt;1,VENTAS[[#This Row],[Total]]*10%,0)</f>
        <v>0</v>
      </c>
      <c r="K194" s="12">
        <f>IFERROR(VLOOKUP(VENTAS[[#This Row],[Código del producto Vendido]],STOCK[],16,FALSE)*VENTAS[[#This Row],[Cantidad]]+VLOOKUP(VENTAS[[#This Row],[Código del producto Vendido]],STOCK[],19,FALSE)*VENTAS[[#This Row],[Cantidad]],VENTAS[[#This Row],[Total]])</f>
        <v>11.609545454545449</v>
      </c>
      <c r="L194" s="12">
        <f>VENTAS[[#This Row],[Total]]-VENTAS[[#This Row],[Comisión 10%]]-VENTAS[[#This Row],[Costo SIN Comision]]</f>
        <v>3.3904545454545509</v>
      </c>
      <c r="M194" s="12"/>
      <c r="N194" s="16"/>
    </row>
    <row r="195" spans="1:14" ht="20" hidden="1" customHeight="1">
      <c r="A195" s="9">
        <v>45059</v>
      </c>
      <c r="B195" s="10"/>
      <c r="C195" s="10"/>
      <c r="D195" s="10"/>
      <c r="E195" s="10" t="s">
        <v>1042</v>
      </c>
      <c r="F195" s="10" t="str">
        <f>IFERROR(VLOOKUP(VENTAS[[#This Row],[Código del producto Vendido]],STOCK[],5,FALSE),"-")</f>
        <v>Jeans Elastizados Pierna Ancha</v>
      </c>
      <c r="G195" s="10">
        <v>1</v>
      </c>
      <c r="H195" s="12">
        <v>35</v>
      </c>
      <c r="I195" s="12">
        <f>VENTAS[[#This Row],[Cantidad]]*VENTAS[[#This Row],[Precio Venta]]</f>
        <v>35</v>
      </c>
      <c r="J195" s="12">
        <f>IF(VENTAS[[#This Row],[Nombre del Gestor]]&gt;1,VENTAS[[#This Row],[Total]]*10%,0)</f>
        <v>0</v>
      </c>
      <c r="K195" s="12">
        <f>IFERROR(VLOOKUP(VENTAS[[#This Row],[Código del producto Vendido]],STOCK[],16,FALSE)*VENTAS[[#This Row],[Cantidad]]+VLOOKUP(VENTAS[[#This Row],[Código del producto Vendido]],STOCK[],19,FALSE)*VENTAS[[#This Row],[Cantidad]],VENTAS[[#This Row],[Total]])</f>
        <v>27.522727272727298</v>
      </c>
      <c r="L195" s="12">
        <f>VENTAS[[#This Row],[Total]]-VENTAS[[#This Row],[Comisión 10%]]-VENTAS[[#This Row],[Costo SIN Comision]]</f>
        <v>7.4772727272727018</v>
      </c>
      <c r="M195" s="12"/>
      <c r="N195" s="16"/>
    </row>
    <row r="196" spans="1:14" ht="20" hidden="1" customHeight="1">
      <c r="A196" s="9">
        <v>45070</v>
      </c>
      <c r="B196" s="10"/>
      <c r="C196" s="10"/>
      <c r="D196" s="10"/>
      <c r="E196" s="10" t="s">
        <v>437</v>
      </c>
      <c r="F196" s="10" t="str">
        <f>IFERROR(VLOOKUP(VENTAS[[#This Row],[Código del producto Vendido]],STOCK[],5,FALSE),"-")</f>
        <v>Bañador bikini floral</v>
      </c>
      <c r="G196" s="10">
        <v>1</v>
      </c>
      <c r="H196" s="12">
        <v>25</v>
      </c>
      <c r="I196" s="12">
        <f>VENTAS[[#This Row],[Cantidad]]*VENTAS[[#This Row],[Precio Venta]]</f>
        <v>25</v>
      </c>
      <c r="J196" s="12">
        <f>IF(VENTAS[[#This Row],[Nombre del Gestor]]&gt;1,VENTAS[[#This Row],[Total]]*10%,0)</f>
        <v>0</v>
      </c>
      <c r="K196" s="12">
        <f>IFERROR(VLOOKUP(VENTAS[[#This Row],[Código del producto Vendido]],STOCK[],16,FALSE)*VENTAS[[#This Row],[Cantidad]]+VLOOKUP(VENTAS[[#This Row],[Código del producto Vendido]],STOCK[],19,FALSE)*VENTAS[[#This Row],[Cantidad]],VENTAS[[#This Row],[Total]])</f>
        <v>16.6044444444444</v>
      </c>
      <c r="L196" s="12">
        <f>VENTAS[[#This Row],[Total]]-VENTAS[[#This Row],[Comisión 10%]]-VENTAS[[#This Row],[Costo SIN Comision]]</f>
        <v>8.3955555555555996</v>
      </c>
      <c r="M196" s="12"/>
      <c r="N196" s="16"/>
    </row>
    <row r="197" spans="1:14" ht="20" hidden="1" customHeight="1">
      <c r="A197" s="9">
        <v>45070</v>
      </c>
      <c r="B197" s="10"/>
      <c r="C197" s="10"/>
      <c r="D197" s="10"/>
      <c r="E197" s="10" t="s">
        <v>430</v>
      </c>
      <c r="F197" s="10" t="str">
        <f>IFERROR(VLOOKUP(VENTAS[[#This Row],[Código del producto Vendido]],STOCK[],5,FALSE),"-")</f>
        <v>Vestido con cordón de espalda cruzada</v>
      </c>
      <c r="G197" s="10">
        <v>1</v>
      </c>
      <c r="H197" s="12">
        <v>28</v>
      </c>
      <c r="I197" s="12">
        <f>VENTAS[[#This Row],[Cantidad]]*VENTAS[[#This Row],[Precio Venta]]</f>
        <v>28</v>
      </c>
      <c r="J197" s="12">
        <f>IF(VENTAS[[#This Row],[Nombre del Gestor]]&gt;1,VENTAS[[#This Row],[Total]]*10%,0)</f>
        <v>0</v>
      </c>
      <c r="K197" s="12">
        <f>IFERROR(VLOOKUP(VENTAS[[#This Row],[Código del producto Vendido]],STOCK[],16,FALSE)*VENTAS[[#This Row],[Cantidad]]+VLOOKUP(VENTAS[[#This Row],[Código del producto Vendido]],STOCK[],19,FALSE)*VENTAS[[#This Row],[Cantidad]],VENTAS[[#This Row],[Total]])</f>
        <v>15.907777777777801</v>
      </c>
      <c r="L197" s="12">
        <f>VENTAS[[#This Row],[Total]]-VENTAS[[#This Row],[Comisión 10%]]-VENTAS[[#This Row],[Costo SIN Comision]]</f>
        <v>12.092222222222199</v>
      </c>
      <c r="M197" s="12"/>
      <c r="N197" s="16"/>
    </row>
    <row r="198" spans="1:14" ht="20" hidden="1" customHeight="1">
      <c r="A198" s="9">
        <v>45071</v>
      </c>
      <c r="B198" s="10"/>
      <c r="C198" s="10" t="s">
        <v>4216</v>
      </c>
      <c r="D198" s="10"/>
      <c r="E198" s="10" t="s">
        <v>1065</v>
      </c>
      <c r="F198" s="10" t="str">
        <f>IFERROR(VLOOKUP(VENTAS[[#This Row],[Código del producto Vendido]],STOCK[],5,FALSE),"-")</f>
        <v>Pantalones ajustados con cadena</v>
      </c>
      <c r="G198" s="10">
        <v>2</v>
      </c>
      <c r="H198" s="12">
        <v>18</v>
      </c>
      <c r="I198" s="12">
        <f>VENTAS[[#This Row],[Cantidad]]*VENTAS[[#This Row],[Precio Venta]]</f>
        <v>36</v>
      </c>
      <c r="J198" s="12">
        <f>IF(VENTAS[[#This Row],[Nombre del Gestor]]&gt;1,VENTAS[[#This Row],[Total]]*10%,0)</f>
        <v>0</v>
      </c>
      <c r="K198" s="12">
        <f>IFERROR(VLOOKUP(VENTAS[[#This Row],[Código del producto Vendido]],STOCK[],16,FALSE)*VENTAS[[#This Row],[Cantidad]]+VLOOKUP(VENTAS[[#This Row],[Código del producto Vendido]],STOCK[],19,FALSE)*VENTAS[[#This Row],[Cantidad]],VENTAS[[#This Row],[Total]])</f>
        <v>27.286764705882359</v>
      </c>
      <c r="L198" s="12">
        <f>VENTAS[[#This Row],[Total]]-VENTAS[[#This Row],[Comisión 10%]]-VENTAS[[#This Row],[Costo SIN Comision]]</f>
        <v>8.7132352941176414</v>
      </c>
      <c r="M198" s="12"/>
      <c r="N198" s="16"/>
    </row>
    <row r="199" spans="1:14" ht="20" hidden="1" customHeight="1">
      <c r="A199" s="9">
        <v>45071</v>
      </c>
      <c r="B199" s="10"/>
      <c r="C199" s="10" t="s">
        <v>4216</v>
      </c>
      <c r="D199" s="10"/>
      <c r="E199" s="10" t="s">
        <v>1067</v>
      </c>
      <c r="F199" s="10" t="str">
        <f>IFERROR(VLOOKUP(VENTAS[[#This Row],[Código del producto Vendido]],STOCK[],5,FALSE),"-")</f>
        <v>Pantalones ajustados con cadena</v>
      </c>
      <c r="G199" s="10">
        <v>2</v>
      </c>
      <c r="H199" s="12">
        <v>18</v>
      </c>
      <c r="I199" s="12">
        <f>VENTAS[[#This Row],[Cantidad]]*VENTAS[[#This Row],[Precio Venta]]</f>
        <v>36</v>
      </c>
      <c r="J199" s="12">
        <f>IF(VENTAS[[#This Row],[Nombre del Gestor]]&gt;1,VENTAS[[#This Row],[Total]]*10%,0)</f>
        <v>0</v>
      </c>
      <c r="K199" s="12">
        <f>IFERROR(VLOOKUP(VENTAS[[#This Row],[Código del producto Vendido]],STOCK[],16,FALSE)*VENTAS[[#This Row],[Cantidad]]+VLOOKUP(VENTAS[[#This Row],[Código del producto Vendido]],STOCK[],19,FALSE)*VENTAS[[#This Row],[Cantidad]],VENTAS[[#This Row],[Total]])</f>
        <v>27.286764705882359</v>
      </c>
      <c r="L199" s="12">
        <f>VENTAS[[#This Row],[Total]]-VENTAS[[#This Row],[Comisión 10%]]-VENTAS[[#This Row],[Costo SIN Comision]]</f>
        <v>8.7132352941176414</v>
      </c>
      <c r="M199" s="12"/>
      <c r="N199" s="16"/>
    </row>
    <row r="200" spans="1:14" ht="20" hidden="1" customHeight="1">
      <c r="A200" s="9">
        <v>45071</v>
      </c>
      <c r="B200" s="10"/>
      <c r="C200" s="10" t="s">
        <v>4216</v>
      </c>
      <c r="D200" s="10"/>
      <c r="E200" s="10" t="s">
        <v>1068</v>
      </c>
      <c r="F200" s="10" t="str">
        <f>IFERROR(VLOOKUP(VENTAS[[#This Row],[Código del producto Vendido]],STOCK[],5,FALSE),"-")</f>
        <v>Blusa camisa colores</v>
      </c>
      <c r="G200" s="10">
        <v>2</v>
      </c>
      <c r="H200" s="12">
        <v>16</v>
      </c>
      <c r="I200" s="12">
        <f>VENTAS[[#This Row],[Cantidad]]*VENTAS[[#This Row],[Precio Venta]]</f>
        <v>32</v>
      </c>
      <c r="J200" s="12">
        <f>IF(VENTAS[[#This Row],[Nombre del Gestor]]&gt;1,VENTAS[[#This Row],[Total]]*10%,0)</f>
        <v>0</v>
      </c>
      <c r="K200" s="12">
        <f>IFERROR(VLOOKUP(VENTAS[[#This Row],[Código del producto Vendido]],STOCK[],16,FALSE)*VENTAS[[#This Row],[Cantidad]]+VLOOKUP(VENTAS[[#This Row],[Código del producto Vendido]],STOCK[],19,FALSE)*VENTAS[[#This Row],[Cantidad]],VENTAS[[#This Row],[Total]])</f>
        <v>25.017647058823599</v>
      </c>
      <c r="L200" s="12">
        <f>VENTAS[[#This Row],[Total]]-VENTAS[[#This Row],[Comisión 10%]]-VENTAS[[#This Row],[Costo SIN Comision]]</f>
        <v>6.9823529411764014</v>
      </c>
      <c r="M200" s="12"/>
      <c r="N200" s="16"/>
    </row>
    <row r="201" spans="1:14" ht="20" hidden="1" customHeight="1">
      <c r="A201" s="9">
        <v>45071</v>
      </c>
      <c r="B201" s="10"/>
      <c r="C201" s="10" t="s">
        <v>4216</v>
      </c>
      <c r="D201" s="10"/>
      <c r="E201" s="10" t="s">
        <v>1070</v>
      </c>
      <c r="F201" s="10" t="str">
        <f>IFERROR(VLOOKUP(VENTAS[[#This Row],[Código del producto Vendido]],STOCK[],5,FALSE),"-")</f>
        <v>Blusa camisa colores</v>
      </c>
      <c r="G201" s="10">
        <v>2</v>
      </c>
      <c r="H201" s="12">
        <v>16</v>
      </c>
      <c r="I201" s="12">
        <f>VENTAS[[#This Row],[Cantidad]]*VENTAS[[#This Row],[Precio Venta]]</f>
        <v>32</v>
      </c>
      <c r="J201" s="12">
        <f>IF(VENTAS[[#This Row],[Nombre del Gestor]]&gt;1,VENTAS[[#This Row],[Total]]*10%,0)</f>
        <v>0</v>
      </c>
      <c r="K201" s="12">
        <f>IFERROR(VLOOKUP(VENTAS[[#This Row],[Código del producto Vendido]],STOCK[],16,FALSE)*VENTAS[[#This Row],[Cantidad]]+VLOOKUP(VENTAS[[#This Row],[Código del producto Vendido]],STOCK[],19,FALSE)*VENTAS[[#This Row],[Cantidad]],VENTAS[[#This Row],[Total]])</f>
        <v>25.017647058823599</v>
      </c>
      <c r="L201" s="12">
        <f>VENTAS[[#This Row],[Total]]-VENTAS[[#This Row],[Comisión 10%]]-VENTAS[[#This Row],[Costo SIN Comision]]</f>
        <v>6.9823529411764014</v>
      </c>
      <c r="M201" s="12"/>
      <c r="N201" s="16"/>
    </row>
    <row r="202" spans="1:14" ht="20" hidden="1" customHeight="1">
      <c r="A202" s="9">
        <v>45071</v>
      </c>
      <c r="B202" s="10"/>
      <c r="C202" s="10" t="s">
        <v>4213</v>
      </c>
      <c r="D202" s="10"/>
      <c r="E202" s="10" t="s">
        <v>1071</v>
      </c>
      <c r="F202" s="10" t="str">
        <f>IFERROR(VLOOKUP(VENTAS[[#This Row],[Código del producto Vendido]],STOCK[],5,FALSE),"-")</f>
        <v>Trusa Leopardo</v>
      </c>
      <c r="G202" s="10">
        <v>1</v>
      </c>
      <c r="H202" s="12">
        <v>25</v>
      </c>
      <c r="I202" s="12">
        <f>VENTAS[[#This Row],[Cantidad]]*VENTAS[[#This Row],[Precio Venta]]</f>
        <v>25</v>
      </c>
      <c r="J202" s="12">
        <f>IF(VENTAS[[#This Row],[Nombre del Gestor]]&gt;1,VENTAS[[#This Row],[Total]]*10%,0)</f>
        <v>0</v>
      </c>
      <c r="K202" s="12">
        <f>IFERROR(VLOOKUP(VENTAS[[#This Row],[Código del producto Vendido]],STOCK[],16,FALSE)*VENTAS[[#This Row],[Cantidad]]+VLOOKUP(VENTAS[[#This Row],[Código del producto Vendido]],STOCK[],19,FALSE)*VENTAS[[#This Row],[Cantidad]],VENTAS[[#This Row],[Total]])</f>
        <v>20.138235294117599</v>
      </c>
      <c r="L202" s="12">
        <f>VENTAS[[#This Row],[Total]]-VENTAS[[#This Row],[Comisión 10%]]-VENTAS[[#This Row],[Costo SIN Comision]]</f>
        <v>4.8617647058824005</v>
      </c>
      <c r="M202" s="12"/>
      <c r="N202" s="16"/>
    </row>
    <row r="203" spans="1:14" ht="20" hidden="1" customHeight="1">
      <c r="A203" s="9">
        <v>45071</v>
      </c>
      <c r="B203" s="10"/>
      <c r="C203" s="10" t="s">
        <v>4217</v>
      </c>
      <c r="D203" s="10"/>
      <c r="E203" s="10" t="s">
        <v>1079</v>
      </c>
      <c r="F203" s="10" t="str">
        <f>IFERROR(VLOOKUP(VENTAS[[#This Row],[Código del producto Vendido]],STOCK[],5,FALSE),"-")</f>
        <v>Vestido floreado a un hombro</v>
      </c>
      <c r="G203" s="10">
        <v>1</v>
      </c>
      <c r="H203" s="12">
        <v>35</v>
      </c>
      <c r="I203" s="12">
        <f>VENTAS[[#This Row],[Cantidad]]*VENTAS[[#This Row],[Precio Venta]]</f>
        <v>35</v>
      </c>
      <c r="J203" s="12">
        <f>IF(VENTAS[[#This Row],[Nombre del Gestor]]&gt;1,VENTAS[[#This Row],[Total]]*10%,0)</f>
        <v>0</v>
      </c>
      <c r="K203" s="12">
        <f>IFERROR(VLOOKUP(VENTAS[[#This Row],[Código del producto Vendido]],STOCK[],16,FALSE)*VENTAS[[#This Row],[Cantidad]]+VLOOKUP(VENTAS[[#This Row],[Código del producto Vendido]],STOCK[],19,FALSE)*VENTAS[[#This Row],[Cantidad]],VENTAS[[#This Row],[Total]])</f>
        <v>22.388970588235303</v>
      </c>
      <c r="L203" s="12">
        <f>VENTAS[[#This Row],[Total]]-VENTAS[[#This Row],[Comisión 10%]]-VENTAS[[#This Row],[Costo SIN Comision]]</f>
        <v>12.611029411764697</v>
      </c>
      <c r="M203" s="12"/>
      <c r="N203" s="16"/>
    </row>
    <row r="204" spans="1:14" ht="20" hidden="1" customHeight="1">
      <c r="A204" s="9">
        <v>45071</v>
      </c>
      <c r="B204" s="10"/>
      <c r="C204" s="10" t="s">
        <v>4218</v>
      </c>
      <c r="D204" s="10"/>
      <c r="E204" s="10" t="s">
        <v>1073</v>
      </c>
      <c r="F204" s="10" t="str">
        <f>IFERROR(VLOOKUP(VENTAS[[#This Row],[Código del producto Vendido]],STOCK[],5,FALSE),"-")</f>
        <v>Malla paredo set 2 piezas</v>
      </c>
      <c r="G204" s="10">
        <v>1</v>
      </c>
      <c r="H204" s="12">
        <v>22</v>
      </c>
      <c r="I204" s="12">
        <f>VENTAS[[#This Row],[Cantidad]]*VENTAS[[#This Row],[Precio Venta]]</f>
        <v>22</v>
      </c>
      <c r="J204" s="12">
        <f>IF(VENTAS[[#This Row],[Nombre del Gestor]]&gt;1,VENTAS[[#This Row],[Total]]*10%,0)</f>
        <v>0</v>
      </c>
      <c r="K204" s="12">
        <f>IFERROR(VLOOKUP(VENTAS[[#This Row],[Código del producto Vendido]],STOCK[],16,FALSE)*VENTAS[[#This Row],[Cantidad]]+VLOOKUP(VENTAS[[#This Row],[Código del producto Vendido]],STOCK[],19,FALSE)*VENTAS[[#This Row],[Cantidad]],VENTAS[[#This Row],[Total]])</f>
        <v>13.6823529411765</v>
      </c>
      <c r="L204" s="12">
        <f>VENTAS[[#This Row],[Total]]-VENTAS[[#This Row],[Comisión 10%]]-VENTAS[[#This Row],[Costo SIN Comision]]</f>
        <v>8.3176470588234999</v>
      </c>
      <c r="M204" s="12"/>
      <c r="N204" s="16"/>
    </row>
    <row r="205" spans="1:14" ht="20" hidden="1" customHeight="1">
      <c r="A205" s="9">
        <v>45071</v>
      </c>
      <c r="B205" s="10"/>
      <c r="C205" s="10" t="s">
        <v>4219</v>
      </c>
      <c r="D205" s="10"/>
      <c r="E205" s="10" t="s">
        <v>1076</v>
      </c>
      <c r="F205" s="10" t="str">
        <f>IFERROR(VLOOKUP(VENTAS[[#This Row],[Código del producto Vendido]],STOCK[],5,FALSE),"-")</f>
        <v>Traje de baño niña</v>
      </c>
      <c r="G205" s="10">
        <v>1</v>
      </c>
      <c r="H205" s="12">
        <v>25</v>
      </c>
      <c r="I205" s="12">
        <f>VENTAS[[#This Row],[Cantidad]]*VENTAS[[#This Row],[Precio Venta]]</f>
        <v>25</v>
      </c>
      <c r="J205" s="12">
        <f>IF(VENTAS[[#This Row],[Nombre del Gestor]]&gt;1,VENTAS[[#This Row],[Total]]*10%,0)</f>
        <v>0</v>
      </c>
      <c r="K205" s="12">
        <f>IFERROR(VLOOKUP(VENTAS[[#This Row],[Código del producto Vendido]],STOCK[],16,FALSE)*VENTAS[[#This Row],[Cantidad]]+VLOOKUP(VENTAS[[#This Row],[Código del producto Vendido]],STOCK[],19,FALSE)*VENTAS[[#This Row],[Cantidad]],VENTAS[[#This Row],[Total]])</f>
        <v>22.050735294117601</v>
      </c>
      <c r="L205" s="12">
        <f>VENTAS[[#This Row],[Total]]-VENTAS[[#This Row],[Comisión 10%]]-VENTAS[[#This Row],[Costo SIN Comision]]</f>
        <v>2.9492647058823991</v>
      </c>
      <c r="M205" s="12"/>
      <c r="N205" s="16"/>
    </row>
    <row r="206" spans="1:14" ht="20" hidden="1" customHeight="1">
      <c r="A206" s="9">
        <v>45071</v>
      </c>
      <c r="B206" s="10"/>
      <c r="C206" s="10" t="s">
        <v>4218</v>
      </c>
      <c r="D206" s="10"/>
      <c r="E206" s="10" t="s">
        <v>287</v>
      </c>
      <c r="F206" s="10" t="str">
        <f>IFERROR(VLOOKUP(VENTAS[[#This Row],[Código del producto Vendido]],STOCK[],5,FALSE),"-")</f>
        <v>Conjunto de cuello profundo con girante delantero con falda</v>
      </c>
      <c r="G206" s="10">
        <v>1</v>
      </c>
      <c r="H206" s="12">
        <v>25</v>
      </c>
      <c r="I206" s="12">
        <f>VENTAS[[#This Row],[Cantidad]]*VENTAS[[#This Row],[Precio Venta]]</f>
        <v>25</v>
      </c>
      <c r="J206" s="12">
        <f>IF(VENTAS[[#This Row],[Nombre del Gestor]]&gt;1,VENTAS[[#This Row],[Total]]*10%,0)</f>
        <v>0</v>
      </c>
      <c r="K206" s="12">
        <f>IFERROR(VLOOKUP(VENTAS[[#This Row],[Código del producto Vendido]],STOCK[],16,FALSE)*VENTAS[[#This Row],[Cantidad]]+VLOOKUP(VENTAS[[#This Row],[Código del producto Vendido]],STOCK[],19,FALSE)*VENTAS[[#This Row],[Cantidad]],VENTAS[[#This Row],[Total]])</f>
        <v>13.0733333333333</v>
      </c>
      <c r="L206" s="12">
        <f>VENTAS[[#This Row],[Total]]-VENTAS[[#This Row],[Comisión 10%]]-VENTAS[[#This Row],[Costo SIN Comision]]</f>
        <v>11.9266666666667</v>
      </c>
      <c r="M206" s="12"/>
      <c r="N206" s="16"/>
    </row>
    <row r="207" spans="1:14" ht="20" hidden="1" customHeight="1">
      <c r="A207" s="9">
        <v>45071</v>
      </c>
      <c r="B207" s="10"/>
      <c r="C207" s="10" t="s">
        <v>4218</v>
      </c>
      <c r="D207" s="10"/>
      <c r="E207" s="10" t="s">
        <v>70</v>
      </c>
      <c r="F207" s="10" t="str">
        <f>IFERROR(VLOOKUP(VENTAS[[#This Row],[Código del producto Vendido]],STOCK[],5,FALSE),"-")</f>
        <v>Bikini Elegante con Herrajes</v>
      </c>
      <c r="G207" s="10">
        <v>1</v>
      </c>
      <c r="H207" s="12">
        <v>18</v>
      </c>
      <c r="I207" s="12">
        <f>VENTAS[[#This Row],[Cantidad]]*VENTAS[[#This Row],[Precio Venta]]</f>
        <v>18</v>
      </c>
      <c r="J207" s="12">
        <f>IF(VENTAS[[#This Row],[Nombre del Gestor]]&gt;1,VENTAS[[#This Row],[Total]]*10%,0)</f>
        <v>0</v>
      </c>
      <c r="K207" s="12">
        <f>IFERROR(VLOOKUP(VENTAS[[#This Row],[Código del producto Vendido]],STOCK[],16,FALSE)*VENTAS[[#This Row],[Cantidad]]+VLOOKUP(VENTAS[[#This Row],[Código del producto Vendido]],STOCK[],19,FALSE)*VENTAS[[#This Row],[Cantidad]],VENTAS[[#This Row],[Total]])</f>
        <v>12.30833333333333</v>
      </c>
      <c r="L207" s="12">
        <f>VENTAS[[#This Row],[Total]]-VENTAS[[#This Row],[Comisión 10%]]-VENTAS[[#This Row],[Costo SIN Comision]]</f>
        <v>5.69166666666667</v>
      </c>
      <c r="M207" s="12"/>
      <c r="N207" s="16"/>
    </row>
    <row r="208" spans="1:14" ht="20" hidden="1" customHeight="1">
      <c r="A208" s="9">
        <v>45073</v>
      </c>
      <c r="B208" s="10"/>
      <c r="C208" s="10" t="s">
        <v>4217</v>
      </c>
      <c r="D208" s="10"/>
      <c r="E208" s="10" t="s">
        <v>171</v>
      </c>
      <c r="F208" s="10" t="str">
        <f>IFERROR(VLOOKUP(VENTAS[[#This Row],[Código del producto Vendido]],STOCK[],5,FALSE),"-")</f>
        <v>Vestido floral de cuello cuadrado</v>
      </c>
      <c r="G208" s="10">
        <v>1</v>
      </c>
      <c r="H208" s="12">
        <v>28</v>
      </c>
      <c r="I208" s="12">
        <f>VENTAS[[#This Row],[Cantidad]]*VENTAS[[#This Row],[Precio Venta]]</f>
        <v>28</v>
      </c>
      <c r="J208" s="12">
        <f>IF(VENTAS[[#This Row],[Nombre del Gestor]]&gt;1,VENTAS[[#This Row],[Total]]*10%,0)</f>
        <v>0</v>
      </c>
      <c r="K208" s="12">
        <f>IFERROR(VLOOKUP(VENTAS[[#This Row],[Código del producto Vendido]],STOCK[],16,FALSE)*VENTAS[[#This Row],[Cantidad]]+VLOOKUP(VENTAS[[#This Row],[Código del producto Vendido]],STOCK[],19,FALSE)*VENTAS[[#This Row],[Cantidad]],VENTAS[[#This Row],[Total]])</f>
        <v>17.600000000000001</v>
      </c>
      <c r="L208" s="12">
        <f>VENTAS[[#This Row],[Total]]-VENTAS[[#This Row],[Comisión 10%]]-VENTAS[[#This Row],[Costo SIN Comision]]</f>
        <v>10.399999999999999</v>
      </c>
      <c r="M208" s="12"/>
      <c r="N208" s="16"/>
    </row>
    <row r="209" spans="1:14" ht="20" hidden="1" customHeight="1">
      <c r="A209" s="9">
        <v>45075</v>
      </c>
      <c r="B209" s="10"/>
      <c r="C209" s="10" t="s">
        <v>4220</v>
      </c>
      <c r="D209" s="10"/>
      <c r="E209" s="10" t="s">
        <v>994</v>
      </c>
      <c r="F209" s="10" t="str">
        <f>IFERROR(VLOOKUP(VENTAS[[#This Row],[Código del producto Vendido]],STOCK[],5,FALSE),"-")</f>
        <v>Vestido Girasol</v>
      </c>
      <c r="G209" s="10">
        <v>1</v>
      </c>
      <c r="H209" s="12">
        <v>25</v>
      </c>
      <c r="I209" s="12">
        <f>VENTAS[[#This Row],[Cantidad]]*VENTAS[[#This Row],[Precio Venta]]</f>
        <v>25</v>
      </c>
      <c r="J209" s="12">
        <f>IF(VENTAS[[#This Row],[Nombre del Gestor]]&gt;1,VENTAS[[#This Row],[Total]]*10%,0)</f>
        <v>0</v>
      </c>
      <c r="K209" s="12">
        <f>IFERROR(VLOOKUP(VENTAS[[#This Row],[Código del producto Vendido]],STOCK[],16,FALSE)*VENTAS[[#This Row],[Cantidad]]+VLOOKUP(VENTAS[[#This Row],[Código del producto Vendido]],STOCK[],19,FALSE)*VENTAS[[#This Row],[Cantidad]],VENTAS[[#This Row],[Total]])</f>
        <v>14.304545454545449</v>
      </c>
      <c r="L209" s="12">
        <f>VENTAS[[#This Row],[Total]]-VENTAS[[#This Row],[Comisión 10%]]-VENTAS[[#This Row],[Costo SIN Comision]]</f>
        <v>10.695454545454551</v>
      </c>
      <c r="M209" s="12"/>
      <c r="N209" s="16"/>
    </row>
    <row r="210" spans="1:14" ht="20" hidden="1" customHeight="1">
      <c r="A210" s="9">
        <v>45075</v>
      </c>
      <c r="B210" s="10"/>
      <c r="C210" s="10" t="s">
        <v>4221</v>
      </c>
      <c r="D210" s="10"/>
      <c r="E210" s="10" t="s">
        <v>99</v>
      </c>
      <c r="F210" s="10" t="str">
        <f>IFERROR(VLOOKUP(VENTAS[[#This Row],[Código del producto Vendido]],STOCK[],5,FALSE),"-")</f>
        <v>Bañador estampado de planta</v>
      </c>
      <c r="G210" s="10">
        <v>1</v>
      </c>
      <c r="H210" s="12">
        <v>25</v>
      </c>
      <c r="I210" s="12">
        <f>VENTAS[[#This Row],[Cantidad]]*VENTAS[[#This Row],[Precio Venta]]</f>
        <v>25</v>
      </c>
      <c r="J210" s="12">
        <f>IF(VENTAS[[#This Row],[Nombre del Gestor]]&gt;1,VENTAS[[#This Row],[Total]]*10%,0)</f>
        <v>0</v>
      </c>
      <c r="K210" s="12">
        <f>IFERROR(VLOOKUP(VENTAS[[#This Row],[Código del producto Vendido]],STOCK[],16,FALSE)*VENTAS[[#This Row],[Cantidad]]+VLOOKUP(VENTAS[[#This Row],[Código del producto Vendido]],STOCK[],19,FALSE)*VENTAS[[#This Row],[Cantidad]],VENTAS[[#This Row],[Total]])</f>
        <v>15.9788888888889</v>
      </c>
      <c r="L210" s="12">
        <f>VENTAS[[#This Row],[Total]]-VENTAS[[#This Row],[Comisión 10%]]-VENTAS[[#This Row],[Costo SIN Comision]]</f>
        <v>9.0211111111111002</v>
      </c>
      <c r="M210" s="12"/>
      <c r="N210" s="16"/>
    </row>
    <row r="211" spans="1:14" ht="20" hidden="1" customHeight="1">
      <c r="A211" s="9">
        <v>45075</v>
      </c>
      <c r="B211" s="10"/>
      <c r="C211" s="10" t="s">
        <v>4222</v>
      </c>
      <c r="D211" s="10"/>
      <c r="E211" s="10" t="s">
        <v>231</v>
      </c>
      <c r="F211" s="10" t="str">
        <f>IFERROR(VLOOKUP(VENTAS[[#This Row],[Código del producto Vendido]],STOCK[],5,FALSE),"-")</f>
        <v>Vestido Esmeralda Fruncido</v>
      </c>
      <c r="G211" s="10">
        <v>1</v>
      </c>
      <c r="H211" s="12">
        <v>30</v>
      </c>
      <c r="I211" s="12">
        <f>VENTAS[[#This Row],[Cantidad]]*VENTAS[[#This Row],[Precio Venta]]</f>
        <v>30</v>
      </c>
      <c r="J211" s="12">
        <f>IF(VENTAS[[#This Row],[Nombre del Gestor]]&gt;1,VENTAS[[#This Row],[Total]]*10%,0)</f>
        <v>0</v>
      </c>
      <c r="K211" s="12">
        <f>IFERROR(VLOOKUP(VENTAS[[#This Row],[Código del producto Vendido]],STOCK[],16,FALSE)*VENTAS[[#This Row],[Cantidad]]+VLOOKUP(VENTAS[[#This Row],[Código del producto Vendido]],STOCK[],19,FALSE)*VENTAS[[#This Row],[Cantidad]],VENTAS[[#This Row],[Total]])</f>
        <v>18.48</v>
      </c>
      <c r="L211" s="12">
        <f>VENTAS[[#This Row],[Total]]-VENTAS[[#This Row],[Comisión 10%]]-VENTAS[[#This Row],[Costo SIN Comision]]</f>
        <v>11.52</v>
      </c>
      <c r="M211" s="12"/>
      <c r="N211" s="16"/>
    </row>
    <row r="212" spans="1:14" ht="20" hidden="1" customHeight="1">
      <c r="A212" s="9">
        <v>45073</v>
      </c>
      <c r="B212" s="10"/>
      <c r="C212" s="10" t="s">
        <v>4215</v>
      </c>
      <c r="D212" s="10"/>
      <c r="E212" s="10" t="s">
        <v>275</v>
      </c>
      <c r="F212" s="10" t="str">
        <f>IFERROR(VLOOKUP(VENTAS[[#This Row],[Código del producto Vendido]],STOCK[],5,FALSE),"-")</f>
        <v>Vestido camiseta bajo con abertura</v>
      </c>
      <c r="G212" s="10">
        <v>1</v>
      </c>
      <c r="H212" s="12">
        <v>22</v>
      </c>
      <c r="I212" s="12">
        <f>VENTAS[[#This Row],[Cantidad]]*VENTAS[[#This Row],[Precio Venta]]</f>
        <v>22</v>
      </c>
      <c r="J212" s="12">
        <f>IF(VENTAS[[#This Row],[Nombre del Gestor]]&gt;1,VENTAS[[#This Row],[Total]]*10%,0)</f>
        <v>0</v>
      </c>
      <c r="K212" s="12">
        <f>IFERROR(VLOOKUP(VENTAS[[#This Row],[Código del producto Vendido]],STOCK[],16,FALSE)*VENTAS[[#This Row],[Cantidad]]+VLOOKUP(VENTAS[[#This Row],[Código del producto Vendido]],STOCK[],19,FALSE)*VENTAS[[#This Row],[Cantidad]],VENTAS[[#This Row],[Total]])</f>
        <v>13.7888888888889</v>
      </c>
      <c r="L212" s="12">
        <f>VENTAS[[#This Row],[Total]]-VENTAS[[#This Row],[Comisión 10%]]-VENTAS[[#This Row],[Costo SIN Comision]]</f>
        <v>8.2111111111110997</v>
      </c>
      <c r="M212" s="12"/>
      <c r="N212" s="16"/>
    </row>
    <row r="213" spans="1:14" ht="20" hidden="1" customHeight="1">
      <c r="A213" s="9">
        <v>45077</v>
      </c>
      <c r="B213" s="10"/>
      <c r="C213" s="10" t="s">
        <v>4223</v>
      </c>
      <c r="D213" s="10"/>
      <c r="E213" s="10" t="s">
        <v>943</v>
      </c>
      <c r="F213" s="10" t="str">
        <f>IFERROR(VLOOKUP(VENTAS[[#This Row],[Código del producto Vendido]],STOCK[],5,FALSE),"-")</f>
        <v>Vestido Tropical</v>
      </c>
      <c r="G213" s="10">
        <v>1</v>
      </c>
      <c r="H213" s="12">
        <v>30</v>
      </c>
      <c r="I213" s="12">
        <f>VENTAS[[#This Row],[Cantidad]]*VENTAS[[#This Row],[Precio Venta]]</f>
        <v>30</v>
      </c>
      <c r="J213" s="12">
        <f>IF(VENTAS[[#This Row],[Nombre del Gestor]]&gt;1,VENTAS[[#This Row],[Total]]*10%,0)</f>
        <v>0</v>
      </c>
      <c r="K213" s="12">
        <f>IFERROR(VLOOKUP(VENTAS[[#This Row],[Código del producto Vendido]],STOCK[],16,FALSE)*VENTAS[[#This Row],[Cantidad]]+VLOOKUP(VENTAS[[#This Row],[Código del producto Vendido]],STOCK[],19,FALSE)*VENTAS[[#This Row],[Cantidad]],VENTAS[[#This Row],[Total]])</f>
        <v>19.0186363636364</v>
      </c>
      <c r="L213" s="12">
        <f>VENTAS[[#This Row],[Total]]-VENTAS[[#This Row],[Comisión 10%]]-VENTAS[[#This Row],[Costo SIN Comision]]</f>
        <v>10.9813636363636</v>
      </c>
      <c r="M213" s="12"/>
      <c r="N213" s="16"/>
    </row>
    <row r="214" spans="1:14" ht="20" hidden="1" customHeight="1">
      <c r="A214" s="9">
        <v>45077</v>
      </c>
      <c r="B214" s="10"/>
      <c r="C214" s="10" t="s">
        <v>4224</v>
      </c>
      <c r="D214" s="10"/>
      <c r="E214" s="10" t="s">
        <v>928</v>
      </c>
      <c r="F214" s="10" t="str">
        <f>IFERROR(VLOOKUP(VENTAS[[#This Row],[Código del producto Vendido]],STOCK[],5,FALSE),"-")</f>
        <v>Pantaloneta Roja</v>
      </c>
      <c r="G214" s="10">
        <v>1</v>
      </c>
      <c r="H214" s="12">
        <v>20</v>
      </c>
      <c r="I214" s="12">
        <f>VENTAS[[#This Row],[Cantidad]]*VENTAS[[#This Row],[Precio Venta]]</f>
        <v>20</v>
      </c>
      <c r="J214" s="12">
        <f>IF(VENTAS[[#This Row],[Nombre del Gestor]]&gt;1,VENTAS[[#This Row],[Total]]*10%,0)</f>
        <v>0</v>
      </c>
      <c r="K214" s="12">
        <f>IFERROR(VLOOKUP(VENTAS[[#This Row],[Código del producto Vendido]],STOCK[],16,FALSE)*VENTAS[[#This Row],[Cantidad]]+VLOOKUP(VENTAS[[#This Row],[Código del producto Vendido]],STOCK[],19,FALSE)*VENTAS[[#This Row],[Cantidad]],VENTAS[[#This Row],[Total]])</f>
        <v>11.609545454545449</v>
      </c>
      <c r="L214" s="12">
        <f>VENTAS[[#This Row],[Total]]-VENTAS[[#This Row],[Comisión 10%]]-VENTAS[[#This Row],[Costo SIN Comision]]</f>
        <v>8.3904545454545509</v>
      </c>
      <c r="M214" s="12"/>
      <c r="N214" s="16"/>
    </row>
    <row r="215" spans="1:14" ht="20" hidden="1" customHeight="1">
      <c r="A215" s="9">
        <v>45077</v>
      </c>
      <c r="B215" s="10"/>
      <c r="C215" s="10" t="s">
        <v>4224</v>
      </c>
      <c r="D215" s="10"/>
      <c r="E215" s="10" t="s">
        <v>183</v>
      </c>
      <c r="F215" s="10" t="str">
        <f>IFERROR(VLOOKUP(VENTAS[[#This Row],[Código del producto Vendido]],STOCK[],5,FALSE),"-")</f>
        <v>Top de manga farol con abertura en espald</v>
      </c>
      <c r="G215" s="10">
        <v>1</v>
      </c>
      <c r="H215" s="12">
        <v>14</v>
      </c>
      <c r="I215" s="12">
        <f>VENTAS[[#This Row],[Cantidad]]*VENTAS[[#This Row],[Precio Venta]]</f>
        <v>14</v>
      </c>
      <c r="J215" s="12">
        <f>IF(VENTAS[[#This Row],[Nombre del Gestor]]&gt;1,VENTAS[[#This Row],[Total]]*10%,0)</f>
        <v>0</v>
      </c>
      <c r="K215" s="12">
        <f>IFERROR(VLOOKUP(VENTAS[[#This Row],[Código del producto Vendido]],STOCK[],16,FALSE)*VENTAS[[#This Row],[Cantidad]]+VLOOKUP(VENTAS[[#This Row],[Código del producto Vendido]],STOCK[],19,FALSE)*VENTAS[[#This Row],[Cantidad]],VENTAS[[#This Row],[Total]])</f>
        <v>8.8577777777777804</v>
      </c>
      <c r="L215" s="12">
        <f>VENTAS[[#This Row],[Total]]-VENTAS[[#This Row],[Comisión 10%]]-VENTAS[[#This Row],[Costo SIN Comision]]</f>
        <v>5.1422222222222196</v>
      </c>
      <c r="M215" s="12"/>
      <c r="N215" s="16"/>
    </row>
    <row r="216" spans="1:14" ht="20" hidden="1" customHeight="1">
      <c r="A216" s="9">
        <v>45077</v>
      </c>
      <c r="B216" s="10"/>
      <c r="C216" s="10" t="s">
        <v>4225</v>
      </c>
      <c r="D216" s="10"/>
      <c r="E216" s="10" t="s">
        <v>173</v>
      </c>
      <c r="F216" s="10" t="str">
        <f>IFERROR(VLOOKUP(VENTAS[[#This Row],[Código del producto Vendido]],STOCK[],5,FALSE),"-")</f>
        <v>Camiseta unicolor de malla</v>
      </c>
      <c r="G216" s="10">
        <v>1</v>
      </c>
      <c r="H216" s="12">
        <v>14</v>
      </c>
      <c r="I216" s="12">
        <f>VENTAS[[#This Row],[Cantidad]]*VENTAS[[#This Row],[Precio Venta]]</f>
        <v>14</v>
      </c>
      <c r="J216" s="12">
        <f>IF(VENTAS[[#This Row],[Nombre del Gestor]]&gt;1,VENTAS[[#This Row],[Total]]*10%,0)</f>
        <v>0</v>
      </c>
      <c r="K216" s="12">
        <f>IFERROR(VLOOKUP(VENTAS[[#This Row],[Código del producto Vendido]],STOCK[],16,FALSE)*VENTAS[[#This Row],[Cantidad]]+VLOOKUP(VENTAS[[#This Row],[Código del producto Vendido]],STOCK[],19,FALSE)*VENTAS[[#This Row],[Cantidad]],VENTAS[[#This Row],[Total]])</f>
        <v>6.8866666666666694</v>
      </c>
      <c r="L216" s="12">
        <f>VENTAS[[#This Row],[Total]]-VENTAS[[#This Row],[Comisión 10%]]-VENTAS[[#This Row],[Costo SIN Comision]]</f>
        <v>7.1133333333333306</v>
      </c>
      <c r="M216" s="12"/>
      <c r="N216" s="16"/>
    </row>
    <row r="217" spans="1:14" ht="20" hidden="1" customHeight="1">
      <c r="A217" s="9">
        <v>45077</v>
      </c>
      <c r="B217" s="10"/>
      <c r="C217" s="10" t="s">
        <v>4226</v>
      </c>
      <c r="D217" s="10"/>
      <c r="E217" s="10" t="s">
        <v>237</v>
      </c>
      <c r="F217" s="10" t="str">
        <f>IFERROR(VLOOKUP(VENTAS[[#This Row],[Código del producto Vendido]],STOCK[],5,FALSE),"-")</f>
        <v>Top de cuello con cordón de lunares</v>
      </c>
      <c r="G217" s="10">
        <v>1</v>
      </c>
      <c r="H217" s="12">
        <v>12</v>
      </c>
      <c r="I217" s="12">
        <f>VENTAS[[#This Row],[Cantidad]]*VENTAS[[#This Row],[Precio Venta]]</f>
        <v>12</v>
      </c>
      <c r="J217" s="12">
        <f>IF(VENTAS[[#This Row],[Nombre del Gestor]]&gt;1,VENTAS[[#This Row],[Total]]*10%,0)</f>
        <v>0</v>
      </c>
      <c r="K217" s="12">
        <f>IFERROR(VLOOKUP(VENTAS[[#This Row],[Código del producto Vendido]],STOCK[],16,FALSE)*VENTAS[[#This Row],[Cantidad]]+VLOOKUP(VENTAS[[#This Row],[Código del producto Vendido]],STOCK[],19,FALSE)*VENTAS[[#This Row],[Cantidad]],VENTAS[[#This Row],[Total]])</f>
        <v>7.9044444444444402</v>
      </c>
      <c r="L217" s="12">
        <f>VENTAS[[#This Row],[Total]]-VENTAS[[#This Row],[Comisión 10%]]-VENTAS[[#This Row],[Costo SIN Comision]]</f>
        <v>4.0955555555555598</v>
      </c>
      <c r="M217" s="12"/>
      <c r="N217" s="16"/>
    </row>
    <row r="218" spans="1:14" ht="20" hidden="1" customHeight="1">
      <c r="A218" s="9">
        <v>45079</v>
      </c>
      <c r="B218" s="10"/>
      <c r="C218" s="10" t="s">
        <v>4227</v>
      </c>
      <c r="D218" s="10"/>
      <c r="E218" s="10" t="s">
        <v>1104</v>
      </c>
      <c r="F218" s="10" t="str">
        <f>IFERROR(VLOOKUP(VENTAS[[#This Row],[Código del producto Vendido]],STOCK[],5,FALSE),"-")</f>
        <v>Mono Oblicuo con bolsillo</v>
      </c>
      <c r="G218" s="10">
        <v>1</v>
      </c>
      <c r="H218" s="12">
        <v>22</v>
      </c>
      <c r="I218" s="12">
        <f>VENTAS[[#This Row],[Cantidad]]*VENTAS[[#This Row],[Precio Venta]]</f>
        <v>22</v>
      </c>
      <c r="J218" s="12">
        <f>IF(VENTAS[[#This Row],[Nombre del Gestor]]&gt;1,VENTAS[[#This Row],[Total]]*10%,0)</f>
        <v>0</v>
      </c>
      <c r="K218" s="12">
        <f>IFERROR(VLOOKUP(VENTAS[[#This Row],[Código del producto Vendido]],STOCK[],16,FALSE)*VENTAS[[#This Row],[Cantidad]]+VLOOKUP(VENTAS[[#This Row],[Código del producto Vendido]],STOCK[],19,FALSE)*VENTAS[[#This Row],[Cantidad]],VENTAS[[#This Row],[Total]])</f>
        <v>14.54852941176471</v>
      </c>
      <c r="L218" s="12">
        <f>VENTAS[[#This Row],[Total]]-VENTAS[[#This Row],[Comisión 10%]]-VENTAS[[#This Row],[Costo SIN Comision]]</f>
        <v>7.4514705882352903</v>
      </c>
      <c r="M218" s="12"/>
      <c r="N218" s="16"/>
    </row>
    <row r="219" spans="1:14" ht="20" hidden="1" customHeight="1">
      <c r="A219" s="9">
        <v>45079</v>
      </c>
      <c r="B219" s="10"/>
      <c r="C219" s="10" t="s">
        <v>4228</v>
      </c>
      <c r="D219" s="10"/>
      <c r="E219" s="10" t="s">
        <v>503</v>
      </c>
      <c r="F219" s="10" t="str">
        <f>IFERROR(VLOOKUP(VENTAS[[#This Row],[Código del producto Vendido]],STOCK[],5,FALSE),"-")</f>
        <v xml:space="preserve">Bikini push up tropical </v>
      </c>
      <c r="G219" s="10">
        <v>1</v>
      </c>
      <c r="H219" s="12">
        <v>25</v>
      </c>
      <c r="I219" s="12">
        <f>VENTAS[[#This Row],[Cantidad]]*VENTAS[[#This Row],[Precio Venta]]</f>
        <v>25</v>
      </c>
      <c r="J219" s="12">
        <f>IF(VENTAS[[#This Row],[Nombre del Gestor]]&gt;1,VENTAS[[#This Row],[Total]]*10%,0)</f>
        <v>0</v>
      </c>
      <c r="K219" s="12">
        <f>IFERROR(VLOOKUP(VENTAS[[#This Row],[Código del producto Vendido]],STOCK[],16,FALSE)*VENTAS[[#This Row],[Cantidad]]+VLOOKUP(VENTAS[[#This Row],[Código del producto Vendido]],STOCK[],19,FALSE)*VENTAS[[#This Row],[Cantidad]],VENTAS[[#This Row],[Total]])</f>
        <v>16.5555555555556</v>
      </c>
      <c r="L219" s="12">
        <f>VENTAS[[#This Row],[Total]]-VENTAS[[#This Row],[Comisión 10%]]-VENTAS[[#This Row],[Costo SIN Comision]]</f>
        <v>8.4444444444444002</v>
      </c>
      <c r="M219" s="12"/>
      <c r="N219" s="16"/>
    </row>
    <row r="220" spans="1:14" ht="20" hidden="1" customHeight="1">
      <c r="A220" s="9">
        <v>45079</v>
      </c>
      <c r="B220" s="10"/>
      <c r="C220" s="10" t="s">
        <v>4224</v>
      </c>
      <c r="D220" s="10"/>
      <c r="E220" s="10" t="s">
        <v>951</v>
      </c>
      <c r="F220" s="10" t="str">
        <f>IFERROR(VLOOKUP(VENTAS[[#This Row],[Código del producto Vendido]],STOCK[],5,FALSE),"-")</f>
        <v xml:space="preserve"> Pantaloneta Verde</v>
      </c>
      <c r="G220" s="10">
        <v>1</v>
      </c>
      <c r="H220" s="12">
        <v>25</v>
      </c>
      <c r="I220" s="12">
        <f>VENTAS[[#This Row],[Cantidad]]*VENTAS[[#This Row],[Precio Venta]]</f>
        <v>25</v>
      </c>
      <c r="J220" s="12">
        <f>IF(VENTAS[[#This Row],[Nombre del Gestor]]&gt;1,VENTAS[[#This Row],[Total]]*10%,0)</f>
        <v>0</v>
      </c>
      <c r="K220" s="12">
        <f>IFERROR(VLOOKUP(VENTAS[[#This Row],[Código del producto Vendido]],STOCK[],16,FALSE)*VENTAS[[#This Row],[Cantidad]]+VLOOKUP(VENTAS[[#This Row],[Código del producto Vendido]],STOCK[],19,FALSE)*VENTAS[[#This Row],[Cantidad]],VENTAS[[#This Row],[Total]])</f>
        <v>14.871363636363629</v>
      </c>
      <c r="L220" s="12">
        <f>VENTAS[[#This Row],[Total]]-VENTAS[[#This Row],[Comisión 10%]]-VENTAS[[#This Row],[Costo SIN Comision]]</f>
        <v>10.128636363636371</v>
      </c>
      <c r="M220" s="12"/>
      <c r="N220" s="16"/>
    </row>
    <row r="221" spans="1:14" ht="20" hidden="1" customHeight="1">
      <c r="A221" s="9">
        <v>45079</v>
      </c>
      <c r="B221" s="10"/>
      <c r="C221" s="10" t="s">
        <v>4229</v>
      </c>
      <c r="D221" s="10"/>
      <c r="E221" s="10" t="s">
        <v>1082</v>
      </c>
      <c r="F221" s="10" t="str">
        <f>IFERROR(VLOOKUP(VENTAS[[#This Row],[Código del producto Vendido]],STOCK[],5,FALSE),"-")</f>
        <v>Vestido elegante ajustado corte sirena</v>
      </c>
      <c r="G221" s="10">
        <v>1</v>
      </c>
      <c r="H221" s="12">
        <v>30</v>
      </c>
      <c r="I221" s="12">
        <f>VENTAS[[#This Row],[Cantidad]]*VENTAS[[#This Row],[Precio Venta]]</f>
        <v>30</v>
      </c>
      <c r="J221" s="12">
        <f>IF(VENTAS[[#This Row],[Nombre del Gestor]]&gt;1,VENTAS[[#This Row],[Total]]*10%,0)</f>
        <v>0</v>
      </c>
      <c r="K221" s="12">
        <f>IFERROR(VLOOKUP(VENTAS[[#This Row],[Código del producto Vendido]],STOCK[],16,FALSE)*VENTAS[[#This Row],[Cantidad]]+VLOOKUP(VENTAS[[#This Row],[Código del producto Vendido]],STOCK[],19,FALSE)*VENTAS[[#This Row],[Cantidad]],VENTAS[[#This Row],[Total]])</f>
        <v>15.8066176470588</v>
      </c>
      <c r="L221" s="12">
        <f>VENTAS[[#This Row],[Total]]-VENTAS[[#This Row],[Comisión 10%]]-VENTAS[[#This Row],[Costo SIN Comision]]</f>
        <v>14.1933823529412</v>
      </c>
      <c r="M221" s="12"/>
      <c r="N221" s="16"/>
    </row>
    <row r="222" spans="1:14" ht="20" hidden="1" customHeight="1">
      <c r="A222" s="9">
        <v>45079</v>
      </c>
      <c r="B222" s="10"/>
      <c r="C222" s="10" t="s">
        <v>4229</v>
      </c>
      <c r="D222" s="10"/>
      <c r="E222" s="10" t="s">
        <v>900</v>
      </c>
      <c r="F222" s="10" t="str">
        <f>IFERROR(VLOOKUP(VENTAS[[#This Row],[Código del producto Vendido]],STOCK[],5,FALSE),"-")</f>
        <v>Bañador con adorno de malla</v>
      </c>
      <c r="G222" s="10">
        <v>1</v>
      </c>
      <c r="H222" s="12">
        <v>25</v>
      </c>
      <c r="I222" s="12">
        <f>VENTAS[[#This Row],[Cantidad]]*VENTAS[[#This Row],[Precio Venta]]</f>
        <v>25</v>
      </c>
      <c r="J222" s="12">
        <f>IF(VENTAS[[#This Row],[Nombre del Gestor]]&gt;1,VENTAS[[#This Row],[Total]]*10%,0)</f>
        <v>0</v>
      </c>
      <c r="K222" s="12">
        <f>IFERROR(VLOOKUP(VENTAS[[#This Row],[Código del producto Vendido]],STOCK[],16,FALSE)*VENTAS[[#This Row],[Cantidad]]+VLOOKUP(VENTAS[[#This Row],[Código del producto Vendido]],STOCK[],19,FALSE)*VENTAS[[#This Row],[Cantidad]],VENTAS[[#This Row],[Total]])</f>
        <v>15.329545454545499</v>
      </c>
      <c r="L222" s="12">
        <f>VENTAS[[#This Row],[Total]]-VENTAS[[#This Row],[Comisión 10%]]-VENTAS[[#This Row],[Costo SIN Comision]]</f>
        <v>9.6704545454545006</v>
      </c>
      <c r="M222" s="12"/>
      <c r="N222" s="16"/>
    </row>
    <row r="223" spans="1:14" ht="20" hidden="1" customHeight="1">
      <c r="A223" s="9">
        <v>45079</v>
      </c>
      <c r="B223" s="10"/>
      <c r="C223" s="10" t="s">
        <v>4229</v>
      </c>
      <c r="D223" s="10"/>
      <c r="E223" s="10" t="s">
        <v>450</v>
      </c>
      <c r="F223" s="10" t="str">
        <f>IFERROR(VLOOKUP(VENTAS[[#This Row],[Código del producto Vendido]],STOCK[],5,FALSE),"-")</f>
        <v>Bañador estampado de planta</v>
      </c>
      <c r="G223" s="10">
        <v>1</v>
      </c>
      <c r="H223" s="12">
        <v>25</v>
      </c>
      <c r="I223" s="12">
        <f>VENTAS[[#This Row],[Cantidad]]*VENTAS[[#This Row],[Precio Venta]]</f>
        <v>25</v>
      </c>
      <c r="J223" s="12">
        <f>IF(VENTAS[[#This Row],[Nombre del Gestor]]&gt;1,VENTAS[[#This Row],[Total]]*10%,0)</f>
        <v>0</v>
      </c>
      <c r="K223" s="12">
        <f>IFERROR(VLOOKUP(VENTAS[[#This Row],[Código del producto Vendido]],STOCK[],16,FALSE)*VENTAS[[#This Row],[Cantidad]]+VLOOKUP(VENTAS[[#This Row],[Código del producto Vendido]],STOCK[],19,FALSE)*VENTAS[[#This Row],[Cantidad]],VENTAS[[#This Row],[Total]])</f>
        <v>13.4166666666667</v>
      </c>
      <c r="L223" s="12">
        <f>VENTAS[[#This Row],[Total]]-VENTAS[[#This Row],[Comisión 10%]]-VENTAS[[#This Row],[Costo SIN Comision]]</f>
        <v>11.5833333333333</v>
      </c>
      <c r="M223" s="12"/>
      <c r="N223" s="16"/>
    </row>
    <row r="224" spans="1:14" ht="20" hidden="1" customHeight="1">
      <c r="A224" s="9">
        <v>45079</v>
      </c>
      <c r="B224" s="10"/>
      <c r="C224" s="10" t="s">
        <v>4230</v>
      </c>
      <c r="D224" s="10"/>
      <c r="E224" s="10" t="s">
        <v>907</v>
      </c>
      <c r="F224" s="10" t="str">
        <f>IFERROR(VLOOKUP(VENTAS[[#This Row],[Código del producto Vendido]],STOCK[],5,FALSE),"-")</f>
        <v xml:space="preserve"> Top Cuello V Verde</v>
      </c>
      <c r="G224" s="10">
        <v>1</v>
      </c>
      <c r="H224" s="12">
        <v>12</v>
      </c>
      <c r="I224" s="12">
        <f>VENTAS[[#This Row],[Cantidad]]*VENTAS[[#This Row],[Precio Venta]]</f>
        <v>12</v>
      </c>
      <c r="J224" s="12">
        <f>IF(VENTAS[[#This Row],[Nombre del Gestor]]&gt;1,VENTAS[[#This Row],[Total]]*10%,0)</f>
        <v>0</v>
      </c>
      <c r="K224" s="12">
        <f>IFERROR(VLOOKUP(VENTAS[[#This Row],[Código del producto Vendido]],STOCK[],16,FALSE)*VENTAS[[#This Row],[Cantidad]]+VLOOKUP(VENTAS[[#This Row],[Código del producto Vendido]],STOCK[],19,FALSE)*VENTAS[[#This Row],[Cantidad]],VENTAS[[#This Row],[Total]])</f>
        <v>8.0054545454545405</v>
      </c>
      <c r="L224" s="12">
        <f>VENTAS[[#This Row],[Total]]-VENTAS[[#This Row],[Comisión 10%]]-VENTAS[[#This Row],[Costo SIN Comision]]</f>
        <v>3.9945454545454595</v>
      </c>
      <c r="M224" s="12"/>
      <c r="N224" s="16"/>
    </row>
    <row r="225" spans="1:14" ht="20" hidden="1" customHeight="1">
      <c r="A225" s="9">
        <v>45079</v>
      </c>
      <c r="B225" s="10"/>
      <c r="C225" s="10" t="s">
        <v>4230</v>
      </c>
      <c r="D225" s="10"/>
      <c r="E225" s="10" t="s">
        <v>1029</v>
      </c>
      <c r="F225" s="10" t="str">
        <f>IFERROR(VLOOKUP(VENTAS[[#This Row],[Código del producto Vendido]],STOCK[],5,FALSE),"-")</f>
        <v>Top cuello V Blanco</v>
      </c>
      <c r="G225" s="10">
        <v>1</v>
      </c>
      <c r="H225" s="12">
        <v>12</v>
      </c>
      <c r="I225" s="12">
        <f>VENTAS[[#This Row],[Cantidad]]*VENTAS[[#This Row],[Precio Venta]]</f>
        <v>12</v>
      </c>
      <c r="J225" s="12">
        <f>IF(VENTAS[[#This Row],[Nombre del Gestor]]&gt;1,VENTAS[[#This Row],[Total]]*10%,0)</f>
        <v>0</v>
      </c>
      <c r="K225" s="12">
        <f>IFERROR(VLOOKUP(VENTAS[[#This Row],[Código del producto Vendido]],STOCK[],16,FALSE)*VENTAS[[#This Row],[Cantidad]]+VLOOKUP(VENTAS[[#This Row],[Código del producto Vendido]],STOCK[],19,FALSE)*VENTAS[[#This Row],[Cantidad]],VENTAS[[#This Row],[Total]])</f>
        <v>7.7556818181818201</v>
      </c>
      <c r="L225" s="12">
        <f>VENTAS[[#This Row],[Total]]-VENTAS[[#This Row],[Comisión 10%]]-VENTAS[[#This Row],[Costo SIN Comision]]</f>
        <v>4.2443181818181799</v>
      </c>
      <c r="M225" s="12"/>
      <c r="N225" s="16"/>
    </row>
    <row r="226" spans="1:14" ht="20" hidden="1" customHeight="1">
      <c r="A226" s="9">
        <v>45079</v>
      </c>
      <c r="B226" s="10"/>
      <c r="C226" s="10" t="s">
        <v>4230</v>
      </c>
      <c r="D226" s="10"/>
      <c r="E226" s="10" t="s">
        <v>157</v>
      </c>
      <c r="F226" s="10" t="str">
        <f>IFERROR(VLOOKUP(VENTAS[[#This Row],[Código del producto Vendido]],STOCK[],5,FALSE),"-")</f>
        <v>Jeans de pierna recta desgarro</v>
      </c>
      <c r="G226" s="10">
        <v>1</v>
      </c>
      <c r="H226" s="12">
        <v>30</v>
      </c>
      <c r="I226" s="12">
        <f>VENTAS[[#This Row],[Cantidad]]*VENTAS[[#This Row],[Precio Venta]]</f>
        <v>30</v>
      </c>
      <c r="J226" s="12">
        <f>IF(VENTAS[[#This Row],[Nombre del Gestor]]&gt;1,VENTAS[[#This Row],[Total]]*10%,0)</f>
        <v>0</v>
      </c>
      <c r="K226" s="12">
        <f>IFERROR(VLOOKUP(VENTAS[[#This Row],[Código del producto Vendido]],STOCK[],16,FALSE)*VENTAS[[#This Row],[Cantidad]]+VLOOKUP(VENTAS[[#This Row],[Código del producto Vendido]],STOCK[],19,FALSE)*VENTAS[[#This Row],[Cantidad]],VENTAS[[#This Row],[Total]])</f>
        <v>18.686666666666667</v>
      </c>
      <c r="L226" s="12">
        <f>VENTAS[[#This Row],[Total]]-VENTAS[[#This Row],[Comisión 10%]]-VENTAS[[#This Row],[Costo SIN Comision]]</f>
        <v>11.313333333333333</v>
      </c>
      <c r="M226" s="12"/>
      <c r="N226" s="16"/>
    </row>
    <row r="227" spans="1:14" ht="20" hidden="1" customHeight="1">
      <c r="A227" s="9">
        <v>45079</v>
      </c>
      <c r="B227" s="10"/>
      <c r="C227" s="10" t="s">
        <v>4230</v>
      </c>
      <c r="D227" s="10"/>
      <c r="E227" s="10" t="s">
        <v>890</v>
      </c>
      <c r="F227" s="10" t="str">
        <f>IFERROR(VLOOKUP(VENTAS[[#This Row],[Código del producto Vendido]],STOCK[],5,FALSE),"-")</f>
        <v>Top Cuello encaje y mangas abombadas</v>
      </c>
      <c r="G227" s="10">
        <v>1</v>
      </c>
      <c r="H227" s="12">
        <v>11</v>
      </c>
      <c r="I227" s="12">
        <f>VENTAS[[#This Row],[Cantidad]]*VENTAS[[#This Row],[Precio Venta]]</f>
        <v>11</v>
      </c>
      <c r="J227" s="12">
        <f>IF(VENTAS[[#This Row],[Nombre del Gestor]]&gt;1,VENTAS[[#This Row],[Total]]*10%,0)</f>
        <v>0</v>
      </c>
      <c r="K227" s="12">
        <f>IFERROR(VLOOKUP(VENTAS[[#This Row],[Código del producto Vendido]],STOCK[],16,FALSE)*VENTAS[[#This Row],[Cantidad]]+VLOOKUP(VENTAS[[#This Row],[Código del producto Vendido]],STOCK[],19,FALSE)*VENTAS[[#This Row],[Cantidad]],VENTAS[[#This Row],[Total]])</f>
        <v>6.3581818181818202</v>
      </c>
      <c r="L227" s="12">
        <f>VENTAS[[#This Row],[Total]]-VENTAS[[#This Row],[Comisión 10%]]-VENTAS[[#This Row],[Costo SIN Comision]]</f>
        <v>4.6418181818181798</v>
      </c>
      <c r="M227" s="12"/>
      <c r="N227" s="16"/>
    </row>
    <row r="228" spans="1:14" ht="20" hidden="1" customHeight="1">
      <c r="A228" s="9"/>
      <c r="B228" s="10"/>
      <c r="C228" s="10"/>
      <c r="D228" s="10"/>
      <c r="E228" s="10" t="s">
        <v>935</v>
      </c>
      <c r="F228" s="10" t="str">
        <f>IFERROR(VLOOKUP(VENTAS[[#This Row],[Código del producto Vendido]],STOCK[],5,FALSE),"-")</f>
        <v>Bañador de pierna alta</v>
      </c>
      <c r="G228" s="10">
        <v>1</v>
      </c>
      <c r="H228" s="12">
        <v>25</v>
      </c>
      <c r="I228" s="12">
        <f>VENTAS[[#This Row],[Cantidad]]*VENTAS[[#This Row],[Precio Venta]]</f>
        <v>25</v>
      </c>
      <c r="J228" s="12">
        <f>IF(VENTAS[[#This Row],[Nombre del Gestor]]&gt;1,VENTAS[[#This Row],[Total]]*10%,0)</f>
        <v>0</v>
      </c>
      <c r="K228" s="12">
        <f>IFERROR(VLOOKUP(VENTAS[[#This Row],[Código del producto Vendido]],STOCK[],16,FALSE)*VENTAS[[#This Row],[Cantidad]]+VLOOKUP(VENTAS[[#This Row],[Código del producto Vendido]],STOCK[],19,FALSE)*VENTAS[[#This Row],[Cantidad]],VENTAS[[#This Row],[Total]])</f>
        <v>14.02318181818182</v>
      </c>
      <c r="L228" s="12">
        <f>VENTAS[[#This Row],[Total]]-VENTAS[[#This Row],[Comisión 10%]]-VENTAS[[#This Row],[Costo SIN Comision]]</f>
        <v>10.97681818181818</v>
      </c>
      <c r="M228" s="12"/>
      <c r="N228" s="16"/>
    </row>
    <row r="229" spans="1:14" ht="20" hidden="1" customHeight="1">
      <c r="A229" s="9"/>
      <c r="B229" s="10"/>
      <c r="C229" s="10"/>
      <c r="D229" s="10"/>
      <c r="E229" s="24" t="s">
        <v>728</v>
      </c>
      <c r="F229" s="10" t="str">
        <f>IFERROR(VLOOKUP(VENTAS[[#This Row],[Código del producto Vendido]],STOCK[],5,FALSE),"-")</f>
        <v>Top acanalado sin mangas</v>
      </c>
      <c r="G229" s="10">
        <v>1</v>
      </c>
      <c r="H229" s="12">
        <v>16</v>
      </c>
      <c r="I229" s="12">
        <f>VENTAS[[#This Row],[Cantidad]]*VENTAS[[#This Row],[Precio Venta]]</f>
        <v>16</v>
      </c>
      <c r="J229" s="12">
        <f>IF(VENTAS[[#This Row],[Nombre del Gestor]]&gt;1,VENTAS[[#This Row],[Total]]*10%,0)</f>
        <v>0</v>
      </c>
      <c r="K229" s="12">
        <f>IFERROR(VLOOKUP(VENTAS[[#This Row],[Código del producto Vendido]],STOCK[],16,FALSE)*VENTAS[[#This Row],[Cantidad]]+VLOOKUP(VENTAS[[#This Row],[Código del producto Vendido]],STOCK[],19,FALSE)*VENTAS[[#This Row],[Cantidad]],VENTAS[[#This Row],[Total]])</f>
        <v>5.0222222222222195</v>
      </c>
      <c r="L229" s="12">
        <f>VENTAS[[#This Row],[Total]]-VENTAS[[#This Row],[Comisión 10%]]-VENTAS[[#This Row],[Costo SIN Comision]]</f>
        <v>10.977777777777781</v>
      </c>
      <c r="M229" s="12"/>
      <c r="N229" s="16"/>
    </row>
    <row r="230" spans="1:14" ht="20" hidden="1" customHeight="1">
      <c r="A230" s="9"/>
      <c r="B230" s="10"/>
      <c r="C230" s="10"/>
      <c r="D230" s="10"/>
      <c r="E230" s="10" t="s">
        <v>899</v>
      </c>
      <c r="F230" s="10" t="str">
        <f>IFERROR(VLOOKUP(VENTAS[[#This Row],[Código del producto Vendido]],STOCK[],5,FALSE),"-")</f>
        <v>Bañador con adorno de malla</v>
      </c>
      <c r="G230" s="10">
        <v>1</v>
      </c>
      <c r="H230" s="12">
        <v>25</v>
      </c>
      <c r="I230" s="12">
        <f>VENTAS[[#This Row],[Cantidad]]*VENTAS[[#This Row],[Precio Venta]]</f>
        <v>25</v>
      </c>
      <c r="J230" s="12">
        <f>IF(VENTAS[[#This Row],[Nombre del Gestor]]&gt;1,VENTAS[[#This Row],[Total]]*10%,0)</f>
        <v>0</v>
      </c>
      <c r="K230" s="12">
        <f>IFERROR(VLOOKUP(VENTAS[[#This Row],[Código del producto Vendido]],STOCK[],16,FALSE)*VENTAS[[#This Row],[Cantidad]]+VLOOKUP(VENTAS[[#This Row],[Código del producto Vendido]],STOCK[],19,FALSE)*VENTAS[[#This Row],[Cantidad]],VENTAS[[#This Row],[Total]])</f>
        <v>15.329545454545499</v>
      </c>
      <c r="L230" s="12">
        <f>VENTAS[[#This Row],[Total]]-VENTAS[[#This Row],[Comisión 10%]]-VENTAS[[#This Row],[Costo SIN Comision]]</f>
        <v>9.6704545454545006</v>
      </c>
      <c r="M230" s="12"/>
      <c r="N230" s="16"/>
    </row>
    <row r="231" spans="1:14" ht="20" hidden="1" customHeight="1">
      <c r="A231" s="9"/>
      <c r="B231" s="10"/>
      <c r="C231" s="10"/>
      <c r="D231" s="10"/>
      <c r="E231" s="10" t="s">
        <v>450</v>
      </c>
      <c r="F231" s="10" t="str">
        <f>IFERROR(VLOOKUP(VENTAS[[#This Row],[Código del producto Vendido]],STOCK[],5,FALSE),"-")</f>
        <v>Bañador estampado de planta</v>
      </c>
      <c r="G231" s="10">
        <v>2</v>
      </c>
      <c r="H231" s="12">
        <v>25</v>
      </c>
      <c r="I231" s="12">
        <f>VENTAS[[#This Row],[Cantidad]]*VENTAS[[#This Row],[Precio Venta]]</f>
        <v>50</v>
      </c>
      <c r="J231" s="12">
        <f>IF(VENTAS[[#This Row],[Nombre del Gestor]]&gt;1,VENTAS[[#This Row],[Total]]*10%,0)</f>
        <v>0</v>
      </c>
      <c r="K231" s="12">
        <f>IFERROR(VLOOKUP(VENTAS[[#This Row],[Código del producto Vendido]],STOCK[],16,FALSE)*VENTAS[[#This Row],[Cantidad]]+VLOOKUP(VENTAS[[#This Row],[Código del producto Vendido]],STOCK[],19,FALSE)*VENTAS[[#This Row],[Cantidad]],VENTAS[[#This Row],[Total]])</f>
        <v>26.8333333333334</v>
      </c>
      <c r="L231" s="12">
        <f>VENTAS[[#This Row],[Total]]-VENTAS[[#This Row],[Comisión 10%]]-VENTAS[[#This Row],[Costo SIN Comision]]</f>
        <v>23.1666666666666</v>
      </c>
      <c r="M231" s="12"/>
      <c r="N231" s="16"/>
    </row>
    <row r="232" spans="1:14" ht="20" hidden="1" customHeight="1">
      <c r="A232" s="9"/>
      <c r="B232" s="10"/>
      <c r="C232" s="10"/>
      <c r="D232" s="10"/>
      <c r="E232" s="10" t="s">
        <v>1042</v>
      </c>
      <c r="F232" s="10" t="str">
        <f>IFERROR(VLOOKUP(VENTAS[[#This Row],[Código del producto Vendido]],STOCK[],5,FALSE),"-")</f>
        <v>Jeans Elastizados Pierna Ancha</v>
      </c>
      <c r="G232" s="10">
        <v>1</v>
      </c>
      <c r="H232" s="12">
        <v>35</v>
      </c>
      <c r="I232" s="12">
        <f>VENTAS[[#This Row],[Cantidad]]*VENTAS[[#This Row],[Precio Venta]]</f>
        <v>35</v>
      </c>
      <c r="J232" s="12">
        <f>IF(VENTAS[[#This Row],[Nombre del Gestor]]&gt;1,VENTAS[[#This Row],[Total]]*10%,0)</f>
        <v>0</v>
      </c>
      <c r="K232" s="12">
        <f>IFERROR(VLOOKUP(VENTAS[[#This Row],[Código del producto Vendido]],STOCK[],16,FALSE)*VENTAS[[#This Row],[Cantidad]]+VLOOKUP(VENTAS[[#This Row],[Código del producto Vendido]],STOCK[],19,FALSE)*VENTAS[[#This Row],[Cantidad]],VENTAS[[#This Row],[Total]])</f>
        <v>27.522727272727298</v>
      </c>
      <c r="L232" s="12">
        <f>VENTAS[[#This Row],[Total]]-VENTAS[[#This Row],[Comisión 10%]]-VENTAS[[#This Row],[Costo SIN Comision]]</f>
        <v>7.4772727272727018</v>
      </c>
      <c r="M232" s="12"/>
      <c r="N232" s="16"/>
    </row>
    <row r="233" spans="1:14" ht="20" hidden="1" customHeight="1">
      <c r="A233" s="9"/>
      <c r="B233" s="10"/>
      <c r="C233" s="10"/>
      <c r="D233" s="10"/>
      <c r="E233" s="10" t="s">
        <v>952</v>
      </c>
      <c r="F233" s="10" t="str">
        <f>IFERROR(VLOOKUP(VENTAS[[#This Row],[Código del producto Vendido]],STOCK[],5,FALSE),"-")</f>
        <v xml:space="preserve"> Pantaloneta Verde</v>
      </c>
      <c r="G233" s="10">
        <v>1</v>
      </c>
      <c r="H233" s="12">
        <v>25</v>
      </c>
      <c r="I233" s="12">
        <f>VENTAS[[#This Row],[Cantidad]]*VENTAS[[#This Row],[Precio Venta]]</f>
        <v>25</v>
      </c>
      <c r="J233" s="12">
        <f>IF(VENTAS[[#This Row],[Nombre del Gestor]]&gt;1,VENTAS[[#This Row],[Total]]*10%,0)</f>
        <v>0</v>
      </c>
      <c r="K233" s="12">
        <f>IFERROR(VLOOKUP(VENTAS[[#This Row],[Código del producto Vendido]],STOCK[],16,FALSE)*VENTAS[[#This Row],[Cantidad]]+VLOOKUP(VENTAS[[#This Row],[Código del producto Vendido]],STOCK[],19,FALSE)*VENTAS[[#This Row],[Cantidad]],VENTAS[[#This Row],[Total]])</f>
        <v>14.871363636363629</v>
      </c>
      <c r="L233" s="12">
        <f>VENTAS[[#This Row],[Total]]-VENTAS[[#This Row],[Comisión 10%]]-VENTAS[[#This Row],[Costo SIN Comision]]</f>
        <v>10.128636363636371</v>
      </c>
      <c r="M233" s="12"/>
      <c r="N233" s="16"/>
    </row>
    <row r="234" spans="1:14" ht="20" hidden="1" customHeight="1">
      <c r="A234" s="9">
        <v>45081</v>
      </c>
      <c r="B234" s="10"/>
      <c r="C234" s="10"/>
      <c r="D234" s="10"/>
      <c r="E234" s="10" t="s">
        <v>68</v>
      </c>
      <c r="F234" s="10" t="str">
        <f>IFERROR(VLOOKUP(VENTAS[[#This Row],[Código del producto Vendido]],STOCK[],5,FALSE),"-")</f>
        <v>Bikini Elegante con Herrajes</v>
      </c>
      <c r="G234" s="10">
        <v>1</v>
      </c>
      <c r="H234" s="12">
        <v>18</v>
      </c>
      <c r="I234" s="12">
        <f>VENTAS[[#This Row],[Cantidad]]*VENTAS[[#This Row],[Precio Venta]]</f>
        <v>18</v>
      </c>
      <c r="J234" s="12">
        <f>IF(VENTAS[[#This Row],[Nombre del Gestor]]&gt;1,VENTAS[[#This Row],[Total]]*10%,0)</f>
        <v>0</v>
      </c>
      <c r="K234" s="12">
        <f>IFERROR(VLOOKUP(VENTAS[[#This Row],[Código del producto Vendido]],STOCK[],16,FALSE)*VENTAS[[#This Row],[Cantidad]]+VLOOKUP(VENTAS[[#This Row],[Código del producto Vendido]],STOCK[],19,FALSE)*VENTAS[[#This Row],[Cantidad]],VENTAS[[#This Row],[Total]])</f>
        <v>12.30833333333333</v>
      </c>
      <c r="L234" s="12">
        <f>VENTAS[[#This Row],[Total]]-VENTAS[[#This Row],[Comisión 10%]]-VENTAS[[#This Row],[Costo SIN Comision]]</f>
        <v>5.69166666666667</v>
      </c>
      <c r="M234" s="12"/>
      <c r="N234" s="16"/>
    </row>
    <row r="235" spans="1:14" ht="20" hidden="1" customHeight="1">
      <c r="A235" s="9">
        <v>45081</v>
      </c>
      <c r="B235" s="10"/>
      <c r="C235" s="10"/>
      <c r="D235" s="10"/>
      <c r="E235" s="10" t="s">
        <v>447</v>
      </c>
      <c r="F235" s="10" t="str">
        <f>IFERROR(VLOOKUP(VENTAS[[#This Row],[Código del producto Vendido]],STOCK[],5,FALSE),"-")</f>
        <v xml:space="preserve">Skort asimétrico floral </v>
      </c>
      <c r="G235" s="10">
        <v>1</v>
      </c>
      <c r="H235" s="12">
        <v>15</v>
      </c>
      <c r="I235" s="12">
        <f>VENTAS[[#This Row],[Cantidad]]*VENTAS[[#This Row],[Precio Venta]]</f>
        <v>15</v>
      </c>
      <c r="J235" s="12">
        <f>IF(VENTAS[[#This Row],[Nombre del Gestor]]&gt;1,VENTAS[[#This Row],[Total]]*10%,0)</f>
        <v>0</v>
      </c>
      <c r="K235" s="12">
        <f>IFERROR(VLOOKUP(VENTAS[[#This Row],[Código del producto Vendido]],STOCK[],16,FALSE)*VENTAS[[#This Row],[Cantidad]]+VLOOKUP(VENTAS[[#This Row],[Código del producto Vendido]],STOCK[],19,FALSE)*VENTAS[[#This Row],[Cantidad]],VENTAS[[#This Row],[Total]])</f>
        <v>8.9277777777777807</v>
      </c>
      <c r="L235" s="12">
        <f>VENTAS[[#This Row],[Total]]-VENTAS[[#This Row],[Comisión 10%]]-VENTAS[[#This Row],[Costo SIN Comision]]</f>
        <v>6.0722222222222193</v>
      </c>
      <c r="M235" s="12"/>
      <c r="N235" s="16"/>
    </row>
    <row r="236" spans="1:14" ht="20" hidden="1" customHeight="1">
      <c r="A236" s="9">
        <v>45081</v>
      </c>
      <c r="B236" s="10"/>
      <c r="C236" s="10"/>
      <c r="D236" s="10"/>
      <c r="E236" s="10" t="s">
        <v>1061</v>
      </c>
      <c r="F236" s="10" t="str">
        <f>IFERROR(VLOOKUP(VENTAS[[#This Row],[Código del producto Vendido]],STOCK[],5,FALSE),"-")</f>
        <v>Top corto blanco</v>
      </c>
      <c r="G236" s="10">
        <v>1</v>
      </c>
      <c r="H236" s="12">
        <v>5</v>
      </c>
      <c r="I236" s="12">
        <f>VENTAS[[#This Row],[Cantidad]]*VENTAS[[#This Row],[Precio Venta]]</f>
        <v>5</v>
      </c>
      <c r="J236" s="12">
        <f>IF(VENTAS[[#This Row],[Nombre del Gestor]]&gt;1,VENTAS[[#This Row],[Total]]*10%,0)</f>
        <v>0</v>
      </c>
      <c r="K236" s="12">
        <f>IFERROR(VLOOKUP(VENTAS[[#This Row],[Código del producto Vendido]],STOCK[],16,FALSE)*VENTAS[[#This Row],[Cantidad]]+VLOOKUP(VENTAS[[#This Row],[Código del producto Vendido]],STOCK[],19,FALSE)*VENTAS[[#This Row],[Cantidad]],VENTAS[[#This Row],[Total]])</f>
        <v>4.4044117647058805</v>
      </c>
      <c r="L236" s="12">
        <f>VENTAS[[#This Row],[Total]]-VENTAS[[#This Row],[Comisión 10%]]-VENTAS[[#This Row],[Costo SIN Comision]]</f>
        <v>0.59558823529411953</v>
      </c>
      <c r="M236" s="12"/>
      <c r="N236" s="16"/>
    </row>
    <row r="237" spans="1:14" ht="20" hidden="1" customHeight="1">
      <c r="A237" s="9">
        <v>45081</v>
      </c>
      <c r="B237" s="10"/>
      <c r="C237" s="10"/>
      <c r="D237" s="10"/>
      <c r="E237" s="10" t="s">
        <v>307</v>
      </c>
      <c r="F237" s="10" t="str">
        <f>IFERROR(VLOOKUP(VENTAS[[#This Row],[Código del producto Vendido]],STOCK[],5,FALSE),"-")</f>
        <v>Conjunto short, camisa y top</v>
      </c>
      <c r="G237" s="10">
        <v>1</v>
      </c>
      <c r="H237" s="12">
        <v>30</v>
      </c>
      <c r="I237" s="12">
        <f>VENTAS[[#This Row],[Cantidad]]*VENTAS[[#This Row],[Precio Venta]]</f>
        <v>30</v>
      </c>
      <c r="J237" s="12">
        <f>IF(VENTAS[[#This Row],[Nombre del Gestor]]&gt;1,VENTAS[[#This Row],[Total]]*10%,0)</f>
        <v>0</v>
      </c>
      <c r="K237" s="12">
        <f>IFERROR(VLOOKUP(VENTAS[[#This Row],[Código del producto Vendido]],STOCK[],16,FALSE)*VENTAS[[#This Row],[Cantidad]]+VLOOKUP(VENTAS[[#This Row],[Código del producto Vendido]],STOCK[],19,FALSE)*VENTAS[[#This Row],[Cantidad]],VENTAS[[#This Row],[Total]])</f>
        <v>16.8333333333333</v>
      </c>
      <c r="L237" s="12">
        <f>VENTAS[[#This Row],[Total]]-VENTAS[[#This Row],[Comisión 10%]]-VENTAS[[#This Row],[Costo SIN Comision]]</f>
        <v>13.1666666666667</v>
      </c>
      <c r="M237" s="12"/>
      <c r="N237" s="16"/>
    </row>
    <row r="238" spans="1:14" ht="20" hidden="1" customHeight="1">
      <c r="A238" s="9">
        <v>45081</v>
      </c>
      <c r="B238" s="10"/>
      <c r="C238" s="10"/>
      <c r="D238" s="10"/>
      <c r="E238" s="10" t="s">
        <v>263</v>
      </c>
      <c r="F238" s="10" t="str">
        <f>IFERROR(VLOOKUP(VENTAS[[#This Row],[Código del producto Vendido]],STOCK[],5,FALSE),"-")</f>
        <v>Blusas Botón Floral Casual</v>
      </c>
      <c r="G238" s="10">
        <v>1</v>
      </c>
      <c r="H238" s="12">
        <v>14</v>
      </c>
      <c r="I238" s="12">
        <f>VENTAS[[#This Row],[Cantidad]]*VENTAS[[#This Row],[Precio Venta]]</f>
        <v>14</v>
      </c>
      <c r="J238" s="12">
        <f>IF(VENTAS[[#This Row],[Nombre del Gestor]]&gt;1,VENTAS[[#This Row],[Total]]*10%,0)</f>
        <v>0</v>
      </c>
      <c r="K238" s="12">
        <f>IFERROR(VLOOKUP(VENTAS[[#This Row],[Código del producto Vendido]],STOCK[],16,FALSE)*VENTAS[[#This Row],[Cantidad]]+VLOOKUP(VENTAS[[#This Row],[Código del producto Vendido]],STOCK[],19,FALSE)*VENTAS[[#This Row],[Cantidad]],VENTAS[[#This Row],[Total]])</f>
        <v>8.0222222222222204</v>
      </c>
      <c r="L238" s="12">
        <f>VENTAS[[#This Row],[Total]]-VENTAS[[#This Row],[Comisión 10%]]-VENTAS[[#This Row],[Costo SIN Comision]]</f>
        <v>5.9777777777777796</v>
      </c>
      <c r="M238" s="12"/>
      <c r="N238" s="16"/>
    </row>
    <row r="239" spans="1:14" ht="20" hidden="1" customHeight="1">
      <c r="A239" s="9">
        <v>45081</v>
      </c>
      <c r="B239" s="10"/>
      <c r="C239" s="10"/>
      <c r="D239" s="10"/>
      <c r="E239" s="10" t="s">
        <v>728</v>
      </c>
      <c r="F239" s="10" t="str">
        <f>IFERROR(VLOOKUP(VENTAS[[#This Row],[Código del producto Vendido]],STOCK[],5,FALSE),"-")</f>
        <v>Top acanalado sin mangas</v>
      </c>
      <c r="G239" s="10">
        <v>1</v>
      </c>
      <c r="H239" s="12">
        <v>10</v>
      </c>
      <c r="I239" s="12">
        <f>VENTAS[[#This Row],[Cantidad]]*VENTAS[[#This Row],[Precio Venta]]</f>
        <v>10</v>
      </c>
      <c r="J239" s="12">
        <f>IF(VENTAS[[#This Row],[Nombre del Gestor]]&gt;1,VENTAS[[#This Row],[Total]]*10%,0)</f>
        <v>0</v>
      </c>
      <c r="K239" s="12">
        <f>IFERROR(VLOOKUP(VENTAS[[#This Row],[Código del producto Vendido]],STOCK[],16,FALSE)*VENTAS[[#This Row],[Cantidad]]+VLOOKUP(VENTAS[[#This Row],[Código del producto Vendido]],STOCK[],19,FALSE)*VENTAS[[#This Row],[Cantidad]],VENTAS[[#This Row],[Total]])</f>
        <v>5.0222222222222195</v>
      </c>
      <c r="L239" s="12">
        <f>VENTAS[[#This Row],[Total]]-VENTAS[[#This Row],[Comisión 10%]]-VENTAS[[#This Row],[Costo SIN Comision]]</f>
        <v>4.9777777777777805</v>
      </c>
      <c r="M239" s="12"/>
      <c r="N239" s="16"/>
    </row>
    <row r="240" spans="1:14" ht="20" hidden="1" customHeight="1">
      <c r="A240" s="9">
        <v>45082</v>
      </c>
      <c r="B240" s="10"/>
      <c r="C240" s="10" t="s">
        <v>4231</v>
      </c>
      <c r="D240" s="10"/>
      <c r="E240" s="10" t="s">
        <v>1035</v>
      </c>
      <c r="F240" s="10" t="str">
        <f>IFERROR(VLOOKUP(VENTAS[[#This Row],[Código del producto Vendido]],STOCK[],5,FALSE),"-")</f>
        <v>Jenas Ajustados Oscuro</v>
      </c>
      <c r="G240" s="10">
        <v>1</v>
      </c>
      <c r="H240" s="12">
        <v>35</v>
      </c>
      <c r="I240" s="12">
        <f>VENTAS[[#This Row],[Cantidad]]*VENTAS[[#This Row],[Precio Venta]]</f>
        <v>35</v>
      </c>
      <c r="J240" s="12">
        <f>IF(VENTAS[[#This Row],[Nombre del Gestor]]&gt;1,VENTAS[[#This Row],[Total]]*10%,0)</f>
        <v>0</v>
      </c>
      <c r="K240" s="12">
        <f>IFERROR(VLOOKUP(VENTAS[[#This Row],[Código del producto Vendido]],STOCK[],16,FALSE)*VENTAS[[#This Row],[Cantidad]]+VLOOKUP(VENTAS[[#This Row],[Código del producto Vendido]],STOCK[],19,FALSE)*VENTAS[[#This Row],[Cantidad]],VENTAS[[#This Row],[Total]])</f>
        <v>24.681818181818201</v>
      </c>
      <c r="L240" s="12">
        <f>VENTAS[[#This Row],[Total]]-VENTAS[[#This Row],[Comisión 10%]]-VENTAS[[#This Row],[Costo SIN Comision]]</f>
        <v>10.318181818181799</v>
      </c>
      <c r="M240" s="12"/>
      <c r="N240" s="16"/>
    </row>
    <row r="241" spans="1:14" ht="20" hidden="1" customHeight="1">
      <c r="A241" s="9">
        <v>45082</v>
      </c>
      <c r="B241" s="10"/>
      <c r="C241" s="10" t="s">
        <v>4231</v>
      </c>
      <c r="D241" s="10"/>
      <c r="E241" s="10" t="s">
        <v>1040</v>
      </c>
      <c r="F241" s="10" t="str">
        <f>IFERROR(VLOOKUP(VENTAS[[#This Row],[Código del producto Vendido]],STOCK[],5,FALSE),"-")</f>
        <v>Jeans Elastizados Pierna Ancha</v>
      </c>
      <c r="G241" s="10">
        <v>1</v>
      </c>
      <c r="H241" s="12">
        <v>35</v>
      </c>
      <c r="I241" s="12">
        <f>VENTAS[[#This Row],[Cantidad]]*VENTAS[[#This Row],[Precio Venta]]</f>
        <v>35</v>
      </c>
      <c r="J241" s="12">
        <f>IF(VENTAS[[#This Row],[Nombre del Gestor]]&gt;1,VENTAS[[#This Row],[Total]]*10%,0)</f>
        <v>0</v>
      </c>
      <c r="K241" s="12">
        <f>IFERROR(VLOOKUP(VENTAS[[#This Row],[Código del producto Vendido]],STOCK[],16,FALSE)*VENTAS[[#This Row],[Cantidad]]+VLOOKUP(VENTAS[[#This Row],[Código del producto Vendido]],STOCK[],19,FALSE)*VENTAS[[#This Row],[Cantidad]],VENTAS[[#This Row],[Total]])</f>
        <v>27.522727272727298</v>
      </c>
      <c r="L241" s="12">
        <f>VENTAS[[#This Row],[Total]]-VENTAS[[#This Row],[Comisión 10%]]-VENTAS[[#This Row],[Costo SIN Comision]]</f>
        <v>7.4772727272727018</v>
      </c>
      <c r="M241" s="12"/>
      <c r="N241" s="16"/>
    </row>
    <row r="242" spans="1:14" ht="20" hidden="1" customHeight="1">
      <c r="A242" s="9">
        <v>45082</v>
      </c>
      <c r="B242" s="10"/>
      <c r="C242" s="10" t="s">
        <v>4221</v>
      </c>
      <c r="D242" s="10"/>
      <c r="E242" s="10" t="s">
        <v>162</v>
      </c>
      <c r="F242" s="10" t="str">
        <f>IFERROR(VLOOKUP(VENTAS[[#This Row],[Código del producto Vendido]],STOCK[],5,FALSE),"-")</f>
        <v>Bañador una pieza con adorno de mariposas</v>
      </c>
      <c r="G242" s="10">
        <v>1</v>
      </c>
      <c r="H242" s="12">
        <v>20</v>
      </c>
      <c r="I242" s="12">
        <f>VENTAS[[#This Row],[Cantidad]]*VENTAS[[#This Row],[Precio Venta]]</f>
        <v>20</v>
      </c>
      <c r="J242" s="12">
        <f>IF(VENTAS[[#This Row],[Nombre del Gestor]]&gt;1,VENTAS[[#This Row],[Total]]*10%,0)</f>
        <v>0</v>
      </c>
      <c r="K242" s="12">
        <f>IFERROR(VLOOKUP(VENTAS[[#This Row],[Código del producto Vendido]],STOCK[],16,FALSE)*VENTAS[[#This Row],[Cantidad]]+VLOOKUP(VENTAS[[#This Row],[Código del producto Vendido]],STOCK[],19,FALSE)*VENTAS[[#This Row],[Cantidad]],VENTAS[[#This Row],[Total]])</f>
        <v>12.7427777777778</v>
      </c>
      <c r="L242" s="12">
        <f>VENTAS[[#This Row],[Total]]-VENTAS[[#This Row],[Comisión 10%]]-VENTAS[[#This Row],[Costo SIN Comision]]</f>
        <v>7.2572222222222003</v>
      </c>
      <c r="M242" s="12"/>
      <c r="N242" s="16"/>
    </row>
    <row r="243" spans="1:14" ht="20" hidden="1" customHeight="1">
      <c r="A243" s="9">
        <v>45082</v>
      </c>
      <c r="B243" s="10"/>
      <c r="C243" s="10" t="s">
        <v>4232</v>
      </c>
      <c r="D243" s="10"/>
      <c r="E243" s="10" t="s">
        <v>318</v>
      </c>
      <c r="F243" s="10" t="str">
        <f>IFERROR(VLOOKUP(VENTAS[[#This Row],[Código del producto Vendido]],STOCK[],5,FALSE),"-")</f>
        <v>Conjuntot Top corto &amp; Pantalones</v>
      </c>
      <c r="G243" s="10">
        <v>1</v>
      </c>
      <c r="H243" s="12">
        <v>30</v>
      </c>
      <c r="I243" s="12">
        <f>VENTAS[[#This Row],[Cantidad]]*VENTAS[[#This Row],[Precio Venta]]</f>
        <v>30</v>
      </c>
      <c r="J243" s="12">
        <f>IF(VENTAS[[#This Row],[Nombre del Gestor]]&gt;1,VENTAS[[#This Row],[Total]]*10%,0)</f>
        <v>0</v>
      </c>
      <c r="K243" s="12">
        <f>IFERROR(VLOOKUP(VENTAS[[#This Row],[Código del producto Vendido]],STOCK[],16,FALSE)*VENTAS[[#This Row],[Cantidad]]+VLOOKUP(VENTAS[[#This Row],[Código del producto Vendido]],STOCK[],19,FALSE)*VENTAS[[#This Row],[Cantidad]],VENTAS[[#This Row],[Total]])</f>
        <v>18.3688888888889</v>
      </c>
      <c r="L243" s="12">
        <f>VENTAS[[#This Row],[Total]]-VENTAS[[#This Row],[Comisión 10%]]-VENTAS[[#This Row],[Costo SIN Comision]]</f>
        <v>11.6311111111111</v>
      </c>
      <c r="M243" s="12"/>
      <c r="N243" s="16"/>
    </row>
    <row r="244" spans="1:14" ht="20" hidden="1" customHeight="1">
      <c r="A244" s="9">
        <v>45085</v>
      </c>
      <c r="B244" s="10"/>
      <c r="C244" s="10" t="s">
        <v>4233</v>
      </c>
      <c r="D244" s="10"/>
      <c r="E244" s="10" t="s">
        <v>31</v>
      </c>
      <c r="F244" s="10" t="str">
        <f>IFERROR(VLOOKUP(VENTAS[[#This Row],[Código del producto Vendido]],STOCK[],5,FALSE),"-")</f>
        <v xml:space="preserve">Pareo falda </v>
      </c>
      <c r="G244" s="10">
        <v>1</v>
      </c>
      <c r="H244" s="12">
        <v>8</v>
      </c>
      <c r="I244" s="12">
        <f>VENTAS[[#This Row],[Cantidad]]*VENTAS[[#This Row],[Precio Venta]]</f>
        <v>8</v>
      </c>
      <c r="J244" s="12">
        <f>IF(VENTAS[[#This Row],[Nombre del Gestor]]&gt;1,VENTAS[[#This Row],[Total]]*10%,0)</f>
        <v>0</v>
      </c>
      <c r="K244" s="12">
        <f>IFERROR(VLOOKUP(VENTAS[[#This Row],[Código del producto Vendido]],STOCK[],16,FALSE)*VENTAS[[#This Row],[Cantidad]]+VLOOKUP(VENTAS[[#This Row],[Código del producto Vendido]],STOCK[],19,FALSE)*VENTAS[[#This Row],[Cantidad]],VENTAS[[#This Row],[Total]])</f>
        <v>4.3372222222222199</v>
      </c>
      <c r="L244" s="12">
        <f>VENTAS[[#This Row],[Total]]-VENTAS[[#This Row],[Comisión 10%]]-VENTAS[[#This Row],[Costo SIN Comision]]</f>
        <v>3.6627777777777801</v>
      </c>
      <c r="M244" s="12"/>
      <c r="N244" s="16"/>
    </row>
    <row r="245" spans="1:14" ht="20" hidden="1" customHeight="1">
      <c r="A245" s="9">
        <v>45085</v>
      </c>
      <c r="B245" s="10"/>
      <c r="C245" s="10" t="s">
        <v>4233</v>
      </c>
      <c r="D245" s="10"/>
      <c r="E245" s="10" t="s">
        <v>90</v>
      </c>
      <c r="F245" s="10" t="str">
        <f>IFERROR(VLOOKUP(VENTAS[[#This Row],[Código del producto Vendido]],STOCK[],5,FALSE),"-")</f>
        <v>Bañador con Cremallera</v>
      </c>
      <c r="G245" s="10">
        <v>1</v>
      </c>
      <c r="H245" s="12">
        <v>28</v>
      </c>
      <c r="I245" s="12">
        <f>VENTAS[[#This Row],[Cantidad]]*VENTAS[[#This Row],[Precio Venta]]</f>
        <v>28</v>
      </c>
      <c r="J245" s="12">
        <f>IF(VENTAS[[#This Row],[Nombre del Gestor]]&gt;1,VENTAS[[#This Row],[Total]]*10%,0)</f>
        <v>0</v>
      </c>
      <c r="K245" s="12">
        <f>IFERROR(VLOOKUP(VENTAS[[#This Row],[Código del producto Vendido]],STOCK[],16,FALSE)*VENTAS[[#This Row],[Cantidad]]+VLOOKUP(VENTAS[[#This Row],[Código del producto Vendido]],STOCK[],19,FALSE)*VENTAS[[#This Row],[Cantidad]],VENTAS[[#This Row],[Total]])</f>
        <v>21.080555555555598</v>
      </c>
      <c r="L245" s="12">
        <f>VENTAS[[#This Row],[Total]]-VENTAS[[#This Row],[Comisión 10%]]-VENTAS[[#This Row],[Costo SIN Comision]]</f>
        <v>6.9194444444444017</v>
      </c>
      <c r="M245" s="12"/>
      <c r="N245" s="16"/>
    </row>
    <row r="246" spans="1:14" ht="20" hidden="1" customHeight="1">
      <c r="A246" s="9">
        <v>45085</v>
      </c>
      <c r="B246" s="10"/>
      <c r="C246" s="10" t="s">
        <v>4233</v>
      </c>
      <c r="D246" s="10"/>
      <c r="E246" s="10" t="s">
        <v>953</v>
      </c>
      <c r="F246" s="10" t="str">
        <f>IFERROR(VLOOKUP(VENTAS[[#This Row],[Código del producto Vendido]],STOCK[],5,FALSE),"-")</f>
        <v>Niñas 3 piezas Bañador bikini de rayas combinadas con abertura con kimono</v>
      </c>
      <c r="G246" s="10">
        <v>1</v>
      </c>
      <c r="H246" s="12">
        <v>25</v>
      </c>
      <c r="I246" s="12">
        <f>VENTAS[[#This Row],[Cantidad]]*VENTAS[[#This Row],[Precio Venta]]</f>
        <v>25</v>
      </c>
      <c r="J246" s="12">
        <f>IF(VENTAS[[#This Row],[Nombre del Gestor]]&gt;1,VENTAS[[#This Row],[Total]]*10%,0)</f>
        <v>0</v>
      </c>
      <c r="K246" s="12">
        <f>IFERROR(VLOOKUP(VENTAS[[#This Row],[Código del producto Vendido]],STOCK[],16,FALSE)*VENTAS[[#This Row],[Cantidad]]+VLOOKUP(VENTAS[[#This Row],[Código del producto Vendido]],STOCK[],19,FALSE)*VENTAS[[#This Row],[Cantidad]],VENTAS[[#This Row],[Total]])</f>
        <v>12.377272727272731</v>
      </c>
      <c r="L246" s="12">
        <f>VENTAS[[#This Row],[Total]]-VENTAS[[#This Row],[Comisión 10%]]-VENTAS[[#This Row],[Costo SIN Comision]]</f>
        <v>12.622727272727269</v>
      </c>
      <c r="M246" s="12"/>
      <c r="N246" s="16"/>
    </row>
    <row r="247" spans="1:14" ht="20" hidden="1" customHeight="1">
      <c r="A247" s="19">
        <v>45085</v>
      </c>
      <c r="B247" s="10"/>
      <c r="C247" s="10" t="s">
        <v>4233</v>
      </c>
      <c r="D247" s="10"/>
      <c r="E247" s="10" t="s">
        <v>977</v>
      </c>
      <c r="F247" s="10" t="str">
        <f>IFERROR(VLOOKUP(VENTAS[[#This Row],[Código del producto Vendido]],STOCK[],5,FALSE),"-")</f>
        <v>Bikini niña 3 piezas</v>
      </c>
      <c r="G247" s="10">
        <v>1</v>
      </c>
      <c r="H247" s="12">
        <v>25</v>
      </c>
      <c r="I247" s="12">
        <f>VENTAS[[#This Row],[Cantidad]]*VENTAS[[#This Row],[Precio Venta]]</f>
        <v>25</v>
      </c>
      <c r="J247" s="12">
        <f>IF(VENTAS[[#This Row],[Nombre del Gestor]]&gt;1,VENTAS[[#This Row],[Total]]*10%,0)</f>
        <v>0</v>
      </c>
      <c r="K247" s="12">
        <f>IFERROR(VLOOKUP(VENTAS[[#This Row],[Código del producto Vendido]],STOCK[],16,FALSE)*VENTAS[[#This Row],[Cantidad]]+VLOOKUP(VENTAS[[#This Row],[Código del producto Vendido]],STOCK[],19,FALSE)*VENTAS[[#This Row],[Cantidad]],VENTAS[[#This Row],[Total]])</f>
        <v>14.4772727272727</v>
      </c>
      <c r="L247" s="12">
        <f>VENTAS[[#This Row],[Total]]-VENTAS[[#This Row],[Comisión 10%]]-VENTAS[[#This Row],[Costo SIN Comision]]</f>
        <v>10.5227272727273</v>
      </c>
      <c r="M247" s="12"/>
      <c r="N247" s="16"/>
    </row>
    <row r="248" spans="1:14" ht="20" hidden="1" customHeight="1">
      <c r="A248" s="9">
        <v>45083</v>
      </c>
      <c r="B248" s="10"/>
      <c r="C248" s="10" t="s">
        <v>4234</v>
      </c>
      <c r="D248" s="10"/>
      <c r="E248" s="10" t="s">
        <v>272</v>
      </c>
      <c r="F248" s="10" t="str">
        <f>IFERROR(VLOOKUP(VENTAS[[#This Row],[Código del producto Vendido]],STOCK[],5,FALSE),"-")</f>
        <v>Vestido camiseta bajo con abertura</v>
      </c>
      <c r="G248" s="10">
        <v>1</v>
      </c>
      <c r="H248" s="12">
        <v>22</v>
      </c>
      <c r="I248" s="12">
        <f>VENTAS[[#This Row],[Cantidad]]*VENTAS[[#This Row],[Precio Venta]]</f>
        <v>22</v>
      </c>
      <c r="J248" s="12">
        <f>IF(VENTAS[[#This Row],[Nombre del Gestor]]&gt;1,VENTAS[[#This Row],[Total]]*10%,0)</f>
        <v>0</v>
      </c>
      <c r="K248" s="12">
        <f>IFERROR(VLOOKUP(VENTAS[[#This Row],[Código del producto Vendido]],STOCK[],16,FALSE)*VENTAS[[#This Row],[Cantidad]]+VLOOKUP(VENTAS[[#This Row],[Código del producto Vendido]],STOCK[],19,FALSE)*VENTAS[[#This Row],[Cantidad]],VENTAS[[#This Row],[Total]])</f>
        <v>13.3888888888889</v>
      </c>
      <c r="L248" s="12">
        <f>VENTAS[[#This Row],[Total]]-VENTAS[[#This Row],[Comisión 10%]]-VENTAS[[#This Row],[Costo SIN Comision]]</f>
        <v>8.6111111111111001</v>
      </c>
      <c r="M248" s="12"/>
      <c r="N248" s="16"/>
    </row>
    <row r="249" spans="1:14" ht="20" hidden="1" customHeight="1">
      <c r="A249" s="9">
        <v>45085</v>
      </c>
      <c r="B249" s="10"/>
      <c r="C249" s="10" t="s">
        <v>4235</v>
      </c>
      <c r="D249" s="10"/>
      <c r="E249" s="10" t="s">
        <v>755</v>
      </c>
      <c r="F249" s="10" t="str">
        <f>IFERROR(VLOOKUP(VENTAS[[#This Row],[Código del producto Vendido]],STOCK[],5,FALSE),"-")</f>
        <v>Sandalias Rojas</v>
      </c>
      <c r="G249" s="10">
        <v>1</v>
      </c>
      <c r="H249" s="12">
        <v>35</v>
      </c>
      <c r="I249" s="12">
        <f>VENTAS[[#This Row],[Cantidad]]*VENTAS[[#This Row],[Precio Venta]]</f>
        <v>35</v>
      </c>
      <c r="J249" s="12">
        <f>IF(VENTAS[[#This Row],[Nombre del Gestor]]&gt;1,VENTAS[[#This Row],[Total]]*10%,0)</f>
        <v>0</v>
      </c>
      <c r="K249" s="12">
        <f>IFERROR(VLOOKUP(VENTAS[[#This Row],[Código del producto Vendido]],STOCK[],16,FALSE)*VENTAS[[#This Row],[Cantidad]]+VLOOKUP(VENTAS[[#This Row],[Código del producto Vendido]],STOCK[],19,FALSE)*VENTAS[[#This Row],[Cantidad]],VENTAS[[#This Row],[Total]])</f>
        <v>25.7222222222222</v>
      </c>
      <c r="L249" s="12">
        <f>VENTAS[[#This Row],[Total]]-VENTAS[[#This Row],[Comisión 10%]]-VENTAS[[#This Row],[Costo SIN Comision]]</f>
        <v>9.2777777777777999</v>
      </c>
      <c r="M249" s="12"/>
      <c r="N249" s="16"/>
    </row>
    <row r="250" spans="1:14" ht="20" hidden="1" customHeight="1">
      <c r="A250" s="9">
        <v>45085</v>
      </c>
      <c r="B250" s="10"/>
      <c r="C250" s="10" t="s">
        <v>4235</v>
      </c>
      <c r="D250" s="10"/>
      <c r="E250" s="10" t="s">
        <v>1152</v>
      </c>
      <c r="F250" s="10" t="str">
        <f>IFERROR(VLOOKUP(VENTAS[[#This Row],[Código del producto Vendido]],STOCK[],5,FALSE),"-")</f>
        <v>Sandalias de tiras de tacón cuadrado</v>
      </c>
      <c r="G250" s="10">
        <v>1</v>
      </c>
      <c r="H250" s="12">
        <v>45</v>
      </c>
      <c r="I250" s="12">
        <f>VENTAS[[#This Row],[Cantidad]]*VENTAS[[#This Row],[Precio Venta]]</f>
        <v>45</v>
      </c>
      <c r="J250" s="12">
        <f>IF(VENTAS[[#This Row],[Nombre del Gestor]]&gt;1,VENTAS[[#This Row],[Total]]*10%,0)</f>
        <v>0</v>
      </c>
      <c r="K250" s="12">
        <f>IFERROR(VLOOKUP(VENTAS[[#This Row],[Código del producto Vendido]],STOCK[],16,FALSE)*VENTAS[[#This Row],[Cantidad]]+VLOOKUP(VENTAS[[#This Row],[Código del producto Vendido]],STOCK[],19,FALSE)*VENTAS[[#This Row],[Cantidad]],VENTAS[[#This Row],[Total]])</f>
        <v>35.361764705882401</v>
      </c>
      <c r="L250" s="12">
        <f>VENTAS[[#This Row],[Total]]-VENTAS[[#This Row],[Comisión 10%]]-VENTAS[[#This Row],[Costo SIN Comision]]</f>
        <v>9.6382352941175995</v>
      </c>
      <c r="M250" s="12"/>
      <c r="N250" s="16"/>
    </row>
    <row r="251" spans="1:14" ht="20" hidden="1" customHeight="1">
      <c r="A251" s="9">
        <v>45086</v>
      </c>
      <c r="B251" s="10"/>
      <c r="C251" s="10" t="s">
        <v>4236</v>
      </c>
      <c r="D251" s="10"/>
      <c r="E251" s="10" t="s">
        <v>560</v>
      </c>
      <c r="F251" s="10" t="str">
        <f>IFERROR(VLOOKUP(VENTAS[[#This Row],[Código del producto Vendido]],STOCK[],5,FALSE),"-")</f>
        <v>Shorts de cintura con cordón</v>
      </c>
      <c r="G251" s="10">
        <v>1</v>
      </c>
      <c r="H251" s="12">
        <v>19</v>
      </c>
      <c r="I251" s="12">
        <f>VENTAS[[#This Row],[Cantidad]]*VENTAS[[#This Row],[Precio Venta]]</f>
        <v>19</v>
      </c>
      <c r="J251" s="12">
        <f>IF(VENTAS[[#This Row],[Nombre del Gestor]]&gt;1,VENTAS[[#This Row],[Total]]*10%,0)</f>
        <v>0</v>
      </c>
      <c r="K251" s="12">
        <f>IFERROR(VLOOKUP(VENTAS[[#This Row],[Código del producto Vendido]],STOCK[],16,FALSE)*VENTAS[[#This Row],[Cantidad]]+VLOOKUP(VENTAS[[#This Row],[Código del producto Vendido]],STOCK[],19,FALSE)*VENTAS[[#This Row],[Cantidad]],VENTAS[[#This Row],[Total]])</f>
        <v>6.6655555555555601</v>
      </c>
      <c r="L251" s="12">
        <f>VENTAS[[#This Row],[Total]]-VENTAS[[#This Row],[Comisión 10%]]-VENTAS[[#This Row],[Costo SIN Comision]]</f>
        <v>12.33444444444444</v>
      </c>
      <c r="M251" s="12"/>
      <c r="N251" s="16"/>
    </row>
    <row r="252" spans="1:14" ht="20" hidden="1" customHeight="1">
      <c r="A252" s="9">
        <v>45086</v>
      </c>
      <c r="B252" s="10"/>
      <c r="C252" s="10" t="s">
        <v>4236</v>
      </c>
      <c r="D252" s="10"/>
      <c r="E252" s="10" t="s">
        <v>485</v>
      </c>
      <c r="F252" s="10" t="str">
        <f>IFERROR(VLOOKUP(VENTAS[[#This Row],[Código del producto Vendido]],STOCK[],5,FALSE),"-")</f>
        <v>Bolsa cartera con manija</v>
      </c>
      <c r="G252" s="10">
        <v>1</v>
      </c>
      <c r="H252" s="12">
        <v>15</v>
      </c>
      <c r="I252" s="12">
        <f>VENTAS[[#This Row],[Cantidad]]*VENTAS[[#This Row],[Precio Venta]]</f>
        <v>15</v>
      </c>
      <c r="J252" s="12">
        <f>IF(VENTAS[[#This Row],[Nombre del Gestor]]&gt;1,VENTAS[[#This Row],[Total]]*10%,0)</f>
        <v>0</v>
      </c>
      <c r="K252" s="12">
        <f>IFERROR(VLOOKUP(VENTAS[[#This Row],[Código del producto Vendido]],STOCK[],16,FALSE)*VENTAS[[#This Row],[Cantidad]]+VLOOKUP(VENTAS[[#This Row],[Código del producto Vendido]],STOCK[],19,FALSE)*VENTAS[[#This Row],[Cantidad]],VENTAS[[#This Row],[Total]])</f>
        <v>8.8644444444444392</v>
      </c>
      <c r="L252" s="12">
        <f>VENTAS[[#This Row],[Total]]-VENTAS[[#This Row],[Comisión 10%]]-VENTAS[[#This Row],[Costo SIN Comision]]</f>
        <v>6.1355555555555608</v>
      </c>
      <c r="M252" s="12"/>
      <c r="N252" s="16"/>
    </row>
    <row r="253" spans="1:14" ht="20" hidden="1" customHeight="1">
      <c r="A253" s="9">
        <v>45086</v>
      </c>
      <c r="B253" s="10"/>
      <c r="C253" s="10" t="s">
        <v>4237</v>
      </c>
      <c r="D253" s="10"/>
      <c r="E253" s="10" t="s">
        <v>876</v>
      </c>
      <c r="F253" s="10" t="str">
        <f>IFERROR(VLOOKUP(VENTAS[[#This Row],[Código del producto Vendido]],STOCK[],5,FALSE),"-")</f>
        <v>Brasier de encaje_Negro Unitalla</v>
      </c>
      <c r="G253" s="10">
        <v>1</v>
      </c>
      <c r="H253" s="12">
        <v>7</v>
      </c>
      <c r="I253" s="12">
        <f>VENTAS[[#This Row],[Cantidad]]*VENTAS[[#This Row],[Precio Venta]]</f>
        <v>7</v>
      </c>
      <c r="J253" s="12">
        <f>IF(VENTAS[[#This Row],[Nombre del Gestor]]&gt;1,VENTAS[[#This Row],[Total]]*10%,0)</f>
        <v>0</v>
      </c>
      <c r="K253" s="12">
        <f>IFERROR(VLOOKUP(VENTAS[[#This Row],[Código del producto Vendido]],STOCK[],16,FALSE)*VENTAS[[#This Row],[Cantidad]]+VLOOKUP(VENTAS[[#This Row],[Código del producto Vendido]],STOCK[],19,FALSE)*VENTAS[[#This Row],[Cantidad]],VENTAS[[#This Row],[Total]])</f>
        <v>3.7111111111111099</v>
      </c>
      <c r="L253" s="12">
        <f>VENTAS[[#This Row],[Total]]-VENTAS[[#This Row],[Comisión 10%]]-VENTAS[[#This Row],[Costo SIN Comision]]</f>
        <v>3.2888888888888901</v>
      </c>
      <c r="M253" s="12"/>
      <c r="N253" s="16"/>
    </row>
    <row r="254" spans="1:14" ht="20" hidden="1" customHeight="1">
      <c r="A254" s="9">
        <v>45086</v>
      </c>
      <c r="B254" s="10"/>
      <c r="C254" s="10" t="s">
        <v>4237</v>
      </c>
      <c r="D254" s="10"/>
      <c r="E254" s="10" t="s">
        <v>878</v>
      </c>
      <c r="F254" s="10" t="str">
        <f>IFERROR(VLOOKUP(VENTAS[[#This Row],[Código del producto Vendido]],STOCK[],5,FALSE),"-")</f>
        <v>Brasier de encaje blanco</v>
      </c>
      <c r="G254" s="10">
        <v>1</v>
      </c>
      <c r="H254" s="12">
        <v>7</v>
      </c>
      <c r="I254" s="12">
        <f>VENTAS[[#This Row],[Cantidad]]*VENTAS[[#This Row],[Precio Venta]]</f>
        <v>7</v>
      </c>
      <c r="J254" s="12">
        <f>IF(VENTAS[[#This Row],[Nombre del Gestor]]&gt;1,VENTAS[[#This Row],[Total]]*10%,0)</f>
        <v>0</v>
      </c>
      <c r="K254" s="12">
        <f>IFERROR(VLOOKUP(VENTAS[[#This Row],[Código del producto Vendido]],STOCK[],16,FALSE)*VENTAS[[#This Row],[Cantidad]]+VLOOKUP(VENTAS[[#This Row],[Código del producto Vendido]],STOCK[],19,FALSE)*VENTAS[[#This Row],[Cantidad]],VENTAS[[#This Row],[Total]])</f>
        <v>3.7111111111111099</v>
      </c>
      <c r="L254" s="12">
        <f>VENTAS[[#This Row],[Total]]-VENTAS[[#This Row],[Comisión 10%]]-VENTAS[[#This Row],[Costo SIN Comision]]</f>
        <v>3.2888888888888901</v>
      </c>
      <c r="M254" s="12"/>
      <c r="N254" s="16"/>
    </row>
    <row r="255" spans="1:14" ht="20" hidden="1" customHeight="1">
      <c r="A255" s="9">
        <v>45086</v>
      </c>
      <c r="B255" s="10"/>
      <c r="C255" s="10" t="s">
        <v>4238</v>
      </c>
      <c r="D255" s="10"/>
      <c r="E255" s="10" t="s">
        <v>665</v>
      </c>
      <c r="F255" s="10" t="str">
        <f>IFERROR(VLOOKUP(VENTAS[[#This Row],[Código del producto Vendido]],STOCK[],5,FALSE),"-")</f>
        <v>Top Cruzado negro</v>
      </c>
      <c r="G255" s="10">
        <v>1</v>
      </c>
      <c r="H255" s="12">
        <v>9</v>
      </c>
      <c r="I255" s="12">
        <f>VENTAS[[#This Row],[Cantidad]]*VENTAS[[#This Row],[Precio Venta]]</f>
        <v>9</v>
      </c>
      <c r="J255" s="12">
        <f>IF(VENTAS[[#This Row],[Nombre del Gestor]]&gt;1,VENTAS[[#This Row],[Total]]*10%,0)</f>
        <v>0</v>
      </c>
      <c r="K255" s="12">
        <f>IFERROR(VLOOKUP(VENTAS[[#This Row],[Código del producto Vendido]],STOCK[],16,FALSE)*VENTAS[[#This Row],[Cantidad]]+VLOOKUP(VENTAS[[#This Row],[Código del producto Vendido]],STOCK[],19,FALSE)*VENTAS[[#This Row],[Cantidad]],VENTAS[[#This Row],[Total]])</f>
        <v>4.9016666666666699</v>
      </c>
      <c r="L255" s="12">
        <f>VENTAS[[#This Row],[Total]]-VENTAS[[#This Row],[Comisión 10%]]-VENTAS[[#This Row],[Costo SIN Comision]]</f>
        <v>4.0983333333333301</v>
      </c>
      <c r="M255" s="12"/>
      <c r="N255" s="16"/>
    </row>
    <row r="256" spans="1:14" ht="20" hidden="1" customHeight="1">
      <c r="A256" s="9">
        <v>45086</v>
      </c>
      <c r="B256" s="10"/>
      <c r="C256" s="10" t="s">
        <v>4238</v>
      </c>
      <c r="D256" s="10"/>
      <c r="E256" s="10" t="s">
        <v>596</v>
      </c>
      <c r="F256" s="10" t="str">
        <f>IFERROR(VLOOKUP(VENTAS[[#This Row],[Código del producto Vendido]],STOCK[],5,FALSE),"-")</f>
        <v>Top cruzado naranja</v>
      </c>
      <c r="G256" s="10">
        <v>1</v>
      </c>
      <c r="H256" s="12">
        <v>9</v>
      </c>
      <c r="I256" s="12">
        <f>VENTAS[[#This Row],[Cantidad]]*VENTAS[[#This Row],[Precio Venta]]</f>
        <v>9</v>
      </c>
      <c r="J256" s="12">
        <f>IF(VENTAS[[#This Row],[Nombre del Gestor]]&gt;1,VENTAS[[#This Row],[Total]]*10%,0)</f>
        <v>0</v>
      </c>
      <c r="K256" s="12">
        <f>IFERROR(VLOOKUP(VENTAS[[#This Row],[Código del producto Vendido]],STOCK[],16,FALSE)*VENTAS[[#This Row],[Cantidad]]+VLOOKUP(VENTAS[[#This Row],[Código del producto Vendido]],STOCK[],19,FALSE)*VENTAS[[#This Row],[Cantidad]],VENTAS[[#This Row],[Total]])</f>
        <v>5.0683333333333307</v>
      </c>
      <c r="L256" s="12">
        <f>VENTAS[[#This Row],[Total]]-VENTAS[[#This Row],[Comisión 10%]]-VENTAS[[#This Row],[Costo SIN Comision]]</f>
        <v>3.9316666666666693</v>
      </c>
      <c r="M256" s="12"/>
      <c r="N256" s="16"/>
    </row>
    <row r="257" spans="1:14" ht="20" hidden="1" customHeight="1">
      <c r="A257" s="9">
        <v>45086</v>
      </c>
      <c r="B257" s="10"/>
      <c r="C257" s="10" t="s">
        <v>4239</v>
      </c>
      <c r="D257" s="10"/>
      <c r="E257" s="10" t="s">
        <v>114</v>
      </c>
      <c r="F257" s="10" t="str">
        <f>IFERROR(VLOOKUP(VENTAS[[#This Row],[Código del producto Vendido]],STOCK[],5,FALSE),"-")</f>
        <v>Bikini Mangas Negro</v>
      </c>
      <c r="G257" s="10">
        <v>1</v>
      </c>
      <c r="H257" s="12">
        <v>25</v>
      </c>
      <c r="I257" s="12">
        <f>VENTAS[[#This Row],[Cantidad]]*VENTAS[[#This Row],[Precio Venta]]</f>
        <v>25</v>
      </c>
      <c r="J257" s="12">
        <f>IF(VENTAS[[#This Row],[Nombre del Gestor]]&gt;1,VENTAS[[#This Row],[Total]]*10%,0)</f>
        <v>0</v>
      </c>
      <c r="K257" s="12">
        <f>IFERROR(VLOOKUP(VENTAS[[#This Row],[Código del producto Vendido]],STOCK[],16,FALSE)*VENTAS[[#This Row],[Cantidad]]+VLOOKUP(VENTAS[[#This Row],[Código del producto Vendido]],STOCK[],19,FALSE)*VENTAS[[#This Row],[Cantidad]],VENTAS[[#This Row],[Total]])</f>
        <v>14.040555555555599</v>
      </c>
      <c r="L257" s="12">
        <f>VENTAS[[#This Row],[Total]]-VENTAS[[#This Row],[Comisión 10%]]-VENTAS[[#This Row],[Costo SIN Comision]]</f>
        <v>10.959444444444401</v>
      </c>
      <c r="M257" s="12"/>
      <c r="N257" s="16"/>
    </row>
    <row r="258" spans="1:14" ht="20" hidden="1" customHeight="1">
      <c r="A258" s="9">
        <v>45086</v>
      </c>
      <c r="B258" s="10"/>
      <c r="C258" s="10" t="s">
        <v>4239</v>
      </c>
      <c r="D258" s="10"/>
      <c r="E258" s="10" t="s">
        <v>1140</v>
      </c>
      <c r="F258" s="10" t="str">
        <f>IFERROR(VLOOKUP(VENTAS[[#This Row],[Código del producto Vendido]],STOCK[],5,FALSE),"-")</f>
        <v>Babydoll</v>
      </c>
      <c r="G258" s="10">
        <v>1</v>
      </c>
      <c r="H258" s="12">
        <v>12</v>
      </c>
      <c r="I258" s="12">
        <f>VENTAS[[#This Row],[Cantidad]]*VENTAS[[#This Row],[Precio Venta]]</f>
        <v>12</v>
      </c>
      <c r="J258" s="12">
        <f>IF(VENTAS[[#This Row],[Nombre del Gestor]]&gt;1,VENTAS[[#This Row],[Total]]*10%,0)</f>
        <v>0</v>
      </c>
      <c r="K258" s="12">
        <f>IFERROR(VLOOKUP(VENTAS[[#This Row],[Código del producto Vendido]],STOCK[],16,FALSE)*VENTAS[[#This Row],[Cantidad]]+VLOOKUP(VENTAS[[#This Row],[Código del producto Vendido]],STOCK[],19,FALSE)*VENTAS[[#This Row],[Cantidad]],VENTAS[[#This Row],[Total]])</f>
        <v>9.5794117647058812</v>
      </c>
      <c r="L258" s="12">
        <f>VENTAS[[#This Row],[Total]]-VENTAS[[#This Row],[Comisión 10%]]-VENTAS[[#This Row],[Costo SIN Comision]]</f>
        <v>2.4205882352941188</v>
      </c>
      <c r="M258" s="12"/>
      <c r="N258" s="16"/>
    </row>
    <row r="259" spans="1:14" ht="20" hidden="1" customHeight="1">
      <c r="A259" s="9"/>
      <c r="B259" s="10"/>
      <c r="C259" s="10"/>
      <c r="D259" s="10"/>
      <c r="E259" s="10"/>
      <c r="F259" s="10" t="str">
        <f>IFERROR(VLOOKUP(VENTAS[[#This Row],[Código del producto Vendido]],STOCK[],5,FALSE),"-")</f>
        <v>-</v>
      </c>
      <c r="G259" s="10"/>
      <c r="H259" s="12"/>
      <c r="I259" s="12">
        <f>VENTAS[[#This Row],[Cantidad]]*VENTAS[[#This Row],[Precio Venta]]</f>
        <v>0</v>
      </c>
      <c r="J259" s="12">
        <f>IF(VENTAS[[#This Row],[Nombre del Gestor]]&gt;1,VENTAS[[#This Row],[Total]]*10%,0)</f>
        <v>0</v>
      </c>
      <c r="K259" s="12">
        <f>IFERROR(VLOOKUP(VENTAS[[#This Row],[Código del producto Vendido]],STOCK[],16,FALSE)*VENTAS[[#This Row],[Cantidad]]+VLOOKUP(VENTAS[[#This Row],[Código del producto Vendido]],STOCK[],19,FALSE)*VENTAS[[#This Row],[Cantidad]],VENTAS[[#This Row],[Total]])</f>
        <v>0</v>
      </c>
      <c r="L259" s="12">
        <f>VENTAS[[#This Row],[Total]]-VENTAS[[#This Row],[Comisión 10%]]-VENTAS[[#This Row],[Costo SIN Comision]]</f>
        <v>0</v>
      </c>
      <c r="M259" s="12"/>
      <c r="N259" s="16"/>
    </row>
    <row r="260" spans="1:14" ht="20" hidden="1" customHeight="1">
      <c r="A260" s="9">
        <v>45086</v>
      </c>
      <c r="B260" s="10"/>
      <c r="C260" s="10"/>
      <c r="D260" s="10"/>
      <c r="E260" s="10" t="s">
        <v>807</v>
      </c>
      <c r="F260" s="10" t="str">
        <f>IFERROR(VLOOKUP(VENTAS[[#This Row],[Código del producto Vendido]],STOCK[],5,FALSE),"-")</f>
        <v>Bañador a rayas con lazo</v>
      </c>
      <c r="G260" s="10">
        <v>1</v>
      </c>
      <c r="H260" s="12">
        <v>15</v>
      </c>
      <c r="I260" s="12">
        <f>VENTAS[[#This Row],[Cantidad]]*VENTAS[[#This Row],[Precio Venta]]</f>
        <v>15</v>
      </c>
      <c r="J260" s="12">
        <f>IF(VENTAS[[#This Row],[Nombre del Gestor]]&gt;1,VENTAS[[#This Row],[Total]]*10%,0)</f>
        <v>0</v>
      </c>
      <c r="K260" s="12">
        <f>IFERROR(VLOOKUP(VENTAS[[#This Row],[Código del producto Vendido]],STOCK[],16,FALSE)*VENTAS[[#This Row],[Cantidad]]+VLOOKUP(VENTAS[[#This Row],[Código del producto Vendido]],STOCK[],19,FALSE)*VENTAS[[#This Row],[Cantidad]],VENTAS[[#This Row],[Total]])</f>
        <v>9.5</v>
      </c>
      <c r="L260" s="12">
        <f>VENTAS[[#This Row],[Total]]-VENTAS[[#This Row],[Comisión 10%]]-VENTAS[[#This Row],[Costo SIN Comision]]</f>
        <v>5.5</v>
      </c>
      <c r="M260" s="12"/>
      <c r="N260" s="16"/>
    </row>
    <row r="261" spans="1:14" ht="20" hidden="1" customHeight="1">
      <c r="A261" s="9">
        <v>45086</v>
      </c>
      <c r="B261" s="10"/>
      <c r="C261" s="10"/>
      <c r="D261" s="10"/>
      <c r="E261" s="10" t="s">
        <v>1035</v>
      </c>
      <c r="F261" s="10" t="str">
        <f>IFERROR(VLOOKUP(VENTAS[[#This Row],[Código del producto Vendido]],STOCK[],5,FALSE),"-")</f>
        <v>Jenas Ajustados Oscuro</v>
      </c>
      <c r="G261" s="10">
        <v>1</v>
      </c>
      <c r="H261" s="12">
        <v>35</v>
      </c>
      <c r="I261" s="12">
        <f>VENTAS[[#This Row],[Cantidad]]*VENTAS[[#This Row],[Precio Venta]]</f>
        <v>35</v>
      </c>
      <c r="J261" s="12">
        <f>IF(VENTAS[[#This Row],[Nombre del Gestor]]&gt;1,VENTAS[[#This Row],[Total]]*10%,0)</f>
        <v>0</v>
      </c>
      <c r="K261" s="12">
        <f>IFERROR(VLOOKUP(VENTAS[[#This Row],[Código del producto Vendido]],STOCK[],16,FALSE)*VENTAS[[#This Row],[Cantidad]]+VLOOKUP(VENTAS[[#This Row],[Código del producto Vendido]],STOCK[],19,FALSE)*VENTAS[[#This Row],[Cantidad]],VENTAS[[#This Row],[Total]])</f>
        <v>24.681818181818201</v>
      </c>
      <c r="L261" s="12">
        <f>VENTAS[[#This Row],[Total]]-VENTAS[[#This Row],[Comisión 10%]]-VENTAS[[#This Row],[Costo SIN Comision]]</f>
        <v>10.318181818181799</v>
      </c>
      <c r="M261" s="12"/>
      <c r="N261" s="16"/>
    </row>
    <row r="262" spans="1:14" ht="20" hidden="1" customHeight="1">
      <c r="A262" s="9">
        <v>45088</v>
      </c>
      <c r="B262" s="10"/>
      <c r="C262" s="10"/>
      <c r="D262" s="10"/>
      <c r="E262" s="10" t="s">
        <v>37</v>
      </c>
      <c r="F262" s="10" t="str">
        <f>IFERROR(VLOOKUP(VENTAS[[#This Row],[Código del producto Vendido]],STOCK[],5,FALSE),"-")</f>
        <v>Bikini Floral</v>
      </c>
      <c r="G262" s="10">
        <v>1</v>
      </c>
      <c r="H262" s="12">
        <v>25</v>
      </c>
      <c r="I262" s="12">
        <f>VENTAS[[#This Row],[Cantidad]]*VENTAS[[#This Row],[Precio Venta]]</f>
        <v>25</v>
      </c>
      <c r="J262" s="12">
        <f>IF(VENTAS[[#This Row],[Nombre del Gestor]]&gt;1,VENTAS[[#This Row],[Total]]*10%,0)</f>
        <v>0</v>
      </c>
      <c r="K262" s="12">
        <f>IFERROR(VLOOKUP(VENTAS[[#This Row],[Código del producto Vendido]],STOCK[],16,FALSE)*VENTAS[[#This Row],[Cantidad]]+VLOOKUP(VENTAS[[#This Row],[Código del producto Vendido]],STOCK[],19,FALSE)*VENTAS[[#This Row],[Cantidad]],VENTAS[[#This Row],[Total]])</f>
        <v>18.371111111111098</v>
      </c>
      <c r="L262" s="12">
        <f>VENTAS[[#This Row],[Total]]-VENTAS[[#This Row],[Comisión 10%]]-VENTAS[[#This Row],[Costo SIN Comision]]</f>
        <v>6.6288888888889019</v>
      </c>
      <c r="M262" s="12"/>
      <c r="N262" s="16"/>
    </row>
    <row r="263" spans="1:14" ht="20" hidden="1" customHeight="1">
      <c r="A263" s="9">
        <v>45088</v>
      </c>
      <c r="B263" s="10"/>
      <c r="C263" s="10"/>
      <c r="D263" s="10"/>
      <c r="E263" s="10" t="s">
        <v>940</v>
      </c>
      <c r="F263" s="10" t="str">
        <f>IFERROR(VLOOKUP(VENTAS[[#This Row],[Código del producto Vendido]],STOCK[],5,FALSE),"-")</f>
        <v>Vestido Tropical</v>
      </c>
      <c r="G263" s="10">
        <v>1</v>
      </c>
      <c r="H263" s="12">
        <v>30</v>
      </c>
      <c r="I263" s="12">
        <f>VENTAS[[#This Row],[Cantidad]]*VENTAS[[#This Row],[Precio Venta]]</f>
        <v>30</v>
      </c>
      <c r="J263" s="12">
        <f>IF(VENTAS[[#This Row],[Nombre del Gestor]]&gt;1,VENTAS[[#This Row],[Total]]*10%,0)</f>
        <v>0</v>
      </c>
      <c r="K263" s="12">
        <f>IFERROR(VLOOKUP(VENTAS[[#This Row],[Código del producto Vendido]],STOCK[],16,FALSE)*VENTAS[[#This Row],[Cantidad]]+VLOOKUP(VENTAS[[#This Row],[Código del producto Vendido]],STOCK[],19,FALSE)*VENTAS[[#This Row],[Cantidad]],VENTAS[[#This Row],[Total]])</f>
        <v>19.0186363636364</v>
      </c>
      <c r="L263" s="12">
        <f>VENTAS[[#This Row],[Total]]-VENTAS[[#This Row],[Comisión 10%]]-VENTAS[[#This Row],[Costo SIN Comision]]</f>
        <v>10.9813636363636</v>
      </c>
      <c r="M263" s="12"/>
      <c r="N263" s="16"/>
    </row>
    <row r="264" spans="1:14" ht="20" hidden="1" customHeight="1">
      <c r="A264" s="9">
        <v>45089</v>
      </c>
      <c r="B264" s="10"/>
      <c r="C264" s="10"/>
      <c r="D264" s="10"/>
      <c r="E264" s="10" t="s">
        <v>485</v>
      </c>
      <c r="F264" s="10" t="str">
        <f>IFERROR(VLOOKUP(VENTAS[[#This Row],[Código del producto Vendido]],STOCK[],5,FALSE),"-")</f>
        <v>Bolsa cartera con manija</v>
      </c>
      <c r="G264" s="10">
        <v>1</v>
      </c>
      <c r="H264" s="12">
        <v>15</v>
      </c>
      <c r="I264" s="12">
        <f>VENTAS[[#This Row],[Cantidad]]*VENTAS[[#This Row],[Precio Venta]]</f>
        <v>15</v>
      </c>
      <c r="J264" s="12">
        <f>IF(VENTAS[[#This Row],[Nombre del Gestor]]&gt;1,VENTAS[[#This Row],[Total]]*10%,0)</f>
        <v>0</v>
      </c>
      <c r="K264" s="12">
        <f>IFERROR(VLOOKUP(VENTAS[[#This Row],[Código del producto Vendido]],STOCK[],16,FALSE)*VENTAS[[#This Row],[Cantidad]]+VLOOKUP(VENTAS[[#This Row],[Código del producto Vendido]],STOCK[],19,FALSE)*VENTAS[[#This Row],[Cantidad]],VENTAS[[#This Row],[Total]])</f>
        <v>8.8644444444444392</v>
      </c>
      <c r="L264" s="12">
        <f>VENTAS[[#This Row],[Total]]-VENTAS[[#This Row],[Comisión 10%]]-VENTAS[[#This Row],[Costo SIN Comision]]</f>
        <v>6.1355555555555608</v>
      </c>
      <c r="M264" s="12"/>
      <c r="N264" s="16"/>
    </row>
    <row r="265" spans="1:14" ht="20" hidden="1" customHeight="1">
      <c r="A265" s="9">
        <v>45089</v>
      </c>
      <c r="B265" s="10"/>
      <c r="C265" s="10"/>
      <c r="D265" s="10"/>
      <c r="E265" s="10" t="s">
        <v>1036</v>
      </c>
      <c r="F265" s="10" t="str">
        <f>IFERROR(VLOOKUP(VENTAS[[#This Row],[Código del producto Vendido]],STOCK[],5,FALSE),"-")</f>
        <v xml:space="preserve">Falda Fruncida </v>
      </c>
      <c r="G265" s="10">
        <v>1</v>
      </c>
      <c r="H265" s="12">
        <v>25</v>
      </c>
      <c r="I265" s="12">
        <f>VENTAS[[#This Row],[Cantidad]]*VENTAS[[#This Row],[Precio Venta]]</f>
        <v>25</v>
      </c>
      <c r="J265" s="12">
        <f>IF(VENTAS[[#This Row],[Nombre del Gestor]]&gt;1,VENTAS[[#This Row],[Total]]*10%,0)</f>
        <v>0</v>
      </c>
      <c r="K265" s="12">
        <f>IFERROR(VLOOKUP(VENTAS[[#This Row],[Código del producto Vendido]],STOCK[],16,FALSE)*VENTAS[[#This Row],[Cantidad]]+VLOOKUP(VENTAS[[#This Row],[Código del producto Vendido]],STOCK[],19,FALSE)*VENTAS[[#This Row],[Cantidad]],VENTAS[[#This Row],[Total]])</f>
        <v>14.625</v>
      </c>
      <c r="L265" s="12">
        <f>VENTAS[[#This Row],[Total]]-VENTAS[[#This Row],[Comisión 10%]]-VENTAS[[#This Row],[Costo SIN Comision]]</f>
        <v>10.375</v>
      </c>
      <c r="M265" s="12"/>
      <c r="N265" s="16"/>
    </row>
    <row r="266" spans="1:14" ht="20" hidden="1" customHeight="1">
      <c r="A266" s="9">
        <v>45089</v>
      </c>
      <c r="B266" s="10"/>
      <c r="C266" s="10"/>
      <c r="D266" s="10"/>
      <c r="E266" s="10" t="s">
        <v>960</v>
      </c>
      <c r="F266" s="10" t="str">
        <f>IFERROR(VLOOKUP(VENTAS[[#This Row],[Código del producto Vendido]],STOCK[],5,FALSE),"-")</f>
        <v>Pantalón business básico</v>
      </c>
      <c r="G266" s="10">
        <v>1</v>
      </c>
      <c r="H266" s="12">
        <v>30</v>
      </c>
      <c r="I266" s="12">
        <f>VENTAS[[#This Row],[Cantidad]]*VENTAS[[#This Row],[Precio Venta]]</f>
        <v>30</v>
      </c>
      <c r="J266" s="12">
        <f>IF(VENTAS[[#This Row],[Nombre del Gestor]]&gt;1,VENTAS[[#This Row],[Total]]*10%,0)</f>
        <v>0</v>
      </c>
      <c r="K266" s="12">
        <f>IFERROR(VLOOKUP(VENTAS[[#This Row],[Código del producto Vendido]],STOCK[],16,FALSE)*VENTAS[[#This Row],[Cantidad]]+VLOOKUP(VENTAS[[#This Row],[Código del producto Vendido]],STOCK[],19,FALSE)*VENTAS[[#This Row],[Cantidad]],VENTAS[[#This Row],[Total]])</f>
        <v>21.372272727272701</v>
      </c>
      <c r="L266" s="12">
        <f>VENTAS[[#This Row],[Total]]-VENTAS[[#This Row],[Comisión 10%]]-VENTAS[[#This Row],[Costo SIN Comision]]</f>
        <v>8.6277272727272987</v>
      </c>
      <c r="M266" s="12"/>
      <c r="N266" s="16"/>
    </row>
    <row r="267" spans="1:14" ht="20" hidden="1" customHeight="1">
      <c r="A267" s="9">
        <v>45088</v>
      </c>
      <c r="B267" s="10"/>
      <c r="C267" s="10"/>
      <c r="D267" s="10"/>
      <c r="E267" s="10" t="s">
        <v>1089</v>
      </c>
      <c r="F267" s="10" t="str">
        <f>IFERROR(VLOOKUP(VENTAS[[#This Row],[Código del producto Vendido]],STOCK[],5,FALSE),"-")</f>
        <v>Malla fina Pareo</v>
      </c>
      <c r="G267" s="10">
        <v>1</v>
      </c>
      <c r="H267" s="12">
        <v>12</v>
      </c>
      <c r="I267" s="12">
        <f>VENTAS[[#This Row],[Cantidad]]*VENTAS[[#This Row],[Precio Venta]]</f>
        <v>12</v>
      </c>
      <c r="J267" s="12">
        <f>IF(VENTAS[[#This Row],[Nombre del Gestor]]&gt;1,VENTAS[[#This Row],[Total]]*10%,0)</f>
        <v>0</v>
      </c>
      <c r="K267" s="12">
        <f>IFERROR(VLOOKUP(VENTAS[[#This Row],[Código del producto Vendido]],STOCK[],16,FALSE)*VENTAS[[#This Row],[Cantidad]]+VLOOKUP(VENTAS[[#This Row],[Código del producto Vendido]],STOCK[],19,FALSE)*VENTAS[[#This Row],[Cantidad]],VENTAS[[#This Row],[Total]])</f>
        <v>6.9235294117647097</v>
      </c>
      <c r="L267" s="12">
        <f>VENTAS[[#This Row],[Total]]-VENTAS[[#This Row],[Comisión 10%]]-VENTAS[[#This Row],[Costo SIN Comision]]</f>
        <v>5.0764705882352903</v>
      </c>
      <c r="M267" s="12"/>
      <c r="N267" s="16"/>
    </row>
    <row r="268" spans="1:14" ht="20" hidden="1" customHeight="1">
      <c r="A268" s="9">
        <v>45089</v>
      </c>
      <c r="B268" s="10"/>
      <c r="C268" s="10"/>
      <c r="D268" s="10"/>
      <c r="E268" s="10" t="s">
        <v>60</v>
      </c>
      <c r="F268" s="10" t="str">
        <f>IFERROR(VLOOKUP(VENTAS[[#This Row],[Código del producto Vendido]],STOCK[],5,FALSE),"-")</f>
        <v>Bikini Mangas Fuccia</v>
      </c>
      <c r="G268" s="10">
        <v>1</v>
      </c>
      <c r="H268" s="12">
        <v>22</v>
      </c>
      <c r="I268" s="12">
        <f>VENTAS[[#This Row],[Cantidad]]*VENTAS[[#This Row],[Precio Venta]]</f>
        <v>22</v>
      </c>
      <c r="J268" s="12">
        <f>IF(VENTAS[[#This Row],[Nombre del Gestor]]&gt;1,VENTAS[[#This Row],[Total]]*10%,0)</f>
        <v>0</v>
      </c>
      <c r="K268" s="12">
        <f>IFERROR(VLOOKUP(VENTAS[[#This Row],[Código del producto Vendido]],STOCK[],16,FALSE)*VENTAS[[#This Row],[Cantidad]]+VLOOKUP(VENTAS[[#This Row],[Código del producto Vendido]],STOCK[],19,FALSE)*VENTAS[[#This Row],[Cantidad]],VENTAS[[#This Row],[Total]])</f>
        <v>14.495000000000001</v>
      </c>
      <c r="L268" s="12">
        <f>VENTAS[[#This Row],[Total]]-VENTAS[[#This Row],[Comisión 10%]]-VENTAS[[#This Row],[Costo SIN Comision]]</f>
        <v>7.504999999999999</v>
      </c>
      <c r="M268" s="12"/>
      <c r="N268" s="16"/>
    </row>
    <row r="269" spans="1:14" ht="20" hidden="1" customHeight="1">
      <c r="A269" s="9">
        <v>45089</v>
      </c>
      <c r="B269" s="10"/>
      <c r="C269" s="10"/>
      <c r="D269" s="10"/>
      <c r="E269" s="10" t="s">
        <v>418</v>
      </c>
      <c r="F269" s="10" t="str">
        <f>IFERROR(VLOOKUP(VENTAS[[#This Row],[Código del producto Vendido]],STOCK[],5,FALSE),"-")</f>
        <v>Bikini tropical con estampado de hoja</v>
      </c>
      <c r="G269" s="10">
        <v>1</v>
      </c>
      <c r="H269" s="12">
        <v>20</v>
      </c>
      <c r="I269" s="12">
        <f>VENTAS[[#This Row],[Cantidad]]*VENTAS[[#This Row],[Precio Venta]]</f>
        <v>20</v>
      </c>
      <c r="J269" s="12">
        <f>IF(VENTAS[[#This Row],[Nombre del Gestor]]&gt;1,VENTAS[[#This Row],[Total]]*10%,0)</f>
        <v>0</v>
      </c>
      <c r="K269" s="12">
        <f>IFERROR(VLOOKUP(VENTAS[[#This Row],[Código del producto Vendido]],STOCK[],16,FALSE)*VENTAS[[#This Row],[Cantidad]]+VLOOKUP(VENTAS[[#This Row],[Código del producto Vendido]],STOCK[],19,FALSE)*VENTAS[[#This Row],[Cantidad]],VENTAS[[#This Row],[Total]])</f>
        <v>13.3888888888889</v>
      </c>
      <c r="L269" s="12">
        <f>VENTAS[[#This Row],[Total]]-VENTAS[[#This Row],[Comisión 10%]]-VENTAS[[#This Row],[Costo SIN Comision]]</f>
        <v>6.6111111111111001</v>
      </c>
      <c r="M269" s="12"/>
      <c r="N269" s="16"/>
    </row>
    <row r="270" spans="1:14" ht="20" hidden="1" customHeight="1">
      <c r="A270" s="9">
        <v>45089</v>
      </c>
      <c r="B270" s="10"/>
      <c r="C270" s="10"/>
      <c r="D270" s="10"/>
      <c r="E270" s="10" t="s">
        <v>1138</v>
      </c>
      <c r="F270" s="10" t="str">
        <f>IFERROR(VLOOKUP(VENTAS[[#This Row],[Código del producto Vendido]],STOCK[],5,FALSE),"-")</f>
        <v>Vestido rojo con aberturas H&amp;M</v>
      </c>
      <c r="G270" s="10">
        <v>1</v>
      </c>
      <c r="H270" s="12">
        <v>25</v>
      </c>
      <c r="I270" s="12">
        <f>VENTAS[[#This Row],[Cantidad]]*VENTAS[[#This Row],[Precio Venta]]</f>
        <v>25</v>
      </c>
      <c r="J270" s="12">
        <f>IF(VENTAS[[#This Row],[Nombre del Gestor]]&gt;1,VENTAS[[#This Row],[Total]]*10%,0)</f>
        <v>0</v>
      </c>
      <c r="K270" s="12">
        <f>IFERROR(VLOOKUP(VENTAS[[#This Row],[Código del producto Vendido]],STOCK[],16,FALSE)*VENTAS[[#This Row],[Cantidad]]+VLOOKUP(VENTAS[[#This Row],[Código del producto Vendido]],STOCK[],19,FALSE)*VENTAS[[#This Row],[Cantidad]],VENTAS[[#This Row],[Total]])</f>
        <v>18.117647058823501</v>
      </c>
      <c r="L270" s="12">
        <f>VENTAS[[#This Row],[Total]]-VENTAS[[#This Row],[Comisión 10%]]-VENTAS[[#This Row],[Costo SIN Comision]]</f>
        <v>6.8823529411764994</v>
      </c>
      <c r="M270" s="12"/>
      <c r="N270" s="16"/>
    </row>
    <row r="271" spans="1:14" ht="20" hidden="1" customHeight="1">
      <c r="A271" s="9">
        <v>45090</v>
      </c>
      <c r="B271" s="10"/>
      <c r="C271" s="10"/>
      <c r="D271" s="10"/>
      <c r="E271" s="10" t="s">
        <v>1121</v>
      </c>
      <c r="F271" s="10" t="str">
        <f>IFERROR(VLOOKUP(VENTAS[[#This Row],[Código del producto Vendido]],STOCK[],5,FALSE),"-")</f>
        <v>Set de lencería de encaje</v>
      </c>
      <c r="G271" s="10">
        <v>1</v>
      </c>
      <c r="H271" s="12">
        <v>15</v>
      </c>
      <c r="I271" s="12">
        <f>VENTAS[[#This Row],[Cantidad]]*VENTAS[[#This Row],[Precio Venta]]</f>
        <v>15</v>
      </c>
      <c r="J271" s="12">
        <f>IF(VENTAS[[#This Row],[Nombre del Gestor]]&gt;1,VENTAS[[#This Row],[Total]]*10%,0)</f>
        <v>0</v>
      </c>
      <c r="K271" s="12">
        <f>IFERROR(VLOOKUP(VENTAS[[#This Row],[Código del producto Vendido]],STOCK[],16,FALSE)*VENTAS[[#This Row],[Cantidad]]+VLOOKUP(VENTAS[[#This Row],[Código del producto Vendido]],STOCK[],19,FALSE)*VENTAS[[#This Row],[Cantidad]],VENTAS[[#This Row],[Total]])</f>
        <v>7.1088235294117599</v>
      </c>
      <c r="L271" s="12">
        <f>VENTAS[[#This Row],[Total]]-VENTAS[[#This Row],[Comisión 10%]]-VENTAS[[#This Row],[Costo SIN Comision]]</f>
        <v>7.8911764705882401</v>
      </c>
      <c r="M271" s="12"/>
      <c r="N271" s="16"/>
    </row>
    <row r="272" spans="1:14" ht="20" hidden="1" customHeight="1">
      <c r="A272" s="9">
        <v>45090</v>
      </c>
      <c r="B272" s="10"/>
      <c r="C272" s="10"/>
      <c r="D272" s="10"/>
      <c r="E272" s="10" t="s">
        <v>949</v>
      </c>
      <c r="F272" s="10" t="str">
        <f>IFERROR(VLOOKUP(VENTAS[[#This Row],[Código del producto Vendido]],STOCK[],5,FALSE),"-")</f>
        <v xml:space="preserve"> Pantaloneta Verde</v>
      </c>
      <c r="G272" s="10">
        <v>1</v>
      </c>
      <c r="H272" s="12">
        <v>25</v>
      </c>
      <c r="I272" s="12">
        <f>VENTAS[[#This Row],[Cantidad]]*VENTAS[[#This Row],[Precio Venta]]</f>
        <v>25</v>
      </c>
      <c r="J272" s="12">
        <f>IF(VENTAS[[#This Row],[Nombre del Gestor]]&gt;1,VENTAS[[#This Row],[Total]]*10%,0)</f>
        <v>0</v>
      </c>
      <c r="K272" s="12">
        <f>IFERROR(VLOOKUP(VENTAS[[#This Row],[Código del producto Vendido]],STOCK[],16,FALSE)*VENTAS[[#This Row],[Cantidad]]+VLOOKUP(VENTAS[[#This Row],[Código del producto Vendido]],STOCK[],19,FALSE)*VENTAS[[#This Row],[Cantidad]],VENTAS[[#This Row],[Total]])</f>
        <v>14.871363636363629</v>
      </c>
      <c r="L272" s="12">
        <f>VENTAS[[#This Row],[Total]]-VENTAS[[#This Row],[Comisión 10%]]-VENTAS[[#This Row],[Costo SIN Comision]]</f>
        <v>10.128636363636371</v>
      </c>
      <c r="M272" s="12"/>
      <c r="N272" s="16"/>
    </row>
    <row r="273" spans="1:14" ht="20" hidden="1" customHeight="1">
      <c r="A273" s="9">
        <v>45090</v>
      </c>
      <c r="B273" s="10"/>
      <c r="C273" s="10"/>
      <c r="D273" s="10"/>
      <c r="E273" s="10" t="s">
        <v>889</v>
      </c>
      <c r="F273" s="10" t="str">
        <f>IFERROR(VLOOKUP(VENTAS[[#This Row],[Código del producto Vendido]],STOCK[],5,FALSE),"-")</f>
        <v>Bragas sin costuras</v>
      </c>
      <c r="G273" s="10">
        <v>3</v>
      </c>
      <c r="H273" s="12">
        <v>3.5</v>
      </c>
      <c r="I273" s="12">
        <f>VENTAS[[#This Row],[Cantidad]]*VENTAS[[#This Row],[Precio Venta]]</f>
        <v>10.5</v>
      </c>
      <c r="J273" s="12">
        <f>IF(VENTAS[[#This Row],[Nombre del Gestor]]&gt;1,VENTAS[[#This Row],[Total]]*10%,0)</f>
        <v>0</v>
      </c>
      <c r="K273" s="12">
        <f>IFERROR(VLOOKUP(VENTAS[[#This Row],[Código del producto Vendido]],STOCK[],16,FALSE)*VENTAS[[#This Row],[Cantidad]]+VLOOKUP(VENTAS[[#This Row],[Código del producto Vendido]],STOCK[],19,FALSE)*VENTAS[[#This Row],[Cantidad]],VENTAS[[#This Row],[Total]])</f>
        <v>5.9833333333333201</v>
      </c>
      <c r="L273" s="12">
        <f>VENTAS[[#This Row],[Total]]-VENTAS[[#This Row],[Comisión 10%]]-VENTAS[[#This Row],[Costo SIN Comision]]</f>
        <v>4.5166666666666799</v>
      </c>
      <c r="M273" s="12"/>
      <c r="N273" s="16"/>
    </row>
    <row r="274" spans="1:14" ht="20" hidden="1" customHeight="1">
      <c r="A274" s="9">
        <v>45090</v>
      </c>
      <c r="B274" s="10"/>
      <c r="C274" s="10"/>
      <c r="D274" s="10"/>
      <c r="E274" s="10" t="s">
        <v>876</v>
      </c>
      <c r="F274" s="10" t="str">
        <f>IFERROR(VLOOKUP(VENTAS[[#This Row],[Código del producto Vendido]],STOCK[],5,FALSE),"-")</f>
        <v>Brasier de encaje_Negro Unitalla</v>
      </c>
      <c r="G274" s="10">
        <v>1</v>
      </c>
      <c r="H274" s="12">
        <v>7</v>
      </c>
      <c r="I274" s="12">
        <f>VENTAS[[#This Row],[Cantidad]]*VENTAS[[#This Row],[Precio Venta]]</f>
        <v>7</v>
      </c>
      <c r="J274" s="12">
        <f>IF(VENTAS[[#This Row],[Nombre del Gestor]]&gt;1,VENTAS[[#This Row],[Total]]*10%,0)</f>
        <v>0</v>
      </c>
      <c r="K274" s="12">
        <f>IFERROR(VLOOKUP(VENTAS[[#This Row],[Código del producto Vendido]],STOCK[],16,FALSE)*VENTAS[[#This Row],[Cantidad]]+VLOOKUP(VENTAS[[#This Row],[Código del producto Vendido]],STOCK[],19,FALSE)*VENTAS[[#This Row],[Cantidad]],VENTAS[[#This Row],[Total]])</f>
        <v>3.7111111111111099</v>
      </c>
      <c r="L274" s="12">
        <f>VENTAS[[#This Row],[Total]]-VENTAS[[#This Row],[Comisión 10%]]-VENTAS[[#This Row],[Costo SIN Comision]]</f>
        <v>3.2888888888888901</v>
      </c>
      <c r="M274" s="12"/>
      <c r="N274" s="16"/>
    </row>
    <row r="275" spans="1:14" ht="20" hidden="1" customHeight="1">
      <c r="A275" s="9">
        <v>45090</v>
      </c>
      <c r="B275" s="10"/>
      <c r="C275" s="10"/>
      <c r="D275" s="10"/>
      <c r="E275" s="10" t="s">
        <v>1025</v>
      </c>
      <c r="F275" s="10" t="str">
        <f>IFERROR(VLOOKUP(VENTAS[[#This Row],[Código del producto Vendido]],STOCK[],5,FALSE),"-")</f>
        <v>Top Dreamer Blanco</v>
      </c>
      <c r="G275" s="10">
        <v>1</v>
      </c>
      <c r="H275" s="12">
        <v>12</v>
      </c>
      <c r="I275" s="12">
        <f>VENTAS[[#This Row],[Cantidad]]*VENTAS[[#This Row],[Precio Venta]]</f>
        <v>12</v>
      </c>
      <c r="J275" s="12">
        <f>IF(VENTAS[[#This Row],[Nombre del Gestor]]&gt;1,VENTAS[[#This Row],[Total]]*10%,0)</f>
        <v>0</v>
      </c>
      <c r="K275" s="12">
        <f>IFERROR(VLOOKUP(VENTAS[[#This Row],[Código del producto Vendido]],STOCK[],16,FALSE)*VENTAS[[#This Row],[Cantidad]]+VLOOKUP(VENTAS[[#This Row],[Código del producto Vendido]],STOCK[],19,FALSE)*VENTAS[[#This Row],[Cantidad]],VENTAS[[#This Row],[Total]])</f>
        <v>6.7590909090909097</v>
      </c>
      <c r="L275" s="12">
        <f>VENTAS[[#This Row],[Total]]-VENTAS[[#This Row],[Comisión 10%]]-VENTAS[[#This Row],[Costo SIN Comision]]</f>
        <v>5.2409090909090903</v>
      </c>
      <c r="M275" s="12"/>
      <c r="N275" s="16"/>
    </row>
    <row r="276" spans="1:14" ht="20" hidden="1" customHeight="1">
      <c r="A276" s="9">
        <v>45090</v>
      </c>
      <c r="B276" s="10"/>
      <c r="C276" s="10"/>
      <c r="D276" s="10"/>
      <c r="E276" s="10" t="s">
        <v>731</v>
      </c>
      <c r="F276" s="10" t="str">
        <f>IFERROR(VLOOKUP(VENTAS[[#This Row],[Código del producto Vendido]],STOCK[],5,FALSE),"-")</f>
        <v>Vestido de un hombro</v>
      </c>
      <c r="G276" s="10">
        <v>1</v>
      </c>
      <c r="H276" s="12">
        <v>19</v>
      </c>
      <c r="I276" s="12">
        <f>VENTAS[[#This Row],[Cantidad]]*VENTAS[[#This Row],[Precio Venta]]</f>
        <v>19</v>
      </c>
      <c r="J276" s="12">
        <f>IF(VENTAS[[#This Row],[Nombre del Gestor]]&gt;1,VENTAS[[#This Row],[Total]]*10%,0)</f>
        <v>0</v>
      </c>
      <c r="K276" s="12">
        <f>IFERROR(VLOOKUP(VENTAS[[#This Row],[Código del producto Vendido]],STOCK[],16,FALSE)*VENTAS[[#This Row],[Cantidad]]+VLOOKUP(VENTAS[[#This Row],[Código del producto Vendido]],STOCK[],19,FALSE)*VENTAS[[#This Row],[Cantidad]],VENTAS[[#This Row],[Total]])</f>
        <v>11.944444444444439</v>
      </c>
      <c r="L276" s="12">
        <f>VENTAS[[#This Row],[Total]]-VENTAS[[#This Row],[Comisión 10%]]-VENTAS[[#This Row],[Costo SIN Comision]]</f>
        <v>7.0555555555555607</v>
      </c>
      <c r="M276" s="12"/>
      <c r="N276" s="16"/>
    </row>
    <row r="277" spans="1:14" ht="20" hidden="1" customHeight="1">
      <c r="A277" s="25">
        <v>45090</v>
      </c>
      <c r="B277" s="26" t="s">
        <v>4240</v>
      </c>
      <c r="C277" s="26"/>
      <c r="D277" s="26"/>
      <c r="E277" s="26" t="s">
        <v>518</v>
      </c>
      <c r="F277" s="26" t="str">
        <f>IFERROR(VLOOKUP(VENTAS[[#This Row],[Código del producto Vendido]],STOCK[],5,FALSE),"-")</f>
        <v>Calcetines unicolor</v>
      </c>
      <c r="G277" s="26">
        <v>2</v>
      </c>
      <c r="H277" s="27">
        <v>1.5</v>
      </c>
      <c r="I277" s="12">
        <f>VENTAS[[#This Row],[Cantidad]]*VENTAS[[#This Row],[Precio Venta]]</f>
        <v>3</v>
      </c>
      <c r="J277" s="12">
        <f>IF(VENTAS[[#This Row],[Nombre del Gestor]]&gt;1,VENTAS[[#This Row],[Total]]*10%,0)</f>
        <v>0</v>
      </c>
      <c r="K277" s="12">
        <f>IFERROR(VLOOKUP(VENTAS[[#This Row],[Código del producto Vendido]],STOCK[],16,FALSE)*VENTAS[[#This Row],[Cantidad]]+VLOOKUP(VENTAS[[#This Row],[Código del producto Vendido]],STOCK[],19,FALSE)*VENTAS[[#This Row],[Cantidad]],VENTAS[[#This Row],[Total]])</f>
        <v>1.688888888888888</v>
      </c>
      <c r="L277" s="12">
        <f>VENTAS[[#This Row],[Total]]-VENTAS[[#This Row],[Comisión 10%]]-VENTAS[[#This Row],[Costo SIN Comision]]</f>
        <v>1.311111111111112</v>
      </c>
      <c r="M277" s="12"/>
      <c r="N277" s="16"/>
    </row>
    <row r="278" spans="1:14" ht="20" hidden="1" customHeight="1">
      <c r="A278" s="9" t="s">
        <v>4215</v>
      </c>
      <c r="B278" s="10"/>
      <c r="C278" s="10"/>
      <c r="D278" s="10"/>
      <c r="E278" s="10" t="s">
        <v>890</v>
      </c>
      <c r="F278" s="10" t="str">
        <f>IFERROR(VLOOKUP(VENTAS[[#This Row],[Código del producto Vendido]],STOCK[],5,FALSE),"-")</f>
        <v>Top Cuello encaje y mangas abombadas</v>
      </c>
      <c r="G278" s="10">
        <v>1</v>
      </c>
      <c r="H278" s="12">
        <v>7</v>
      </c>
      <c r="I278" s="12">
        <f>VENTAS[[#This Row],[Cantidad]]*VENTAS[[#This Row],[Precio Venta]]</f>
        <v>7</v>
      </c>
      <c r="J278" s="12">
        <f>IF(VENTAS[[#This Row],[Nombre del Gestor]]&gt;1,VENTAS[[#This Row],[Total]]*10%,0)</f>
        <v>0</v>
      </c>
      <c r="K278" s="12">
        <f>IFERROR(VLOOKUP(VENTAS[[#This Row],[Código del producto Vendido]],STOCK[],16,FALSE)*VENTAS[[#This Row],[Cantidad]]+VLOOKUP(VENTAS[[#This Row],[Código del producto Vendido]],STOCK[],19,FALSE)*VENTAS[[#This Row],[Cantidad]],VENTAS[[#This Row],[Total]])</f>
        <v>6.3581818181818202</v>
      </c>
      <c r="L278" s="12">
        <f>VENTAS[[#This Row],[Total]]-VENTAS[[#This Row],[Comisión 10%]]-VENTAS[[#This Row],[Costo SIN Comision]]</f>
        <v>0.64181818181817984</v>
      </c>
      <c r="M278" s="12"/>
      <c r="N278" s="16"/>
    </row>
    <row r="279" spans="1:14" ht="20" hidden="1" customHeight="1">
      <c r="A279" s="9" t="s">
        <v>4215</v>
      </c>
      <c r="B279" s="10"/>
      <c r="C279" s="10"/>
      <c r="D279" s="10"/>
      <c r="E279" s="10" t="s">
        <v>876</v>
      </c>
      <c r="F279" s="10" t="str">
        <f>IFERROR(VLOOKUP(VENTAS[[#This Row],[Código del producto Vendido]],STOCK[],5,FALSE),"-")</f>
        <v>Brasier de encaje_Negro Unitalla</v>
      </c>
      <c r="G279" s="10">
        <v>1</v>
      </c>
      <c r="H279" s="12">
        <v>4</v>
      </c>
      <c r="I279" s="12">
        <f>VENTAS[[#This Row],[Cantidad]]*VENTAS[[#This Row],[Precio Venta]]</f>
        <v>4</v>
      </c>
      <c r="J279" s="12">
        <f>IF(VENTAS[[#This Row],[Nombre del Gestor]]&gt;1,VENTAS[[#This Row],[Total]]*10%,0)</f>
        <v>0</v>
      </c>
      <c r="K279" s="12">
        <f>IFERROR(VLOOKUP(VENTAS[[#This Row],[Código del producto Vendido]],STOCK[],16,FALSE)*VENTAS[[#This Row],[Cantidad]]+VLOOKUP(VENTAS[[#This Row],[Código del producto Vendido]],STOCK[],19,FALSE)*VENTAS[[#This Row],[Cantidad]],VENTAS[[#This Row],[Total]])</f>
        <v>3.7111111111111099</v>
      </c>
      <c r="L279" s="12">
        <f>VENTAS[[#This Row],[Total]]-VENTAS[[#This Row],[Comisión 10%]]-VENTAS[[#This Row],[Costo SIN Comision]]</f>
        <v>0.28888888888889008</v>
      </c>
      <c r="M279" s="12"/>
      <c r="N279" s="16"/>
    </row>
    <row r="280" spans="1:14" ht="20" hidden="1" customHeight="1">
      <c r="A280" s="9">
        <v>45093</v>
      </c>
      <c r="B280" s="10"/>
      <c r="C280" s="10"/>
      <c r="D280" s="10"/>
      <c r="E280" s="10" t="s">
        <v>178</v>
      </c>
      <c r="F280" s="10" t="str">
        <f>IFERROR(VLOOKUP(VENTAS[[#This Row],[Código del producto Vendido]],STOCK[],5,FALSE),"-")</f>
        <v>Vestido cruzado con abertura con nudo delantero</v>
      </c>
      <c r="G280" s="10">
        <v>1</v>
      </c>
      <c r="H280" s="12">
        <v>25</v>
      </c>
      <c r="I280" s="12">
        <f>VENTAS[[#This Row],[Cantidad]]*VENTAS[[#This Row],[Precio Venta]]</f>
        <v>25</v>
      </c>
      <c r="J280" s="12">
        <f>IF(VENTAS[[#This Row],[Nombre del Gestor]]&gt;1,VENTAS[[#This Row],[Total]]*10%,0)</f>
        <v>0</v>
      </c>
      <c r="K280" s="12">
        <f>IFERROR(VLOOKUP(VENTAS[[#This Row],[Código del producto Vendido]],STOCK[],16,FALSE)*VENTAS[[#This Row],[Cantidad]]+VLOOKUP(VENTAS[[#This Row],[Código del producto Vendido]],STOCK[],19,FALSE)*VENTAS[[#This Row],[Cantidad]],VENTAS[[#This Row],[Total]])</f>
        <v>16.768888888888899</v>
      </c>
      <c r="L280" s="12">
        <f>VENTAS[[#This Row],[Total]]-VENTAS[[#This Row],[Comisión 10%]]-VENTAS[[#This Row],[Costo SIN Comision]]</f>
        <v>8.2311111111111011</v>
      </c>
      <c r="M280" s="12"/>
      <c r="N280" s="16"/>
    </row>
    <row r="281" spans="1:14" ht="20" hidden="1" customHeight="1">
      <c r="A281" s="9">
        <v>45093</v>
      </c>
      <c r="B281" s="10"/>
      <c r="C281" s="10"/>
      <c r="D281" s="10"/>
      <c r="E281" s="10" t="s">
        <v>1043</v>
      </c>
      <c r="F281" s="10" t="str">
        <f>IFERROR(VLOOKUP(VENTAS[[#This Row],[Código del producto Vendido]],STOCK[],5,FALSE),"-")</f>
        <v>Jeans Elastizados Pierna Ancha</v>
      </c>
      <c r="G281" s="10">
        <v>1</v>
      </c>
      <c r="H281" s="12">
        <v>35</v>
      </c>
      <c r="I281" s="12">
        <f>VENTAS[[#This Row],[Cantidad]]*VENTAS[[#This Row],[Precio Venta]]</f>
        <v>35</v>
      </c>
      <c r="J281" s="12">
        <f>IF(VENTAS[[#This Row],[Nombre del Gestor]]&gt;1,VENTAS[[#This Row],[Total]]*10%,0)</f>
        <v>0</v>
      </c>
      <c r="K281" s="12">
        <f>IFERROR(VLOOKUP(VENTAS[[#This Row],[Código del producto Vendido]],STOCK[],16,FALSE)*VENTAS[[#This Row],[Cantidad]]+VLOOKUP(VENTAS[[#This Row],[Código del producto Vendido]],STOCK[],19,FALSE)*VENTAS[[#This Row],[Cantidad]],VENTAS[[#This Row],[Total]])</f>
        <v>27.522727272727298</v>
      </c>
      <c r="L281" s="12">
        <f>VENTAS[[#This Row],[Total]]-VENTAS[[#This Row],[Comisión 10%]]-VENTAS[[#This Row],[Costo SIN Comision]]</f>
        <v>7.4772727272727018</v>
      </c>
      <c r="M281" s="12"/>
      <c r="N281" s="16"/>
    </row>
    <row r="282" spans="1:14" ht="20" hidden="1" customHeight="1">
      <c r="A282" s="9">
        <v>45093</v>
      </c>
      <c r="B282" s="10"/>
      <c r="C282" s="10"/>
      <c r="D282" s="10"/>
      <c r="E282" s="10" t="s">
        <v>267</v>
      </c>
      <c r="F282" s="10" t="str">
        <f>IFERROR(VLOOKUP(VENTAS[[#This Row],[Código del producto Vendido]],STOCK[],5,FALSE),"-")</f>
        <v>Vestido Malla en contraste Lunares Elegante</v>
      </c>
      <c r="G282" s="10">
        <v>1</v>
      </c>
      <c r="H282" s="12">
        <v>25</v>
      </c>
      <c r="I282" s="12">
        <f>VENTAS[[#This Row],[Cantidad]]*VENTAS[[#This Row],[Precio Venta]]</f>
        <v>25</v>
      </c>
      <c r="J282" s="12">
        <f>IF(VENTAS[[#This Row],[Nombre del Gestor]]&gt;1,VENTAS[[#This Row],[Total]]*10%,0)</f>
        <v>0</v>
      </c>
      <c r="K282" s="12">
        <f>IFERROR(VLOOKUP(VENTAS[[#This Row],[Código del producto Vendido]],STOCK[],16,FALSE)*VENTAS[[#This Row],[Cantidad]]+VLOOKUP(VENTAS[[#This Row],[Código del producto Vendido]],STOCK[],19,FALSE)*VENTAS[[#This Row],[Cantidad]],VENTAS[[#This Row],[Total]])</f>
        <v>13.1111111111111</v>
      </c>
      <c r="L282" s="12">
        <f>VENTAS[[#This Row],[Total]]-VENTAS[[#This Row],[Comisión 10%]]-VENTAS[[#This Row],[Costo SIN Comision]]</f>
        <v>11.8888888888889</v>
      </c>
      <c r="M282" s="12"/>
      <c r="N282" s="16"/>
    </row>
    <row r="283" spans="1:14" ht="20" hidden="1" customHeight="1">
      <c r="A283" s="9">
        <v>45093</v>
      </c>
      <c r="B283" s="10"/>
      <c r="C283" s="10"/>
      <c r="D283" s="10"/>
      <c r="E283" s="10" t="s">
        <v>241</v>
      </c>
      <c r="F283" s="10" t="str">
        <f>IFERROR(VLOOKUP(VENTAS[[#This Row],[Código del producto Vendido]],STOCK[],5,FALSE),"-")</f>
        <v>Vestido de cuello cuadrado de espalda abierta</v>
      </c>
      <c r="G283" s="10">
        <v>1</v>
      </c>
      <c r="H283" s="12">
        <v>20</v>
      </c>
      <c r="I283" s="12">
        <f>VENTAS[[#This Row],[Cantidad]]*VENTAS[[#This Row],[Precio Venta]]</f>
        <v>20</v>
      </c>
      <c r="J283" s="12">
        <f>IF(VENTAS[[#This Row],[Nombre del Gestor]]&gt;1,VENTAS[[#This Row],[Total]]*10%,0)</f>
        <v>0</v>
      </c>
      <c r="K283" s="12">
        <f>IFERROR(VLOOKUP(VENTAS[[#This Row],[Código del producto Vendido]],STOCK[],16,FALSE)*VENTAS[[#This Row],[Cantidad]]+VLOOKUP(VENTAS[[#This Row],[Código del producto Vendido]],STOCK[],19,FALSE)*VENTAS[[#This Row],[Cantidad]],VENTAS[[#This Row],[Total]])</f>
        <v>11.8755555555556</v>
      </c>
      <c r="L283" s="12">
        <f>VENTAS[[#This Row],[Total]]-VENTAS[[#This Row],[Comisión 10%]]-VENTAS[[#This Row],[Costo SIN Comision]]</f>
        <v>8.1244444444443999</v>
      </c>
      <c r="M283" s="12"/>
      <c r="N283" s="16"/>
    </row>
    <row r="284" spans="1:14" ht="20" hidden="1" customHeight="1">
      <c r="A284" s="9">
        <v>45093</v>
      </c>
      <c r="B284" s="10"/>
      <c r="C284" s="10"/>
      <c r="D284" s="10"/>
      <c r="E284" s="10" t="s">
        <v>223</v>
      </c>
      <c r="F284" s="10" t="str">
        <f>IFERROR(VLOOKUP(VENTAS[[#This Row],[Código del producto Vendido]],STOCK[],5,FALSE),"-")</f>
        <v>Vestido ajustado de tirantes con abertura</v>
      </c>
      <c r="G284" s="10">
        <v>1</v>
      </c>
      <c r="H284" s="12">
        <v>18</v>
      </c>
      <c r="I284" s="12">
        <f>VENTAS[[#This Row],[Cantidad]]*VENTAS[[#This Row],[Precio Venta]]</f>
        <v>18</v>
      </c>
      <c r="J284" s="12">
        <f>IF(VENTAS[[#This Row],[Nombre del Gestor]]&gt;1,VENTAS[[#This Row],[Total]]*10%,0)</f>
        <v>0</v>
      </c>
      <c r="K284" s="12">
        <f>IFERROR(VLOOKUP(VENTAS[[#This Row],[Código del producto Vendido]],STOCK[],16,FALSE)*VENTAS[[#This Row],[Cantidad]]+VLOOKUP(VENTAS[[#This Row],[Código del producto Vendido]],STOCK[],19,FALSE)*VENTAS[[#This Row],[Cantidad]],VENTAS[[#This Row],[Total]])</f>
        <v>9.18</v>
      </c>
      <c r="L284" s="12">
        <f>VENTAS[[#This Row],[Total]]-VENTAS[[#This Row],[Comisión 10%]]-VENTAS[[#This Row],[Costo SIN Comision]]</f>
        <v>8.82</v>
      </c>
      <c r="M284" s="12"/>
      <c r="N284" s="16"/>
    </row>
    <row r="285" spans="1:14" ht="20" hidden="1" customHeight="1">
      <c r="A285" s="9">
        <v>45093</v>
      </c>
      <c r="B285" s="10"/>
      <c r="C285" s="10"/>
      <c r="D285" s="10"/>
      <c r="E285" s="10" t="s">
        <v>169</v>
      </c>
      <c r="F285" s="10" t="str">
        <f>IFERROR(VLOOKUP(VENTAS[[#This Row],[Código del producto Vendido]],STOCK[],5,FALSE),"-")</f>
        <v>Vestido con estampado floral con abertura alta</v>
      </c>
      <c r="G285" s="10">
        <v>1</v>
      </c>
      <c r="H285" s="12">
        <v>30</v>
      </c>
      <c r="I285" s="12">
        <f>VENTAS[[#This Row],[Cantidad]]*VENTAS[[#This Row],[Precio Venta]]</f>
        <v>30</v>
      </c>
      <c r="J285" s="12">
        <f>IF(VENTAS[[#This Row],[Nombre del Gestor]]&gt;1,VENTAS[[#This Row],[Total]]*10%,0)</f>
        <v>0</v>
      </c>
      <c r="K285" s="12">
        <f>IFERROR(VLOOKUP(VENTAS[[#This Row],[Código del producto Vendido]],STOCK[],16,FALSE)*VENTAS[[#This Row],[Cantidad]]+VLOOKUP(VENTAS[[#This Row],[Código del producto Vendido]],STOCK[],19,FALSE)*VENTAS[[#This Row],[Cantidad]],VENTAS[[#This Row],[Total]])</f>
        <v>20.8555555555556</v>
      </c>
      <c r="L285" s="12">
        <f>VENTAS[[#This Row],[Total]]-VENTAS[[#This Row],[Comisión 10%]]-VENTAS[[#This Row],[Costo SIN Comision]]</f>
        <v>9.1444444444443995</v>
      </c>
      <c r="M285" s="12"/>
      <c r="N285" s="16"/>
    </row>
    <row r="286" spans="1:14" ht="20" hidden="1" customHeight="1">
      <c r="A286" s="9">
        <v>45093</v>
      </c>
      <c r="B286" s="10"/>
      <c r="C286" s="10"/>
      <c r="D286" s="10"/>
      <c r="E286" s="10" t="s">
        <v>253</v>
      </c>
      <c r="F286" s="10" t="str">
        <f>IFERROR(VLOOKUP(VENTAS[[#This Row],[Código del producto Vendido]],STOCK[],5,FALSE),"-")</f>
        <v>Vestido con abertura con botón floral de margarita</v>
      </c>
      <c r="G286" s="10">
        <v>1</v>
      </c>
      <c r="H286" s="12">
        <v>25</v>
      </c>
      <c r="I286" s="12">
        <f>VENTAS[[#This Row],[Cantidad]]*VENTAS[[#This Row],[Precio Venta]]</f>
        <v>25</v>
      </c>
      <c r="J286" s="12">
        <f>IF(VENTAS[[#This Row],[Nombre del Gestor]]&gt;1,VENTAS[[#This Row],[Total]]*10%,0)</f>
        <v>0</v>
      </c>
      <c r="K286" s="12">
        <f>IFERROR(VLOOKUP(VENTAS[[#This Row],[Código del producto Vendido]],STOCK[],16,FALSE)*VENTAS[[#This Row],[Cantidad]]+VLOOKUP(VENTAS[[#This Row],[Código del producto Vendido]],STOCK[],19,FALSE)*VENTAS[[#This Row],[Cantidad]],VENTAS[[#This Row],[Total]])</f>
        <v>16.8</v>
      </c>
      <c r="L286" s="12">
        <f>VENTAS[[#This Row],[Total]]-VENTAS[[#This Row],[Comisión 10%]]-VENTAS[[#This Row],[Costo SIN Comision]]</f>
        <v>8.1999999999999993</v>
      </c>
      <c r="M286" s="12"/>
      <c r="N286" s="16"/>
    </row>
    <row r="287" spans="1:14" ht="20" hidden="1" customHeight="1">
      <c r="A287" s="9">
        <v>45093</v>
      </c>
      <c r="B287" s="10"/>
      <c r="C287" s="10"/>
      <c r="D287" s="10"/>
      <c r="E287" s="10" t="s">
        <v>647</v>
      </c>
      <c r="F287" s="10" t="str">
        <f>IFERROR(VLOOKUP(VENTAS[[#This Row],[Código del producto Vendido]],STOCK[],5,FALSE),"-")</f>
        <v>Vestido con estampado jungla</v>
      </c>
      <c r="G287" s="10">
        <v>1</v>
      </c>
      <c r="H287" s="12">
        <v>17</v>
      </c>
      <c r="I287" s="12">
        <f>VENTAS[[#This Row],[Cantidad]]*VENTAS[[#This Row],[Precio Venta]]</f>
        <v>17</v>
      </c>
      <c r="J287" s="12">
        <f>IF(VENTAS[[#This Row],[Nombre del Gestor]]&gt;1,VENTAS[[#This Row],[Total]]*10%,0)</f>
        <v>0</v>
      </c>
      <c r="K287" s="12">
        <f>IFERROR(VLOOKUP(VENTAS[[#This Row],[Código del producto Vendido]],STOCK[],16,FALSE)*VENTAS[[#This Row],[Cantidad]]+VLOOKUP(VENTAS[[#This Row],[Código del producto Vendido]],STOCK[],19,FALSE)*VENTAS[[#This Row],[Cantidad]],VENTAS[[#This Row],[Total]])</f>
        <v>10.72222222222222</v>
      </c>
      <c r="L287" s="12">
        <f>VENTAS[[#This Row],[Total]]-VENTAS[[#This Row],[Comisión 10%]]-VENTAS[[#This Row],[Costo SIN Comision]]</f>
        <v>6.2777777777777803</v>
      </c>
      <c r="M287" s="12"/>
      <c r="N287" s="16"/>
    </row>
    <row r="288" spans="1:14" ht="20" hidden="1" customHeight="1">
      <c r="A288" s="9">
        <v>45093</v>
      </c>
      <c r="B288" s="10"/>
      <c r="C288" s="10"/>
      <c r="D288" s="10"/>
      <c r="E288" s="10" t="s">
        <v>858</v>
      </c>
      <c r="F288" s="10" t="str">
        <f>IFERROR(VLOOKUP(VENTAS[[#This Row],[Código del producto Vendido]],STOCK[],5,FALSE),"-")</f>
        <v>Vestido Ajustado brillo</v>
      </c>
      <c r="G288" s="10">
        <v>1</v>
      </c>
      <c r="H288" s="12">
        <v>17</v>
      </c>
      <c r="I288" s="12">
        <f>VENTAS[[#This Row],[Cantidad]]*VENTAS[[#This Row],[Precio Venta]]</f>
        <v>17</v>
      </c>
      <c r="J288" s="12">
        <f>IF(VENTAS[[#This Row],[Nombre del Gestor]]&gt;1,VENTAS[[#This Row],[Total]]*10%,0)</f>
        <v>0</v>
      </c>
      <c r="K288" s="12">
        <f>IFERROR(VLOOKUP(VENTAS[[#This Row],[Código del producto Vendido]],STOCK[],16,FALSE)*VENTAS[[#This Row],[Cantidad]]+VLOOKUP(VENTAS[[#This Row],[Código del producto Vendido]],STOCK[],19,FALSE)*VENTAS[[#This Row],[Cantidad]],VENTAS[[#This Row],[Total]])</f>
        <v>9.1111111111111107</v>
      </c>
      <c r="L288" s="12">
        <f>VENTAS[[#This Row],[Total]]-VENTAS[[#This Row],[Comisión 10%]]-VENTAS[[#This Row],[Costo SIN Comision]]</f>
        <v>7.8888888888888893</v>
      </c>
      <c r="M288" s="12"/>
      <c r="N288" s="16"/>
    </row>
    <row r="289" spans="1:14" ht="20" hidden="1" customHeight="1">
      <c r="A289" s="9">
        <v>45093</v>
      </c>
      <c r="B289" s="10"/>
      <c r="C289" s="10"/>
      <c r="D289" s="10"/>
      <c r="E289" s="10" t="s">
        <v>1047</v>
      </c>
      <c r="F289" s="10" t="str">
        <f>IFERROR(VLOOKUP(VENTAS[[#This Row],[Código del producto Vendido]],STOCK[],5,FALSE),"-")</f>
        <v>Jeans Ajustados Claro</v>
      </c>
      <c r="G289" s="10">
        <v>1</v>
      </c>
      <c r="H289" s="12">
        <v>35</v>
      </c>
      <c r="I289" s="12">
        <f>VENTAS[[#This Row],[Cantidad]]*VENTAS[[#This Row],[Precio Venta]]</f>
        <v>35</v>
      </c>
      <c r="J289" s="12">
        <f>IF(VENTAS[[#This Row],[Nombre del Gestor]]&gt;1,VENTAS[[#This Row],[Total]]*10%,0)</f>
        <v>0</v>
      </c>
      <c r="K289" s="12">
        <f>IFERROR(VLOOKUP(VENTAS[[#This Row],[Código del producto Vendido]],STOCK[],16,FALSE)*VENTAS[[#This Row],[Cantidad]]+VLOOKUP(VENTAS[[#This Row],[Código del producto Vendido]],STOCK[],19,FALSE)*VENTAS[[#This Row],[Cantidad]],VENTAS[[#This Row],[Total]])</f>
        <v>25.818181818181799</v>
      </c>
      <c r="L289" s="12">
        <f>VENTAS[[#This Row],[Total]]-VENTAS[[#This Row],[Comisión 10%]]-VENTAS[[#This Row],[Costo SIN Comision]]</f>
        <v>9.1818181818182012</v>
      </c>
      <c r="M289" s="12"/>
      <c r="N289" s="16"/>
    </row>
    <row r="290" spans="1:14" ht="20" hidden="1" customHeight="1">
      <c r="A290" s="9">
        <v>45093</v>
      </c>
      <c r="B290" s="10"/>
      <c r="C290" s="10"/>
      <c r="D290" s="10"/>
      <c r="E290" s="10" t="s">
        <v>1035</v>
      </c>
      <c r="F290" s="10" t="str">
        <f>IFERROR(VLOOKUP(VENTAS[[#This Row],[Código del producto Vendido]],STOCK[],5,FALSE),"-")</f>
        <v>Jenas Ajustados Oscuro</v>
      </c>
      <c r="G290" s="10">
        <v>1</v>
      </c>
      <c r="H290" s="12">
        <v>35</v>
      </c>
      <c r="I290" s="12">
        <f>VENTAS[[#This Row],[Cantidad]]*VENTAS[[#This Row],[Precio Venta]]</f>
        <v>35</v>
      </c>
      <c r="J290" s="12">
        <f>IF(VENTAS[[#This Row],[Nombre del Gestor]]&gt;1,VENTAS[[#This Row],[Total]]*10%,0)</f>
        <v>0</v>
      </c>
      <c r="K290" s="12">
        <f>IFERROR(VLOOKUP(VENTAS[[#This Row],[Código del producto Vendido]],STOCK[],16,FALSE)*VENTAS[[#This Row],[Cantidad]]+VLOOKUP(VENTAS[[#This Row],[Código del producto Vendido]],STOCK[],19,FALSE)*VENTAS[[#This Row],[Cantidad]],VENTAS[[#This Row],[Total]])</f>
        <v>24.681818181818201</v>
      </c>
      <c r="L290" s="12">
        <f>VENTAS[[#This Row],[Total]]-VENTAS[[#This Row],[Comisión 10%]]-VENTAS[[#This Row],[Costo SIN Comision]]</f>
        <v>10.318181818181799</v>
      </c>
      <c r="M290" s="12"/>
      <c r="N290" s="16"/>
    </row>
    <row r="291" spans="1:14" ht="20" hidden="1" customHeight="1">
      <c r="A291" s="9">
        <v>45094</v>
      </c>
      <c r="B291" s="10"/>
      <c r="C291" s="10"/>
      <c r="D291" s="10"/>
      <c r="E291" s="10" t="s">
        <v>1094</v>
      </c>
      <c r="F291" s="10" t="str">
        <f>IFERROR(VLOOKUP(VENTAS[[#This Row],[Código del producto Vendido]],STOCK[],5,FALSE),"-")</f>
        <v>Jean con roto sencillo</v>
      </c>
      <c r="G291" s="10">
        <v>1</v>
      </c>
      <c r="H291" s="12">
        <v>40</v>
      </c>
      <c r="I291" s="12">
        <f>VENTAS[[#This Row],[Cantidad]]*VENTAS[[#This Row],[Precio Venta]]</f>
        <v>40</v>
      </c>
      <c r="J291" s="12">
        <f>IF(VENTAS[[#This Row],[Nombre del Gestor]]&gt;1,VENTAS[[#This Row],[Total]]*10%,0)</f>
        <v>0</v>
      </c>
      <c r="K291" s="12">
        <f>IFERROR(VLOOKUP(VENTAS[[#This Row],[Código del producto Vendido]],STOCK[],16,FALSE)*VENTAS[[#This Row],[Cantidad]]+VLOOKUP(VENTAS[[#This Row],[Código del producto Vendido]],STOCK[],19,FALSE)*VENTAS[[#This Row],[Cantidad]],VENTAS[[#This Row],[Total]])</f>
        <v>32.264705882352899</v>
      </c>
      <c r="L291" s="12">
        <f>VENTAS[[#This Row],[Total]]-VENTAS[[#This Row],[Comisión 10%]]-VENTAS[[#This Row],[Costo SIN Comision]]</f>
        <v>7.7352941176471006</v>
      </c>
      <c r="M291" s="12"/>
      <c r="N291" s="16"/>
    </row>
    <row r="292" spans="1:14" ht="20" hidden="1" customHeight="1">
      <c r="A292" s="9">
        <v>45094</v>
      </c>
      <c r="B292" s="10"/>
      <c r="C292" s="10"/>
      <c r="D292" s="10"/>
      <c r="E292" s="10" t="s">
        <v>1033</v>
      </c>
      <c r="F292" s="10" t="str">
        <f>IFERROR(VLOOKUP(VENTAS[[#This Row],[Código del producto Vendido]],STOCK[],5,FALSE),"-")</f>
        <v>Jenas Ajustados Oscuro</v>
      </c>
      <c r="G292" s="10">
        <v>1</v>
      </c>
      <c r="H292" s="12">
        <v>35</v>
      </c>
      <c r="I292" s="12">
        <f>VENTAS[[#This Row],[Cantidad]]*VENTAS[[#This Row],[Precio Venta]]</f>
        <v>35</v>
      </c>
      <c r="J292" s="12">
        <f>IF(VENTAS[[#This Row],[Nombre del Gestor]]&gt;1,VENTAS[[#This Row],[Total]]*10%,0)</f>
        <v>0</v>
      </c>
      <c r="K292" s="12">
        <f>IFERROR(VLOOKUP(VENTAS[[#This Row],[Código del producto Vendido]],STOCK[],16,FALSE)*VENTAS[[#This Row],[Cantidad]]+VLOOKUP(VENTAS[[#This Row],[Código del producto Vendido]],STOCK[],19,FALSE)*VENTAS[[#This Row],[Cantidad]],VENTAS[[#This Row],[Total]])</f>
        <v>24.681818181818201</v>
      </c>
      <c r="L292" s="12">
        <f>VENTAS[[#This Row],[Total]]-VENTAS[[#This Row],[Comisión 10%]]-VENTAS[[#This Row],[Costo SIN Comision]]</f>
        <v>10.318181818181799</v>
      </c>
      <c r="M292" s="12"/>
      <c r="N292" s="16"/>
    </row>
    <row r="293" spans="1:14" ht="20" hidden="1" customHeight="1">
      <c r="A293" s="9">
        <v>45094</v>
      </c>
      <c r="B293" s="10"/>
      <c r="C293" s="10"/>
      <c r="D293" s="10"/>
      <c r="E293" s="10" t="s">
        <v>1040</v>
      </c>
      <c r="F293" s="10" t="str">
        <f>IFERROR(VLOOKUP(VENTAS[[#This Row],[Código del producto Vendido]],STOCK[],5,FALSE),"-")</f>
        <v>Jeans Elastizados Pierna Ancha</v>
      </c>
      <c r="G293" s="10">
        <v>1</v>
      </c>
      <c r="H293" s="12">
        <v>35</v>
      </c>
      <c r="I293" s="12">
        <f>VENTAS[[#This Row],[Cantidad]]*VENTAS[[#This Row],[Precio Venta]]</f>
        <v>35</v>
      </c>
      <c r="J293" s="12">
        <f>IF(VENTAS[[#This Row],[Nombre del Gestor]]&gt;1,VENTAS[[#This Row],[Total]]*10%,0)</f>
        <v>0</v>
      </c>
      <c r="K293" s="12">
        <f>IFERROR(VLOOKUP(VENTAS[[#This Row],[Código del producto Vendido]],STOCK[],16,FALSE)*VENTAS[[#This Row],[Cantidad]]+VLOOKUP(VENTAS[[#This Row],[Código del producto Vendido]],STOCK[],19,FALSE)*VENTAS[[#This Row],[Cantidad]],VENTAS[[#This Row],[Total]])</f>
        <v>27.522727272727298</v>
      </c>
      <c r="L293" s="12">
        <f>VENTAS[[#This Row],[Total]]-VENTAS[[#This Row],[Comisión 10%]]-VENTAS[[#This Row],[Costo SIN Comision]]</f>
        <v>7.4772727272727018</v>
      </c>
      <c r="M293" s="12"/>
      <c r="N293" s="16"/>
    </row>
    <row r="294" spans="1:14" ht="20" hidden="1" customHeight="1">
      <c r="A294" s="9">
        <v>45094</v>
      </c>
      <c r="B294" s="10"/>
      <c r="C294" s="10"/>
      <c r="D294" s="10"/>
      <c r="E294" s="10" t="s">
        <v>157</v>
      </c>
      <c r="F294" s="10" t="str">
        <f>IFERROR(VLOOKUP(VENTAS[[#This Row],[Código del producto Vendido]],STOCK[],5,FALSE),"-")</f>
        <v>Jeans de pierna recta desgarro</v>
      </c>
      <c r="G294" s="10">
        <v>1</v>
      </c>
      <c r="H294" s="12">
        <v>30</v>
      </c>
      <c r="I294" s="12">
        <f>VENTAS[[#This Row],[Cantidad]]*VENTAS[[#This Row],[Precio Venta]]</f>
        <v>30</v>
      </c>
      <c r="J294" s="12">
        <f>IF(VENTAS[[#This Row],[Nombre del Gestor]]&gt;1,VENTAS[[#This Row],[Total]]*10%,0)</f>
        <v>0</v>
      </c>
      <c r="K294" s="12">
        <f>IFERROR(VLOOKUP(VENTAS[[#This Row],[Código del producto Vendido]],STOCK[],16,FALSE)*VENTAS[[#This Row],[Cantidad]]+VLOOKUP(VENTAS[[#This Row],[Código del producto Vendido]],STOCK[],19,FALSE)*VENTAS[[#This Row],[Cantidad]],VENTAS[[#This Row],[Total]])</f>
        <v>18.686666666666667</v>
      </c>
      <c r="L294" s="12">
        <f>VENTAS[[#This Row],[Total]]-VENTAS[[#This Row],[Comisión 10%]]-VENTAS[[#This Row],[Costo SIN Comision]]</f>
        <v>11.313333333333333</v>
      </c>
      <c r="M294" s="12"/>
      <c r="N294" s="16"/>
    </row>
    <row r="295" spans="1:14" ht="20" hidden="1" customHeight="1">
      <c r="A295" s="9">
        <v>45094</v>
      </c>
      <c r="B295" s="10"/>
      <c r="C295" s="10"/>
      <c r="D295" s="10"/>
      <c r="E295" s="10" t="s">
        <v>180</v>
      </c>
      <c r="F295" s="10" t="str">
        <f>IFERROR(VLOOKUP(VENTAS[[#This Row],[Código del producto Vendido]],STOCK[],5,FALSE),"-")</f>
        <v>Top de manga farol con abertura en espalda</v>
      </c>
      <c r="G295" s="10">
        <v>1</v>
      </c>
      <c r="H295" s="12">
        <v>14</v>
      </c>
      <c r="I295" s="12">
        <f>VENTAS[[#This Row],[Cantidad]]*VENTAS[[#This Row],[Precio Venta]]</f>
        <v>14</v>
      </c>
      <c r="J295" s="12">
        <f>IF(VENTAS[[#This Row],[Nombre del Gestor]]&gt;1,VENTAS[[#This Row],[Total]]*10%,0)</f>
        <v>0</v>
      </c>
      <c r="K295" s="12">
        <f>IFERROR(VLOOKUP(VENTAS[[#This Row],[Código del producto Vendido]],STOCK[],16,FALSE)*VENTAS[[#This Row],[Cantidad]]+VLOOKUP(VENTAS[[#This Row],[Código del producto Vendido]],STOCK[],19,FALSE)*VENTAS[[#This Row],[Cantidad]],VENTAS[[#This Row],[Total]])</f>
        <v>8.8577777777777804</v>
      </c>
      <c r="L295" s="12">
        <f>VENTAS[[#This Row],[Total]]-VENTAS[[#This Row],[Comisión 10%]]-VENTAS[[#This Row],[Costo SIN Comision]]</f>
        <v>5.1422222222222196</v>
      </c>
      <c r="M295" s="12"/>
      <c r="N295" s="16"/>
    </row>
    <row r="296" spans="1:14" ht="20" hidden="1" customHeight="1">
      <c r="A296" s="9">
        <v>45095</v>
      </c>
      <c r="B296" s="10"/>
      <c r="C296" s="10" t="s">
        <v>4241</v>
      </c>
      <c r="D296" s="10"/>
      <c r="E296" s="10" t="s">
        <v>194</v>
      </c>
      <c r="F296" s="10" t="str">
        <f>IFERROR(VLOOKUP(VENTAS[[#This Row],[Código del producto Vendido]],STOCK[],5,FALSE),"-")</f>
        <v>Pantalones de pierna ancha de talle alto con abertura</v>
      </c>
      <c r="G296" s="10">
        <v>1</v>
      </c>
      <c r="H296" s="12">
        <v>0</v>
      </c>
      <c r="I296" s="12">
        <f>VENTAS[[#This Row],[Cantidad]]*VENTAS[[#This Row],[Precio Venta]]</f>
        <v>0</v>
      </c>
      <c r="J296" s="12">
        <f>IF(VENTAS[[#This Row],[Nombre del Gestor]]&gt;1,VENTAS[[#This Row],[Total]]*10%,0)</f>
        <v>0</v>
      </c>
      <c r="K296" s="12">
        <f>IFERROR(VLOOKUP(VENTAS[[#This Row],[Código del producto Vendido]],STOCK[],16,FALSE)*VENTAS[[#This Row],[Cantidad]]+VLOOKUP(VENTAS[[#This Row],[Código del producto Vendido]],STOCK[],19,FALSE)*VENTAS[[#This Row],[Cantidad]],VENTAS[[#This Row],[Total]])</f>
        <v>13.151111111111099</v>
      </c>
      <c r="L296" s="12">
        <f>VENTAS[[#This Row],[Total]]-VENTAS[[#This Row],[Comisión 10%]]-VENTAS[[#This Row],[Costo SIN Comision]]</f>
        <v>-13.151111111111099</v>
      </c>
      <c r="M296" s="12"/>
      <c r="N296" s="16"/>
    </row>
    <row r="297" spans="1:14" ht="20" hidden="1" customHeight="1">
      <c r="A297" s="9">
        <v>45096</v>
      </c>
      <c r="B297" s="10"/>
      <c r="C297" s="10"/>
      <c r="D297" s="10"/>
      <c r="E297" s="10" t="s">
        <v>1154</v>
      </c>
      <c r="F297" s="10" t="str">
        <f>IFERROR(VLOOKUP(VENTAS[[#This Row],[Código del producto Vendido]],STOCK[],5,FALSE),"-")</f>
        <v>Top negro tipo cami</v>
      </c>
      <c r="G297" s="10">
        <v>1</v>
      </c>
      <c r="H297" s="12">
        <v>12</v>
      </c>
      <c r="I297" s="12">
        <f>VENTAS[[#This Row],[Cantidad]]*VENTAS[[#This Row],[Precio Venta]]</f>
        <v>12</v>
      </c>
      <c r="J297" s="12">
        <f>IF(VENTAS[[#This Row],[Nombre del Gestor]]&gt;1,VENTAS[[#This Row],[Total]]*10%,0)</f>
        <v>0</v>
      </c>
      <c r="K297" s="12">
        <f>IFERROR(VLOOKUP(VENTAS[[#This Row],[Código del producto Vendido]],STOCK[],16,FALSE)*VENTAS[[#This Row],[Cantidad]]+VLOOKUP(VENTAS[[#This Row],[Código del producto Vendido]],STOCK[],19,FALSE)*VENTAS[[#This Row],[Cantidad]],VENTAS[[#This Row],[Total]])</f>
        <v>7</v>
      </c>
      <c r="L297" s="12">
        <f>VENTAS[[#This Row],[Total]]-VENTAS[[#This Row],[Comisión 10%]]-VENTAS[[#This Row],[Costo SIN Comision]]</f>
        <v>5</v>
      </c>
      <c r="M297" s="12"/>
      <c r="N297" s="16"/>
    </row>
    <row r="298" spans="1:14" ht="20" hidden="1" customHeight="1">
      <c r="A298" s="9">
        <v>45096</v>
      </c>
      <c r="B298" s="10"/>
      <c r="C298" s="10"/>
      <c r="D298" s="10"/>
      <c r="E298" s="10" t="s">
        <v>1128</v>
      </c>
      <c r="F298" s="10" t="str">
        <f>IFERROR(VLOOKUP(VENTAS[[#This Row],[Código del producto Vendido]],STOCK[],5,FALSE),"-")</f>
        <v>Blusa elegante de cuello blanco</v>
      </c>
      <c r="G298" s="10">
        <v>1</v>
      </c>
      <c r="H298" s="12">
        <v>15</v>
      </c>
      <c r="I298" s="12">
        <f>VENTAS[[#This Row],[Cantidad]]*VENTAS[[#This Row],[Precio Venta]]</f>
        <v>15</v>
      </c>
      <c r="J298" s="12">
        <f>IF(VENTAS[[#This Row],[Nombre del Gestor]]&gt;1,VENTAS[[#This Row],[Total]]*10%,0)</f>
        <v>0</v>
      </c>
      <c r="K298" s="12">
        <f>IFERROR(VLOOKUP(VENTAS[[#This Row],[Código del producto Vendido]],STOCK[],16,FALSE)*VENTAS[[#This Row],[Cantidad]]+VLOOKUP(VENTAS[[#This Row],[Código del producto Vendido]],STOCK[],19,FALSE)*VENTAS[[#This Row],[Cantidad]],VENTAS[[#This Row],[Total]])</f>
        <v>11.976470588235291</v>
      </c>
      <c r="L298" s="12">
        <f>VENTAS[[#This Row],[Total]]-VENTAS[[#This Row],[Comisión 10%]]-VENTAS[[#This Row],[Costo SIN Comision]]</f>
        <v>3.0235294117647094</v>
      </c>
      <c r="M298" s="12"/>
      <c r="N298" s="16"/>
    </row>
    <row r="299" spans="1:14" ht="20" hidden="1" customHeight="1">
      <c r="A299" s="9">
        <v>45097</v>
      </c>
      <c r="B299" s="10"/>
      <c r="C299" s="10"/>
      <c r="D299" s="10"/>
      <c r="E299" s="10" t="s">
        <v>60</v>
      </c>
      <c r="F299" s="10" t="str">
        <f>IFERROR(VLOOKUP(VENTAS[[#This Row],[Código del producto Vendido]],STOCK[],5,FALSE),"-")</f>
        <v>Bikini Mangas Fuccia</v>
      </c>
      <c r="G299" s="10">
        <v>1</v>
      </c>
      <c r="H299" s="12">
        <v>22</v>
      </c>
      <c r="I299" s="12">
        <f>VENTAS[[#This Row],[Cantidad]]*VENTAS[[#This Row],[Precio Venta]]</f>
        <v>22</v>
      </c>
      <c r="J299" s="12">
        <f>IF(VENTAS[[#This Row],[Nombre del Gestor]]&gt;1,VENTAS[[#This Row],[Total]]*10%,0)</f>
        <v>0</v>
      </c>
      <c r="K299" s="12">
        <f>IFERROR(VLOOKUP(VENTAS[[#This Row],[Código del producto Vendido]],STOCK[],16,FALSE)*VENTAS[[#This Row],[Cantidad]]+VLOOKUP(VENTAS[[#This Row],[Código del producto Vendido]],STOCK[],19,FALSE)*VENTAS[[#This Row],[Cantidad]],VENTAS[[#This Row],[Total]])</f>
        <v>14.495000000000001</v>
      </c>
      <c r="L299" s="12">
        <f>VENTAS[[#This Row],[Total]]-VENTAS[[#This Row],[Comisión 10%]]-VENTAS[[#This Row],[Costo SIN Comision]]</f>
        <v>7.504999999999999</v>
      </c>
      <c r="M299" s="12"/>
      <c r="N299" s="16"/>
    </row>
    <row r="300" spans="1:14" ht="20" hidden="1" customHeight="1">
      <c r="A300" s="9">
        <v>45097</v>
      </c>
      <c r="B300" s="10"/>
      <c r="C300" s="10"/>
      <c r="D300" s="10"/>
      <c r="E300" s="10" t="s">
        <v>1042</v>
      </c>
      <c r="F300" s="10" t="str">
        <f>IFERROR(VLOOKUP(VENTAS[[#This Row],[Código del producto Vendido]],STOCK[],5,FALSE),"-")</f>
        <v>Jeans Elastizados Pierna Ancha</v>
      </c>
      <c r="G300" s="10">
        <v>1</v>
      </c>
      <c r="H300" s="12">
        <v>35</v>
      </c>
      <c r="I300" s="12">
        <f>VENTAS[[#This Row],[Cantidad]]*VENTAS[[#This Row],[Precio Venta]]</f>
        <v>35</v>
      </c>
      <c r="J300" s="12">
        <f>IF(VENTAS[[#This Row],[Nombre del Gestor]]&gt;1,VENTAS[[#This Row],[Total]]*10%,0)</f>
        <v>0</v>
      </c>
      <c r="K300" s="12">
        <f>IFERROR(VLOOKUP(VENTAS[[#This Row],[Código del producto Vendido]],STOCK[],16,FALSE)*VENTAS[[#This Row],[Cantidad]]+VLOOKUP(VENTAS[[#This Row],[Código del producto Vendido]],STOCK[],19,FALSE)*VENTAS[[#This Row],[Cantidad]],VENTAS[[#This Row],[Total]])</f>
        <v>27.522727272727298</v>
      </c>
      <c r="L300" s="12">
        <f>VENTAS[[#This Row],[Total]]-VENTAS[[#This Row],[Comisión 10%]]-VENTAS[[#This Row],[Costo SIN Comision]]</f>
        <v>7.4772727272727018</v>
      </c>
      <c r="M300" s="12"/>
      <c r="N300" s="16"/>
    </row>
    <row r="301" spans="1:14" ht="20" hidden="1" customHeight="1">
      <c r="A301" s="9">
        <v>45097</v>
      </c>
      <c r="B301" s="10"/>
      <c r="C301" s="10"/>
      <c r="D301" s="10"/>
      <c r="E301" s="10" t="s">
        <v>1006</v>
      </c>
      <c r="F301" s="10" t="str">
        <f>IFERROR(VLOOKUP(VENTAS[[#This Row],[Código del producto Vendido]],STOCK[],5,FALSE),"-")</f>
        <v>Bañador una pieza con estampado de planta cremallera</v>
      </c>
      <c r="G301" s="10">
        <v>1</v>
      </c>
      <c r="H301" s="12">
        <v>25</v>
      </c>
      <c r="I301" s="12">
        <f>VENTAS[[#This Row],[Cantidad]]*VENTAS[[#This Row],[Precio Venta]]</f>
        <v>25</v>
      </c>
      <c r="J301" s="12">
        <f>IF(VENTAS[[#This Row],[Nombre del Gestor]]&gt;1,VENTAS[[#This Row],[Total]]*10%,0)</f>
        <v>0</v>
      </c>
      <c r="K301" s="12">
        <f>IFERROR(VLOOKUP(VENTAS[[#This Row],[Código del producto Vendido]],STOCK[],16,FALSE)*VENTAS[[#This Row],[Cantidad]]+VLOOKUP(VENTAS[[#This Row],[Código del producto Vendido]],STOCK[],19,FALSE)*VENTAS[[#This Row],[Cantidad]],VENTAS[[#This Row],[Total]])</f>
        <v>14.645454545454539</v>
      </c>
      <c r="L301" s="12">
        <f>VENTAS[[#This Row],[Total]]-VENTAS[[#This Row],[Comisión 10%]]-VENTAS[[#This Row],[Costo SIN Comision]]</f>
        <v>10.354545454545461</v>
      </c>
      <c r="M301" s="12"/>
      <c r="N301" s="16"/>
    </row>
    <row r="302" spans="1:14" ht="20" hidden="1" customHeight="1">
      <c r="A302" s="9">
        <v>45097</v>
      </c>
      <c r="B302" s="10"/>
      <c r="C302" s="10"/>
      <c r="D302" s="10"/>
      <c r="E302" s="10" t="s">
        <v>840</v>
      </c>
      <c r="F302" s="10" t="str">
        <f>IFERROR(VLOOKUP(VENTAS[[#This Row],[Código del producto Vendido]],STOCK[],5,FALSE),"-")</f>
        <v>Pareo corazón</v>
      </c>
      <c r="G302" s="10">
        <v>1</v>
      </c>
      <c r="H302" s="12">
        <v>10</v>
      </c>
      <c r="I302" s="12">
        <f>VENTAS[[#This Row],[Cantidad]]*VENTAS[[#This Row],[Precio Venta]]</f>
        <v>10</v>
      </c>
      <c r="J302" s="12">
        <f>IF(VENTAS[[#This Row],[Nombre del Gestor]]&gt;1,VENTAS[[#This Row],[Total]]*10%,0)</f>
        <v>0</v>
      </c>
      <c r="K302" s="12">
        <f>IFERROR(VLOOKUP(VENTAS[[#This Row],[Código del producto Vendido]],STOCK[],16,FALSE)*VENTAS[[#This Row],[Cantidad]]+VLOOKUP(VENTAS[[#This Row],[Código del producto Vendido]],STOCK[],19,FALSE)*VENTAS[[#This Row],[Cantidad]],VENTAS[[#This Row],[Total]])</f>
        <v>3.6777777777777798</v>
      </c>
      <c r="L302" s="12">
        <f>VENTAS[[#This Row],[Total]]-VENTAS[[#This Row],[Comisión 10%]]-VENTAS[[#This Row],[Costo SIN Comision]]</f>
        <v>6.3222222222222202</v>
      </c>
      <c r="M302" s="12"/>
      <c r="N302" s="16"/>
    </row>
    <row r="303" spans="1:14" s="2" customFormat="1" ht="20" hidden="1" customHeight="1">
      <c r="A303" s="17">
        <v>45097</v>
      </c>
      <c r="B303" s="18"/>
      <c r="C303" s="18"/>
      <c r="D303" s="18"/>
      <c r="E303" s="18" t="s">
        <v>760</v>
      </c>
      <c r="F303" s="18" t="str">
        <f>IFERROR(VLOOKUP(VENTAS[[#This Row],[Código del producto Vendido]],STOCK[],5,FALSE),"-")</f>
        <v>Sandalias Trenzadas</v>
      </c>
      <c r="G303" s="18">
        <v>1</v>
      </c>
      <c r="H303" s="20">
        <v>35</v>
      </c>
      <c r="I303" s="12">
        <f>VENTAS[[#This Row],[Cantidad]]*VENTAS[[#This Row],[Precio Venta]]</f>
        <v>35</v>
      </c>
      <c r="J303" s="12">
        <f>IF(VENTAS[[#This Row],[Nombre del Gestor]]&gt;1,VENTAS[[#This Row],[Total]]*10%,0)</f>
        <v>0</v>
      </c>
      <c r="K303" s="12">
        <f>IFERROR(VLOOKUP(VENTAS[[#This Row],[Código del producto Vendido]],STOCK[],16,FALSE)*VENTAS[[#This Row],[Cantidad]]+VLOOKUP(VENTAS[[#This Row],[Código del producto Vendido]],STOCK[],19,FALSE)*VENTAS[[#This Row],[Cantidad]],VENTAS[[#This Row],[Total]])</f>
        <v>27</v>
      </c>
      <c r="L303" s="12">
        <f>VENTAS[[#This Row],[Total]]-VENTAS[[#This Row],[Comisión 10%]]-VENTAS[[#This Row],[Costo SIN Comision]]</f>
        <v>8</v>
      </c>
      <c r="M303" s="20"/>
      <c r="N303" s="22"/>
    </row>
    <row r="304" spans="1:14" ht="20" hidden="1" customHeight="1">
      <c r="A304" s="17">
        <v>45100</v>
      </c>
      <c r="B304" s="18" t="s">
        <v>4242</v>
      </c>
      <c r="C304" s="18" t="s">
        <v>4243</v>
      </c>
      <c r="D304" s="18"/>
      <c r="E304" s="18" t="s">
        <v>157</v>
      </c>
      <c r="F304" s="18" t="str">
        <f>IFERROR(VLOOKUP(VENTAS[[#This Row],[Código del producto Vendido]],STOCK[],5,FALSE),"-")</f>
        <v>Jeans de pierna recta desgarro</v>
      </c>
      <c r="G304" s="18">
        <v>1</v>
      </c>
      <c r="H304" s="20">
        <v>30</v>
      </c>
      <c r="I304" s="12">
        <f>VENTAS[[#This Row],[Cantidad]]*VENTAS[[#This Row],[Precio Venta]]</f>
        <v>30</v>
      </c>
      <c r="J304" s="12">
        <f>IF(VENTAS[[#This Row],[Nombre del Gestor]]&gt;1,VENTAS[[#This Row],[Total]]*10%,0)</f>
        <v>0</v>
      </c>
      <c r="K304" s="12">
        <f>IFERROR(VLOOKUP(VENTAS[[#This Row],[Código del producto Vendido]],STOCK[],16,FALSE)*VENTAS[[#This Row],[Cantidad]]+VLOOKUP(VENTAS[[#This Row],[Código del producto Vendido]],STOCK[],19,FALSE)*VENTAS[[#This Row],[Cantidad]],VENTAS[[#This Row],[Total]])</f>
        <v>18.686666666666667</v>
      </c>
      <c r="L304" s="12">
        <f>VENTAS[[#This Row],[Total]]-VENTAS[[#This Row],[Comisión 10%]]-VENTAS[[#This Row],[Costo SIN Comision]]</f>
        <v>11.313333333333333</v>
      </c>
      <c r="M304" s="12"/>
      <c r="N304" s="16"/>
    </row>
    <row r="305" spans="1:14" ht="20" hidden="1" customHeight="1">
      <c r="A305" s="9">
        <v>45106</v>
      </c>
      <c r="B305" s="10"/>
      <c r="C305" s="10"/>
      <c r="D305" s="10"/>
      <c r="E305" s="10" t="s">
        <v>1044</v>
      </c>
      <c r="F305" s="10" t="str">
        <f>IFERROR(VLOOKUP(VENTAS[[#This Row],[Código del producto Vendido]],STOCK[],5,FALSE),"-")</f>
        <v>Jeans Ajustados Claro</v>
      </c>
      <c r="G305" s="10">
        <v>1</v>
      </c>
      <c r="H305" s="12">
        <v>35</v>
      </c>
      <c r="I305" s="12">
        <f>VENTAS[[#This Row],[Cantidad]]*VENTAS[[#This Row],[Precio Venta]]</f>
        <v>35</v>
      </c>
      <c r="J305" s="12">
        <f>IF(VENTAS[[#This Row],[Nombre del Gestor]]&gt;1,VENTAS[[#This Row],[Total]]*10%,0)</f>
        <v>0</v>
      </c>
      <c r="K305" s="12">
        <f>IFERROR(VLOOKUP(VENTAS[[#This Row],[Código del producto Vendido]],STOCK[],16,FALSE)*VENTAS[[#This Row],[Cantidad]]+VLOOKUP(VENTAS[[#This Row],[Código del producto Vendido]],STOCK[],19,FALSE)*VENTAS[[#This Row],[Cantidad]],VENTAS[[#This Row],[Total]])</f>
        <v>25.818181818181799</v>
      </c>
      <c r="L305" s="12">
        <f>VENTAS[[#This Row],[Total]]-VENTAS[[#This Row],[Comisión 10%]]-VENTAS[[#This Row],[Costo SIN Comision]]</f>
        <v>9.1818181818182012</v>
      </c>
      <c r="M305" s="12"/>
      <c r="N305" s="16"/>
    </row>
    <row r="306" spans="1:14" ht="20" hidden="1" customHeight="1">
      <c r="A306" s="9">
        <v>45106</v>
      </c>
      <c r="B306" s="10"/>
      <c r="C306" s="10"/>
      <c r="D306" s="10"/>
      <c r="E306" s="10" t="s">
        <v>708</v>
      </c>
      <c r="F306" s="10" t="str">
        <f>IFERROR(VLOOKUP(VENTAS[[#This Row],[Código del producto Vendido]],STOCK[],5,FALSE),"-")</f>
        <v>Top bandeau</v>
      </c>
      <c r="G306" s="10">
        <v>1</v>
      </c>
      <c r="H306" s="12">
        <v>15</v>
      </c>
      <c r="I306" s="12">
        <f>VENTAS[[#This Row],[Cantidad]]*VENTAS[[#This Row],[Precio Venta]]</f>
        <v>15</v>
      </c>
      <c r="J306" s="12">
        <f>IF(VENTAS[[#This Row],[Nombre del Gestor]]&gt;1,VENTAS[[#This Row],[Total]]*10%,0)</f>
        <v>0</v>
      </c>
      <c r="K306" s="12">
        <f>IFERROR(VLOOKUP(VENTAS[[#This Row],[Código del producto Vendido]],STOCK[],16,FALSE)*VENTAS[[#This Row],[Cantidad]]+VLOOKUP(VENTAS[[#This Row],[Código del producto Vendido]],STOCK[],19,FALSE)*VENTAS[[#This Row],[Cantidad]],VENTAS[[#This Row],[Total]])</f>
        <v>11.4</v>
      </c>
      <c r="L306" s="12">
        <f>VENTAS[[#This Row],[Total]]-VENTAS[[#This Row],[Comisión 10%]]-VENTAS[[#This Row],[Costo SIN Comision]]</f>
        <v>3.5999999999999996</v>
      </c>
      <c r="M306" s="12"/>
      <c r="N306" s="16"/>
    </row>
    <row r="307" spans="1:14" ht="20" hidden="1" customHeight="1">
      <c r="A307" s="9">
        <v>45107</v>
      </c>
      <c r="B307" s="10"/>
      <c r="C307" s="10"/>
      <c r="D307" s="10"/>
      <c r="E307" s="10" t="s">
        <v>1081</v>
      </c>
      <c r="F307" s="10" t="str">
        <f>IFERROR(VLOOKUP(VENTAS[[#This Row],[Código del producto Vendido]],STOCK[],5,FALSE),"-")</f>
        <v>Vestido floreado a un hombro</v>
      </c>
      <c r="G307" s="10">
        <v>1</v>
      </c>
      <c r="H307" s="12">
        <v>35</v>
      </c>
      <c r="I307" s="12">
        <f>VENTAS[[#This Row],[Cantidad]]*VENTAS[[#This Row],[Precio Venta]]</f>
        <v>35</v>
      </c>
      <c r="J307" s="12">
        <f>IF(VENTAS[[#This Row],[Nombre del Gestor]]&gt;1,VENTAS[[#This Row],[Total]]*10%,0)</f>
        <v>0</v>
      </c>
      <c r="K307" s="12">
        <f>IFERROR(VLOOKUP(VENTAS[[#This Row],[Código del producto Vendido]],STOCK[],16,FALSE)*VENTAS[[#This Row],[Cantidad]]+VLOOKUP(VENTAS[[#This Row],[Código del producto Vendido]],STOCK[],19,FALSE)*VENTAS[[#This Row],[Cantidad]],VENTAS[[#This Row],[Total]])</f>
        <v>22.301470588235301</v>
      </c>
      <c r="L307" s="12">
        <f>VENTAS[[#This Row],[Total]]-VENTAS[[#This Row],[Comisión 10%]]-VENTAS[[#This Row],[Costo SIN Comision]]</f>
        <v>12.698529411764699</v>
      </c>
      <c r="M307" s="12"/>
      <c r="N307" s="16"/>
    </row>
    <row r="308" spans="1:14" ht="20" hidden="1" customHeight="1">
      <c r="A308" s="9">
        <v>45107</v>
      </c>
      <c r="B308" s="10"/>
      <c r="C308" s="10"/>
      <c r="D308" s="10"/>
      <c r="E308" s="10" t="s">
        <v>984</v>
      </c>
      <c r="F308" s="10" t="str">
        <f>IFERROR(VLOOKUP(VENTAS[[#This Row],[Código del producto Vendido]],STOCK[],5,FALSE),"-")</f>
        <v>Vestido con abertura</v>
      </c>
      <c r="G308" s="10">
        <v>1</v>
      </c>
      <c r="H308" s="12">
        <v>22</v>
      </c>
      <c r="I308" s="12">
        <f>VENTAS[[#This Row],[Cantidad]]*VENTAS[[#This Row],[Precio Venta]]</f>
        <v>22</v>
      </c>
      <c r="J308" s="12">
        <f>IF(VENTAS[[#This Row],[Nombre del Gestor]]&gt;1,VENTAS[[#This Row],[Total]]*10%,0)</f>
        <v>0</v>
      </c>
      <c r="K308" s="12">
        <f>IFERROR(VLOOKUP(VENTAS[[#This Row],[Código del producto Vendido]],STOCK[],16,FALSE)*VENTAS[[#This Row],[Cantidad]]+VLOOKUP(VENTAS[[#This Row],[Código del producto Vendido]],STOCK[],19,FALSE)*VENTAS[[#This Row],[Cantidad]],VENTAS[[#This Row],[Total]])</f>
        <v>15.527727272727301</v>
      </c>
      <c r="L308" s="12">
        <f>VENTAS[[#This Row],[Total]]-VENTAS[[#This Row],[Comisión 10%]]-VENTAS[[#This Row],[Costo SIN Comision]]</f>
        <v>6.4722727272726992</v>
      </c>
      <c r="M308" s="12"/>
      <c r="N308" s="16"/>
    </row>
    <row r="309" spans="1:14" ht="20" hidden="1" customHeight="1">
      <c r="A309" s="9">
        <v>45103</v>
      </c>
      <c r="B309" s="10"/>
      <c r="C309" s="10"/>
      <c r="D309" s="10"/>
      <c r="E309" s="10" t="s">
        <v>951</v>
      </c>
      <c r="F309" s="10" t="str">
        <f>IFERROR(VLOOKUP(VENTAS[[#This Row],[Código del producto Vendido]],STOCK[],5,FALSE),"-")</f>
        <v xml:space="preserve"> Pantaloneta Verde</v>
      </c>
      <c r="G309" s="10">
        <v>1</v>
      </c>
      <c r="H309" s="12">
        <v>25</v>
      </c>
      <c r="I309" s="12">
        <f>VENTAS[[#This Row],[Cantidad]]*VENTAS[[#This Row],[Precio Venta]]</f>
        <v>25</v>
      </c>
      <c r="J309" s="12">
        <f>IF(VENTAS[[#This Row],[Nombre del Gestor]]&gt;1,VENTAS[[#This Row],[Total]]*10%,0)</f>
        <v>0</v>
      </c>
      <c r="K309" s="12">
        <f>IFERROR(VLOOKUP(VENTAS[[#This Row],[Código del producto Vendido]],STOCK[],16,FALSE)*VENTAS[[#This Row],[Cantidad]]+VLOOKUP(VENTAS[[#This Row],[Código del producto Vendido]],STOCK[],19,FALSE)*VENTAS[[#This Row],[Cantidad]],VENTAS[[#This Row],[Total]])</f>
        <v>14.871363636363629</v>
      </c>
      <c r="L309" s="12">
        <f>VENTAS[[#This Row],[Total]]-VENTAS[[#This Row],[Comisión 10%]]-VENTAS[[#This Row],[Costo SIN Comision]]</f>
        <v>10.128636363636371</v>
      </c>
      <c r="M309" s="12"/>
      <c r="N309" s="16"/>
    </row>
    <row r="310" spans="1:14" ht="20" hidden="1" customHeight="1">
      <c r="A310" s="9">
        <v>45100</v>
      </c>
      <c r="B310" s="10"/>
      <c r="C310" s="10"/>
      <c r="D310" s="10"/>
      <c r="E310" s="10" t="s">
        <v>899</v>
      </c>
      <c r="F310" s="10" t="str">
        <f>IFERROR(VLOOKUP(VENTAS[[#This Row],[Código del producto Vendido]],STOCK[],5,FALSE),"-")</f>
        <v>Bañador con adorno de malla</v>
      </c>
      <c r="G310" s="10">
        <v>1</v>
      </c>
      <c r="H310" s="12">
        <v>25</v>
      </c>
      <c r="I310" s="12">
        <f>VENTAS[[#This Row],[Cantidad]]*VENTAS[[#This Row],[Precio Venta]]</f>
        <v>25</v>
      </c>
      <c r="J310" s="12">
        <f>IF(VENTAS[[#This Row],[Nombre del Gestor]]&gt;1,VENTAS[[#This Row],[Total]]*10%,0)</f>
        <v>0</v>
      </c>
      <c r="K310" s="12">
        <f>IFERROR(VLOOKUP(VENTAS[[#This Row],[Código del producto Vendido]],STOCK[],16,FALSE)*VENTAS[[#This Row],[Cantidad]]+VLOOKUP(VENTAS[[#This Row],[Código del producto Vendido]],STOCK[],19,FALSE)*VENTAS[[#This Row],[Cantidad]],VENTAS[[#This Row],[Total]])</f>
        <v>15.329545454545499</v>
      </c>
      <c r="L310" s="12">
        <f>VENTAS[[#This Row],[Total]]-VENTAS[[#This Row],[Comisión 10%]]-VENTAS[[#This Row],[Costo SIN Comision]]</f>
        <v>9.6704545454545006</v>
      </c>
      <c r="M310" s="12"/>
      <c r="N310" s="16"/>
    </row>
    <row r="311" spans="1:14" ht="20" hidden="1" customHeight="1">
      <c r="A311" s="9">
        <v>45103</v>
      </c>
      <c r="B311" s="10"/>
      <c r="C311" s="10"/>
      <c r="D311" s="10"/>
      <c r="E311" s="10" t="s">
        <v>905</v>
      </c>
      <c r="F311" s="10" t="str">
        <f>IFERROR(VLOOKUP(VENTAS[[#This Row],[Código del producto Vendido]],STOCK[],5,FALSE),"-")</f>
        <v>Bikini Floral</v>
      </c>
      <c r="G311" s="10">
        <v>1</v>
      </c>
      <c r="H311" s="12">
        <v>28</v>
      </c>
      <c r="I311" s="12">
        <f>VENTAS[[#This Row],[Cantidad]]*VENTAS[[#This Row],[Precio Venta]]</f>
        <v>28</v>
      </c>
      <c r="J311" s="12">
        <f>IF(VENTAS[[#This Row],[Nombre del Gestor]]&gt;1,VENTAS[[#This Row],[Total]]*10%,0)</f>
        <v>0</v>
      </c>
      <c r="K311" s="12">
        <f>IFERROR(VLOOKUP(VENTAS[[#This Row],[Código del producto Vendido]],STOCK[],16,FALSE)*VENTAS[[#This Row],[Cantidad]]+VLOOKUP(VENTAS[[#This Row],[Código del producto Vendido]],STOCK[],19,FALSE)*VENTAS[[#This Row],[Cantidad]],VENTAS[[#This Row],[Total]])</f>
        <v>17.5127272727273</v>
      </c>
      <c r="L311" s="12">
        <f>VENTAS[[#This Row],[Total]]-VENTAS[[#This Row],[Comisión 10%]]-VENTAS[[#This Row],[Costo SIN Comision]]</f>
        <v>10.4872727272727</v>
      </c>
      <c r="M311" s="12"/>
      <c r="N311" s="16"/>
    </row>
    <row r="312" spans="1:14" ht="20" hidden="1" customHeight="1">
      <c r="A312" s="9">
        <v>45100</v>
      </c>
      <c r="B312" s="10"/>
      <c r="C312" s="10"/>
      <c r="D312" s="10"/>
      <c r="E312" s="10" t="s">
        <v>1091</v>
      </c>
      <c r="F312" s="10" t="str">
        <f>IFERROR(VLOOKUP(VENTAS[[#This Row],[Código del producto Vendido]],STOCK[],5,FALSE),"-")</f>
        <v>Bikini Short con cordón de ajuste</v>
      </c>
      <c r="G312" s="10">
        <v>1</v>
      </c>
      <c r="H312" s="12">
        <v>28</v>
      </c>
      <c r="I312" s="12">
        <f>VENTAS[[#This Row],[Cantidad]]*VENTAS[[#This Row],[Precio Venta]]</f>
        <v>28</v>
      </c>
      <c r="J312" s="12">
        <f>IF(VENTAS[[#This Row],[Nombre del Gestor]]&gt;1,VENTAS[[#This Row],[Total]]*10%,0)</f>
        <v>0</v>
      </c>
      <c r="K312" s="12">
        <f>IFERROR(VLOOKUP(VENTAS[[#This Row],[Código del producto Vendido]],STOCK[],16,FALSE)*VENTAS[[#This Row],[Cantidad]]+VLOOKUP(VENTAS[[#This Row],[Código del producto Vendido]],STOCK[],19,FALSE)*VENTAS[[#This Row],[Cantidad]],VENTAS[[#This Row],[Total]])</f>
        <v>20.479411764705901</v>
      </c>
      <c r="L312" s="12">
        <f>VENTAS[[#This Row],[Total]]-VENTAS[[#This Row],[Comisión 10%]]-VENTAS[[#This Row],[Costo SIN Comision]]</f>
        <v>7.5205882352940989</v>
      </c>
      <c r="M312" s="12"/>
      <c r="N312" s="16"/>
    </row>
    <row r="313" spans="1:14" ht="20" hidden="1" customHeight="1">
      <c r="A313" s="9">
        <v>45103</v>
      </c>
      <c r="B313" s="10"/>
      <c r="C313" s="10"/>
      <c r="D313" s="10"/>
      <c r="E313" s="10" t="s">
        <v>1093</v>
      </c>
      <c r="F313" s="10" t="str">
        <f>IFERROR(VLOOKUP(VENTAS[[#This Row],[Código del producto Vendido]],STOCK[],5,FALSE),"-")</f>
        <v>Bikini Short con cordón de ajuste</v>
      </c>
      <c r="G313" s="10">
        <v>1</v>
      </c>
      <c r="H313" s="12">
        <v>28</v>
      </c>
      <c r="I313" s="12">
        <f>VENTAS[[#This Row],[Cantidad]]*VENTAS[[#This Row],[Precio Venta]]</f>
        <v>28</v>
      </c>
      <c r="J313" s="12">
        <f>IF(VENTAS[[#This Row],[Nombre del Gestor]]&gt;1,VENTAS[[#This Row],[Total]]*10%,0)</f>
        <v>0</v>
      </c>
      <c r="K313" s="12">
        <f>IFERROR(VLOOKUP(VENTAS[[#This Row],[Código del producto Vendido]],STOCK[],16,FALSE)*VENTAS[[#This Row],[Cantidad]]+VLOOKUP(VENTAS[[#This Row],[Código del producto Vendido]],STOCK[],19,FALSE)*VENTAS[[#This Row],[Cantidad]],VENTAS[[#This Row],[Total]])</f>
        <v>20.479411764705901</v>
      </c>
      <c r="L313" s="12">
        <f>VENTAS[[#This Row],[Total]]-VENTAS[[#This Row],[Comisión 10%]]-VENTAS[[#This Row],[Costo SIN Comision]]</f>
        <v>7.5205882352940989</v>
      </c>
      <c r="M313" s="12"/>
      <c r="N313" s="16"/>
    </row>
    <row r="314" spans="1:14" ht="20" hidden="1" customHeight="1">
      <c r="A314" s="9">
        <v>45100</v>
      </c>
      <c r="B314" s="10"/>
      <c r="C314" s="10"/>
      <c r="D314" s="10"/>
      <c r="E314" s="10" t="s">
        <v>1096</v>
      </c>
      <c r="F314" s="10" t="str">
        <f>IFERROR(VLOOKUP(VENTAS[[#This Row],[Código del producto Vendido]],STOCK[],5,FALSE),"-")</f>
        <v>Bañador en contraste azul</v>
      </c>
      <c r="G314" s="10">
        <v>1</v>
      </c>
      <c r="H314" s="12">
        <v>28</v>
      </c>
      <c r="I314" s="12">
        <f>VENTAS[[#This Row],[Cantidad]]*VENTAS[[#This Row],[Precio Venta]]</f>
        <v>28</v>
      </c>
      <c r="J314" s="12">
        <f>IF(VENTAS[[#This Row],[Nombre del Gestor]]&gt;1,VENTAS[[#This Row],[Total]]*10%,0)</f>
        <v>0</v>
      </c>
      <c r="K314" s="12">
        <f>IFERROR(VLOOKUP(VENTAS[[#This Row],[Código del producto Vendido]],STOCK[],16,FALSE)*VENTAS[[#This Row],[Cantidad]]+VLOOKUP(VENTAS[[#This Row],[Código del producto Vendido]],STOCK[],19,FALSE)*VENTAS[[#This Row],[Cantidad]],VENTAS[[#This Row],[Total]])</f>
        <v>19.338970588235298</v>
      </c>
      <c r="L314" s="12">
        <f>VENTAS[[#This Row],[Total]]-VENTAS[[#This Row],[Comisión 10%]]-VENTAS[[#This Row],[Costo SIN Comision]]</f>
        <v>8.6610294117647015</v>
      </c>
      <c r="M314" s="12"/>
      <c r="N314" s="16"/>
    </row>
    <row r="315" spans="1:14" ht="20" hidden="1" customHeight="1">
      <c r="A315" s="9">
        <v>45100</v>
      </c>
      <c r="B315" s="10"/>
      <c r="C315" s="10"/>
      <c r="D315" s="10"/>
      <c r="E315" s="10" t="s">
        <v>1132</v>
      </c>
      <c r="F315" s="10" t="str">
        <f>IFERROR(VLOOKUP(VENTAS[[#This Row],[Código del producto Vendido]],STOCK[],5,FALSE),"-")</f>
        <v>Maxi Vestido espalda corrida</v>
      </c>
      <c r="G315" s="10">
        <v>1</v>
      </c>
      <c r="H315" s="12">
        <v>30</v>
      </c>
      <c r="I315" s="12">
        <f>VENTAS[[#This Row],[Cantidad]]*VENTAS[[#This Row],[Precio Venta]]</f>
        <v>30</v>
      </c>
      <c r="J315" s="12">
        <f>IF(VENTAS[[#This Row],[Nombre del Gestor]]&gt;1,VENTAS[[#This Row],[Total]]*10%,0)</f>
        <v>0</v>
      </c>
      <c r="K315" s="12">
        <f>IFERROR(VLOOKUP(VENTAS[[#This Row],[Código del producto Vendido]],STOCK[],16,FALSE)*VENTAS[[#This Row],[Cantidad]]+VLOOKUP(VENTAS[[#This Row],[Código del producto Vendido]],STOCK[],19,FALSE)*VENTAS[[#This Row],[Cantidad]],VENTAS[[#This Row],[Total]])</f>
        <v>23.654411764705898</v>
      </c>
      <c r="L315" s="12">
        <f>VENTAS[[#This Row],[Total]]-VENTAS[[#This Row],[Comisión 10%]]-VENTAS[[#This Row],[Costo SIN Comision]]</f>
        <v>6.3455882352941018</v>
      </c>
      <c r="M315" s="12"/>
      <c r="N315" s="16"/>
    </row>
    <row r="316" spans="1:14" ht="20" hidden="1" customHeight="1">
      <c r="A316" s="9">
        <v>45100</v>
      </c>
      <c r="B316" s="10"/>
      <c r="C316" s="10"/>
      <c r="D316" s="10"/>
      <c r="E316" s="10" t="s">
        <v>906</v>
      </c>
      <c r="F316" s="10" t="str">
        <f>IFERROR(VLOOKUP(VENTAS[[#This Row],[Código del producto Vendido]],STOCK[],5,FALSE),"-")</f>
        <v>Bikini Floral</v>
      </c>
      <c r="G316" s="10">
        <v>1</v>
      </c>
      <c r="H316" s="12">
        <v>28</v>
      </c>
      <c r="I316" s="12">
        <f>VENTAS[[#This Row],[Cantidad]]*VENTAS[[#This Row],[Precio Venta]]</f>
        <v>28</v>
      </c>
      <c r="J316" s="12">
        <f>IF(VENTAS[[#This Row],[Nombre del Gestor]]&gt;1,VENTAS[[#This Row],[Total]]*10%,0)</f>
        <v>0</v>
      </c>
      <c r="K316" s="12">
        <f>IFERROR(VLOOKUP(VENTAS[[#This Row],[Código del producto Vendido]],STOCK[],16,FALSE)*VENTAS[[#This Row],[Cantidad]]+VLOOKUP(VENTAS[[#This Row],[Código del producto Vendido]],STOCK[],19,FALSE)*VENTAS[[#This Row],[Cantidad]],VENTAS[[#This Row],[Total]])</f>
        <v>17.5127272727273</v>
      </c>
      <c r="L316" s="12">
        <f>VENTAS[[#This Row],[Total]]-VENTAS[[#This Row],[Comisión 10%]]-VENTAS[[#This Row],[Costo SIN Comision]]</f>
        <v>10.4872727272727</v>
      </c>
      <c r="M316" s="12"/>
      <c r="N316" s="16"/>
    </row>
    <row r="317" spans="1:14" ht="20" hidden="1" customHeight="1">
      <c r="A317" s="9">
        <v>45133</v>
      </c>
      <c r="B317" s="10"/>
      <c r="C317" s="10"/>
      <c r="D317" s="10"/>
      <c r="E317" s="10" t="s">
        <v>279</v>
      </c>
      <c r="F317" s="10" t="str">
        <f>IFERROR(VLOOKUP(VENTAS[[#This Row],[Código del producto Vendido]],STOCK[],5,FALSE),"-")</f>
        <v>Top de cuello V media manga</v>
      </c>
      <c r="G317" s="10">
        <v>1</v>
      </c>
      <c r="H317" s="12">
        <v>14</v>
      </c>
      <c r="I317" s="12">
        <f>VENTAS[[#This Row],[Cantidad]]*VENTAS[[#This Row],[Precio Venta]]</f>
        <v>14</v>
      </c>
      <c r="J317" s="12">
        <f>IF(VENTAS[[#This Row],[Nombre del Gestor]]&gt;1,VENTAS[[#This Row],[Total]]*10%,0)</f>
        <v>0</v>
      </c>
      <c r="K317" s="12">
        <f>IFERROR(VLOOKUP(VENTAS[[#This Row],[Código del producto Vendido]],STOCK[],16,FALSE)*VENTAS[[#This Row],[Cantidad]]+VLOOKUP(VENTAS[[#This Row],[Código del producto Vendido]],STOCK[],19,FALSE)*VENTAS[[#This Row],[Cantidad]],VENTAS[[#This Row],[Total]])</f>
        <v>6.9955555555555602</v>
      </c>
      <c r="L317" s="12">
        <f>VENTAS[[#This Row],[Total]]-VENTAS[[#This Row],[Comisión 10%]]-VENTAS[[#This Row],[Costo SIN Comision]]</f>
        <v>7.0044444444444398</v>
      </c>
      <c r="M317" s="12"/>
      <c r="N317" s="16"/>
    </row>
    <row r="318" spans="1:14" ht="20" hidden="1" customHeight="1">
      <c r="A318" s="19">
        <v>45133</v>
      </c>
      <c r="B318" s="10"/>
      <c r="C318" s="10"/>
      <c r="D318" s="10"/>
      <c r="E318" s="10" t="s">
        <v>235</v>
      </c>
      <c r="F318" s="10" t="str">
        <f>IFERROR(VLOOKUP(VENTAS[[#This Row],[Código del producto Vendido]],STOCK[],5,FALSE),"-")</f>
        <v>Top de cuello con cordón de lunares</v>
      </c>
      <c r="G318" s="10">
        <v>1</v>
      </c>
      <c r="H318" s="12">
        <v>12</v>
      </c>
      <c r="I318" s="12">
        <f>VENTAS[[#This Row],[Cantidad]]*VENTAS[[#This Row],[Precio Venta]]</f>
        <v>12</v>
      </c>
      <c r="J318" s="12">
        <f>IF(VENTAS[[#This Row],[Nombre del Gestor]]&gt;1,VENTAS[[#This Row],[Total]]*10%,0)</f>
        <v>0</v>
      </c>
      <c r="K318" s="12">
        <f>IFERROR(VLOOKUP(VENTAS[[#This Row],[Código del producto Vendido]],STOCK[],16,FALSE)*VENTAS[[#This Row],[Cantidad]]+VLOOKUP(VENTAS[[#This Row],[Código del producto Vendido]],STOCK[],19,FALSE)*VENTAS[[#This Row],[Cantidad]],VENTAS[[#This Row],[Total]])</f>
        <v>7.9044444444444402</v>
      </c>
      <c r="L318" s="12">
        <f>VENTAS[[#This Row],[Total]]-VENTAS[[#This Row],[Comisión 10%]]-VENTAS[[#This Row],[Costo SIN Comision]]</f>
        <v>4.0955555555555598</v>
      </c>
      <c r="M318" s="12"/>
      <c r="N318" s="16"/>
    </row>
    <row r="319" spans="1:14" ht="20" hidden="1" customHeight="1">
      <c r="A319" s="9">
        <v>45108</v>
      </c>
      <c r="B319" s="10"/>
      <c r="C319" s="10"/>
      <c r="D319" s="10"/>
      <c r="E319" s="10" t="s">
        <v>193</v>
      </c>
      <c r="F319" s="10" t="str">
        <f>IFERROR(VLOOKUP(VENTAS[[#This Row],[Código del producto Vendido]],STOCK[],5,FALSE),"-")</f>
        <v>Pantalones de pierna ancha de talle alto con abertura</v>
      </c>
      <c r="G319" s="10">
        <v>1</v>
      </c>
      <c r="H319" s="12">
        <v>22</v>
      </c>
      <c r="I319" s="12">
        <f>VENTAS[[#This Row],[Cantidad]]*VENTAS[[#This Row],[Precio Venta]]</f>
        <v>22</v>
      </c>
      <c r="J319" s="12">
        <f>IF(VENTAS[[#This Row],[Nombre del Gestor]]&gt;1,VENTAS[[#This Row],[Total]]*10%,0)</f>
        <v>0</v>
      </c>
      <c r="K319" s="12">
        <f>IFERROR(VLOOKUP(VENTAS[[#This Row],[Código del producto Vendido]],STOCK[],16,FALSE)*VENTAS[[#This Row],[Cantidad]]+VLOOKUP(VENTAS[[#This Row],[Código del producto Vendido]],STOCK[],19,FALSE)*VENTAS[[#This Row],[Cantidad]],VENTAS[[#This Row],[Total]])</f>
        <v>13.151111111111099</v>
      </c>
      <c r="L319" s="12">
        <f>VENTAS[[#This Row],[Total]]-VENTAS[[#This Row],[Comisión 10%]]-VENTAS[[#This Row],[Costo SIN Comision]]</f>
        <v>8.8488888888889008</v>
      </c>
      <c r="M319" s="12"/>
      <c r="N319" s="16"/>
    </row>
    <row r="320" spans="1:14" ht="20" hidden="1" customHeight="1">
      <c r="A320" s="9">
        <v>45107</v>
      </c>
      <c r="B320" s="10"/>
      <c r="C320" s="10"/>
      <c r="D320" s="10"/>
      <c r="E320" s="10" t="s">
        <v>31</v>
      </c>
      <c r="F320" s="10" t="str">
        <f>IFERROR(VLOOKUP(VENTAS[[#This Row],[Código del producto Vendido]],STOCK[],5,FALSE),"-")</f>
        <v xml:space="preserve">Pareo falda </v>
      </c>
      <c r="G320" s="10">
        <v>1</v>
      </c>
      <c r="H320" s="12">
        <v>8</v>
      </c>
      <c r="I320" s="12">
        <f>VENTAS[[#This Row],[Cantidad]]*VENTAS[[#This Row],[Precio Venta]]</f>
        <v>8</v>
      </c>
      <c r="J320" s="12">
        <f>IF(VENTAS[[#This Row],[Nombre del Gestor]]&gt;1,VENTAS[[#This Row],[Total]]*10%,0)</f>
        <v>0</v>
      </c>
      <c r="K320" s="12">
        <f>IFERROR(VLOOKUP(VENTAS[[#This Row],[Código del producto Vendido]],STOCK[],16,FALSE)*VENTAS[[#This Row],[Cantidad]]+VLOOKUP(VENTAS[[#This Row],[Código del producto Vendido]],STOCK[],19,FALSE)*VENTAS[[#This Row],[Cantidad]],VENTAS[[#This Row],[Total]])</f>
        <v>4.3372222222222199</v>
      </c>
      <c r="L320" s="12">
        <f>VENTAS[[#This Row],[Total]]-VENTAS[[#This Row],[Comisión 10%]]-VENTAS[[#This Row],[Costo SIN Comision]]</f>
        <v>3.6627777777777801</v>
      </c>
      <c r="M320" s="12"/>
      <c r="N320" s="16"/>
    </row>
    <row r="321" spans="1:14" ht="20" hidden="1" customHeight="1">
      <c r="A321" s="9">
        <v>45108</v>
      </c>
      <c r="B321" s="10"/>
      <c r="C321" s="10"/>
      <c r="D321" s="10"/>
      <c r="E321" s="10" t="s">
        <v>890</v>
      </c>
      <c r="F321" s="10" t="str">
        <f>IFERROR(VLOOKUP(VENTAS[[#This Row],[Código del producto Vendido]],STOCK[],5,FALSE),"-")</f>
        <v>Top Cuello encaje y mangas abombadas</v>
      </c>
      <c r="G321" s="10">
        <v>1</v>
      </c>
      <c r="H321" s="12">
        <v>12</v>
      </c>
      <c r="I321" s="12">
        <f>VENTAS[[#This Row],[Cantidad]]*VENTAS[[#This Row],[Precio Venta]]</f>
        <v>12</v>
      </c>
      <c r="J321" s="12">
        <f>IF(VENTAS[[#This Row],[Nombre del Gestor]]&gt;1,VENTAS[[#This Row],[Total]]*10%,0)</f>
        <v>0</v>
      </c>
      <c r="K321" s="12">
        <f>IFERROR(VLOOKUP(VENTAS[[#This Row],[Código del producto Vendido]],STOCK[],16,FALSE)*VENTAS[[#This Row],[Cantidad]]+VLOOKUP(VENTAS[[#This Row],[Código del producto Vendido]],STOCK[],19,FALSE)*VENTAS[[#This Row],[Cantidad]],VENTAS[[#This Row],[Total]])</f>
        <v>6.3581818181818202</v>
      </c>
      <c r="L321" s="12">
        <f>VENTAS[[#This Row],[Total]]-VENTAS[[#This Row],[Comisión 10%]]-VENTAS[[#This Row],[Costo SIN Comision]]</f>
        <v>5.6418181818181798</v>
      </c>
      <c r="M321" s="12"/>
      <c r="N321" s="16"/>
    </row>
    <row r="322" spans="1:14" ht="20" hidden="1" customHeight="1">
      <c r="A322" s="9">
        <v>45107</v>
      </c>
      <c r="B322" s="10"/>
      <c r="C322" s="10"/>
      <c r="D322" s="10"/>
      <c r="E322" s="10" t="s">
        <v>912</v>
      </c>
      <c r="F322" s="10" t="str">
        <f>IFERROR(VLOOKUP(VENTAS[[#This Row],[Código del producto Vendido]],STOCK[],5,FALSE),"-")</f>
        <v>Bañador de pierna alta</v>
      </c>
      <c r="G322" s="10">
        <v>1</v>
      </c>
      <c r="H322" s="12">
        <v>28</v>
      </c>
      <c r="I322" s="12">
        <f>VENTAS[[#This Row],[Cantidad]]*VENTAS[[#This Row],[Precio Venta]]</f>
        <v>28</v>
      </c>
      <c r="J322" s="12">
        <f>IF(VENTAS[[#This Row],[Nombre del Gestor]]&gt;1,VENTAS[[#This Row],[Total]]*10%,0)</f>
        <v>0</v>
      </c>
      <c r="K322" s="12">
        <f>IFERROR(VLOOKUP(VENTAS[[#This Row],[Código del producto Vendido]],STOCK[],16,FALSE)*VENTAS[[#This Row],[Cantidad]]+VLOOKUP(VENTAS[[#This Row],[Código del producto Vendido]],STOCK[],19,FALSE)*VENTAS[[#This Row],[Cantidad]],VENTAS[[#This Row],[Total]])</f>
        <v>15.893181818181819</v>
      </c>
      <c r="L322" s="12">
        <f>VENTAS[[#This Row],[Total]]-VENTAS[[#This Row],[Comisión 10%]]-VENTAS[[#This Row],[Costo SIN Comision]]</f>
        <v>12.106818181818181</v>
      </c>
      <c r="M322" s="12"/>
      <c r="N322" s="16"/>
    </row>
    <row r="323" spans="1:14" ht="20" hidden="1" customHeight="1">
      <c r="A323" s="9">
        <v>45133</v>
      </c>
      <c r="B323" s="10"/>
      <c r="C323" s="10"/>
      <c r="D323" s="10"/>
      <c r="E323" s="10" t="s">
        <v>261</v>
      </c>
      <c r="F323" s="10" t="str">
        <f>IFERROR(VLOOKUP(VENTAS[[#This Row],[Código del producto Vendido]],STOCK[],5,FALSE),"-")</f>
        <v>Blusas Botón Floral Casual</v>
      </c>
      <c r="G323" s="10">
        <v>1</v>
      </c>
      <c r="H323" s="12">
        <v>14</v>
      </c>
      <c r="I323" s="12">
        <f>VENTAS[[#This Row],[Cantidad]]*VENTAS[[#This Row],[Precio Venta]]</f>
        <v>14</v>
      </c>
      <c r="J323" s="12">
        <f>IF(VENTAS[[#This Row],[Nombre del Gestor]]&gt;1,VENTAS[[#This Row],[Total]]*10%,0)</f>
        <v>0</v>
      </c>
      <c r="K323" s="12">
        <f>IFERROR(VLOOKUP(VENTAS[[#This Row],[Código del producto Vendido]],STOCK[],16,FALSE)*VENTAS[[#This Row],[Cantidad]]+VLOOKUP(VENTAS[[#This Row],[Código del producto Vendido]],STOCK[],19,FALSE)*VENTAS[[#This Row],[Cantidad]],VENTAS[[#This Row],[Total]])</f>
        <v>8.1022222222222204</v>
      </c>
      <c r="L323" s="12">
        <f>VENTAS[[#This Row],[Total]]-VENTAS[[#This Row],[Comisión 10%]]-VENTAS[[#This Row],[Costo SIN Comision]]</f>
        <v>5.8977777777777796</v>
      </c>
      <c r="M323" s="12"/>
      <c r="N323" s="16"/>
    </row>
    <row r="324" spans="1:14" ht="20" hidden="1" customHeight="1">
      <c r="A324" s="9">
        <v>45103</v>
      </c>
      <c r="B324" s="10"/>
      <c r="C324" s="10"/>
      <c r="D324" s="10"/>
      <c r="E324" s="10" t="s">
        <v>1029</v>
      </c>
      <c r="F324" s="10" t="str">
        <f>IFERROR(VLOOKUP(VENTAS[[#This Row],[Código del producto Vendido]],STOCK[],5,FALSE),"-")</f>
        <v>Top cuello V Blanco</v>
      </c>
      <c r="G324" s="10">
        <v>1</v>
      </c>
      <c r="H324" s="12">
        <v>12</v>
      </c>
      <c r="I324" s="12">
        <f>VENTAS[[#This Row],[Cantidad]]*VENTAS[[#This Row],[Precio Venta]]</f>
        <v>12</v>
      </c>
      <c r="J324" s="12">
        <f>IF(VENTAS[[#This Row],[Nombre del Gestor]]&gt;1,VENTAS[[#This Row],[Total]]*10%,0)</f>
        <v>0</v>
      </c>
      <c r="K324" s="12">
        <f>IFERROR(VLOOKUP(VENTAS[[#This Row],[Código del producto Vendido]],STOCK[],16,FALSE)*VENTAS[[#This Row],[Cantidad]]+VLOOKUP(VENTAS[[#This Row],[Código del producto Vendido]],STOCK[],19,FALSE)*VENTAS[[#This Row],[Cantidad]],VENTAS[[#This Row],[Total]])</f>
        <v>7.7556818181818201</v>
      </c>
      <c r="L324" s="12">
        <f>VENTAS[[#This Row],[Total]]-VENTAS[[#This Row],[Comisión 10%]]-VENTAS[[#This Row],[Costo SIN Comision]]</f>
        <v>4.2443181818181799</v>
      </c>
      <c r="M324" s="12"/>
      <c r="N324" s="16"/>
    </row>
    <row r="325" spans="1:14" ht="20" hidden="1" customHeight="1">
      <c r="A325" s="9">
        <v>45108</v>
      </c>
      <c r="B325" s="10"/>
      <c r="C325" s="10"/>
      <c r="D325" s="10"/>
      <c r="E325" s="10" t="s">
        <v>949</v>
      </c>
      <c r="F325" s="10" t="str">
        <f>IFERROR(VLOOKUP(VENTAS[[#This Row],[Código del producto Vendido]],STOCK[],5,FALSE),"-")</f>
        <v xml:space="preserve"> Pantaloneta Verde</v>
      </c>
      <c r="G325" s="10">
        <v>1</v>
      </c>
      <c r="H325" s="12">
        <v>25</v>
      </c>
      <c r="I325" s="12">
        <f>VENTAS[[#This Row],[Cantidad]]*VENTAS[[#This Row],[Precio Venta]]</f>
        <v>25</v>
      </c>
      <c r="J325" s="12">
        <f>IF(VENTAS[[#This Row],[Nombre del Gestor]]&gt;1,VENTAS[[#This Row],[Total]]*10%,0)</f>
        <v>0</v>
      </c>
      <c r="K325" s="12">
        <f>IFERROR(VLOOKUP(VENTAS[[#This Row],[Código del producto Vendido]],STOCK[],16,FALSE)*VENTAS[[#This Row],[Cantidad]]+VLOOKUP(VENTAS[[#This Row],[Código del producto Vendido]],STOCK[],19,FALSE)*VENTAS[[#This Row],[Cantidad]],VENTAS[[#This Row],[Total]])</f>
        <v>14.871363636363629</v>
      </c>
      <c r="L325" s="12">
        <f>VENTAS[[#This Row],[Total]]-VENTAS[[#This Row],[Comisión 10%]]-VENTAS[[#This Row],[Costo SIN Comision]]</f>
        <v>10.128636363636371</v>
      </c>
      <c r="M325" s="12"/>
      <c r="N325" s="16"/>
    </row>
    <row r="326" spans="1:14" ht="20" hidden="1" customHeight="1">
      <c r="A326" s="9">
        <v>45110</v>
      </c>
      <c r="B326" s="10"/>
      <c r="C326" s="10"/>
      <c r="D326" s="10"/>
      <c r="E326" s="10" t="s">
        <v>1093</v>
      </c>
      <c r="F326" s="10" t="str">
        <f>IFERROR(VLOOKUP(VENTAS[[#This Row],[Código del producto Vendido]],STOCK[],5,FALSE),"-")</f>
        <v>Bikini Short con cordón de ajuste</v>
      </c>
      <c r="G326" s="10">
        <v>1</v>
      </c>
      <c r="H326" s="12">
        <v>28</v>
      </c>
      <c r="I326" s="12">
        <f>VENTAS[[#This Row],[Cantidad]]*VENTAS[[#This Row],[Precio Venta]]</f>
        <v>28</v>
      </c>
      <c r="J326" s="12">
        <f>IF(VENTAS[[#This Row],[Nombre del Gestor]]&gt;1,VENTAS[[#This Row],[Total]]*10%,0)</f>
        <v>0</v>
      </c>
      <c r="K326" s="12">
        <f>IFERROR(VLOOKUP(VENTAS[[#This Row],[Código del producto Vendido]],STOCK[],16,FALSE)*VENTAS[[#This Row],[Cantidad]]+VLOOKUP(VENTAS[[#This Row],[Código del producto Vendido]],STOCK[],19,FALSE)*VENTAS[[#This Row],[Cantidad]],VENTAS[[#This Row],[Total]])</f>
        <v>20.479411764705901</v>
      </c>
      <c r="L326" s="12">
        <f>VENTAS[[#This Row],[Total]]-VENTAS[[#This Row],[Comisión 10%]]-VENTAS[[#This Row],[Costo SIN Comision]]</f>
        <v>7.5205882352940989</v>
      </c>
      <c r="M326" s="12"/>
      <c r="N326" s="16"/>
    </row>
    <row r="327" spans="1:14" ht="20" hidden="1" customHeight="1">
      <c r="A327" s="9">
        <v>45113</v>
      </c>
      <c r="B327" s="10"/>
      <c r="C327" s="10"/>
      <c r="D327" s="10"/>
      <c r="E327" s="10" t="s">
        <v>1050</v>
      </c>
      <c r="F327" s="10" t="str">
        <f>IFERROR(VLOOKUP(VENTAS[[#This Row],[Código del producto Vendido]],STOCK[],5,FALSE),"-")</f>
        <v>Pantaloneta Camel</v>
      </c>
      <c r="G327" s="10">
        <v>1</v>
      </c>
      <c r="H327" s="12">
        <v>30</v>
      </c>
      <c r="I327" s="12">
        <f>VENTAS[[#This Row],[Cantidad]]*VENTAS[[#This Row],[Precio Venta]]</f>
        <v>30</v>
      </c>
      <c r="J327" s="12">
        <f>IF(VENTAS[[#This Row],[Nombre del Gestor]]&gt;1,VENTAS[[#This Row],[Total]]*10%,0)</f>
        <v>0</v>
      </c>
      <c r="K327" s="12">
        <f>IFERROR(VLOOKUP(VENTAS[[#This Row],[Código del producto Vendido]],STOCK[],16,FALSE)*VENTAS[[#This Row],[Cantidad]]+VLOOKUP(VENTAS[[#This Row],[Código del producto Vendido]],STOCK[],19,FALSE)*VENTAS[[#This Row],[Cantidad]],VENTAS[[#This Row],[Total]])</f>
        <v>18.647727272727302</v>
      </c>
      <c r="L327" s="12">
        <f>VENTAS[[#This Row],[Total]]-VENTAS[[#This Row],[Comisión 10%]]-VENTAS[[#This Row],[Costo SIN Comision]]</f>
        <v>11.352272727272698</v>
      </c>
      <c r="M327" s="12"/>
      <c r="N327" s="16"/>
    </row>
    <row r="328" spans="1:14" ht="20" hidden="1" customHeight="1">
      <c r="A328" s="9">
        <v>45113</v>
      </c>
      <c r="B328" s="10"/>
      <c r="C328" s="10"/>
      <c r="D328" s="10"/>
      <c r="E328" s="10" t="s">
        <v>906</v>
      </c>
      <c r="F328" s="10" t="str">
        <f>IFERROR(VLOOKUP(VENTAS[[#This Row],[Código del producto Vendido]],STOCK[],5,FALSE),"-")</f>
        <v>Bikini Floral</v>
      </c>
      <c r="G328" s="10">
        <v>1</v>
      </c>
      <c r="H328" s="12">
        <v>28</v>
      </c>
      <c r="I328" s="12">
        <f>VENTAS[[#This Row],[Cantidad]]*VENTAS[[#This Row],[Precio Venta]]</f>
        <v>28</v>
      </c>
      <c r="J328" s="12">
        <f>IF(VENTAS[[#This Row],[Nombre del Gestor]]&gt;1,VENTAS[[#This Row],[Total]]*10%,0)</f>
        <v>0</v>
      </c>
      <c r="K328" s="12">
        <f>IFERROR(VLOOKUP(VENTAS[[#This Row],[Código del producto Vendido]],STOCK[],16,FALSE)*VENTAS[[#This Row],[Cantidad]]+VLOOKUP(VENTAS[[#This Row],[Código del producto Vendido]],STOCK[],19,FALSE)*VENTAS[[#This Row],[Cantidad]],VENTAS[[#This Row],[Total]])</f>
        <v>17.5127272727273</v>
      </c>
      <c r="L328" s="12">
        <f>VENTAS[[#This Row],[Total]]-VENTAS[[#This Row],[Comisión 10%]]-VENTAS[[#This Row],[Costo SIN Comision]]</f>
        <v>10.4872727272727</v>
      </c>
      <c r="M328" s="12"/>
      <c r="N328" s="16"/>
    </row>
    <row r="329" spans="1:14" ht="20" hidden="1" customHeight="1">
      <c r="A329" s="9">
        <v>45114</v>
      </c>
      <c r="B329" s="10"/>
      <c r="C329" s="10"/>
      <c r="D329" s="10"/>
      <c r="E329" s="10" t="s">
        <v>1098</v>
      </c>
      <c r="F329" s="10" t="str">
        <f>IFERROR(VLOOKUP(VENTAS[[#This Row],[Código del producto Vendido]],STOCK[],5,FALSE),"-")</f>
        <v>Bañador en contraste azul</v>
      </c>
      <c r="G329" s="10">
        <v>1</v>
      </c>
      <c r="H329" s="12">
        <v>28</v>
      </c>
      <c r="I329" s="12">
        <f>VENTAS[[#This Row],[Cantidad]]*VENTAS[[#This Row],[Precio Venta]]</f>
        <v>28</v>
      </c>
      <c r="J329" s="12">
        <f>IF(VENTAS[[#This Row],[Nombre del Gestor]]&gt;1,VENTAS[[#This Row],[Total]]*10%,0)</f>
        <v>0</v>
      </c>
      <c r="K329" s="12">
        <f>IFERROR(VLOOKUP(VENTAS[[#This Row],[Código del producto Vendido]],STOCK[],16,FALSE)*VENTAS[[#This Row],[Cantidad]]+VLOOKUP(VENTAS[[#This Row],[Código del producto Vendido]],STOCK[],19,FALSE)*VENTAS[[#This Row],[Cantidad]],VENTAS[[#This Row],[Total]])</f>
        <v>19.338970588235298</v>
      </c>
      <c r="L329" s="12">
        <f>VENTAS[[#This Row],[Total]]-VENTAS[[#This Row],[Comisión 10%]]-VENTAS[[#This Row],[Costo SIN Comision]]</f>
        <v>8.6610294117647015</v>
      </c>
      <c r="M329" s="12"/>
      <c r="N329" s="16"/>
    </row>
    <row r="330" spans="1:14" ht="20" hidden="1" customHeight="1">
      <c r="A330" s="9">
        <v>45111</v>
      </c>
      <c r="B330" s="10"/>
      <c r="C330" s="10"/>
      <c r="D330" s="10"/>
      <c r="E330" s="10" t="s">
        <v>244</v>
      </c>
      <c r="F330" s="10" t="str">
        <f>IFERROR(VLOOKUP(VENTAS[[#This Row],[Código del producto Vendido]],STOCK[],5,FALSE),"-")</f>
        <v>Blusa de manga mariposa escote V</v>
      </c>
      <c r="G330" s="10">
        <v>1</v>
      </c>
      <c r="H330" s="12">
        <v>14</v>
      </c>
      <c r="I330" s="12">
        <f>VENTAS[[#This Row],[Cantidad]]*VENTAS[[#This Row],[Precio Venta]]</f>
        <v>14</v>
      </c>
      <c r="J330" s="12">
        <f>IF(VENTAS[[#This Row],[Nombre del Gestor]]&gt;1,VENTAS[[#This Row],[Total]]*10%,0)</f>
        <v>0</v>
      </c>
      <c r="K330" s="12">
        <f>IFERROR(VLOOKUP(VENTAS[[#This Row],[Código del producto Vendido]],STOCK[],16,FALSE)*VENTAS[[#This Row],[Cantidad]]+VLOOKUP(VENTAS[[#This Row],[Código del producto Vendido]],STOCK[],19,FALSE)*VENTAS[[#This Row],[Cantidad]],VENTAS[[#This Row],[Total]])</f>
        <v>9.1044444444444395</v>
      </c>
      <c r="L330" s="12">
        <f>VENTAS[[#This Row],[Total]]-VENTAS[[#This Row],[Comisión 10%]]-VENTAS[[#This Row],[Costo SIN Comision]]</f>
        <v>4.8955555555555605</v>
      </c>
      <c r="M330" s="12"/>
      <c r="N330" s="16"/>
    </row>
    <row r="331" spans="1:14" ht="20" hidden="1" customHeight="1">
      <c r="A331" s="9">
        <v>45116</v>
      </c>
      <c r="B331" s="10"/>
      <c r="C331" s="10"/>
      <c r="D331" s="10"/>
      <c r="E331" s="10" t="s">
        <v>63</v>
      </c>
      <c r="F331" s="10" t="str">
        <f>IFERROR(VLOOKUP(VENTAS[[#This Row],[Código del producto Vendido]],STOCK[],5,FALSE),"-")</f>
        <v>Bikini Mangas Fuccia</v>
      </c>
      <c r="G331" s="10">
        <v>1</v>
      </c>
      <c r="H331" s="12">
        <v>22</v>
      </c>
      <c r="I331" s="12">
        <f>VENTAS[[#This Row],[Cantidad]]*VENTAS[[#This Row],[Precio Venta]]</f>
        <v>22</v>
      </c>
      <c r="J331" s="12">
        <f>IF(VENTAS[[#This Row],[Nombre del Gestor]]&gt;1,VENTAS[[#This Row],[Total]]*10%,0)</f>
        <v>0</v>
      </c>
      <c r="K331" s="12">
        <f>IFERROR(VLOOKUP(VENTAS[[#This Row],[Código del producto Vendido]],STOCK[],16,FALSE)*VENTAS[[#This Row],[Cantidad]]+VLOOKUP(VENTAS[[#This Row],[Código del producto Vendido]],STOCK[],19,FALSE)*VENTAS[[#This Row],[Cantidad]],VENTAS[[#This Row],[Total]])</f>
        <v>14.495000000000001</v>
      </c>
      <c r="L331" s="12">
        <f>VENTAS[[#This Row],[Total]]-VENTAS[[#This Row],[Comisión 10%]]-VENTAS[[#This Row],[Costo SIN Comision]]</f>
        <v>7.504999999999999</v>
      </c>
      <c r="M331" s="12"/>
      <c r="N331" s="16"/>
    </row>
    <row r="332" spans="1:14" ht="20" hidden="1" customHeight="1">
      <c r="A332" s="9">
        <v>45111</v>
      </c>
      <c r="B332" s="10"/>
      <c r="C332" s="10"/>
      <c r="D332" s="10"/>
      <c r="E332" s="10" t="s">
        <v>409</v>
      </c>
      <c r="F332" s="10" t="str">
        <f>IFERROR(VLOOKUP(VENTAS[[#This Row],[Código del producto Vendido]],STOCK[],5,FALSE),"-")</f>
        <v xml:space="preserve">Bañador una pieza de color combinado </v>
      </c>
      <c r="G332" s="10">
        <v>1</v>
      </c>
      <c r="H332" s="12">
        <v>20</v>
      </c>
      <c r="I332" s="12">
        <f>VENTAS[[#This Row],[Cantidad]]*VENTAS[[#This Row],[Precio Venta]]</f>
        <v>20</v>
      </c>
      <c r="J332" s="12">
        <f>IF(VENTAS[[#This Row],[Nombre del Gestor]]&gt;1,VENTAS[[#This Row],[Total]]*10%,0)</f>
        <v>0</v>
      </c>
      <c r="K332" s="12">
        <f>IFERROR(VLOOKUP(VENTAS[[#This Row],[Código del producto Vendido]],STOCK[],16,FALSE)*VENTAS[[#This Row],[Cantidad]]+VLOOKUP(VENTAS[[#This Row],[Código del producto Vendido]],STOCK[],19,FALSE)*VENTAS[[#This Row],[Cantidad]],VENTAS[[#This Row],[Total]])</f>
        <v>9.6666666666666696</v>
      </c>
      <c r="L332" s="12">
        <f>VENTAS[[#This Row],[Total]]-VENTAS[[#This Row],[Comisión 10%]]-VENTAS[[#This Row],[Costo SIN Comision]]</f>
        <v>10.33333333333333</v>
      </c>
      <c r="M332" s="12"/>
      <c r="N332" s="16"/>
    </row>
    <row r="333" spans="1:14" ht="20" hidden="1" customHeight="1">
      <c r="A333" s="9">
        <v>45111</v>
      </c>
      <c r="B333" s="10"/>
      <c r="C333" s="10"/>
      <c r="D333" s="10"/>
      <c r="E333" s="10" t="s">
        <v>1091</v>
      </c>
      <c r="F333" s="10" t="str">
        <f>IFERROR(VLOOKUP(VENTAS[[#This Row],[Código del producto Vendido]],STOCK[],5,FALSE),"-")</f>
        <v>Bikini Short con cordón de ajuste</v>
      </c>
      <c r="G333" s="10">
        <v>1</v>
      </c>
      <c r="H333" s="12">
        <v>28</v>
      </c>
      <c r="I333" s="12">
        <f>VENTAS[[#This Row],[Cantidad]]*VENTAS[[#This Row],[Precio Venta]]</f>
        <v>28</v>
      </c>
      <c r="J333" s="12">
        <f>IF(VENTAS[[#This Row],[Nombre del Gestor]]&gt;1,VENTAS[[#This Row],[Total]]*10%,0)</f>
        <v>0</v>
      </c>
      <c r="K333" s="12">
        <f>IFERROR(VLOOKUP(VENTAS[[#This Row],[Código del producto Vendido]],STOCK[],16,FALSE)*VENTAS[[#This Row],[Cantidad]]+VLOOKUP(VENTAS[[#This Row],[Código del producto Vendido]],STOCK[],19,FALSE)*VENTAS[[#This Row],[Cantidad]],VENTAS[[#This Row],[Total]])</f>
        <v>20.479411764705901</v>
      </c>
      <c r="L333" s="12">
        <f>VENTAS[[#This Row],[Total]]-VENTAS[[#This Row],[Comisión 10%]]-VENTAS[[#This Row],[Costo SIN Comision]]</f>
        <v>7.5205882352940989</v>
      </c>
      <c r="M333" s="12"/>
      <c r="N333" s="16"/>
    </row>
    <row r="334" spans="1:14" ht="20" hidden="1" customHeight="1">
      <c r="A334" s="9">
        <v>45111</v>
      </c>
      <c r="B334" s="10"/>
      <c r="C334" s="10"/>
      <c r="D334" s="10"/>
      <c r="E334" s="10" t="s">
        <v>936</v>
      </c>
      <c r="F334" s="10" t="str">
        <f>IFERROR(VLOOKUP(VENTAS[[#This Row],[Código del producto Vendido]],STOCK[],5,FALSE),"-")</f>
        <v>Bañador con zíper de pierna alta</v>
      </c>
      <c r="G334" s="10">
        <v>1</v>
      </c>
      <c r="H334" s="12">
        <v>28</v>
      </c>
      <c r="I334" s="12">
        <f>VENTAS[[#This Row],[Cantidad]]*VENTAS[[#This Row],[Precio Venta]]</f>
        <v>28</v>
      </c>
      <c r="J334" s="12">
        <f>IF(VENTAS[[#This Row],[Nombre del Gestor]]&gt;1,VENTAS[[#This Row],[Total]]*10%,0)</f>
        <v>0</v>
      </c>
      <c r="K334" s="12">
        <f>IFERROR(VLOOKUP(VENTAS[[#This Row],[Código del producto Vendido]],STOCK[],16,FALSE)*VENTAS[[#This Row],[Cantidad]]+VLOOKUP(VENTAS[[#This Row],[Código del producto Vendido]],STOCK[],19,FALSE)*VENTAS[[#This Row],[Cantidad]],VENTAS[[#This Row],[Total]])</f>
        <v>14.02318181818182</v>
      </c>
      <c r="L334" s="12">
        <f>VENTAS[[#This Row],[Total]]-VENTAS[[#This Row],[Comisión 10%]]-VENTAS[[#This Row],[Costo SIN Comision]]</f>
        <v>13.97681818181818</v>
      </c>
      <c r="M334" s="12"/>
      <c r="N334" s="16"/>
    </row>
    <row r="335" spans="1:14" ht="20" hidden="1" customHeight="1">
      <c r="A335" s="9">
        <v>45111</v>
      </c>
      <c r="B335" s="10"/>
      <c r="C335" s="10"/>
      <c r="D335" s="10"/>
      <c r="E335" s="10" t="s">
        <v>1103</v>
      </c>
      <c r="F335" s="10" t="str">
        <f>IFERROR(VLOOKUP(VENTAS[[#This Row],[Código del producto Vendido]],STOCK[],5,FALSE),"-")</f>
        <v>Sandalias crema</v>
      </c>
      <c r="G335" s="10">
        <v>1</v>
      </c>
      <c r="H335" s="12">
        <v>40</v>
      </c>
      <c r="I335" s="12">
        <f>VENTAS[[#This Row],[Cantidad]]*VENTAS[[#This Row],[Precio Venta]]</f>
        <v>40</v>
      </c>
      <c r="J335" s="12">
        <f>IF(VENTAS[[#This Row],[Nombre del Gestor]]&gt;1,VENTAS[[#This Row],[Total]]*10%,0)</f>
        <v>0</v>
      </c>
      <c r="K335" s="12">
        <f>IFERROR(VLOOKUP(VENTAS[[#This Row],[Código del producto Vendido]],STOCK[],16,FALSE)*VENTAS[[#This Row],[Cantidad]]+VLOOKUP(VENTAS[[#This Row],[Código del producto Vendido]],STOCK[],19,FALSE)*VENTAS[[#This Row],[Cantidad]],VENTAS[[#This Row],[Total]])</f>
        <v>26.852941176470601</v>
      </c>
      <c r="L335" s="12">
        <f>VENTAS[[#This Row],[Total]]-VENTAS[[#This Row],[Comisión 10%]]-VENTAS[[#This Row],[Costo SIN Comision]]</f>
        <v>13.147058823529399</v>
      </c>
      <c r="M335" s="12"/>
      <c r="N335" s="16"/>
    </row>
    <row r="336" spans="1:14" ht="20" hidden="1" customHeight="1">
      <c r="A336" s="9">
        <v>45115</v>
      </c>
      <c r="B336" s="10"/>
      <c r="C336" s="10"/>
      <c r="D336" s="10"/>
      <c r="E336" s="10" t="s">
        <v>935</v>
      </c>
      <c r="F336" s="10" t="str">
        <f>IFERROR(VLOOKUP(VENTAS[[#This Row],[Código del producto Vendido]],STOCK[],5,FALSE),"-")</f>
        <v>Bañador de pierna alta</v>
      </c>
      <c r="G336" s="10">
        <v>1</v>
      </c>
      <c r="H336" s="12">
        <v>28</v>
      </c>
      <c r="I336" s="12">
        <f>VENTAS[[#This Row],[Cantidad]]*VENTAS[[#This Row],[Precio Venta]]</f>
        <v>28</v>
      </c>
      <c r="J336" s="12">
        <f>IF(VENTAS[[#This Row],[Nombre del Gestor]]&gt;1,VENTAS[[#This Row],[Total]]*10%,0)</f>
        <v>0</v>
      </c>
      <c r="K336" s="12">
        <f>IFERROR(VLOOKUP(VENTAS[[#This Row],[Código del producto Vendido]],STOCK[],16,FALSE)*VENTAS[[#This Row],[Cantidad]]+VLOOKUP(VENTAS[[#This Row],[Código del producto Vendido]],STOCK[],19,FALSE)*VENTAS[[#This Row],[Cantidad]],VENTAS[[#This Row],[Total]])</f>
        <v>14.02318181818182</v>
      </c>
      <c r="L336" s="12">
        <f>VENTAS[[#This Row],[Total]]-VENTAS[[#This Row],[Comisión 10%]]-VENTAS[[#This Row],[Costo SIN Comision]]</f>
        <v>13.97681818181818</v>
      </c>
      <c r="M336" s="12"/>
      <c r="N336" s="16"/>
    </row>
    <row r="337" spans="1:14" ht="20" hidden="1" customHeight="1">
      <c r="A337" s="9">
        <v>45115</v>
      </c>
      <c r="B337" s="10"/>
      <c r="C337" s="10"/>
      <c r="D337" s="10"/>
      <c r="E337" s="10" t="s">
        <v>936</v>
      </c>
      <c r="F337" s="10" t="str">
        <f>IFERROR(VLOOKUP(VENTAS[[#This Row],[Código del producto Vendido]],STOCK[],5,FALSE),"-")</f>
        <v>Bañador con zíper de pierna alta</v>
      </c>
      <c r="G337" s="10">
        <v>1</v>
      </c>
      <c r="H337" s="12">
        <v>28</v>
      </c>
      <c r="I337" s="12">
        <f>VENTAS[[#This Row],[Cantidad]]*VENTAS[[#This Row],[Precio Venta]]</f>
        <v>28</v>
      </c>
      <c r="J337" s="12">
        <f>IF(VENTAS[[#This Row],[Nombre del Gestor]]&gt;1,VENTAS[[#This Row],[Total]]*10%,0)</f>
        <v>0</v>
      </c>
      <c r="K337" s="12">
        <f>IFERROR(VLOOKUP(VENTAS[[#This Row],[Código del producto Vendido]],STOCK[],16,FALSE)*VENTAS[[#This Row],[Cantidad]]+VLOOKUP(VENTAS[[#This Row],[Código del producto Vendido]],STOCK[],19,FALSE)*VENTAS[[#This Row],[Cantidad]],VENTAS[[#This Row],[Total]])</f>
        <v>14.02318181818182</v>
      </c>
      <c r="L337" s="12">
        <f>VENTAS[[#This Row],[Total]]-VENTAS[[#This Row],[Comisión 10%]]-VENTAS[[#This Row],[Costo SIN Comision]]</f>
        <v>13.97681818181818</v>
      </c>
      <c r="M337" s="12"/>
      <c r="N337" s="16"/>
    </row>
    <row r="338" spans="1:14" ht="20" hidden="1" customHeight="1">
      <c r="A338" s="9">
        <v>45115</v>
      </c>
      <c r="B338" s="10"/>
      <c r="C338" s="10"/>
      <c r="D338" s="10"/>
      <c r="E338" s="10" t="s">
        <v>918</v>
      </c>
      <c r="F338" s="10" t="str">
        <f>IFERROR(VLOOKUP(VENTAS[[#This Row],[Código del producto Vendido]],STOCK[],5,FALSE),"-")</f>
        <v xml:space="preserve">Vestido de lunares </v>
      </c>
      <c r="G338" s="10">
        <v>1</v>
      </c>
      <c r="H338" s="12">
        <v>25</v>
      </c>
      <c r="I338" s="12">
        <f>VENTAS[[#This Row],[Cantidad]]*VENTAS[[#This Row],[Precio Venta]]</f>
        <v>25</v>
      </c>
      <c r="J338" s="12">
        <f>IF(VENTAS[[#This Row],[Nombre del Gestor]]&gt;1,VENTAS[[#This Row],[Total]]*10%,0)</f>
        <v>0</v>
      </c>
      <c r="K338" s="12">
        <f>IFERROR(VLOOKUP(VENTAS[[#This Row],[Código del producto Vendido]],STOCK[],16,FALSE)*VENTAS[[#This Row],[Cantidad]]+VLOOKUP(VENTAS[[#This Row],[Código del producto Vendido]],STOCK[],19,FALSE)*VENTAS[[#This Row],[Cantidad]],VENTAS[[#This Row],[Total]])</f>
        <v>13.9113636363636</v>
      </c>
      <c r="L338" s="12">
        <f>VENTAS[[#This Row],[Total]]-VENTAS[[#This Row],[Comisión 10%]]-VENTAS[[#This Row],[Costo SIN Comision]]</f>
        <v>11.0886363636364</v>
      </c>
      <c r="M338" s="12"/>
      <c r="N338" s="16"/>
    </row>
    <row r="339" spans="1:14" ht="20" hidden="1" customHeight="1">
      <c r="A339" s="9">
        <v>45115</v>
      </c>
      <c r="B339" s="10"/>
      <c r="C339" s="10"/>
      <c r="D339" s="10"/>
      <c r="E339" s="10" t="s">
        <v>951</v>
      </c>
      <c r="F339" s="10" t="str">
        <f>IFERROR(VLOOKUP(VENTAS[[#This Row],[Código del producto Vendido]],STOCK[],5,FALSE),"-")</f>
        <v xml:space="preserve"> Pantaloneta Verde</v>
      </c>
      <c r="G339" s="10">
        <v>1</v>
      </c>
      <c r="H339" s="12">
        <v>25</v>
      </c>
      <c r="I339" s="12">
        <f>VENTAS[[#This Row],[Cantidad]]*VENTAS[[#This Row],[Precio Venta]]</f>
        <v>25</v>
      </c>
      <c r="J339" s="12">
        <f>IF(VENTAS[[#This Row],[Nombre del Gestor]]&gt;1,VENTAS[[#This Row],[Total]]*10%,0)</f>
        <v>0</v>
      </c>
      <c r="K339" s="12">
        <f>IFERROR(VLOOKUP(VENTAS[[#This Row],[Código del producto Vendido]],STOCK[],16,FALSE)*VENTAS[[#This Row],[Cantidad]]+VLOOKUP(VENTAS[[#This Row],[Código del producto Vendido]],STOCK[],19,FALSE)*VENTAS[[#This Row],[Cantidad]],VENTAS[[#This Row],[Total]])</f>
        <v>14.871363636363629</v>
      </c>
      <c r="L339" s="12">
        <f>VENTAS[[#This Row],[Total]]-VENTAS[[#This Row],[Comisión 10%]]-VENTAS[[#This Row],[Costo SIN Comision]]</f>
        <v>10.128636363636371</v>
      </c>
      <c r="M339" s="12"/>
      <c r="N339" s="16"/>
    </row>
    <row r="340" spans="1:14" ht="20" hidden="1" customHeight="1">
      <c r="A340" s="9">
        <v>45115</v>
      </c>
      <c r="B340" s="10"/>
      <c r="C340" s="10"/>
      <c r="D340" s="10"/>
      <c r="E340" s="10" t="s">
        <v>972</v>
      </c>
      <c r="F340" s="10" t="str">
        <f>IFERROR(VLOOKUP(VENTAS[[#This Row],[Código del producto Vendido]],STOCK[],5,FALSE),"-")</f>
        <v>Bañador Cisne Espalda descubierta</v>
      </c>
      <c r="G340" s="10">
        <v>1</v>
      </c>
      <c r="H340" s="12">
        <v>25</v>
      </c>
      <c r="I340" s="12">
        <f>VENTAS[[#This Row],[Cantidad]]*VENTAS[[#This Row],[Precio Venta]]</f>
        <v>25</v>
      </c>
      <c r="J340" s="12">
        <f>IF(VENTAS[[#This Row],[Nombre del Gestor]]&gt;1,VENTAS[[#This Row],[Total]]*10%,0)</f>
        <v>0</v>
      </c>
      <c r="K340" s="12">
        <f>IFERROR(VLOOKUP(VENTAS[[#This Row],[Código del producto Vendido]],STOCK[],16,FALSE)*VENTAS[[#This Row],[Cantidad]]+VLOOKUP(VENTAS[[#This Row],[Código del producto Vendido]],STOCK[],19,FALSE)*VENTAS[[#This Row],[Cantidad]],VENTAS[[#This Row],[Total]])</f>
        <v>15.324999999999999</v>
      </c>
      <c r="L340" s="12">
        <f>VENTAS[[#This Row],[Total]]-VENTAS[[#This Row],[Comisión 10%]]-VENTAS[[#This Row],[Costo SIN Comision]]</f>
        <v>9.6750000000000007</v>
      </c>
      <c r="M340" s="12"/>
      <c r="N340" s="16"/>
    </row>
    <row r="341" spans="1:14" ht="20" hidden="1" customHeight="1">
      <c r="A341" s="9">
        <v>45116</v>
      </c>
      <c r="B341" s="10"/>
      <c r="C341" s="10"/>
      <c r="D341" s="10"/>
      <c r="E341" s="10" t="s">
        <v>63</v>
      </c>
      <c r="F341" s="10" t="str">
        <f>IFERROR(VLOOKUP(VENTAS[[#This Row],[Código del producto Vendido]],STOCK[],5,FALSE),"-")</f>
        <v>Bikini Mangas Fuccia</v>
      </c>
      <c r="G341" s="10">
        <v>1</v>
      </c>
      <c r="H341" s="12">
        <v>22</v>
      </c>
      <c r="I341" s="12">
        <f>VENTAS[[#This Row],[Cantidad]]*VENTAS[[#This Row],[Precio Venta]]</f>
        <v>22</v>
      </c>
      <c r="J341" s="12">
        <f>IF(VENTAS[[#This Row],[Nombre del Gestor]]&gt;1,VENTAS[[#This Row],[Total]]*10%,0)</f>
        <v>0</v>
      </c>
      <c r="K341" s="12">
        <f>IFERROR(VLOOKUP(VENTAS[[#This Row],[Código del producto Vendido]],STOCK[],16,FALSE)*VENTAS[[#This Row],[Cantidad]]+VLOOKUP(VENTAS[[#This Row],[Código del producto Vendido]],STOCK[],19,FALSE)*VENTAS[[#This Row],[Cantidad]],VENTAS[[#This Row],[Total]])</f>
        <v>14.495000000000001</v>
      </c>
      <c r="L341" s="12">
        <f>VENTAS[[#This Row],[Total]]-VENTAS[[#This Row],[Comisión 10%]]-VENTAS[[#This Row],[Costo SIN Comision]]</f>
        <v>7.504999999999999</v>
      </c>
      <c r="M341" s="12"/>
      <c r="N341" s="16"/>
    </row>
    <row r="342" spans="1:14" ht="20" hidden="1" customHeight="1">
      <c r="A342" s="9">
        <v>45116</v>
      </c>
      <c r="B342" s="10"/>
      <c r="C342" s="10"/>
      <c r="D342" s="10"/>
      <c r="E342" s="10" t="s">
        <v>113</v>
      </c>
      <c r="F342" s="10" t="str">
        <f>IFERROR(VLOOKUP(VENTAS[[#This Row],[Código del producto Vendido]],STOCK[],5,FALSE),"-")</f>
        <v>Bikini Floral</v>
      </c>
      <c r="G342" s="10">
        <v>1</v>
      </c>
      <c r="H342" s="12">
        <v>28</v>
      </c>
      <c r="I342" s="12">
        <f>VENTAS[[#This Row],[Cantidad]]*VENTAS[[#This Row],[Precio Venta]]</f>
        <v>28</v>
      </c>
      <c r="J342" s="12">
        <f>IF(VENTAS[[#This Row],[Nombre del Gestor]]&gt;1,VENTAS[[#This Row],[Total]]*10%,0)</f>
        <v>0</v>
      </c>
      <c r="K342" s="12">
        <f>IFERROR(VLOOKUP(VENTAS[[#This Row],[Código del producto Vendido]],STOCK[],16,FALSE)*VENTAS[[#This Row],[Cantidad]]+VLOOKUP(VENTAS[[#This Row],[Código del producto Vendido]],STOCK[],19,FALSE)*VENTAS[[#This Row],[Cantidad]],VENTAS[[#This Row],[Total]])</f>
        <v>18.733888888888899</v>
      </c>
      <c r="L342" s="12">
        <f>VENTAS[[#This Row],[Total]]-VENTAS[[#This Row],[Comisión 10%]]-VENTAS[[#This Row],[Costo SIN Comision]]</f>
        <v>9.2661111111111012</v>
      </c>
      <c r="M342" s="12"/>
      <c r="N342" s="16"/>
    </row>
    <row r="343" spans="1:14" ht="20" hidden="1" customHeight="1">
      <c r="A343" s="9">
        <v>45116</v>
      </c>
      <c r="B343" s="10"/>
      <c r="C343" s="10"/>
      <c r="D343" s="10"/>
      <c r="E343" s="10" t="s">
        <v>159</v>
      </c>
      <c r="F343" s="10" t="str">
        <f>IFERROR(VLOOKUP(VENTAS[[#This Row],[Código del producto Vendido]],STOCK[],5,FALSE),"-")</f>
        <v>Bañador con estampado floral</v>
      </c>
      <c r="G343" s="10">
        <v>1</v>
      </c>
      <c r="H343" s="12">
        <v>28</v>
      </c>
      <c r="I343" s="12">
        <f>VENTAS[[#This Row],[Cantidad]]*VENTAS[[#This Row],[Precio Venta]]</f>
        <v>28</v>
      </c>
      <c r="J343" s="12">
        <f>IF(VENTAS[[#This Row],[Nombre del Gestor]]&gt;1,VENTAS[[#This Row],[Total]]*10%,0)</f>
        <v>0</v>
      </c>
      <c r="K343" s="12">
        <f>IFERROR(VLOOKUP(VENTAS[[#This Row],[Código del producto Vendido]],STOCK[],16,FALSE)*VENTAS[[#This Row],[Cantidad]]+VLOOKUP(VENTAS[[#This Row],[Código del producto Vendido]],STOCK[],19,FALSE)*VENTAS[[#This Row],[Cantidad]],VENTAS[[#This Row],[Total]])</f>
        <v>18.308888888888902</v>
      </c>
      <c r="L343" s="12">
        <f>VENTAS[[#This Row],[Total]]-VENTAS[[#This Row],[Comisión 10%]]-VENTAS[[#This Row],[Costo SIN Comision]]</f>
        <v>9.6911111111110984</v>
      </c>
      <c r="M343" s="12"/>
      <c r="N343" s="16"/>
    </row>
    <row r="344" spans="1:14" ht="20" hidden="1" customHeight="1">
      <c r="A344" s="9">
        <v>45116</v>
      </c>
      <c r="B344" s="10"/>
      <c r="C344" s="10"/>
      <c r="D344" s="10"/>
      <c r="E344" s="10" t="s">
        <v>1098</v>
      </c>
      <c r="F344" s="10" t="str">
        <f>IFERROR(VLOOKUP(VENTAS[[#This Row],[Código del producto Vendido]],STOCK[],5,FALSE),"-")</f>
        <v>Bañador en contraste azul</v>
      </c>
      <c r="G344" s="10">
        <v>1</v>
      </c>
      <c r="H344" s="12">
        <v>28</v>
      </c>
      <c r="I344" s="12">
        <f>VENTAS[[#This Row],[Cantidad]]*VENTAS[[#This Row],[Precio Venta]]</f>
        <v>28</v>
      </c>
      <c r="J344" s="12">
        <f>IF(VENTAS[[#This Row],[Nombre del Gestor]]&gt;1,VENTAS[[#This Row],[Total]]*10%,0)</f>
        <v>0</v>
      </c>
      <c r="K344" s="12">
        <f>IFERROR(VLOOKUP(VENTAS[[#This Row],[Código del producto Vendido]],STOCK[],16,FALSE)*VENTAS[[#This Row],[Cantidad]]+VLOOKUP(VENTAS[[#This Row],[Código del producto Vendido]],STOCK[],19,FALSE)*VENTAS[[#This Row],[Cantidad]],VENTAS[[#This Row],[Total]])</f>
        <v>19.338970588235298</v>
      </c>
      <c r="L344" s="12">
        <f>VENTAS[[#This Row],[Total]]-VENTAS[[#This Row],[Comisión 10%]]-VENTAS[[#This Row],[Costo SIN Comision]]</f>
        <v>8.6610294117647015</v>
      </c>
      <c r="M344" s="12"/>
      <c r="N344" s="16"/>
    </row>
    <row r="345" spans="1:14" ht="20" hidden="1" customHeight="1">
      <c r="A345" s="9">
        <v>45116</v>
      </c>
      <c r="B345" s="10"/>
      <c r="C345" s="10"/>
      <c r="D345" s="10"/>
      <c r="E345" s="10" t="s">
        <v>862</v>
      </c>
      <c r="F345" s="10" t="str">
        <f>IFERROR(VLOOKUP(VENTAS[[#This Row],[Código del producto Vendido]],STOCK[],5,FALSE),"-")</f>
        <v>Bikini Rosa canalé</v>
      </c>
      <c r="G345" s="10">
        <v>1</v>
      </c>
      <c r="H345" s="12">
        <v>20</v>
      </c>
      <c r="I345" s="12">
        <f>VENTAS[[#This Row],[Cantidad]]*VENTAS[[#This Row],[Precio Venta]]</f>
        <v>20</v>
      </c>
      <c r="J345" s="12">
        <f>IF(VENTAS[[#This Row],[Nombre del Gestor]]&gt;1,VENTAS[[#This Row],[Total]]*10%,0)</f>
        <v>0</v>
      </c>
      <c r="K345" s="12">
        <f>IFERROR(VLOOKUP(VENTAS[[#This Row],[Código del producto Vendido]],STOCK[],16,FALSE)*VENTAS[[#This Row],[Cantidad]]+VLOOKUP(VENTAS[[#This Row],[Código del producto Vendido]],STOCK[],19,FALSE)*VENTAS[[#This Row],[Cantidad]],VENTAS[[#This Row],[Total]])</f>
        <v>13.4444444444444</v>
      </c>
      <c r="L345" s="12">
        <f>VENTAS[[#This Row],[Total]]-VENTAS[[#This Row],[Comisión 10%]]-VENTAS[[#This Row],[Costo SIN Comision]]</f>
        <v>6.5555555555555998</v>
      </c>
      <c r="M345" s="12"/>
      <c r="N345" s="16"/>
    </row>
    <row r="346" spans="1:14" ht="20" hidden="1" customHeight="1">
      <c r="A346" s="9">
        <v>45121</v>
      </c>
      <c r="B346" s="10"/>
      <c r="C346" s="10"/>
      <c r="D346" s="10"/>
      <c r="E346" s="10" t="s">
        <v>84</v>
      </c>
      <c r="F346" s="10" t="str">
        <f>IFERROR(VLOOKUP(VENTAS[[#This Row],[Código del producto Vendido]],STOCK[],5,FALSE),"-")</f>
        <v>Enguatada solera sin parte de abajo</v>
      </c>
      <c r="G346" s="10">
        <v>1</v>
      </c>
      <c r="H346" s="12">
        <v>17</v>
      </c>
      <c r="I346" s="12">
        <f>VENTAS[[#This Row],[Cantidad]]*VENTAS[[#This Row],[Precio Venta]]</f>
        <v>17</v>
      </c>
      <c r="J346" s="12">
        <f>IF(VENTAS[[#This Row],[Nombre del Gestor]]&gt;1,VENTAS[[#This Row],[Total]]*10%,0)</f>
        <v>0</v>
      </c>
      <c r="K346" s="12">
        <f>IFERROR(VLOOKUP(VENTAS[[#This Row],[Código del producto Vendido]],STOCK[],16,FALSE)*VENTAS[[#This Row],[Cantidad]]+VLOOKUP(VENTAS[[#This Row],[Código del producto Vendido]],STOCK[],19,FALSE)*VENTAS[[#This Row],[Cantidad]],VENTAS[[#This Row],[Total]])</f>
        <v>13.331666666666671</v>
      </c>
      <c r="L346" s="12">
        <f>VENTAS[[#This Row],[Total]]-VENTAS[[#This Row],[Comisión 10%]]-VENTAS[[#This Row],[Costo SIN Comision]]</f>
        <v>3.6683333333333294</v>
      </c>
      <c r="M346" s="12"/>
      <c r="N346" s="16"/>
    </row>
    <row r="347" spans="1:14" ht="20" hidden="1" customHeight="1">
      <c r="A347" s="9">
        <v>45122</v>
      </c>
      <c r="B347" s="10"/>
      <c r="C347" s="10"/>
      <c r="D347" s="10"/>
      <c r="E347" s="10" t="s">
        <v>259</v>
      </c>
      <c r="F347" s="10" t="str">
        <f>IFERROR(VLOOKUP(VENTAS[[#This Row],[Código del producto Vendido]],STOCK[],5,FALSE),"-")</f>
        <v>Top unicolor de hombros con almohadilla</v>
      </c>
      <c r="G347" s="10">
        <v>1</v>
      </c>
      <c r="H347" s="12">
        <v>14</v>
      </c>
      <c r="I347" s="12">
        <f>VENTAS[[#This Row],[Cantidad]]*VENTAS[[#This Row],[Precio Venta]]</f>
        <v>14</v>
      </c>
      <c r="J347" s="12">
        <f>IF(VENTAS[[#This Row],[Nombre del Gestor]]&gt;1,VENTAS[[#This Row],[Total]]*10%,0)</f>
        <v>0</v>
      </c>
      <c r="K347" s="12">
        <f>IFERROR(VLOOKUP(VENTAS[[#This Row],[Código del producto Vendido]],STOCK[],16,FALSE)*VENTAS[[#This Row],[Cantidad]]+VLOOKUP(VENTAS[[#This Row],[Código del producto Vendido]],STOCK[],19,FALSE)*VENTAS[[#This Row],[Cantidad]],VENTAS[[#This Row],[Total]])</f>
        <v>7.5111111111111093</v>
      </c>
      <c r="L347" s="12">
        <f>VENTAS[[#This Row],[Total]]-VENTAS[[#This Row],[Comisión 10%]]-VENTAS[[#This Row],[Costo SIN Comision]]</f>
        <v>6.4888888888888907</v>
      </c>
      <c r="M347" s="12"/>
      <c r="N347" s="16"/>
    </row>
    <row r="348" spans="1:14" ht="20" hidden="1" customHeight="1">
      <c r="A348" s="28">
        <v>45121</v>
      </c>
      <c r="B348" s="10"/>
      <c r="C348" s="10"/>
      <c r="D348" s="10"/>
      <c r="E348" s="10" t="s">
        <v>796</v>
      </c>
      <c r="F348" s="10" t="str">
        <f>IFERROR(VLOOKUP(VENTAS[[#This Row],[Código del producto Vendido]],STOCK[],5,FALSE),"-")</f>
        <v>Bañador floreado</v>
      </c>
      <c r="G348" s="10">
        <v>1</v>
      </c>
      <c r="H348" s="12">
        <v>20</v>
      </c>
      <c r="I348" s="12">
        <f>VENTAS[[#This Row],[Cantidad]]*VENTAS[[#This Row],[Precio Venta]]</f>
        <v>20</v>
      </c>
      <c r="J348" s="12">
        <f>IF(VENTAS[[#This Row],[Nombre del Gestor]]&gt;1,VENTAS[[#This Row],[Total]]*10%,0)</f>
        <v>0</v>
      </c>
      <c r="K348" s="12">
        <f>IFERROR(VLOOKUP(VENTAS[[#This Row],[Código del producto Vendido]],STOCK[],16,FALSE)*VENTAS[[#This Row],[Cantidad]]+VLOOKUP(VENTAS[[#This Row],[Código del producto Vendido]],STOCK[],19,FALSE)*VENTAS[[#This Row],[Cantidad]],VENTAS[[#This Row],[Total]])</f>
        <v>11.72222222222222</v>
      </c>
      <c r="L348" s="12">
        <f>VENTAS[[#This Row],[Total]]-VENTAS[[#This Row],[Comisión 10%]]-VENTAS[[#This Row],[Costo SIN Comision]]</f>
        <v>8.2777777777777803</v>
      </c>
      <c r="M348" s="12"/>
      <c r="N348" s="16"/>
    </row>
    <row r="349" spans="1:14" ht="20" hidden="1" customHeight="1">
      <c r="A349" s="28">
        <v>45122</v>
      </c>
      <c r="B349" s="10"/>
      <c r="C349" s="10"/>
      <c r="D349" s="10"/>
      <c r="E349" s="10" t="s">
        <v>805</v>
      </c>
      <c r="F349" s="10" t="str">
        <f>IFERROR(VLOOKUP(VENTAS[[#This Row],[Código del producto Vendido]],STOCK[],5,FALSE),"-")</f>
        <v xml:space="preserve"> Bañador espalda descubierta</v>
      </c>
      <c r="G349" s="10">
        <v>1</v>
      </c>
      <c r="H349" s="12">
        <v>20</v>
      </c>
      <c r="I349" s="12">
        <f>VENTAS[[#This Row],[Cantidad]]*VENTAS[[#This Row],[Precio Venta]]</f>
        <v>20</v>
      </c>
      <c r="J349" s="12">
        <f>IF(VENTAS[[#This Row],[Nombre del Gestor]]&gt;1,VENTAS[[#This Row],[Total]]*10%,0)</f>
        <v>0</v>
      </c>
      <c r="K349" s="12">
        <f>IFERROR(VLOOKUP(VENTAS[[#This Row],[Código del producto Vendido]],STOCK[],16,FALSE)*VENTAS[[#This Row],[Cantidad]]+VLOOKUP(VENTAS[[#This Row],[Código del producto Vendido]],STOCK[],19,FALSE)*VENTAS[[#This Row],[Cantidad]],VENTAS[[#This Row],[Total]])</f>
        <v>15.5555555555556</v>
      </c>
      <c r="L349" s="12">
        <f>VENTAS[[#This Row],[Total]]-VENTAS[[#This Row],[Comisión 10%]]-VENTAS[[#This Row],[Costo SIN Comision]]</f>
        <v>4.4444444444444002</v>
      </c>
      <c r="M349" s="12"/>
      <c r="N349" s="16"/>
    </row>
    <row r="350" spans="1:14" ht="20" hidden="1" customHeight="1">
      <c r="A350" s="28">
        <v>45122</v>
      </c>
      <c r="B350" s="10"/>
      <c r="C350" s="10"/>
      <c r="D350" s="10"/>
      <c r="E350" s="10" t="s">
        <v>409</v>
      </c>
      <c r="F350" s="10" t="str">
        <f>IFERROR(VLOOKUP(VENTAS[[#This Row],[Código del producto Vendido]],STOCK[],5,FALSE),"-")</f>
        <v xml:space="preserve">Bañador una pieza de color combinado </v>
      </c>
      <c r="G350" s="10">
        <v>1</v>
      </c>
      <c r="H350" s="12">
        <v>20</v>
      </c>
      <c r="I350" s="12">
        <f>VENTAS[[#This Row],[Cantidad]]*VENTAS[[#This Row],[Precio Venta]]</f>
        <v>20</v>
      </c>
      <c r="J350" s="12">
        <f>IF(VENTAS[[#This Row],[Nombre del Gestor]]&gt;1,VENTAS[[#This Row],[Total]]*10%,0)</f>
        <v>0</v>
      </c>
      <c r="K350" s="12">
        <f>IFERROR(VLOOKUP(VENTAS[[#This Row],[Código del producto Vendido]],STOCK[],16,FALSE)*VENTAS[[#This Row],[Cantidad]]+VLOOKUP(VENTAS[[#This Row],[Código del producto Vendido]],STOCK[],19,FALSE)*VENTAS[[#This Row],[Cantidad]],VENTAS[[#This Row],[Total]])</f>
        <v>9.6666666666666696</v>
      </c>
      <c r="L350" s="12">
        <f>VENTAS[[#This Row],[Total]]-VENTAS[[#This Row],[Comisión 10%]]-VENTAS[[#This Row],[Costo SIN Comision]]</f>
        <v>10.33333333333333</v>
      </c>
      <c r="M350" s="12"/>
      <c r="N350" s="16"/>
    </row>
    <row r="351" spans="1:14" ht="20" hidden="1" customHeight="1">
      <c r="A351" s="28">
        <v>45122</v>
      </c>
      <c r="B351" s="10"/>
      <c r="C351" s="10"/>
      <c r="D351" s="10"/>
      <c r="E351" s="10" t="s">
        <v>907</v>
      </c>
      <c r="F351" s="10" t="str">
        <f>IFERROR(VLOOKUP(VENTAS[[#This Row],[Código del producto Vendido]],STOCK[],5,FALSE),"-")</f>
        <v xml:space="preserve"> Top Cuello V Verde</v>
      </c>
      <c r="G351" s="10">
        <v>1</v>
      </c>
      <c r="H351" s="12">
        <v>12</v>
      </c>
      <c r="I351" s="12">
        <f>VENTAS[[#This Row],[Cantidad]]*VENTAS[[#This Row],[Precio Venta]]</f>
        <v>12</v>
      </c>
      <c r="J351" s="12">
        <f>IF(VENTAS[[#This Row],[Nombre del Gestor]]&gt;1,VENTAS[[#This Row],[Total]]*10%,0)</f>
        <v>0</v>
      </c>
      <c r="K351" s="12">
        <f>IFERROR(VLOOKUP(VENTAS[[#This Row],[Código del producto Vendido]],STOCK[],16,FALSE)*VENTAS[[#This Row],[Cantidad]]+VLOOKUP(VENTAS[[#This Row],[Código del producto Vendido]],STOCK[],19,FALSE)*VENTAS[[#This Row],[Cantidad]],VENTAS[[#This Row],[Total]])</f>
        <v>8.0054545454545405</v>
      </c>
      <c r="L351" s="12">
        <f>VENTAS[[#This Row],[Total]]-VENTAS[[#This Row],[Comisión 10%]]-VENTAS[[#This Row],[Costo SIN Comision]]</f>
        <v>3.9945454545454595</v>
      </c>
      <c r="M351" s="12"/>
      <c r="N351" s="16"/>
    </row>
    <row r="352" spans="1:14" ht="20" hidden="1" customHeight="1">
      <c r="A352" s="28">
        <v>45122</v>
      </c>
      <c r="B352" s="10"/>
      <c r="C352" s="10"/>
      <c r="D352" s="10"/>
      <c r="E352" s="10" t="s">
        <v>1029</v>
      </c>
      <c r="F352" s="10" t="str">
        <f>IFERROR(VLOOKUP(VENTAS[[#This Row],[Código del producto Vendido]],STOCK[],5,FALSE),"-")</f>
        <v>Top cuello V Blanco</v>
      </c>
      <c r="G352" s="10">
        <v>1</v>
      </c>
      <c r="H352" s="12">
        <v>12</v>
      </c>
      <c r="I352" s="12">
        <f>VENTAS[[#This Row],[Cantidad]]*VENTAS[[#This Row],[Precio Venta]]</f>
        <v>12</v>
      </c>
      <c r="J352" s="12">
        <f>IF(VENTAS[[#This Row],[Nombre del Gestor]]&gt;1,VENTAS[[#This Row],[Total]]*10%,0)</f>
        <v>0</v>
      </c>
      <c r="K352" s="12">
        <f>IFERROR(VLOOKUP(VENTAS[[#This Row],[Código del producto Vendido]],STOCK[],16,FALSE)*VENTAS[[#This Row],[Cantidad]]+VLOOKUP(VENTAS[[#This Row],[Código del producto Vendido]],STOCK[],19,FALSE)*VENTAS[[#This Row],[Cantidad]],VENTAS[[#This Row],[Total]])</f>
        <v>7.7556818181818201</v>
      </c>
      <c r="L352" s="12">
        <f>VENTAS[[#This Row],[Total]]-VENTAS[[#This Row],[Comisión 10%]]-VENTAS[[#This Row],[Costo SIN Comision]]</f>
        <v>4.2443181818181799</v>
      </c>
      <c r="M352" s="12"/>
      <c r="N352" s="16"/>
    </row>
    <row r="353" spans="1:14" ht="20" hidden="1" customHeight="1">
      <c r="A353" s="28">
        <v>45124</v>
      </c>
      <c r="B353" s="10"/>
      <c r="C353" s="10"/>
      <c r="D353" s="10"/>
      <c r="E353" s="10" t="s">
        <v>1033</v>
      </c>
      <c r="F353" s="10" t="str">
        <f>IFERROR(VLOOKUP(VENTAS[[#This Row],[Código del producto Vendido]],STOCK[],5,FALSE),"-")</f>
        <v>Jenas Ajustados Oscuro</v>
      </c>
      <c r="G353" s="10">
        <v>1</v>
      </c>
      <c r="H353" s="12">
        <v>35</v>
      </c>
      <c r="I353" s="12">
        <f>VENTAS[[#This Row],[Cantidad]]*VENTAS[[#This Row],[Precio Venta]]</f>
        <v>35</v>
      </c>
      <c r="J353" s="12">
        <f>IF(VENTAS[[#This Row],[Nombre del Gestor]]&gt;1,VENTAS[[#This Row],[Total]]*10%,0)</f>
        <v>0</v>
      </c>
      <c r="K353" s="12">
        <f>IFERROR(VLOOKUP(VENTAS[[#This Row],[Código del producto Vendido]],STOCK[],16,FALSE)*VENTAS[[#This Row],[Cantidad]]+VLOOKUP(VENTAS[[#This Row],[Código del producto Vendido]],STOCK[],19,FALSE)*VENTAS[[#This Row],[Cantidad]],VENTAS[[#This Row],[Total]])</f>
        <v>24.681818181818201</v>
      </c>
      <c r="L353" s="12">
        <f>VENTAS[[#This Row],[Total]]-VENTAS[[#This Row],[Comisión 10%]]-VENTAS[[#This Row],[Costo SIN Comision]]</f>
        <v>10.318181818181799</v>
      </c>
      <c r="M353" s="12"/>
      <c r="N353" s="16"/>
    </row>
    <row r="354" spans="1:14" ht="20" hidden="1" customHeight="1">
      <c r="A354" s="28">
        <v>45124</v>
      </c>
      <c r="B354" s="10"/>
      <c r="C354" s="10"/>
      <c r="D354" s="10"/>
      <c r="E354" s="10" t="s">
        <v>31</v>
      </c>
      <c r="F354" s="10" t="str">
        <f>IFERROR(VLOOKUP(VENTAS[[#This Row],[Código del producto Vendido]],STOCK[],5,FALSE),"-")</f>
        <v xml:space="preserve">Pareo falda </v>
      </c>
      <c r="G354" s="10">
        <v>1</v>
      </c>
      <c r="H354" s="12">
        <v>8</v>
      </c>
      <c r="I354" s="12">
        <f>VENTAS[[#This Row],[Cantidad]]*VENTAS[[#This Row],[Precio Venta]]</f>
        <v>8</v>
      </c>
      <c r="J354" s="12">
        <f>IF(VENTAS[[#This Row],[Nombre del Gestor]]&gt;1,VENTAS[[#This Row],[Total]]*10%,0)</f>
        <v>0</v>
      </c>
      <c r="K354" s="12">
        <f>IFERROR(VLOOKUP(VENTAS[[#This Row],[Código del producto Vendido]],STOCK[],16,FALSE)*VENTAS[[#This Row],[Cantidad]]+VLOOKUP(VENTAS[[#This Row],[Código del producto Vendido]],STOCK[],19,FALSE)*VENTAS[[#This Row],[Cantidad]],VENTAS[[#This Row],[Total]])</f>
        <v>4.3372222222222199</v>
      </c>
      <c r="L354" s="12">
        <f>VENTAS[[#This Row],[Total]]-VENTAS[[#This Row],[Comisión 10%]]-VENTAS[[#This Row],[Costo SIN Comision]]</f>
        <v>3.6627777777777801</v>
      </c>
      <c r="M354" s="12"/>
      <c r="N354" s="16"/>
    </row>
    <row r="355" spans="1:14" ht="20" hidden="1" customHeight="1">
      <c r="A355" s="28">
        <v>45124</v>
      </c>
      <c r="B355" s="10"/>
      <c r="C355" s="10"/>
      <c r="D355" s="10"/>
      <c r="E355" s="10" t="s">
        <v>452</v>
      </c>
      <c r="F355" s="10" t="str">
        <f>IFERROR(VLOOKUP(VENTAS[[#This Row],[Código del producto Vendido]],STOCK[],5,FALSE),"-")</f>
        <v>Bañador bikini de manga raglán con cordón floral</v>
      </c>
      <c r="G355" s="10">
        <v>1</v>
      </c>
      <c r="H355" s="12">
        <v>25</v>
      </c>
      <c r="I355" s="12">
        <f>VENTAS[[#This Row],[Cantidad]]*VENTAS[[#This Row],[Precio Venta]]</f>
        <v>25</v>
      </c>
      <c r="J355" s="12">
        <f>IF(VENTAS[[#This Row],[Nombre del Gestor]]&gt;1,VENTAS[[#This Row],[Total]]*10%,0)</f>
        <v>0</v>
      </c>
      <c r="K355" s="12">
        <f>IFERROR(VLOOKUP(VENTAS[[#This Row],[Código del producto Vendido]],STOCK[],16,FALSE)*VENTAS[[#This Row],[Cantidad]]+VLOOKUP(VENTAS[[#This Row],[Código del producto Vendido]],STOCK[],19,FALSE)*VENTAS[[#This Row],[Cantidad]],VENTAS[[#This Row],[Total]])</f>
        <v>19.794444444444402</v>
      </c>
      <c r="L355" s="12">
        <f>VENTAS[[#This Row],[Total]]-VENTAS[[#This Row],[Comisión 10%]]-VENTAS[[#This Row],[Costo SIN Comision]]</f>
        <v>5.2055555555555983</v>
      </c>
      <c r="M355" s="12"/>
      <c r="N355" s="16"/>
    </row>
    <row r="356" spans="1:14" ht="20" hidden="1" customHeight="1">
      <c r="A356" s="28">
        <v>45124</v>
      </c>
      <c r="B356" s="10"/>
      <c r="C356" s="10"/>
      <c r="D356" s="10"/>
      <c r="E356" s="10" t="s">
        <v>106</v>
      </c>
      <c r="F356" s="10" t="str">
        <f>IFERROR(VLOOKUP(VENTAS[[#This Row],[Código del producto Vendido]],STOCK[],5,FALSE),"-")</f>
        <v>Bikini Elegante con Herrajes</v>
      </c>
      <c r="G356" s="10">
        <v>1</v>
      </c>
      <c r="H356" s="12">
        <v>18</v>
      </c>
      <c r="I356" s="12">
        <f>VENTAS[[#This Row],[Cantidad]]*VENTAS[[#This Row],[Precio Venta]]</f>
        <v>18</v>
      </c>
      <c r="J356" s="12">
        <f>IF(VENTAS[[#This Row],[Nombre del Gestor]]&gt;1,VENTAS[[#This Row],[Total]]*10%,0)</f>
        <v>0</v>
      </c>
      <c r="K356" s="12">
        <f>IFERROR(VLOOKUP(VENTAS[[#This Row],[Código del producto Vendido]],STOCK[],16,FALSE)*VENTAS[[#This Row],[Cantidad]]+VLOOKUP(VENTAS[[#This Row],[Código del producto Vendido]],STOCK[],19,FALSE)*VENTAS[[#This Row],[Cantidad]],VENTAS[[#This Row],[Total]])</f>
        <v>12.419444444444439</v>
      </c>
      <c r="L356" s="12">
        <f>VENTAS[[#This Row],[Total]]-VENTAS[[#This Row],[Comisión 10%]]-VENTAS[[#This Row],[Costo SIN Comision]]</f>
        <v>5.580555555555561</v>
      </c>
      <c r="M356" s="12"/>
      <c r="N356" s="16"/>
    </row>
    <row r="357" spans="1:14" ht="20" hidden="1" customHeight="1">
      <c r="A357" s="28">
        <v>45125</v>
      </c>
      <c r="B357" s="10"/>
      <c r="C357" s="10"/>
      <c r="D357" s="10"/>
      <c r="E357" s="10" t="s">
        <v>41</v>
      </c>
      <c r="F357" s="10" t="str">
        <f>IFERROR(VLOOKUP(VENTAS[[#This Row],[Código del producto Vendido]],STOCK[],5,FALSE),"-")</f>
        <v>Bikini Floral</v>
      </c>
      <c r="G357" s="10">
        <v>1</v>
      </c>
      <c r="H357" s="12">
        <v>25</v>
      </c>
      <c r="I357" s="12">
        <f>VENTAS[[#This Row],[Cantidad]]*VENTAS[[#This Row],[Precio Venta]]</f>
        <v>25</v>
      </c>
      <c r="J357" s="12">
        <f>IF(VENTAS[[#This Row],[Nombre del Gestor]]&gt;1,VENTAS[[#This Row],[Total]]*10%,0)</f>
        <v>0</v>
      </c>
      <c r="K357" s="12">
        <f>IFERROR(VLOOKUP(VENTAS[[#This Row],[Código del producto Vendido]],STOCK[],16,FALSE)*VENTAS[[#This Row],[Cantidad]]+VLOOKUP(VENTAS[[#This Row],[Código del producto Vendido]],STOCK[],19,FALSE)*VENTAS[[#This Row],[Cantidad]],VENTAS[[#This Row],[Total]])</f>
        <v>19.561111111111099</v>
      </c>
      <c r="L357" s="12">
        <f>VENTAS[[#This Row],[Total]]-VENTAS[[#This Row],[Comisión 10%]]-VENTAS[[#This Row],[Costo SIN Comision]]</f>
        <v>5.4388888888889007</v>
      </c>
      <c r="M357" s="12"/>
      <c r="N357" s="16"/>
    </row>
    <row r="358" spans="1:14" ht="20" hidden="1" customHeight="1">
      <c r="A358" s="28">
        <v>45128</v>
      </c>
      <c r="B358" s="10"/>
      <c r="C358" s="10"/>
      <c r="D358" s="10"/>
      <c r="E358" s="10" t="s">
        <v>41</v>
      </c>
      <c r="F358" s="10" t="str">
        <f>IFERROR(VLOOKUP(VENTAS[[#This Row],[Código del producto Vendido]],STOCK[],5,FALSE),"-")</f>
        <v>Bikini Floral</v>
      </c>
      <c r="G358" s="10">
        <v>1</v>
      </c>
      <c r="H358" s="12">
        <v>25</v>
      </c>
      <c r="I358" s="12">
        <f>VENTAS[[#This Row],[Cantidad]]*VENTAS[[#This Row],[Precio Venta]]</f>
        <v>25</v>
      </c>
      <c r="J358" s="12">
        <f>IF(VENTAS[[#This Row],[Nombre del Gestor]]&gt;1,VENTAS[[#This Row],[Total]]*10%,0)</f>
        <v>0</v>
      </c>
      <c r="K358" s="12">
        <f>IFERROR(VLOOKUP(VENTAS[[#This Row],[Código del producto Vendido]],STOCK[],16,FALSE)*VENTAS[[#This Row],[Cantidad]]+VLOOKUP(VENTAS[[#This Row],[Código del producto Vendido]],STOCK[],19,FALSE)*VENTAS[[#This Row],[Cantidad]],VENTAS[[#This Row],[Total]])</f>
        <v>19.561111111111099</v>
      </c>
      <c r="L358" s="12">
        <f>VENTAS[[#This Row],[Total]]-VENTAS[[#This Row],[Comisión 10%]]-VENTAS[[#This Row],[Costo SIN Comision]]</f>
        <v>5.4388888888889007</v>
      </c>
      <c r="M358" s="12"/>
      <c r="N358" s="16"/>
    </row>
    <row r="359" spans="1:14" ht="20" hidden="1" customHeight="1">
      <c r="A359" s="29">
        <v>45133</v>
      </c>
      <c r="B359" s="18" t="s">
        <v>4244</v>
      </c>
      <c r="C359" s="18"/>
      <c r="D359" s="18"/>
      <c r="E359" s="34" t="s">
        <v>455</v>
      </c>
      <c r="F359" s="18" t="str">
        <f>IFERROR(VLOOKUP(VENTAS[[#This Row],[Código del producto Vendido]],STOCK[],5,FALSE),"-")</f>
        <v>Bikini de manga y short floreado</v>
      </c>
      <c r="G359" s="18">
        <v>1</v>
      </c>
      <c r="H359" s="20">
        <v>25</v>
      </c>
      <c r="I359" s="12">
        <f>VENTAS[[#This Row],[Cantidad]]*VENTAS[[#This Row],[Precio Venta]]</f>
        <v>25</v>
      </c>
      <c r="J359" s="12">
        <f>IF(VENTAS[[#This Row],[Nombre del Gestor]]&gt;1,VENTAS[[#This Row],[Total]]*10%,0)</f>
        <v>0</v>
      </c>
      <c r="K359" s="12">
        <f>IFERROR(VLOOKUP(VENTAS[[#This Row],[Código del producto Vendido]],STOCK[],16,FALSE)*VENTAS[[#This Row],[Cantidad]]+VLOOKUP(VENTAS[[#This Row],[Código del producto Vendido]],STOCK[],19,FALSE)*VENTAS[[#This Row],[Cantidad]],VENTAS[[#This Row],[Total]])</f>
        <v>16.6444444444444</v>
      </c>
      <c r="L359" s="12">
        <f>VENTAS[[#This Row],[Total]]-VENTAS[[#This Row],[Comisión 10%]]-VENTAS[[#This Row],[Costo SIN Comision]]</f>
        <v>8.3555555555556005</v>
      </c>
      <c r="M359" s="12"/>
      <c r="N359" s="16"/>
    </row>
    <row r="360" spans="1:14" ht="20" hidden="1" customHeight="1">
      <c r="A360" s="28">
        <v>45133</v>
      </c>
      <c r="B360" s="10"/>
      <c r="C360" s="10"/>
      <c r="D360" s="10"/>
      <c r="E360" s="10" t="s">
        <v>122</v>
      </c>
      <c r="F360" s="10" t="str">
        <f>IFERROR(VLOOKUP(VENTAS[[#This Row],[Código del producto Vendido]],STOCK[],5,FALSE),"-")</f>
        <v>Bañador una pieza tropical</v>
      </c>
      <c r="G360" s="10">
        <v>1</v>
      </c>
      <c r="H360" s="12">
        <v>25</v>
      </c>
      <c r="I360" s="12">
        <f>VENTAS[[#This Row],[Cantidad]]*VENTAS[[#This Row],[Precio Venta]]</f>
        <v>25</v>
      </c>
      <c r="J360" s="12">
        <f>IF(VENTAS[[#This Row],[Nombre del Gestor]]&gt;1,VENTAS[[#This Row],[Total]]*10%,0)</f>
        <v>0</v>
      </c>
      <c r="K360" s="12">
        <f>IFERROR(VLOOKUP(VENTAS[[#This Row],[Código del producto Vendido]],STOCK[],16,FALSE)*VENTAS[[#This Row],[Cantidad]]+VLOOKUP(VENTAS[[#This Row],[Código del producto Vendido]],STOCK[],19,FALSE)*VENTAS[[#This Row],[Cantidad]],VENTAS[[#This Row],[Total]])</f>
        <v>14.5111111111111</v>
      </c>
      <c r="L360" s="12">
        <f>VENTAS[[#This Row],[Total]]-VENTAS[[#This Row],[Comisión 10%]]-VENTAS[[#This Row],[Costo SIN Comision]]</f>
        <v>10.4888888888889</v>
      </c>
      <c r="M360" s="12"/>
      <c r="N360" s="16"/>
    </row>
    <row r="361" spans="1:14" ht="20" hidden="1" customHeight="1">
      <c r="A361" s="28">
        <v>45133</v>
      </c>
      <c r="B361" s="10"/>
      <c r="C361" s="10"/>
      <c r="D361" s="10"/>
      <c r="E361" s="10" t="s">
        <v>304</v>
      </c>
      <c r="F361" s="10" t="str">
        <f>IFERROR(VLOOKUP(VENTAS[[#This Row],[Código del producto Vendido]],STOCK[],5,FALSE),"-")</f>
        <v>Jumpsuit palazzo de tie dye</v>
      </c>
      <c r="G361" s="10">
        <v>1</v>
      </c>
      <c r="H361" s="12">
        <v>30</v>
      </c>
      <c r="I361" s="12">
        <f>VENTAS[[#This Row],[Cantidad]]*VENTAS[[#This Row],[Precio Venta]]</f>
        <v>30</v>
      </c>
      <c r="J361" s="12">
        <f>IF(VENTAS[[#This Row],[Nombre del Gestor]]&gt;1,VENTAS[[#This Row],[Total]]*10%,0)</f>
        <v>0</v>
      </c>
      <c r="K361" s="12">
        <f>IFERROR(VLOOKUP(VENTAS[[#This Row],[Código del producto Vendido]],STOCK[],16,FALSE)*VENTAS[[#This Row],[Cantidad]]+VLOOKUP(VENTAS[[#This Row],[Código del producto Vendido]],STOCK[],19,FALSE)*VENTAS[[#This Row],[Cantidad]],VENTAS[[#This Row],[Total]])</f>
        <v>16.3333333333333</v>
      </c>
      <c r="L361" s="12">
        <f>VENTAS[[#This Row],[Total]]-VENTAS[[#This Row],[Comisión 10%]]-VENTAS[[#This Row],[Costo SIN Comision]]</f>
        <v>13.6666666666667</v>
      </c>
      <c r="M361" s="12"/>
      <c r="N361" s="16"/>
    </row>
    <row r="362" spans="1:14" ht="20" hidden="1" customHeight="1">
      <c r="A362" s="28">
        <v>45133</v>
      </c>
      <c r="B362" s="10"/>
      <c r="C362" s="10"/>
      <c r="D362" s="10"/>
      <c r="E362" s="10" t="s">
        <v>1267</v>
      </c>
      <c r="F362" s="10" t="str">
        <f>IFERROR(VLOOKUP(VENTAS[[#This Row],[Código del producto Vendido]],STOCK[],5,FALSE),"-")</f>
        <v>Top asimétrico blanco</v>
      </c>
      <c r="G362" s="10">
        <v>1</v>
      </c>
      <c r="H362" s="12">
        <v>12</v>
      </c>
      <c r="I362" s="12">
        <f>VENTAS[[#This Row],[Cantidad]]*VENTAS[[#This Row],[Precio Venta]]</f>
        <v>12</v>
      </c>
      <c r="J362" s="12">
        <f>IF(VENTAS[[#This Row],[Nombre del Gestor]]&gt;1,VENTAS[[#This Row],[Total]]*10%,0)</f>
        <v>0</v>
      </c>
      <c r="K362" s="12">
        <f>IFERROR(VLOOKUP(VENTAS[[#This Row],[Código del producto Vendido]],STOCK[],16,FALSE)*VENTAS[[#This Row],[Cantidad]]+VLOOKUP(VENTAS[[#This Row],[Código del producto Vendido]],STOCK[],19,FALSE)*VENTAS[[#This Row],[Cantidad]],VENTAS[[#This Row],[Total]])</f>
        <v>5.77</v>
      </c>
      <c r="L362" s="12">
        <f>VENTAS[[#This Row],[Total]]-VENTAS[[#This Row],[Comisión 10%]]-VENTAS[[#This Row],[Costo SIN Comision]]</f>
        <v>6.23</v>
      </c>
      <c r="M362" s="12"/>
      <c r="N362" s="16"/>
    </row>
    <row r="363" spans="1:14" ht="20" hidden="1" customHeight="1">
      <c r="A363" s="30">
        <v>45133</v>
      </c>
      <c r="B363" s="10"/>
      <c r="C363" s="10"/>
      <c r="D363" s="10"/>
      <c r="E363" s="10" t="s">
        <v>1243</v>
      </c>
      <c r="F363" s="10" t="str">
        <f>IFERROR(VLOOKUP(VENTAS[[#This Row],[Código del producto Vendido]],STOCK[],5,FALSE),"-")</f>
        <v>Cinturón de hebilla dorada</v>
      </c>
      <c r="G363" s="10">
        <v>1</v>
      </c>
      <c r="H363" s="12">
        <v>12</v>
      </c>
      <c r="I363" s="12">
        <f>VENTAS[[#This Row],[Cantidad]]*VENTAS[[#This Row],[Precio Venta]]</f>
        <v>12</v>
      </c>
      <c r="J363" s="12">
        <f>IF(VENTAS[[#This Row],[Nombre del Gestor]]&gt;1,VENTAS[[#This Row],[Total]]*10%,0)</f>
        <v>0</v>
      </c>
      <c r="K363" s="12">
        <f>IFERROR(VLOOKUP(VENTAS[[#This Row],[Código del producto Vendido]],STOCK[],16,FALSE)*VENTAS[[#This Row],[Cantidad]]+VLOOKUP(VENTAS[[#This Row],[Código del producto Vendido]],STOCK[],19,FALSE)*VENTAS[[#This Row],[Cantidad]],VENTAS[[#This Row],[Total]])</f>
        <v>4.09</v>
      </c>
      <c r="L363" s="12">
        <f>VENTAS[[#This Row],[Total]]-VENTAS[[#This Row],[Comisión 10%]]-VENTAS[[#This Row],[Costo SIN Comision]]</f>
        <v>7.91</v>
      </c>
      <c r="M363" s="12"/>
      <c r="N363" s="16"/>
    </row>
    <row r="364" spans="1:14" ht="20" hidden="1" customHeight="1">
      <c r="A364" s="28">
        <v>45133</v>
      </c>
      <c r="B364" s="10"/>
      <c r="C364" s="10"/>
      <c r="D364" s="10"/>
      <c r="E364" s="10" t="s">
        <v>1204</v>
      </c>
      <c r="F364" s="10" t="str">
        <f>IFERROR(VLOOKUP(VENTAS[[#This Row],[Código del producto Vendido]],STOCK[],5,FALSE),"-")</f>
        <v>Camisa Blanca</v>
      </c>
      <c r="G364" s="10">
        <v>1</v>
      </c>
      <c r="H364" s="12">
        <v>20</v>
      </c>
      <c r="I364" s="12">
        <f>VENTAS[[#This Row],[Cantidad]]*VENTAS[[#This Row],[Precio Venta]]</f>
        <v>20</v>
      </c>
      <c r="J364" s="12">
        <f>IF(VENTAS[[#This Row],[Nombre del Gestor]]&gt;1,VENTAS[[#This Row],[Total]]*10%,0)</f>
        <v>0</v>
      </c>
      <c r="K364" s="12">
        <f>IFERROR(VLOOKUP(VENTAS[[#This Row],[Código del producto Vendido]],STOCK[],16,FALSE)*VENTAS[[#This Row],[Cantidad]]+VLOOKUP(VENTAS[[#This Row],[Código del producto Vendido]],STOCK[],19,FALSE)*VENTAS[[#This Row],[Cantidad]],VENTAS[[#This Row],[Total]])</f>
        <v>12.9</v>
      </c>
      <c r="L364" s="12">
        <f>VENTAS[[#This Row],[Total]]-VENTAS[[#This Row],[Comisión 10%]]-VENTAS[[#This Row],[Costo SIN Comision]]</f>
        <v>7.1</v>
      </c>
      <c r="M364" s="12"/>
      <c r="N364" s="16"/>
    </row>
    <row r="365" spans="1:14" ht="20" hidden="1" customHeight="1">
      <c r="A365" s="28">
        <v>45133</v>
      </c>
      <c r="B365" s="10"/>
      <c r="C365" s="10"/>
      <c r="D365" s="10"/>
      <c r="E365" s="10" t="s">
        <v>1163</v>
      </c>
      <c r="F365" s="10" t="str">
        <f>IFERROR(VLOOKUP(VENTAS[[#This Row],[Código del producto Vendido]],STOCK[],5,FALSE),"-")</f>
        <v>Short de mezclilla oscura con doblez</v>
      </c>
      <c r="G365" s="10">
        <v>1</v>
      </c>
      <c r="H365" s="12">
        <v>25</v>
      </c>
      <c r="I365" s="12">
        <f>VENTAS[[#This Row],[Cantidad]]*VENTAS[[#This Row],[Precio Venta]]</f>
        <v>25</v>
      </c>
      <c r="J365" s="12">
        <f>IF(VENTAS[[#This Row],[Nombre del Gestor]]&gt;1,VENTAS[[#This Row],[Total]]*10%,0)</f>
        <v>0</v>
      </c>
      <c r="K365" s="12">
        <f>IFERROR(VLOOKUP(VENTAS[[#This Row],[Código del producto Vendido]],STOCK[],16,FALSE)*VENTAS[[#This Row],[Cantidad]]+VLOOKUP(VENTAS[[#This Row],[Código del producto Vendido]],STOCK[],19,FALSE)*VENTAS[[#This Row],[Cantidad]],VENTAS[[#This Row],[Total]])</f>
        <v>14.29</v>
      </c>
      <c r="L365" s="12">
        <f>VENTAS[[#This Row],[Total]]-VENTAS[[#This Row],[Comisión 10%]]-VENTAS[[#This Row],[Costo SIN Comision]]</f>
        <v>10.71</v>
      </c>
      <c r="M365" s="12"/>
      <c r="N365" s="16"/>
    </row>
    <row r="366" spans="1:14" ht="20" hidden="1" customHeight="1">
      <c r="A366" s="30">
        <v>45133</v>
      </c>
      <c r="B366" s="10"/>
      <c r="C366" s="10"/>
      <c r="D366" s="10"/>
      <c r="E366" s="10" t="s">
        <v>1163</v>
      </c>
      <c r="F366" s="10" t="str">
        <f>IFERROR(VLOOKUP(VENTAS[[#This Row],[Código del producto Vendido]],STOCK[],5,FALSE),"-")</f>
        <v>Short de mezclilla oscura con doblez</v>
      </c>
      <c r="G366" s="10">
        <v>1</v>
      </c>
      <c r="H366" s="12">
        <v>25</v>
      </c>
      <c r="I366" s="12">
        <f>VENTAS[[#This Row],[Cantidad]]*VENTAS[[#This Row],[Precio Venta]]</f>
        <v>25</v>
      </c>
      <c r="J366" s="12">
        <f>IF(VENTAS[[#This Row],[Nombre del Gestor]]&gt;1,VENTAS[[#This Row],[Total]]*10%,0)</f>
        <v>0</v>
      </c>
      <c r="K366" s="12">
        <f>IFERROR(VLOOKUP(VENTAS[[#This Row],[Código del producto Vendido]],STOCK[],16,FALSE)*VENTAS[[#This Row],[Cantidad]]+VLOOKUP(VENTAS[[#This Row],[Código del producto Vendido]],STOCK[],19,FALSE)*VENTAS[[#This Row],[Cantidad]],VENTAS[[#This Row],[Total]])</f>
        <v>14.29</v>
      </c>
      <c r="L366" s="12">
        <f>VENTAS[[#This Row],[Total]]-VENTAS[[#This Row],[Comisión 10%]]-VENTAS[[#This Row],[Costo SIN Comision]]</f>
        <v>10.71</v>
      </c>
      <c r="M366" s="12"/>
      <c r="N366" s="16"/>
    </row>
    <row r="367" spans="1:14" ht="20" hidden="1" customHeight="1">
      <c r="A367" s="28">
        <v>45133</v>
      </c>
      <c r="B367" s="10"/>
      <c r="C367" s="10"/>
      <c r="D367" s="10"/>
      <c r="E367" s="10" t="s">
        <v>1274</v>
      </c>
      <c r="F367" s="10" t="str">
        <f>IFERROR(VLOOKUP(VENTAS[[#This Row],[Código del producto Vendido]],STOCK[],5,FALSE),"-")</f>
        <v>Top de cuello V con encaje</v>
      </c>
      <c r="G367" s="10">
        <v>1</v>
      </c>
      <c r="H367" s="12">
        <v>12</v>
      </c>
      <c r="I367" s="12">
        <f>VENTAS[[#This Row],[Cantidad]]*VENTAS[[#This Row],[Precio Venta]]</f>
        <v>12</v>
      </c>
      <c r="J367" s="12">
        <f>IF(VENTAS[[#This Row],[Nombre del Gestor]]&gt;1,VENTAS[[#This Row],[Total]]*10%,0)</f>
        <v>0</v>
      </c>
      <c r="K367" s="12">
        <f>IFERROR(VLOOKUP(VENTAS[[#This Row],[Código del producto Vendido]],STOCK[],16,FALSE)*VENTAS[[#This Row],[Cantidad]]+VLOOKUP(VENTAS[[#This Row],[Código del producto Vendido]],STOCK[],19,FALSE)*VENTAS[[#This Row],[Cantidad]],VENTAS[[#This Row],[Total]])</f>
        <v>7.97</v>
      </c>
      <c r="L367" s="12">
        <f>VENTAS[[#This Row],[Total]]-VENTAS[[#This Row],[Comisión 10%]]-VENTAS[[#This Row],[Costo SIN Comision]]</f>
        <v>4.03</v>
      </c>
      <c r="M367" s="12"/>
      <c r="N367" s="16"/>
    </row>
    <row r="368" spans="1:14" s="2" customFormat="1" ht="20" hidden="1" customHeight="1">
      <c r="A368" s="31">
        <v>45135</v>
      </c>
      <c r="B368" s="26" t="s">
        <v>4245</v>
      </c>
      <c r="C368" s="26"/>
      <c r="D368" s="26"/>
      <c r="E368" s="35" t="s">
        <v>1233</v>
      </c>
      <c r="F368" s="26" t="str">
        <f>IFERROR(VLOOKUP(VENTAS[[#This Row],[Código del producto Vendido]],STOCK[],5,FALSE),"-")</f>
        <v xml:space="preserve">Short elegante de pierna ancha con doblez </v>
      </c>
      <c r="G368" s="26">
        <v>1</v>
      </c>
      <c r="H368" s="27">
        <v>20</v>
      </c>
      <c r="I368" s="12">
        <f>VENTAS[[#This Row],[Cantidad]]*VENTAS[[#This Row],[Precio Venta]]</f>
        <v>20</v>
      </c>
      <c r="J368" s="12">
        <f>IF(VENTAS[[#This Row],[Nombre del Gestor]]&gt;1,VENTAS[[#This Row],[Total]]*10%,0)</f>
        <v>0</v>
      </c>
      <c r="K368" s="12">
        <f>IFERROR(VLOOKUP(VENTAS[[#This Row],[Código del producto Vendido]],STOCK[],16,FALSE)*VENTAS[[#This Row],[Cantidad]]+VLOOKUP(VENTAS[[#This Row],[Código del producto Vendido]],STOCK[],19,FALSE)*VENTAS[[#This Row],[Cantidad]],VENTAS[[#This Row],[Total]])</f>
        <v>14.37</v>
      </c>
      <c r="L368" s="12">
        <f>VENTAS[[#This Row],[Total]]-VENTAS[[#This Row],[Comisión 10%]]-VENTAS[[#This Row],[Costo SIN Comision]]</f>
        <v>5.6300000000000008</v>
      </c>
      <c r="M368" s="20"/>
      <c r="N368" s="22"/>
    </row>
    <row r="369" spans="1:14" ht="20" hidden="1" customHeight="1">
      <c r="A369" s="30">
        <v>45135</v>
      </c>
      <c r="B369" s="10"/>
      <c r="C369" s="10"/>
      <c r="D369" s="10"/>
      <c r="E369" s="10" t="s">
        <v>614</v>
      </c>
      <c r="F369" s="10" t="str">
        <f>IFERROR(VLOOKUP(VENTAS[[#This Row],[Código del producto Vendido]],STOCK[],5,FALSE),"-")</f>
        <v>Camiseta corta de manga farol</v>
      </c>
      <c r="G369" s="10">
        <v>1</v>
      </c>
      <c r="H369" s="12">
        <v>10</v>
      </c>
      <c r="I369" s="12">
        <f>VENTAS[[#This Row],[Cantidad]]*VENTAS[[#This Row],[Precio Venta]]</f>
        <v>10</v>
      </c>
      <c r="J369" s="12">
        <f>IF(VENTAS[[#This Row],[Nombre del Gestor]]&gt;1,VENTAS[[#This Row],[Total]]*10%,0)</f>
        <v>0</v>
      </c>
      <c r="K369" s="12">
        <f>IFERROR(VLOOKUP(VENTAS[[#This Row],[Código del producto Vendido]],STOCK[],16,FALSE)*VENTAS[[#This Row],[Cantidad]]+VLOOKUP(VENTAS[[#This Row],[Código del producto Vendido]],STOCK[],19,FALSE)*VENTAS[[#This Row],[Cantidad]],VENTAS[[#This Row],[Total]])</f>
        <v>5.7350000000000003</v>
      </c>
      <c r="L369" s="12">
        <f>VENTAS[[#This Row],[Total]]-VENTAS[[#This Row],[Comisión 10%]]-VENTAS[[#This Row],[Costo SIN Comision]]</f>
        <v>4.2649999999999997</v>
      </c>
      <c r="M369" s="12"/>
      <c r="N369" s="16"/>
    </row>
    <row r="370" spans="1:14" ht="20" hidden="1" customHeight="1">
      <c r="A370" s="30">
        <v>45135</v>
      </c>
      <c r="B370" s="10"/>
      <c r="C370" s="10"/>
      <c r="D370" s="10"/>
      <c r="E370" s="10" t="s">
        <v>1208</v>
      </c>
      <c r="F370" s="10" t="str">
        <f>IFERROR(VLOOKUP(VENTAS[[#This Row],[Código del producto Vendido]],STOCK[],5,FALSE),"-")</f>
        <v>Pantaloneta roja</v>
      </c>
      <c r="G370" s="10">
        <v>1</v>
      </c>
      <c r="H370" s="12">
        <v>20</v>
      </c>
      <c r="I370" s="12">
        <f>VENTAS[[#This Row],[Cantidad]]*VENTAS[[#This Row],[Precio Venta]]</f>
        <v>20</v>
      </c>
      <c r="J370" s="12">
        <f>IF(VENTAS[[#This Row],[Nombre del Gestor]]&gt;1,VENTAS[[#This Row],[Total]]*10%,0)</f>
        <v>0</v>
      </c>
      <c r="K370" s="12">
        <f>IFERROR(VLOOKUP(VENTAS[[#This Row],[Código del producto Vendido]],STOCK[],16,FALSE)*VENTAS[[#This Row],[Cantidad]]+VLOOKUP(VENTAS[[#This Row],[Código del producto Vendido]],STOCK[],19,FALSE)*VENTAS[[#This Row],[Cantidad]],VENTAS[[#This Row],[Total]])</f>
        <v>13.36</v>
      </c>
      <c r="L370" s="12">
        <f>VENTAS[[#This Row],[Total]]-VENTAS[[#This Row],[Comisión 10%]]-VENTAS[[#This Row],[Costo SIN Comision]]</f>
        <v>6.6400000000000006</v>
      </c>
      <c r="M370" s="12"/>
      <c r="N370" s="16"/>
    </row>
    <row r="371" spans="1:14" ht="20" hidden="1" customHeight="1">
      <c r="A371" s="30">
        <v>45137</v>
      </c>
      <c r="B371" s="10"/>
      <c r="C371" s="10"/>
      <c r="D371" s="10"/>
      <c r="E371" s="10" t="s">
        <v>721</v>
      </c>
      <c r="F371" s="10" t="str">
        <f>IFERROR(VLOOKUP(VENTAS[[#This Row],[Código del producto Vendido]],STOCK[],5,FALSE),"-")</f>
        <v>Top acanalado sin mangas</v>
      </c>
      <c r="G371" s="10">
        <v>1</v>
      </c>
      <c r="H371" s="12">
        <v>10</v>
      </c>
      <c r="I371" s="12">
        <f>VENTAS[[#This Row],[Cantidad]]*VENTAS[[#This Row],[Precio Venta]]</f>
        <v>10</v>
      </c>
      <c r="J371" s="12">
        <f>IF(VENTAS[[#This Row],[Nombre del Gestor]]&gt;1,VENTAS[[#This Row],[Total]]*10%,0)</f>
        <v>0</v>
      </c>
      <c r="K371" s="12">
        <f>IFERROR(VLOOKUP(VENTAS[[#This Row],[Código del producto Vendido]],STOCK[],16,FALSE)*VENTAS[[#This Row],[Cantidad]]+VLOOKUP(VENTAS[[#This Row],[Código del producto Vendido]],STOCK[],19,FALSE)*VENTAS[[#This Row],[Cantidad]],VENTAS[[#This Row],[Total]])</f>
        <v>5.0222222222222195</v>
      </c>
      <c r="L371" s="12">
        <f>VENTAS[[#This Row],[Total]]-VENTAS[[#This Row],[Comisión 10%]]-VENTAS[[#This Row],[Costo SIN Comision]]</f>
        <v>4.9777777777777805</v>
      </c>
      <c r="M371" s="12"/>
      <c r="N371" s="16"/>
    </row>
    <row r="372" spans="1:14" ht="20" hidden="1" customHeight="1">
      <c r="A372" s="30">
        <v>45137</v>
      </c>
      <c r="B372" s="10"/>
      <c r="C372" s="10"/>
      <c r="D372" s="10"/>
      <c r="E372" s="10" t="s">
        <v>1161</v>
      </c>
      <c r="F372" s="10" t="str">
        <f>IFERROR(VLOOKUP(VENTAS[[#This Row],[Código del producto Vendido]],STOCK[],5,FALSE),"-")</f>
        <v>Pezoneras de silicona</v>
      </c>
      <c r="G372" s="10">
        <v>2</v>
      </c>
      <c r="H372" s="12">
        <v>6</v>
      </c>
      <c r="I372" s="12">
        <f>VENTAS[[#This Row],[Cantidad]]*VENTAS[[#This Row],[Precio Venta]]</f>
        <v>12</v>
      </c>
      <c r="J372" s="12">
        <f>IF(VENTAS[[#This Row],[Nombre del Gestor]]&gt;1,VENTAS[[#This Row],[Total]]*10%,0)</f>
        <v>0</v>
      </c>
      <c r="K372" s="12">
        <f>IFERROR(VLOOKUP(VENTAS[[#This Row],[Código del producto Vendido]],STOCK[],16,FALSE)*VENTAS[[#This Row],[Cantidad]]+VLOOKUP(VENTAS[[#This Row],[Código del producto Vendido]],STOCK[],19,FALSE)*VENTAS[[#This Row],[Cantidad]],VENTAS[[#This Row],[Total]])</f>
        <v>4.0600000000000005</v>
      </c>
      <c r="L372" s="12">
        <f>VENTAS[[#This Row],[Total]]-VENTAS[[#This Row],[Comisión 10%]]-VENTAS[[#This Row],[Costo SIN Comision]]</f>
        <v>7.9399999999999995</v>
      </c>
      <c r="M372" s="12"/>
      <c r="N372" s="16"/>
    </row>
    <row r="373" spans="1:14" ht="20" hidden="1" customHeight="1">
      <c r="A373" s="30">
        <v>45137</v>
      </c>
      <c r="B373" s="10"/>
      <c r="C373" s="10"/>
      <c r="D373" s="10"/>
      <c r="E373" s="10" t="s">
        <v>1182</v>
      </c>
      <c r="F373" s="10" t="str">
        <f>IFERROR(VLOOKUP(VENTAS[[#This Row],[Código del producto Vendido]],STOCK[],5,FALSE),"-")</f>
        <v>Short de mezclilla clara con doblez</v>
      </c>
      <c r="G373" s="10">
        <v>1</v>
      </c>
      <c r="H373" s="12">
        <v>25</v>
      </c>
      <c r="I373" s="12">
        <f>VENTAS[[#This Row],[Cantidad]]*VENTAS[[#This Row],[Precio Venta]]</f>
        <v>25</v>
      </c>
      <c r="J373" s="12">
        <f>IF(VENTAS[[#This Row],[Nombre del Gestor]]&gt;1,VENTAS[[#This Row],[Total]]*10%,0)</f>
        <v>0</v>
      </c>
      <c r="K373" s="12">
        <f>IFERROR(VLOOKUP(VENTAS[[#This Row],[Código del producto Vendido]],STOCK[],16,FALSE)*VENTAS[[#This Row],[Cantidad]]+VLOOKUP(VENTAS[[#This Row],[Código del producto Vendido]],STOCK[],19,FALSE)*VENTAS[[#This Row],[Cantidad]],VENTAS[[#This Row],[Total]])</f>
        <v>14.29</v>
      </c>
      <c r="L373" s="12">
        <f>VENTAS[[#This Row],[Total]]-VENTAS[[#This Row],[Comisión 10%]]-VENTAS[[#This Row],[Costo SIN Comision]]</f>
        <v>10.71</v>
      </c>
      <c r="M373" s="12"/>
      <c r="N373" s="16"/>
    </row>
    <row r="374" spans="1:14" ht="20" hidden="1" customHeight="1">
      <c r="A374" s="30">
        <v>45137</v>
      </c>
      <c r="B374" s="10"/>
      <c r="C374" s="10"/>
      <c r="D374" s="10"/>
      <c r="E374" s="10" t="s">
        <v>1273</v>
      </c>
      <c r="F374" s="10" t="str">
        <f>IFERROR(VLOOKUP(VENTAS[[#This Row],[Código del producto Vendido]],STOCK[],5,FALSE),"-")</f>
        <v>Top blanco cuello V con encaje</v>
      </c>
      <c r="G374" s="10">
        <v>1</v>
      </c>
      <c r="H374" s="12">
        <v>12</v>
      </c>
      <c r="I374" s="12">
        <f>VENTAS[[#This Row],[Cantidad]]*VENTAS[[#This Row],[Precio Venta]]</f>
        <v>12</v>
      </c>
      <c r="J374" s="12">
        <f>IF(VENTAS[[#This Row],[Nombre del Gestor]]&gt;1,VENTAS[[#This Row],[Total]]*10%,0)</f>
        <v>0</v>
      </c>
      <c r="K374" s="12">
        <f>IFERROR(VLOOKUP(VENTAS[[#This Row],[Código del producto Vendido]],STOCK[],16,FALSE)*VENTAS[[#This Row],[Cantidad]]+VLOOKUP(VENTAS[[#This Row],[Código del producto Vendido]],STOCK[],19,FALSE)*VENTAS[[#This Row],[Cantidad]],VENTAS[[#This Row],[Total]])</f>
        <v>7.97</v>
      </c>
      <c r="L374" s="12">
        <f>VENTAS[[#This Row],[Total]]-VENTAS[[#This Row],[Comisión 10%]]-VENTAS[[#This Row],[Costo SIN Comision]]</f>
        <v>4.03</v>
      </c>
      <c r="M374" s="12"/>
      <c r="N374" s="16"/>
    </row>
    <row r="375" spans="1:14" ht="20" hidden="1" customHeight="1">
      <c r="A375" s="30">
        <v>45138</v>
      </c>
      <c r="B375" s="10"/>
      <c r="C375" s="10"/>
      <c r="D375" s="10"/>
      <c r="E375" s="10" t="s">
        <v>921</v>
      </c>
      <c r="F375" s="10" t="str">
        <f>IFERROR(VLOOKUP(VENTAS[[#This Row],[Código del producto Vendido]],STOCK[],5,FALSE),"-")</f>
        <v>Vestido de lunares</v>
      </c>
      <c r="G375" s="10">
        <v>1</v>
      </c>
      <c r="H375" s="12">
        <v>22</v>
      </c>
      <c r="I375" s="12">
        <f>VENTAS[[#This Row],[Cantidad]]*VENTAS[[#This Row],[Precio Venta]]</f>
        <v>22</v>
      </c>
      <c r="J375" s="12">
        <f>IF(VENTAS[[#This Row],[Nombre del Gestor]]&gt;1,VENTAS[[#This Row],[Total]]*10%,0)</f>
        <v>0</v>
      </c>
      <c r="K375" s="12">
        <f>IFERROR(VLOOKUP(VENTAS[[#This Row],[Código del producto Vendido]],STOCK[],16,FALSE)*VENTAS[[#This Row],[Cantidad]]+VLOOKUP(VENTAS[[#This Row],[Código del producto Vendido]],STOCK[],19,FALSE)*VENTAS[[#This Row],[Cantidad]],VENTAS[[#This Row],[Total]])</f>
        <v>13.9113636363636</v>
      </c>
      <c r="L375" s="12">
        <f>VENTAS[[#This Row],[Total]]-VENTAS[[#This Row],[Comisión 10%]]-VENTAS[[#This Row],[Costo SIN Comision]]</f>
        <v>8.0886363636364003</v>
      </c>
      <c r="M375" s="12"/>
      <c r="N375" s="16"/>
    </row>
    <row r="376" spans="1:14" s="3" customFormat="1" ht="20" hidden="1" customHeight="1">
      <c r="A376" s="32"/>
      <c r="B376" s="10"/>
      <c r="C376" s="10"/>
      <c r="D376" s="10"/>
      <c r="E376" s="10" t="s">
        <v>734</v>
      </c>
      <c r="F376" s="10" t="str">
        <f>IFERROR(VLOOKUP(VENTAS[[#This Row],[Código del producto Vendido]],STOCK[],5,FALSE),"-")</f>
        <v>Vestido corto azul real</v>
      </c>
      <c r="G376" s="10">
        <v>1</v>
      </c>
      <c r="H376" s="12">
        <v>19</v>
      </c>
      <c r="I376" s="12">
        <f>VENTAS[[#This Row],[Cantidad]]*VENTAS[[#This Row],[Precio Venta]]</f>
        <v>19</v>
      </c>
      <c r="J376" s="12">
        <f>IF(VENTAS[[#This Row],[Nombre del Gestor]]&gt;1,VENTAS[[#This Row],[Total]]*10%,0)</f>
        <v>0</v>
      </c>
      <c r="K376" s="12">
        <f>IFERROR(VLOOKUP(VENTAS[[#This Row],[Código del producto Vendido]],STOCK[],16,FALSE)*VENTAS[[#This Row],[Cantidad]]+VLOOKUP(VENTAS[[#This Row],[Código del producto Vendido]],STOCK[],19,FALSE)*VENTAS[[#This Row],[Cantidad]],VENTAS[[#This Row],[Total]])</f>
        <v>11.944444444444439</v>
      </c>
      <c r="L376" s="12">
        <f>VENTAS[[#This Row],[Total]]-VENTAS[[#This Row],[Comisión 10%]]-VENTAS[[#This Row],[Costo SIN Comision]]</f>
        <v>7.0555555555555607</v>
      </c>
      <c r="M376" s="36"/>
      <c r="N376" s="37"/>
    </row>
    <row r="377" spans="1:14" s="3" customFormat="1" ht="20" hidden="1" customHeight="1">
      <c r="A377" s="32"/>
      <c r="B377" s="10"/>
      <c r="C377" s="10"/>
      <c r="D377" s="10"/>
      <c r="E377" s="10" t="s">
        <v>737</v>
      </c>
      <c r="F377" s="10" t="str">
        <f>IFERROR(VLOOKUP(VENTAS[[#This Row],[Código del producto Vendido]],STOCK[],5,FALSE),"-")</f>
        <v>Vestido corto azul real</v>
      </c>
      <c r="G377" s="10">
        <v>1</v>
      </c>
      <c r="H377" s="12">
        <v>18</v>
      </c>
      <c r="I377" s="12">
        <f>VENTAS[[#This Row],[Cantidad]]*VENTAS[[#This Row],[Precio Venta]]</f>
        <v>18</v>
      </c>
      <c r="J377" s="12">
        <f>IF(VENTAS[[#This Row],[Nombre del Gestor]]&gt;1,VENTAS[[#This Row],[Total]]*10%,0)</f>
        <v>0</v>
      </c>
      <c r="K377" s="12">
        <f>IFERROR(VLOOKUP(VENTAS[[#This Row],[Código del producto Vendido]],STOCK[],16,FALSE)*VENTAS[[#This Row],[Cantidad]]+VLOOKUP(VENTAS[[#This Row],[Código del producto Vendido]],STOCK[],19,FALSE)*VENTAS[[#This Row],[Cantidad]],VENTAS[[#This Row],[Total]])</f>
        <v>11.944444444444439</v>
      </c>
      <c r="L377" s="12">
        <f>VENTAS[[#This Row],[Total]]-VENTAS[[#This Row],[Comisión 10%]]-VENTAS[[#This Row],[Costo SIN Comision]]</f>
        <v>6.0555555555555607</v>
      </c>
      <c r="M377" s="36"/>
      <c r="N377" s="37"/>
    </row>
    <row r="378" spans="1:14" ht="20" hidden="1" customHeight="1">
      <c r="A378" s="32"/>
      <c r="B378" s="10"/>
      <c r="C378" s="10"/>
      <c r="D378" s="10"/>
      <c r="E378" s="10" t="s">
        <v>728</v>
      </c>
      <c r="F378" s="10" t="str">
        <f>IFERROR(VLOOKUP(VENTAS[[#This Row],[Código del producto Vendido]],STOCK[],5,FALSE),"-")</f>
        <v>Top acanalado sin mangas</v>
      </c>
      <c r="G378" s="10">
        <v>1</v>
      </c>
      <c r="H378" s="12">
        <v>12</v>
      </c>
      <c r="I378" s="12">
        <f>VENTAS[[#This Row],[Cantidad]]*VENTAS[[#This Row],[Precio Venta]]</f>
        <v>12</v>
      </c>
      <c r="J378" s="12">
        <f>IF(VENTAS[[#This Row],[Nombre del Gestor]]&gt;1,VENTAS[[#This Row],[Total]]*10%,0)</f>
        <v>0</v>
      </c>
      <c r="K378" s="12">
        <f>IFERROR(VLOOKUP(VENTAS[[#This Row],[Código del producto Vendido]],STOCK[],16,FALSE)*VENTAS[[#This Row],[Cantidad]]+VLOOKUP(VENTAS[[#This Row],[Código del producto Vendido]],STOCK[],19,FALSE)*VENTAS[[#This Row],[Cantidad]],VENTAS[[#This Row],[Total]])</f>
        <v>5.0222222222222195</v>
      </c>
      <c r="L378" s="12">
        <f>VENTAS[[#This Row],[Total]]-VENTAS[[#This Row],[Comisión 10%]]-VENTAS[[#This Row],[Costo SIN Comision]]</f>
        <v>6.9777777777777805</v>
      </c>
      <c r="M378" s="12"/>
      <c r="N378" s="16"/>
    </row>
    <row r="379" spans="1:14" s="3" customFormat="1" ht="20" hidden="1" customHeight="1">
      <c r="A379" s="30">
        <v>45138</v>
      </c>
      <c r="B379" s="10"/>
      <c r="C379" s="10"/>
      <c r="D379" s="10"/>
      <c r="E379" s="10" t="s">
        <v>1241</v>
      </c>
      <c r="F379" s="10" t="str">
        <f>IFERROR(VLOOKUP(VENTAS[[#This Row],[Código del producto Vendido]],STOCK[],5,FALSE),"-")</f>
        <v>Cinturón negro con hebilla dorada</v>
      </c>
      <c r="G379" s="10">
        <v>1</v>
      </c>
      <c r="H379" s="12">
        <v>18</v>
      </c>
      <c r="I379" s="12">
        <f>VENTAS[[#This Row],[Cantidad]]*VENTAS[[#This Row],[Precio Venta]]</f>
        <v>18</v>
      </c>
      <c r="J379" s="12">
        <f>IF(VENTAS[[#This Row],[Nombre del Gestor]]&gt;1,VENTAS[[#This Row],[Total]]*10%,0)</f>
        <v>0</v>
      </c>
      <c r="K379" s="12">
        <f>IFERROR(VLOOKUP(VENTAS[[#This Row],[Código del producto Vendido]],STOCK[],16,FALSE)*VENTAS[[#This Row],[Cantidad]]+VLOOKUP(VENTAS[[#This Row],[Código del producto Vendido]],STOCK[],19,FALSE)*VENTAS[[#This Row],[Cantidad]],VENTAS[[#This Row],[Total]])</f>
        <v>4.6099999999999994</v>
      </c>
      <c r="L379" s="12">
        <f>VENTAS[[#This Row],[Total]]-VENTAS[[#This Row],[Comisión 10%]]-VENTAS[[#This Row],[Costo SIN Comision]]</f>
        <v>13.39</v>
      </c>
      <c r="M379" s="36"/>
      <c r="N379" s="37"/>
    </row>
    <row r="380" spans="1:14" s="3" customFormat="1" ht="20" hidden="1" customHeight="1">
      <c r="A380" s="33"/>
      <c r="B380" s="10"/>
      <c r="C380" s="10"/>
      <c r="D380" s="10"/>
      <c r="E380" s="10" t="s">
        <v>1033</v>
      </c>
      <c r="F380" s="10" t="str">
        <f>IFERROR(VLOOKUP(VENTAS[[#This Row],[Código del producto Vendido]],STOCK[],5,FALSE),"-")</f>
        <v>Jenas Ajustados Oscuro</v>
      </c>
      <c r="G380" s="10">
        <v>1</v>
      </c>
      <c r="H380" s="12">
        <v>35</v>
      </c>
      <c r="I380" s="12">
        <f>VENTAS[[#This Row],[Cantidad]]*VENTAS[[#This Row],[Precio Venta]]</f>
        <v>35</v>
      </c>
      <c r="J380" s="12">
        <f>IF(VENTAS[[#This Row],[Nombre del Gestor]]&gt;1,VENTAS[[#This Row],[Total]]*10%,0)</f>
        <v>0</v>
      </c>
      <c r="K380" s="12">
        <f>IFERROR(VLOOKUP(VENTAS[[#This Row],[Código del producto Vendido]],STOCK[],16,FALSE)*VENTAS[[#This Row],[Cantidad]]+VLOOKUP(VENTAS[[#This Row],[Código del producto Vendido]],STOCK[],19,FALSE)*VENTAS[[#This Row],[Cantidad]],VENTAS[[#This Row],[Total]])</f>
        <v>24.681818181818201</v>
      </c>
      <c r="L380" s="12">
        <f>VENTAS[[#This Row],[Total]]-VENTAS[[#This Row],[Comisión 10%]]-VENTAS[[#This Row],[Costo SIN Comision]]</f>
        <v>10.318181818181799</v>
      </c>
      <c r="M380" s="36"/>
      <c r="N380" s="37"/>
    </row>
    <row r="381" spans="1:14" ht="20" hidden="1" customHeight="1">
      <c r="A381" s="33"/>
      <c r="B381" s="10"/>
      <c r="C381" s="10"/>
      <c r="D381" s="10"/>
      <c r="E381" s="10" t="s">
        <v>936</v>
      </c>
      <c r="F381" s="10" t="str">
        <f>IFERROR(VLOOKUP(VENTAS[[#This Row],[Código del producto Vendido]],STOCK[],5,FALSE),"-")</f>
        <v>Bañador con zíper de pierna alta</v>
      </c>
      <c r="G381" s="10">
        <v>1</v>
      </c>
      <c r="H381" s="12">
        <v>28</v>
      </c>
      <c r="I381" s="12">
        <f>VENTAS[[#This Row],[Cantidad]]*VENTAS[[#This Row],[Precio Venta]]</f>
        <v>28</v>
      </c>
      <c r="J381" s="12">
        <f>IF(VENTAS[[#This Row],[Nombre del Gestor]]&gt;1,VENTAS[[#This Row],[Total]]*10%,0)</f>
        <v>0</v>
      </c>
      <c r="K381" s="12">
        <f>IFERROR(VLOOKUP(VENTAS[[#This Row],[Código del producto Vendido]],STOCK[],16,FALSE)*VENTAS[[#This Row],[Cantidad]]+VLOOKUP(VENTAS[[#This Row],[Código del producto Vendido]],STOCK[],19,FALSE)*VENTAS[[#This Row],[Cantidad]],VENTAS[[#This Row],[Total]])</f>
        <v>14.02318181818182</v>
      </c>
      <c r="L381" s="12">
        <f>VENTAS[[#This Row],[Total]]-VENTAS[[#This Row],[Comisión 10%]]-VENTAS[[#This Row],[Costo SIN Comision]]</f>
        <v>13.97681818181818</v>
      </c>
      <c r="M381" s="12"/>
      <c r="N381" s="16"/>
    </row>
    <row r="382" spans="1:14" ht="20" hidden="1" customHeight="1">
      <c r="A382" s="33"/>
      <c r="B382" s="10"/>
      <c r="C382" s="10"/>
      <c r="D382" s="10"/>
      <c r="E382" s="10" t="s">
        <v>912</v>
      </c>
      <c r="F382" s="10" t="str">
        <f>IFERROR(VLOOKUP(VENTAS[[#This Row],[Código del producto Vendido]],STOCK[],5,FALSE),"-")</f>
        <v>Bañador de pierna alta</v>
      </c>
      <c r="G382" s="10">
        <v>1</v>
      </c>
      <c r="H382" s="12">
        <v>28</v>
      </c>
      <c r="I382" s="12">
        <f>VENTAS[[#This Row],[Cantidad]]*VENTAS[[#This Row],[Precio Venta]]</f>
        <v>28</v>
      </c>
      <c r="J382" s="12">
        <f>IF(VENTAS[[#This Row],[Nombre del Gestor]]&gt;1,VENTAS[[#This Row],[Total]]*10%,0)</f>
        <v>0</v>
      </c>
      <c r="K382" s="12">
        <f>IFERROR(VLOOKUP(VENTAS[[#This Row],[Código del producto Vendido]],STOCK[],16,FALSE)*VENTAS[[#This Row],[Cantidad]]+VLOOKUP(VENTAS[[#This Row],[Código del producto Vendido]],STOCK[],19,FALSE)*VENTAS[[#This Row],[Cantidad]],VENTAS[[#This Row],[Total]])</f>
        <v>15.893181818181819</v>
      </c>
      <c r="L382" s="12">
        <f>VENTAS[[#This Row],[Total]]-VENTAS[[#This Row],[Comisión 10%]]-VENTAS[[#This Row],[Costo SIN Comision]]</f>
        <v>12.106818181818181</v>
      </c>
      <c r="M382" s="12"/>
      <c r="N382" s="16"/>
    </row>
    <row r="383" spans="1:14" ht="20" hidden="1" customHeight="1">
      <c r="A383" s="33"/>
      <c r="B383" s="10"/>
      <c r="C383" s="10"/>
      <c r="D383" s="10"/>
      <c r="E383" s="10" t="s">
        <v>906</v>
      </c>
      <c r="F383" s="10" t="str">
        <f>IFERROR(VLOOKUP(VENTAS[[#This Row],[Código del producto Vendido]],STOCK[],5,FALSE),"-")</f>
        <v>Bikini Floral</v>
      </c>
      <c r="G383" s="10">
        <v>1</v>
      </c>
      <c r="H383" s="12">
        <v>25</v>
      </c>
      <c r="I383" s="12">
        <f>VENTAS[[#This Row],[Cantidad]]*VENTAS[[#This Row],[Precio Venta]]</f>
        <v>25</v>
      </c>
      <c r="J383" s="12">
        <f>IF(VENTAS[[#This Row],[Nombre del Gestor]]&gt;1,VENTAS[[#This Row],[Total]]*10%,0)</f>
        <v>0</v>
      </c>
      <c r="K383" s="12">
        <f>IFERROR(VLOOKUP(VENTAS[[#This Row],[Código del producto Vendido]],STOCK[],16,FALSE)*VENTAS[[#This Row],[Cantidad]]+VLOOKUP(VENTAS[[#This Row],[Código del producto Vendido]],STOCK[],19,FALSE)*VENTAS[[#This Row],[Cantidad]],VENTAS[[#This Row],[Total]])</f>
        <v>17.5127272727273</v>
      </c>
      <c r="L383" s="12">
        <f>VENTAS[[#This Row],[Total]]-VENTAS[[#This Row],[Comisión 10%]]-VENTAS[[#This Row],[Costo SIN Comision]]</f>
        <v>7.4872727272726998</v>
      </c>
      <c r="M383" s="12"/>
      <c r="N383" s="16"/>
    </row>
    <row r="384" spans="1:14" ht="20" hidden="1" customHeight="1">
      <c r="A384" s="33"/>
      <c r="B384" s="10"/>
      <c r="C384" s="10"/>
      <c r="D384" s="10"/>
      <c r="E384" s="10" t="s">
        <v>882</v>
      </c>
      <c r="F384" s="10" t="str">
        <f>IFERROR(VLOOKUP(VENTAS[[#This Row],[Código del producto Vendido]],STOCK[],5,FALSE),"-")</f>
        <v>Bragas sin costuras</v>
      </c>
      <c r="G384" s="10">
        <v>3</v>
      </c>
      <c r="H384" s="12">
        <v>3</v>
      </c>
      <c r="I384" s="12">
        <f>VENTAS[[#This Row],[Cantidad]]*VENTAS[[#This Row],[Precio Venta]]</f>
        <v>9</v>
      </c>
      <c r="J384" s="12">
        <f>IF(VENTAS[[#This Row],[Nombre del Gestor]]&gt;1,VENTAS[[#This Row],[Total]]*10%,0)</f>
        <v>0</v>
      </c>
      <c r="K384" s="12">
        <f>IFERROR(VLOOKUP(VENTAS[[#This Row],[Código del producto Vendido]],STOCK[],16,FALSE)*VENTAS[[#This Row],[Cantidad]]+VLOOKUP(VENTAS[[#This Row],[Código del producto Vendido]],STOCK[],19,FALSE)*VENTAS[[#This Row],[Cantidad]],VENTAS[[#This Row],[Total]])</f>
        <v>5.9833333333333201</v>
      </c>
      <c r="L384" s="12">
        <f>VENTAS[[#This Row],[Total]]-VENTAS[[#This Row],[Comisión 10%]]-VENTAS[[#This Row],[Costo SIN Comision]]</f>
        <v>3.0166666666666799</v>
      </c>
      <c r="M384" s="12"/>
      <c r="N384" s="16"/>
    </row>
    <row r="385" spans="1:14" ht="20" hidden="1" customHeight="1">
      <c r="A385" s="33"/>
      <c r="B385" s="10"/>
      <c r="C385" s="10"/>
      <c r="D385" s="10"/>
      <c r="E385" s="10" t="s">
        <v>794</v>
      </c>
      <c r="F385" s="10" t="str">
        <f>IFERROR(VLOOKUP(VENTAS[[#This Row],[Código del producto Vendido]],STOCK[],5,FALSE),"-")</f>
        <v>Bañador atado a los lados</v>
      </c>
      <c r="G385" s="10">
        <v>1</v>
      </c>
      <c r="H385" s="12">
        <v>19</v>
      </c>
      <c r="I385" s="12">
        <f>VENTAS[[#This Row],[Cantidad]]*VENTAS[[#This Row],[Precio Venta]]</f>
        <v>19</v>
      </c>
      <c r="J385" s="12">
        <f>IF(VENTAS[[#This Row],[Nombre del Gestor]]&gt;1,VENTAS[[#This Row],[Total]]*10%,0)</f>
        <v>0</v>
      </c>
      <c r="K385" s="12">
        <f>IFERROR(VLOOKUP(VENTAS[[#This Row],[Código del producto Vendido]],STOCK[],16,FALSE)*VENTAS[[#This Row],[Cantidad]]+VLOOKUP(VENTAS[[#This Row],[Código del producto Vendido]],STOCK[],19,FALSE)*VENTAS[[#This Row],[Cantidad]],VENTAS[[#This Row],[Total]])</f>
        <v>12.8333333333333</v>
      </c>
      <c r="L385" s="12">
        <f>VENTAS[[#This Row],[Total]]-VENTAS[[#This Row],[Comisión 10%]]-VENTAS[[#This Row],[Costo SIN Comision]]</f>
        <v>6.1666666666666998</v>
      </c>
      <c r="M385" s="12"/>
      <c r="N385" s="16"/>
    </row>
    <row r="386" spans="1:14" ht="20" hidden="1" customHeight="1">
      <c r="A386" s="38">
        <v>45138</v>
      </c>
      <c r="B386" s="10"/>
      <c r="C386" s="10"/>
      <c r="D386" s="10"/>
      <c r="E386" s="10" t="s">
        <v>642</v>
      </c>
      <c r="F386" s="10" t="str">
        <f>IFERROR(VLOOKUP(VENTAS[[#This Row],[Código del producto Vendido]],STOCK[],5,FALSE),"-")</f>
        <v>Vestido con estampado floral</v>
      </c>
      <c r="G386" s="10">
        <v>1</v>
      </c>
      <c r="H386" s="12">
        <v>15</v>
      </c>
      <c r="I386" s="12">
        <f>VENTAS[[#This Row],[Cantidad]]*VENTAS[[#This Row],[Precio Venta]]</f>
        <v>15</v>
      </c>
      <c r="J386" s="12">
        <f>IF(VENTAS[[#This Row],[Nombre del Gestor]]&gt;1,VENTAS[[#This Row],[Total]]*10%,0)</f>
        <v>0</v>
      </c>
      <c r="K386" s="12">
        <f>IFERROR(VLOOKUP(VENTAS[[#This Row],[Código del producto Vendido]],STOCK[],16,FALSE)*VENTAS[[#This Row],[Cantidad]]+VLOOKUP(VENTAS[[#This Row],[Código del producto Vendido]],STOCK[],19,FALSE)*VENTAS[[#This Row],[Cantidad]],VENTAS[[#This Row],[Total]])</f>
        <v>10.72222222222222</v>
      </c>
      <c r="L386" s="12">
        <f>VENTAS[[#This Row],[Total]]-VENTAS[[#This Row],[Comisión 10%]]-VENTAS[[#This Row],[Costo SIN Comision]]</f>
        <v>4.2777777777777803</v>
      </c>
      <c r="M386" s="12"/>
      <c r="N386" s="16"/>
    </row>
    <row r="387" spans="1:14" ht="20" hidden="1" customHeight="1">
      <c r="A387" s="39">
        <v>45138</v>
      </c>
      <c r="B387" s="10"/>
      <c r="C387" s="10"/>
      <c r="D387" s="10"/>
      <c r="E387" s="10" t="s">
        <v>619</v>
      </c>
      <c r="F387" s="10" t="str">
        <f>IFERROR(VLOOKUP(VENTAS[[#This Row],[Código del producto Vendido]],STOCK[],5,FALSE),"-")</f>
        <v xml:space="preserve">Vestido pecho con fruncido </v>
      </c>
      <c r="G387" s="10">
        <v>1</v>
      </c>
      <c r="H387" s="12">
        <v>15</v>
      </c>
      <c r="I387" s="12">
        <f>VENTAS[[#This Row],[Cantidad]]*VENTAS[[#This Row],[Precio Venta]]</f>
        <v>15</v>
      </c>
      <c r="J387" s="12">
        <f>IF(VENTAS[[#This Row],[Nombre del Gestor]]&gt;1,VENTAS[[#This Row],[Total]]*10%,0)</f>
        <v>0</v>
      </c>
      <c r="K387" s="12">
        <f>IFERROR(VLOOKUP(VENTAS[[#This Row],[Código del producto Vendido]],STOCK[],16,FALSE)*VENTAS[[#This Row],[Cantidad]]+VLOOKUP(VENTAS[[#This Row],[Código del producto Vendido]],STOCK[],19,FALSE)*VENTAS[[#This Row],[Cantidad]],VENTAS[[#This Row],[Total]])</f>
        <v>10.72222222222222</v>
      </c>
      <c r="L387" s="12">
        <f>VENTAS[[#This Row],[Total]]-VENTAS[[#This Row],[Comisión 10%]]-VENTAS[[#This Row],[Costo SIN Comision]]</f>
        <v>4.2777777777777803</v>
      </c>
      <c r="M387" s="12"/>
      <c r="N387" s="16"/>
    </row>
    <row r="388" spans="1:14" ht="20" hidden="1" customHeight="1">
      <c r="A388" s="33"/>
      <c r="B388" s="10"/>
      <c r="C388" s="10"/>
      <c r="D388" s="10"/>
      <c r="E388" s="10" t="s">
        <v>463</v>
      </c>
      <c r="F388" s="10" t="str">
        <f>IFERROR(VLOOKUP(VENTAS[[#This Row],[Código del producto Vendido]],STOCK[],5,FALSE),"-")</f>
        <v>Vestido cruzado de lunares</v>
      </c>
      <c r="G388" s="10">
        <v>1</v>
      </c>
      <c r="H388" s="12">
        <v>15</v>
      </c>
      <c r="I388" s="12">
        <f>VENTAS[[#This Row],[Cantidad]]*VENTAS[[#This Row],[Precio Venta]]</f>
        <v>15</v>
      </c>
      <c r="J388" s="12">
        <f>IF(VENTAS[[#This Row],[Nombre del Gestor]]&gt;1,VENTAS[[#This Row],[Total]]*10%,0)</f>
        <v>0</v>
      </c>
      <c r="K388" s="12">
        <f>IFERROR(VLOOKUP(VENTAS[[#This Row],[Código del producto Vendido]],STOCK[],16,FALSE)*VENTAS[[#This Row],[Cantidad]]+VLOOKUP(VENTAS[[#This Row],[Código del producto Vendido]],STOCK[],19,FALSE)*VENTAS[[#This Row],[Cantidad]],VENTAS[[#This Row],[Total]])</f>
        <v>11.19333333333333</v>
      </c>
      <c r="L388" s="12">
        <f>VENTAS[[#This Row],[Total]]-VENTAS[[#This Row],[Comisión 10%]]-VENTAS[[#This Row],[Costo SIN Comision]]</f>
        <v>3.8066666666666702</v>
      </c>
      <c r="M388" s="12"/>
      <c r="N388" s="16"/>
    </row>
    <row r="389" spans="1:14" ht="20" hidden="1" customHeight="1">
      <c r="A389" s="33"/>
      <c r="B389" s="10"/>
      <c r="C389" s="10"/>
      <c r="D389" s="10"/>
      <c r="E389" s="10" t="s">
        <v>454</v>
      </c>
      <c r="F389" s="10" t="str">
        <f>IFERROR(VLOOKUP(VENTAS[[#This Row],[Código del producto Vendido]],STOCK[],5,FALSE),"-")</f>
        <v>Bañador bikini de manga raglán con cordón floral</v>
      </c>
      <c r="G389" s="10">
        <v>1</v>
      </c>
      <c r="H389" s="12">
        <v>25</v>
      </c>
      <c r="I389" s="12">
        <f>VENTAS[[#This Row],[Cantidad]]*VENTAS[[#This Row],[Precio Venta]]</f>
        <v>25</v>
      </c>
      <c r="J389" s="12">
        <f>IF(VENTAS[[#This Row],[Nombre del Gestor]]&gt;1,VENTAS[[#This Row],[Total]]*10%,0)</f>
        <v>0</v>
      </c>
      <c r="K389" s="12">
        <f>IFERROR(VLOOKUP(VENTAS[[#This Row],[Código del producto Vendido]],STOCK[],16,FALSE)*VENTAS[[#This Row],[Cantidad]]+VLOOKUP(VENTAS[[#This Row],[Código del producto Vendido]],STOCK[],19,FALSE)*VENTAS[[#This Row],[Cantidad]],VENTAS[[#This Row],[Total]])</f>
        <v>19.794444444444402</v>
      </c>
      <c r="L389" s="12">
        <f>VENTAS[[#This Row],[Total]]-VENTAS[[#This Row],[Comisión 10%]]-VENTAS[[#This Row],[Costo SIN Comision]]</f>
        <v>5.2055555555555983</v>
      </c>
      <c r="M389" s="12"/>
      <c r="N389" s="16"/>
    </row>
    <row r="390" spans="1:14" ht="20" hidden="1" customHeight="1">
      <c r="A390" s="40"/>
      <c r="B390" s="10"/>
      <c r="C390" s="10"/>
      <c r="D390" s="10"/>
      <c r="E390" s="10" t="s">
        <v>401</v>
      </c>
      <c r="F390" s="10" t="str">
        <f>IFERROR(VLOOKUP(VENTAS[[#This Row],[Código del producto Vendido]],STOCK[],5,FALSE),"-")</f>
        <v xml:space="preserve">Vestido Volante rígido Floral </v>
      </c>
      <c r="G390" s="10">
        <v>1</v>
      </c>
      <c r="H390" s="12">
        <v>25</v>
      </c>
      <c r="I390" s="12">
        <f>VENTAS[[#This Row],[Cantidad]]*VENTAS[[#This Row],[Precio Venta]]</f>
        <v>25</v>
      </c>
      <c r="J390" s="12">
        <f>IF(VENTAS[[#This Row],[Nombre del Gestor]]&gt;1,VENTAS[[#This Row],[Total]]*10%,0)</f>
        <v>0</v>
      </c>
      <c r="K390" s="12">
        <f>IFERROR(VLOOKUP(VENTAS[[#This Row],[Código del producto Vendido]],STOCK[],16,FALSE)*VENTAS[[#This Row],[Cantidad]]+VLOOKUP(VENTAS[[#This Row],[Código del producto Vendido]],STOCK[],19,FALSE)*VENTAS[[#This Row],[Cantidad]],VENTAS[[#This Row],[Total]])</f>
        <v>19.21</v>
      </c>
      <c r="L390" s="12">
        <f>VENTAS[[#This Row],[Total]]-VENTAS[[#This Row],[Comisión 10%]]-VENTAS[[#This Row],[Costo SIN Comision]]</f>
        <v>5.7899999999999991</v>
      </c>
      <c r="M390" s="12"/>
      <c r="N390" s="16"/>
    </row>
    <row r="391" spans="1:14" ht="20" hidden="1" customHeight="1">
      <c r="A391" s="39">
        <v>45138</v>
      </c>
      <c r="B391" s="10"/>
      <c r="C391" s="10"/>
      <c r="D391" s="10"/>
      <c r="E391" s="10" t="s">
        <v>401</v>
      </c>
      <c r="F391" s="10" t="str">
        <f>IFERROR(VLOOKUP(VENTAS[[#This Row],[Código del producto Vendido]],STOCK[],5,FALSE),"-")</f>
        <v xml:space="preserve">Vestido Volante rígido Floral </v>
      </c>
      <c r="G391" s="10">
        <v>1</v>
      </c>
      <c r="H391" s="12">
        <v>25</v>
      </c>
      <c r="I391" s="12">
        <f>VENTAS[[#This Row],[Cantidad]]*VENTAS[[#This Row],[Precio Venta]]</f>
        <v>25</v>
      </c>
      <c r="J391" s="12">
        <f>IF(VENTAS[[#This Row],[Nombre del Gestor]]&gt;1,VENTAS[[#This Row],[Total]]*10%,0)</f>
        <v>0</v>
      </c>
      <c r="K391" s="12">
        <f>IFERROR(VLOOKUP(VENTAS[[#This Row],[Código del producto Vendido]],STOCK[],16,FALSE)*VENTAS[[#This Row],[Cantidad]]+VLOOKUP(VENTAS[[#This Row],[Código del producto Vendido]],STOCK[],19,FALSE)*VENTAS[[#This Row],[Cantidad]],VENTAS[[#This Row],[Total]])</f>
        <v>19.21</v>
      </c>
      <c r="L391" s="12">
        <f>VENTAS[[#This Row],[Total]]-VENTAS[[#This Row],[Comisión 10%]]-VENTAS[[#This Row],[Costo SIN Comision]]</f>
        <v>5.7899999999999991</v>
      </c>
      <c r="M391" s="12"/>
      <c r="N391" s="16"/>
    </row>
    <row r="392" spans="1:14" ht="20" hidden="1" customHeight="1">
      <c r="A392" s="38">
        <v>45138</v>
      </c>
      <c r="B392" s="10"/>
      <c r="C392" s="10"/>
      <c r="D392" s="10"/>
      <c r="E392" s="10" t="s">
        <v>79</v>
      </c>
      <c r="F392" s="10" t="str">
        <f>IFERROR(VLOOKUP(VENTAS[[#This Row],[Código del producto Vendido]],STOCK[],5,FALSE),"-")</f>
        <v>Bikini con cordón lateral</v>
      </c>
      <c r="G392" s="10">
        <v>1</v>
      </c>
      <c r="H392" s="12">
        <v>22</v>
      </c>
      <c r="I392" s="12">
        <f>VENTAS[[#This Row],[Cantidad]]*VENTAS[[#This Row],[Precio Venta]]</f>
        <v>22</v>
      </c>
      <c r="J392" s="12">
        <f>IF(VENTAS[[#This Row],[Nombre del Gestor]]&gt;1,VENTAS[[#This Row],[Total]]*10%,0)</f>
        <v>0</v>
      </c>
      <c r="K392" s="12">
        <f>IFERROR(VLOOKUP(VENTAS[[#This Row],[Código del producto Vendido]],STOCK[],16,FALSE)*VENTAS[[#This Row],[Cantidad]]+VLOOKUP(VENTAS[[#This Row],[Código del producto Vendido]],STOCK[],19,FALSE)*VENTAS[[#This Row],[Cantidad]],VENTAS[[#This Row],[Total]])</f>
        <v>14.75</v>
      </c>
      <c r="L392" s="12">
        <f>VENTAS[[#This Row],[Total]]-VENTAS[[#This Row],[Comisión 10%]]-VENTAS[[#This Row],[Costo SIN Comision]]</f>
        <v>7.25</v>
      </c>
      <c r="M392" s="12"/>
      <c r="N392" s="16"/>
    </row>
    <row r="393" spans="1:14" ht="20" hidden="1" customHeight="1">
      <c r="A393" s="39">
        <v>45138</v>
      </c>
      <c r="B393" s="10"/>
      <c r="C393" s="10"/>
      <c r="D393" s="10"/>
      <c r="E393" s="10" t="s">
        <v>616</v>
      </c>
      <c r="F393" s="10" t="str">
        <f>IFERROR(VLOOKUP(VENTAS[[#This Row],[Código del producto Vendido]],STOCK[],5,FALSE),"-")</f>
        <v>Camiseta corta de manga farol</v>
      </c>
      <c r="G393" s="10">
        <v>1</v>
      </c>
      <c r="H393" s="12">
        <v>10</v>
      </c>
      <c r="I393" s="12">
        <f>VENTAS[[#This Row],[Cantidad]]*VENTAS[[#This Row],[Precio Venta]]</f>
        <v>10</v>
      </c>
      <c r="J393" s="12">
        <f>IF(VENTAS[[#This Row],[Nombre del Gestor]]&gt;1,VENTAS[[#This Row],[Total]]*10%,0)</f>
        <v>0</v>
      </c>
      <c r="K393" s="12">
        <f>IFERROR(VLOOKUP(VENTAS[[#This Row],[Código del producto Vendido]],STOCK[],16,FALSE)*VENTAS[[#This Row],[Cantidad]]+VLOOKUP(VENTAS[[#This Row],[Código del producto Vendido]],STOCK[],19,FALSE)*VENTAS[[#This Row],[Cantidad]],VENTAS[[#This Row],[Total]])</f>
        <v>5.7350000000000003</v>
      </c>
      <c r="L393" s="12">
        <f>VENTAS[[#This Row],[Total]]-VENTAS[[#This Row],[Comisión 10%]]-VENTAS[[#This Row],[Costo SIN Comision]]</f>
        <v>4.2649999999999997</v>
      </c>
      <c r="M393" s="12"/>
      <c r="N393" s="16"/>
    </row>
    <row r="394" spans="1:14" ht="20" hidden="1" customHeight="1">
      <c r="A394" s="41"/>
      <c r="B394" s="10"/>
      <c r="C394" s="10"/>
      <c r="D394" s="10"/>
      <c r="E394" s="10" t="s">
        <v>510</v>
      </c>
      <c r="F394" s="10" t="str">
        <f>IFERROR(VLOOKUP(VENTAS[[#This Row],[Código del producto Vendido]],STOCK[],5,FALSE),"-")</f>
        <v>Set 3 piezas bikini</v>
      </c>
      <c r="G394" s="10">
        <v>1</v>
      </c>
      <c r="H394" s="12">
        <v>24</v>
      </c>
      <c r="I394" s="12">
        <f>VENTAS[[#This Row],[Cantidad]]*VENTAS[[#This Row],[Precio Venta]]</f>
        <v>24</v>
      </c>
      <c r="J394" s="12">
        <f>IF(VENTAS[[#This Row],[Nombre del Gestor]]&gt;1,VENTAS[[#This Row],[Total]]*10%,0)</f>
        <v>0</v>
      </c>
      <c r="K394" s="12">
        <f>IFERROR(VLOOKUP(VENTAS[[#This Row],[Código del producto Vendido]],STOCK[],16,FALSE)*VENTAS[[#This Row],[Cantidad]]+VLOOKUP(VENTAS[[#This Row],[Código del producto Vendido]],STOCK[],19,FALSE)*VENTAS[[#This Row],[Cantidad]],VENTAS[[#This Row],[Total]])</f>
        <v>16.044444444444402</v>
      </c>
      <c r="L394" s="12">
        <f>VENTAS[[#This Row],[Total]]-VENTAS[[#This Row],[Comisión 10%]]-VENTAS[[#This Row],[Costo SIN Comision]]</f>
        <v>7.9555555555555983</v>
      </c>
      <c r="M394" s="12"/>
      <c r="N394" s="16"/>
    </row>
    <row r="395" spans="1:14" ht="20" hidden="1" customHeight="1">
      <c r="A395" s="42"/>
      <c r="B395" s="10"/>
      <c r="C395" s="10"/>
      <c r="D395" s="10"/>
      <c r="E395" s="10" t="s">
        <v>77</v>
      </c>
      <c r="F395" s="10" t="str">
        <f>IFERROR(VLOOKUP(VENTAS[[#This Row],[Código del producto Vendido]],STOCK[],5,FALSE),"-")</f>
        <v>Pareo pantalón de malla</v>
      </c>
      <c r="G395" s="10">
        <v>1</v>
      </c>
      <c r="H395" s="12">
        <v>15</v>
      </c>
      <c r="I395" s="12">
        <f>VENTAS[[#This Row],[Cantidad]]*VENTAS[[#This Row],[Precio Venta]]</f>
        <v>15</v>
      </c>
      <c r="J395" s="12">
        <f>IF(VENTAS[[#This Row],[Nombre del Gestor]]&gt;1,VENTAS[[#This Row],[Total]]*10%,0)</f>
        <v>0</v>
      </c>
      <c r="K395" s="12">
        <f>IFERROR(VLOOKUP(VENTAS[[#This Row],[Código del producto Vendido]],STOCK[],16,FALSE)*VENTAS[[#This Row],[Cantidad]]+VLOOKUP(VENTAS[[#This Row],[Código del producto Vendido]],STOCK[],19,FALSE)*VENTAS[[#This Row],[Cantidad]],VENTAS[[#This Row],[Total]])</f>
        <v>9.3605555555555604</v>
      </c>
      <c r="L395" s="12">
        <f>VENTAS[[#This Row],[Total]]-VENTAS[[#This Row],[Comisión 10%]]-VENTAS[[#This Row],[Costo SIN Comision]]</f>
        <v>5.6394444444444396</v>
      </c>
      <c r="M395" s="12"/>
      <c r="N395" s="16"/>
    </row>
    <row r="396" spans="1:14" ht="20" hidden="1" customHeight="1">
      <c r="A396" s="41"/>
      <c r="B396" s="10"/>
      <c r="C396" s="10"/>
      <c r="D396" s="10"/>
      <c r="E396" s="10" t="s">
        <v>89</v>
      </c>
      <c r="F396" s="10" t="str">
        <f>IFERROR(VLOOKUP(VENTAS[[#This Row],[Código del producto Vendido]],STOCK[],5,FALSE),"-")</f>
        <v>Bikini Elegante con Herrajes</v>
      </c>
      <c r="G396" s="10">
        <v>1</v>
      </c>
      <c r="H396" s="12">
        <v>18</v>
      </c>
      <c r="I396" s="12">
        <f>VENTAS[[#This Row],[Cantidad]]*VENTAS[[#This Row],[Precio Venta]]</f>
        <v>18</v>
      </c>
      <c r="J396" s="12">
        <f>IF(VENTAS[[#This Row],[Nombre del Gestor]]&gt;1,VENTAS[[#This Row],[Total]]*10%,0)</f>
        <v>0</v>
      </c>
      <c r="K396" s="12">
        <f>IFERROR(VLOOKUP(VENTAS[[#This Row],[Código del producto Vendido]],STOCK[],16,FALSE)*VENTAS[[#This Row],[Cantidad]]+VLOOKUP(VENTAS[[#This Row],[Código del producto Vendido]],STOCK[],19,FALSE)*VENTAS[[#This Row],[Cantidad]],VENTAS[[#This Row],[Total]])</f>
        <v>12.697222222222219</v>
      </c>
      <c r="L396" s="12">
        <f>VENTAS[[#This Row],[Total]]-VENTAS[[#This Row],[Comisión 10%]]-VENTAS[[#This Row],[Costo SIN Comision]]</f>
        <v>5.3027777777777807</v>
      </c>
      <c r="M396" s="12"/>
      <c r="N396" s="16"/>
    </row>
    <row r="397" spans="1:14" ht="20" hidden="1" customHeight="1">
      <c r="A397" s="42"/>
      <c r="B397" s="10"/>
      <c r="C397" s="10" t="s">
        <v>4246</v>
      </c>
      <c r="D397" s="10"/>
      <c r="E397" s="10" t="s">
        <v>428</v>
      </c>
      <c r="F397" s="10" t="str">
        <f>IFERROR(VLOOKUP(VENTAS[[#This Row],[Código del producto Vendido]],STOCK[],5,FALSE),"-")</f>
        <v xml:space="preserve">Mono Bohemio con cinturón </v>
      </c>
      <c r="G397" s="10">
        <v>1</v>
      </c>
      <c r="H397" s="12">
        <v>15</v>
      </c>
      <c r="I397" s="12">
        <f>VENTAS[[#This Row],[Cantidad]]*VENTAS[[#This Row],[Precio Venta]]</f>
        <v>15</v>
      </c>
      <c r="J397" s="12">
        <f>IF(VENTAS[[#This Row],[Nombre del Gestor]]&gt;1,VENTAS[[#This Row],[Total]]*10%,0)</f>
        <v>0</v>
      </c>
      <c r="K397" s="12">
        <f>IFERROR(VLOOKUP(VENTAS[[#This Row],[Código del producto Vendido]],STOCK[],16,FALSE)*VENTAS[[#This Row],[Cantidad]]+VLOOKUP(VENTAS[[#This Row],[Código del producto Vendido]],STOCK[],19,FALSE)*VENTAS[[#This Row],[Cantidad]],VENTAS[[#This Row],[Total]])</f>
        <v>14.702222222222201</v>
      </c>
      <c r="L397" s="12">
        <f>VENTAS[[#This Row],[Total]]-VENTAS[[#This Row],[Comisión 10%]]-VENTAS[[#This Row],[Costo SIN Comision]]</f>
        <v>0.29777777777779946</v>
      </c>
      <c r="M397" s="12"/>
      <c r="N397" s="16"/>
    </row>
    <row r="398" spans="1:14" ht="20" hidden="1" customHeight="1">
      <c r="A398" s="41" t="s">
        <v>4247</v>
      </c>
      <c r="B398" s="10"/>
      <c r="C398" s="10"/>
      <c r="D398" s="10"/>
      <c r="E398" s="10" t="s">
        <v>1113</v>
      </c>
      <c r="F398" s="10" t="str">
        <f>IFERROR(VLOOKUP(VENTAS[[#This Row],[Código del producto Vendido]],STOCK[],5,FALSE),"-")</f>
        <v>Bolso de mimbre</v>
      </c>
      <c r="G398" s="10">
        <v>1</v>
      </c>
      <c r="H398" s="12">
        <v>12</v>
      </c>
      <c r="I398" s="12">
        <f>VENTAS[[#This Row],[Cantidad]]*VENTAS[[#This Row],[Precio Venta]]</f>
        <v>12</v>
      </c>
      <c r="J398" s="12">
        <f>IF(VENTAS[[#This Row],[Nombre del Gestor]]&gt;1,VENTAS[[#This Row],[Total]]*10%,0)</f>
        <v>0</v>
      </c>
      <c r="K398" s="12">
        <f>IFERROR(VLOOKUP(VENTAS[[#This Row],[Código del producto Vendido]],STOCK[],16,FALSE)*VENTAS[[#This Row],[Cantidad]]+VLOOKUP(VENTAS[[#This Row],[Código del producto Vendido]],STOCK[],19,FALSE)*VENTAS[[#This Row],[Cantidad]],VENTAS[[#This Row],[Total]])</f>
        <v>11.828676470588242</v>
      </c>
      <c r="L398" s="12">
        <f>VENTAS[[#This Row],[Total]]-VENTAS[[#This Row],[Comisión 10%]]-VENTAS[[#This Row],[Costo SIN Comision]]</f>
        <v>0.1713235294117581</v>
      </c>
      <c r="M398" s="12"/>
      <c r="N398" s="16"/>
    </row>
    <row r="399" spans="1:14" ht="20" hidden="1" customHeight="1">
      <c r="A399" s="42" t="s">
        <v>4247</v>
      </c>
      <c r="B399" s="10"/>
      <c r="C399" s="10"/>
      <c r="D399" s="10"/>
      <c r="E399" s="10" t="s">
        <v>926</v>
      </c>
      <c r="F399" s="10" t="str">
        <f>IFERROR(VLOOKUP(VENTAS[[#This Row],[Código del producto Vendido]],STOCK[],5,FALSE),"-")</f>
        <v>Pantaloneta Roja</v>
      </c>
      <c r="G399" s="10">
        <v>1</v>
      </c>
      <c r="H399" s="12">
        <v>20</v>
      </c>
      <c r="I399" s="12">
        <f>VENTAS[[#This Row],[Cantidad]]*VENTAS[[#This Row],[Precio Venta]]</f>
        <v>20</v>
      </c>
      <c r="J399" s="12">
        <f>IF(VENTAS[[#This Row],[Nombre del Gestor]]&gt;1,VENTAS[[#This Row],[Total]]*10%,0)</f>
        <v>0</v>
      </c>
      <c r="K399" s="12">
        <f>IFERROR(VLOOKUP(VENTAS[[#This Row],[Código del producto Vendido]],STOCK[],16,FALSE)*VENTAS[[#This Row],[Cantidad]]+VLOOKUP(VENTAS[[#This Row],[Código del producto Vendido]],STOCK[],19,FALSE)*VENTAS[[#This Row],[Cantidad]],VENTAS[[#This Row],[Total]])</f>
        <v>11.609545454545449</v>
      </c>
      <c r="L399" s="12">
        <f>VENTAS[[#This Row],[Total]]-VENTAS[[#This Row],[Comisión 10%]]-VENTAS[[#This Row],[Costo SIN Comision]]</f>
        <v>8.3904545454545509</v>
      </c>
      <c r="M399" s="12"/>
      <c r="N399" s="16"/>
    </row>
    <row r="400" spans="1:14" ht="20" hidden="1" customHeight="1">
      <c r="A400" s="41" t="s">
        <v>4247</v>
      </c>
      <c r="B400" s="10"/>
      <c r="C400" s="10"/>
      <c r="D400" s="10"/>
      <c r="E400" s="10" t="s">
        <v>412</v>
      </c>
      <c r="F400" s="10" t="str">
        <f>IFERROR(VLOOKUP(VENTAS[[#This Row],[Código del producto Vendido]],STOCK[],5,FALSE),"-")</f>
        <v>Bikini Floral</v>
      </c>
      <c r="G400" s="10">
        <v>1</v>
      </c>
      <c r="H400" s="12">
        <v>22</v>
      </c>
      <c r="I400" s="12">
        <f>VENTAS[[#This Row],[Cantidad]]*VENTAS[[#This Row],[Precio Venta]]</f>
        <v>22</v>
      </c>
      <c r="J400" s="12">
        <f>IF(VENTAS[[#This Row],[Nombre del Gestor]]&gt;1,VENTAS[[#This Row],[Total]]*10%,0)</f>
        <v>0</v>
      </c>
      <c r="K400" s="12">
        <f>IFERROR(VLOOKUP(VENTAS[[#This Row],[Código del producto Vendido]],STOCK[],16,FALSE)*VENTAS[[#This Row],[Cantidad]]+VLOOKUP(VENTAS[[#This Row],[Código del producto Vendido]],STOCK[],19,FALSE)*VENTAS[[#This Row],[Cantidad]],VENTAS[[#This Row],[Total]])</f>
        <v>13.9444444444444</v>
      </c>
      <c r="L400" s="12">
        <f>VENTAS[[#This Row],[Total]]-VENTAS[[#This Row],[Comisión 10%]]-VENTAS[[#This Row],[Costo SIN Comision]]</f>
        <v>8.0555555555555998</v>
      </c>
      <c r="M400" s="12"/>
      <c r="N400" s="16"/>
    </row>
    <row r="401" spans="1:14" ht="20" hidden="1" customHeight="1">
      <c r="A401" s="42" t="s">
        <v>4247</v>
      </c>
      <c r="B401" s="10"/>
      <c r="C401" s="10"/>
      <c r="D401" s="10"/>
      <c r="E401" s="10" t="s">
        <v>1106</v>
      </c>
      <c r="F401" s="10" t="str">
        <f>IFERROR(VLOOKUP(VENTAS[[#This Row],[Código del producto Vendido]],STOCK[],5,FALSE),"-")</f>
        <v>Mono Oblicuo con bolsillo</v>
      </c>
      <c r="G401" s="10">
        <v>1</v>
      </c>
      <c r="H401" s="12">
        <v>22</v>
      </c>
      <c r="I401" s="12">
        <f>VENTAS[[#This Row],[Cantidad]]*VENTAS[[#This Row],[Precio Venta]]</f>
        <v>22</v>
      </c>
      <c r="J401" s="12">
        <f>IF(VENTAS[[#This Row],[Nombre del Gestor]]&gt;1,VENTAS[[#This Row],[Total]]*10%,0)</f>
        <v>0</v>
      </c>
      <c r="K401" s="12">
        <f>IFERROR(VLOOKUP(VENTAS[[#This Row],[Código del producto Vendido]],STOCK[],16,FALSE)*VENTAS[[#This Row],[Cantidad]]+VLOOKUP(VENTAS[[#This Row],[Código del producto Vendido]],STOCK[],19,FALSE)*VENTAS[[#This Row],[Cantidad]],VENTAS[[#This Row],[Total]])</f>
        <v>14.54852941176471</v>
      </c>
      <c r="L401" s="12">
        <f>VENTAS[[#This Row],[Total]]-VENTAS[[#This Row],[Comisión 10%]]-VENTAS[[#This Row],[Costo SIN Comision]]</f>
        <v>7.4514705882352903</v>
      </c>
      <c r="M401" s="12"/>
      <c r="N401" s="16"/>
    </row>
    <row r="402" spans="1:14" ht="20" hidden="1" customHeight="1">
      <c r="A402" s="41" t="s">
        <v>4247</v>
      </c>
      <c r="B402" s="10"/>
      <c r="C402" s="10"/>
      <c r="D402" s="10"/>
      <c r="E402" s="10" t="s">
        <v>301</v>
      </c>
      <c r="F402" s="10" t="str">
        <f>IFERROR(VLOOKUP(VENTAS[[#This Row],[Código del producto Vendido]],STOCK[],5,FALSE),"-")</f>
        <v>Jumpsuit palazzo de tie dye</v>
      </c>
      <c r="G402" s="10">
        <v>1</v>
      </c>
      <c r="H402" s="12">
        <v>30</v>
      </c>
      <c r="I402" s="12">
        <f>VENTAS[[#This Row],[Cantidad]]*VENTAS[[#This Row],[Precio Venta]]</f>
        <v>30</v>
      </c>
      <c r="J402" s="12">
        <f>IF(VENTAS[[#This Row],[Nombre del Gestor]]&gt;1,VENTAS[[#This Row],[Total]]*10%,0)</f>
        <v>0</v>
      </c>
      <c r="K402" s="12">
        <f>IFERROR(VLOOKUP(VENTAS[[#This Row],[Código del producto Vendido]],STOCK[],16,FALSE)*VENTAS[[#This Row],[Cantidad]]+VLOOKUP(VENTAS[[#This Row],[Código del producto Vendido]],STOCK[],19,FALSE)*VENTAS[[#This Row],[Cantidad]],VENTAS[[#This Row],[Total]])</f>
        <v>16.3333333333333</v>
      </c>
      <c r="L402" s="12">
        <f>VENTAS[[#This Row],[Total]]-VENTAS[[#This Row],[Comisión 10%]]-VENTAS[[#This Row],[Costo SIN Comision]]</f>
        <v>13.6666666666667</v>
      </c>
      <c r="M402" s="12"/>
      <c r="N402" s="16"/>
    </row>
    <row r="403" spans="1:14" ht="20" hidden="1" customHeight="1">
      <c r="A403" s="42" t="s">
        <v>4247</v>
      </c>
      <c r="B403" s="10"/>
      <c r="C403" s="10" t="s">
        <v>4248</v>
      </c>
      <c r="D403" s="10"/>
      <c r="E403" s="10" t="s">
        <v>305</v>
      </c>
      <c r="F403" s="10" t="str">
        <f>IFERROR(VLOOKUP(VENTAS[[#This Row],[Código del producto Vendido]],STOCK[],5,FALSE),"-")</f>
        <v>Conjunto short, camisa y top</v>
      </c>
      <c r="G403" s="10">
        <v>1</v>
      </c>
      <c r="H403" s="12">
        <v>16.829999999999998</v>
      </c>
      <c r="I403" s="12">
        <f>VENTAS[[#This Row],[Cantidad]]*VENTAS[[#This Row],[Precio Venta]]</f>
        <v>16.829999999999998</v>
      </c>
      <c r="J403" s="12">
        <f>IF(VENTAS[[#This Row],[Nombre del Gestor]]&gt;1,VENTAS[[#This Row],[Total]]*10%,0)</f>
        <v>0</v>
      </c>
      <c r="K403" s="12">
        <f>IFERROR(VLOOKUP(VENTAS[[#This Row],[Código del producto Vendido]],STOCK[],16,FALSE)*VENTAS[[#This Row],[Cantidad]]+VLOOKUP(VENTAS[[#This Row],[Código del producto Vendido]],STOCK[],19,FALSE)*VENTAS[[#This Row],[Cantidad]],VENTAS[[#This Row],[Total]])</f>
        <v>16.8333333333333</v>
      </c>
      <c r="L403" s="12">
        <f>VENTAS[[#This Row],[Total]]-VENTAS[[#This Row],[Comisión 10%]]-VENTAS[[#This Row],[Costo SIN Comision]]</f>
        <v>-3.33333333330188E-3</v>
      </c>
      <c r="M403" s="12"/>
      <c r="N403" s="16"/>
    </row>
    <row r="404" spans="1:14" ht="20" hidden="1" customHeight="1">
      <c r="A404" s="41" t="s">
        <v>4247</v>
      </c>
      <c r="B404" s="10"/>
      <c r="C404" s="10"/>
      <c r="D404" s="10"/>
      <c r="E404" s="10" t="s">
        <v>862</v>
      </c>
      <c r="F404" s="10" t="str">
        <f>IFERROR(VLOOKUP(VENTAS[[#This Row],[Código del producto Vendido]],STOCK[],5,FALSE),"-")</f>
        <v>Bikini Rosa canalé</v>
      </c>
      <c r="G404" s="10">
        <v>1</v>
      </c>
      <c r="H404" s="12">
        <v>20</v>
      </c>
      <c r="I404" s="12">
        <f>VENTAS[[#This Row],[Cantidad]]*VENTAS[[#This Row],[Precio Venta]]</f>
        <v>20</v>
      </c>
      <c r="J404" s="12">
        <f>IF(VENTAS[[#This Row],[Nombre del Gestor]]&gt;1,VENTAS[[#This Row],[Total]]*10%,0)</f>
        <v>0</v>
      </c>
      <c r="K404" s="12">
        <f>IFERROR(VLOOKUP(VENTAS[[#This Row],[Código del producto Vendido]],STOCK[],16,FALSE)*VENTAS[[#This Row],[Cantidad]]+VLOOKUP(VENTAS[[#This Row],[Código del producto Vendido]],STOCK[],19,FALSE)*VENTAS[[#This Row],[Cantidad]],VENTAS[[#This Row],[Total]])</f>
        <v>13.4444444444444</v>
      </c>
      <c r="L404" s="12">
        <f>VENTAS[[#This Row],[Total]]-VENTAS[[#This Row],[Comisión 10%]]-VENTAS[[#This Row],[Costo SIN Comision]]</f>
        <v>6.5555555555555998</v>
      </c>
      <c r="M404" s="12"/>
      <c r="N404" s="16"/>
    </row>
    <row r="405" spans="1:14" ht="20" hidden="1" customHeight="1">
      <c r="A405" s="42" t="s">
        <v>4247</v>
      </c>
      <c r="B405" s="10"/>
      <c r="C405" s="10"/>
      <c r="D405" s="10"/>
      <c r="E405" s="10" t="s">
        <v>1172</v>
      </c>
      <c r="F405" s="10" t="str">
        <f>IFERROR(VLOOKUP(VENTAS[[#This Row],[Código del producto Vendido]],STOCK[],5,FALSE),"-")</f>
        <v>Pullover Dazy cuello redondo Blanco</v>
      </c>
      <c r="G405" s="10">
        <v>1</v>
      </c>
      <c r="H405" s="12">
        <v>14</v>
      </c>
      <c r="I405" s="12">
        <f>VENTAS[[#This Row],[Cantidad]]*VENTAS[[#This Row],[Precio Venta]]</f>
        <v>14</v>
      </c>
      <c r="J405" s="12">
        <f>IF(VENTAS[[#This Row],[Nombre del Gestor]]&gt;1,VENTAS[[#This Row],[Total]]*10%,0)</f>
        <v>0</v>
      </c>
      <c r="K405" s="12">
        <f>IFERROR(VLOOKUP(VENTAS[[#This Row],[Código del producto Vendido]],STOCK[],16,FALSE)*VENTAS[[#This Row],[Cantidad]]+VLOOKUP(VENTAS[[#This Row],[Código del producto Vendido]],STOCK[],19,FALSE)*VENTAS[[#This Row],[Cantidad]],VENTAS[[#This Row],[Total]])</f>
        <v>8.61</v>
      </c>
      <c r="L405" s="12">
        <f>VENTAS[[#This Row],[Total]]-VENTAS[[#This Row],[Comisión 10%]]-VENTAS[[#This Row],[Costo SIN Comision]]</f>
        <v>5.3900000000000006</v>
      </c>
      <c r="M405" s="12"/>
      <c r="N405" s="16"/>
    </row>
    <row r="406" spans="1:14" ht="20" hidden="1" customHeight="1">
      <c r="A406" s="41" t="s">
        <v>4247</v>
      </c>
      <c r="B406" s="10"/>
      <c r="C406" s="10" t="s">
        <v>4249</v>
      </c>
      <c r="D406" s="10"/>
      <c r="E406" s="10" t="s">
        <v>1160</v>
      </c>
      <c r="F406" s="10" t="str">
        <f>IFERROR(VLOOKUP(VENTAS[[#This Row],[Código del producto Vendido]],STOCK[],5,FALSE),"-")</f>
        <v>Pullover negro cuello redondo</v>
      </c>
      <c r="G406" s="10">
        <v>1</v>
      </c>
      <c r="H406" s="12">
        <v>14</v>
      </c>
      <c r="I406" s="12">
        <f>VENTAS[[#This Row],[Cantidad]]*VENTAS[[#This Row],[Precio Venta]]</f>
        <v>14</v>
      </c>
      <c r="J406" s="12">
        <f>IF(VENTAS[[#This Row],[Nombre del Gestor]]&gt;1,VENTAS[[#This Row],[Total]]*10%,0)</f>
        <v>0</v>
      </c>
      <c r="K406" s="12">
        <f>IFERROR(VLOOKUP(VENTAS[[#This Row],[Código del producto Vendido]],STOCK[],16,FALSE)*VENTAS[[#This Row],[Cantidad]]+VLOOKUP(VENTAS[[#This Row],[Código del producto Vendido]],STOCK[],19,FALSE)*VENTAS[[#This Row],[Cantidad]],VENTAS[[#This Row],[Total]])</f>
        <v>8.5300000000000011</v>
      </c>
      <c r="L406" s="12">
        <f>VENTAS[[#This Row],[Total]]-VENTAS[[#This Row],[Comisión 10%]]-VENTAS[[#This Row],[Costo SIN Comision]]</f>
        <v>5.4699999999999989</v>
      </c>
      <c r="M406" s="12"/>
      <c r="N406" s="16"/>
    </row>
    <row r="407" spans="1:14" ht="20" hidden="1" customHeight="1">
      <c r="A407" s="42" t="s">
        <v>4247</v>
      </c>
      <c r="B407" s="10"/>
      <c r="C407" s="10" t="s">
        <v>4249</v>
      </c>
      <c r="D407" s="10"/>
      <c r="E407" s="10" t="s">
        <v>1233</v>
      </c>
      <c r="F407" s="10" t="str">
        <f>IFERROR(VLOOKUP(VENTAS[[#This Row],[Código del producto Vendido]],STOCK[],5,FALSE),"-")</f>
        <v xml:space="preserve">Short elegante de pierna ancha con doblez </v>
      </c>
      <c r="G407" s="10">
        <v>1</v>
      </c>
      <c r="H407" s="12">
        <v>20</v>
      </c>
      <c r="I407" s="12">
        <f>VENTAS[[#This Row],[Cantidad]]*VENTAS[[#This Row],[Precio Venta]]</f>
        <v>20</v>
      </c>
      <c r="J407" s="12">
        <f>IF(VENTAS[[#This Row],[Nombre del Gestor]]&gt;1,VENTAS[[#This Row],[Total]]*10%,0)</f>
        <v>0</v>
      </c>
      <c r="K407" s="12">
        <f>IFERROR(VLOOKUP(VENTAS[[#This Row],[Código del producto Vendido]],STOCK[],16,FALSE)*VENTAS[[#This Row],[Cantidad]]+VLOOKUP(VENTAS[[#This Row],[Código del producto Vendido]],STOCK[],19,FALSE)*VENTAS[[#This Row],[Cantidad]],VENTAS[[#This Row],[Total]])</f>
        <v>14.37</v>
      </c>
      <c r="L407" s="12">
        <f>VENTAS[[#This Row],[Total]]-VENTAS[[#This Row],[Comisión 10%]]-VENTAS[[#This Row],[Costo SIN Comision]]</f>
        <v>5.6300000000000008</v>
      </c>
      <c r="M407" s="12"/>
      <c r="N407" s="16"/>
    </row>
    <row r="408" spans="1:14" ht="20" hidden="1" customHeight="1">
      <c r="A408" s="41" t="s">
        <v>4247</v>
      </c>
      <c r="B408" s="10"/>
      <c r="C408" s="10" t="s">
        <v>4249</v>
      </c>
      <c r="D408" s="10"/>
      <c r="E408" s="10" t="s">
        <v>1237</v>
      </c>
      <c r="F408" s="10" t="str">
        <f>IFERROR(VLOOKUP(VENTAS[[#This Row],[Código del producto Vendido]],STOCK[],5,FALSE),"-")</f>
        <v>Cinturón de hebilla dorada</v>
      </c>
      <c r="G408" s="10">
        <v>1</v>
      </c>
      <c r="H408" s="12">
        <v>12</v>
      </c>
      <c r="I408" s="12">
        <f>VENTAS[[#This Row],[Cantidad]]*VENTAS[[#This Row],[Precio Venta]]</f>
        <v>12</v>
      </c>
      <c r="J408" s="12">
        <f>IF(VENTAS[[#This Row],[Nombre del Gestor]]&gt;1,VENTAS[[#This Row],[Total]]*10%,0)</f>
        <v>0</v>
      </c>
      <c r="K408" s="12">
        <f>IFERROR(VLOOKUP(VENTAS[[#This Row],[Código del producto Vendido]],STOCK[],16,FALSE)*VENTAS[[#This Row],[Cantidad]]+VLOOKUP(VENTAS[[#This Row],[Código del producto Vendido]],STOCK[],19,FALSE)*VENTAS[[#This Row],[Cantidad]],VENTAS[[#This Row],[Total]])</f>
        <v>5.17</v>
      </c>
      <c r="L408" s="12">
        <f>VENTAS[[#This Row],[Total]]-VENTAS[[#This Row],[Comisión 10%]]-VENTAS[[#This Row],[Costo SIN Comision]]</f>
        <v>6.83</v>
      </c>
      <c r="M408" s="12"/>
      <c r="N408" s="16"/>
    </row>
    <row r="409" spans="1:14" ht="20" hidden="1" customHeight="1">
      <c r="A409" s="42" t="s">
        <v>4247</v>
      </c>
      <c r="B409" s="10"/>
      <c r="C409" s="10" t="s">
        <v>4249</v>
      </c>
      <c r="D409" s="10"/>
      <c r="E409" s="10" t="s">
        <v>1241</v>
      </c>
      <c r="F409" s="10" t="str">
        <f>IFERROR(VLOOKUP(VENTAS[[#This Row],[Código del producto Vendido]],STOCK[],5,FALSE),"-")</f>
        <v>Cinturón negro con hebilla dorada</v>
      </c>
      <c r="G409" s="10">
        <v>1</v>
      </c>
      <c r="H409" s="12">
        <v>12</v>
      </c>
      <c r="I409" s="12">
        <f>VENTAS[[#This Row],[Cantidad]]*VENTAS[[#This Row],[Precio Venta]]</f>
        <v>12</v>
      </c>
      <c r="J409" s="12">
        <f>IF(VENTAS[[#This Row],[Nombre del Gestor]]&gt;1,VENTAS[[#This Row],[Total]]*10%,0)</f>
        <v>0</v>
      </c>
      <c r="K409" s="12">
        <f>IFERROR(VLOOKUP(VENTAS[[#This Row],[Código del producto Vendido]],STOCK[],16,FALSE)*VENTAS[[#This Row],[Cantidad]]+VLOOKUP(VENTAS[[#This Row],[Código del producto Vendido]],STOCK[],19,FALSE)*VENTAS[[#This Row],[Cantidad]],VENTAS[[#This Row],[Total]])</f>
        <v>4.6099999999999994</v>
      </c>
      <c r="L409" s="12">
        <f>VENTAS[[#This Row],[Total]]-VENTAS[[#This Row],[Comisión 10%]]-VENTAS[[#This Row],[Costo SIN Comision]]</f>
        <v>7.3900000000000006</v>
      </c>
      <c r="M409" s="12"/>
      <c r="N409" s="16"/>
    </row>
    <row r="410" spans="1:14" ht="20" hidden="1" customHeight="1">
      <c r="A410" s="41" t="s">
        <v>4247</v>
      </c>
      <c r="B410" s="10"/>
      <c r="C410" s="10" t="s">
        <v>4250</v>
      </c>
      <c r="D410" s="10"/>
      <c r="E410" s="10" t="s">
        <v>1265</v>
      </c>
      <c r="F410" s="10" t="str">
        <f>IFERROR(VLOOKUP(VENTAS[[#This Row],[Código del producto Vendido]],STOCK[],5,FALSE),"-")</f>
        <v>Pantaloneta negra con abertura</v>
      </c>
      <c r="G410" s="10">
        <v>1</v>
      </c>
      <c r="H410" s="12">
        <v>23</v>
      </c>
      <c r="I410" s="12">
        <f>VENTAS[[#This Row],[Cantidad]]*VENTAS[[#This Row],[Precio Venta]]</f>
        <v>23</v>
      </c>
      <c r="J410" s="12">
        <f>IF(VENTAS[[#This Row],[Nombre del Gestor]]&gt;1,VENTAS[[#This Row],[Total]]*10%,0)</f>
        <v>0</v>
      </c>
      <c r="K410" s="12">
        <f>IFERROR(VLOOKUP(VENTAS[[#This Row],[Código del producto Vendido]],STOCK[],16,FALSE)*VENTAS[[#This Row],[Cantidad]]+VLOOKUP(VENTAS[[#This Row],[Código del producto Vendido]],STOCK[],19,FALSE)*VENTAS[[#This Row],[Cantidad]],VENTAS[[#This Row],[Total]])</f>
        <v>15.22</v>
      </c>
      <c r="L410" s="12">
        <f>VENTAS[[#This Row],[Total]]-VENTAS[[#This Row],[Comisión 10%]]-VENTAS[[#This Row],[Costo SIN Comision]]</f>
        <v>7.7799999999999994</v>
      </c>
      <c r="M410" s="12"/>
      <c r="N410" s="16"/>
    </row>
    <row r="411" spans="1:14" ht="20" hidden="1" customHeight="1">
      <c r="A411" s="42" t="s">
        <v>4247</v>
      </c>
      <c r="B411" s="10"/>
      <c r="C411" s="10" t="s">
        <v>4250</v>
      </c>
      <c r="D411" s="10"/>
      <c r="E411" s="10" t="s">
        <v>1267</v>
      </c>
      <c r="F411" s="10" t="str">
        <f>IFERROR(VLOOKUP(VENTAS[[#This Row],[Código del producto Vendido]],STOCK[],5,FALSE),"-")</f>
        <v>Top asimétrico blanco</v>
      </c>
      <c r="G411" s="10">
        <v>1</v>
      </c>
      <c r="H411" s="12">
        <v>12</v>
      </c>
      <c r="I411" s="12">
        <f>VENTAS[[#This Row],[Cantidad]]*VENTAS[[#This Row],[Precio Venta]]</f>
        <v>12</v>
      </c>
      <c r="J411" s="12">
        <f>IF(VENTAS[[#This Row],[Nombre del Gestor]]&gt;1,VENTAS[[#This Row],[Total]]*10%,0)</f>
        <v>0</v>
      </c>
      <c r="K411" s="12">
        <f>IFERROR(VLOOKUP(VENTAS[[#This Row],[Código del producto Vendido]],STOCK[],16,FALSE)*VENTAS[[#This Row],[Cantidad]]+VLOOKUP(VENTAS[[#This Row],[Código del producto Vendido]],STOCK[],19,FALSE)*VENTAS[[#This Row],[Cantidad]],VENTAS[[#This Row],[Total]])</f>
        <v>5.77</v>
      </c>
      <c r="L411" s="12">
        <f>VENTAS[[#This Row],[Total]]-VENTAS[[#This Row],[Comisión 10%]]-VENTAS[[#This Row],[Costo SIN Comision]]</f>
        <v>6.23</v>
      </c>
      <c r="M411" s="12"/>
      <c r="N411" s="16"/>
    </row>
    <row r="412" spans="1:14" ht="20" hidden="1" customHeight="1">
      <c r="A412" s="41" t="s">
        <v>4247</v>
      </c>
      <c r="B412" s="10"/>
      <c r="C412" s="10" t="s">
        <v>4250</v>
      </c>
      <c r="D412" s="10"/>
      <c r="E412" s="10" t="s">
        <v>1288</v>
      </c>
      <c r="F412" s="10" t="str">
        <f>IFERROR(VLOOKUP(VENTAS[[#This Row],[Código del producto Vendido]],STOCK[],5,FALSE),"-")</f>
        <v>Pantalón rosado fuccia</v>
      </c>
      <c r="G412" s="10">
        <v>1</v>
      </c>
      <c r="H412" s="12">
        <v>30</v>
      </c>
      <c r="I412" s="12">
        <f>VENTAS[[#This Row],[Cantidad]]*VENTAS[[#This Row],[Precio Venta]]</f>
        <v>30</v>
      </c>
      <c r="J412" s="12">
        <f>IF(VENTAS[[#This Row],[Nombre del Gestor]]&gt;1,VENTAS[[#This Row],[Total]]*10%,0)</f>
        <v>0</v>
      </c>
      <c r="K412" s="12">
        <f>IFERROR(VLOOKUP(VENTAS[[#This Row],[Código del producto Vendido]],STOCK[],16,FALSE)*VENTAS[[#This Row],[Cantidad]]+VLOOKUP(VENTAS[[#This Row],[Código del producto Vendido]],STOCK[],19,FALSE)*VENTAS[[#This Row],[Cantidad]],VENTAS[[#This Row],[Total]])</f>
        <v>20.78</v>
      </c>
      <c r="L412" s="12">
        <f>VENTAS[[#This Row],[Total]]-VENTAS[[#This Row],[Comisión 10%]]-VENTAS[[#This Row],[Costo SIN Comision]]</f>
        <v>9.2199999999999989</v>
      </c>
      <c r="M412" s="12"/>
      <c r="N412" s="16"/>
    </row>
    <row r="413" spans="1:14" ht="20" hidden="1" customHeight="1">
      <c r="A413" s="42" t="s">
        <v>4247</v>
      </c>
      <c r="B413" s="10"/>
      <c r="C413" s="10" t="s">
        <v>4250</v>
      </c>
      <c r="D413" s="10"/>
      <c r="E413" s="10" t="s">
        <v>4251</v>
      </c>
      <c r="F413" s="10" t="str">
        <f>IFERROR(VLOOKUP(VENTAS[[#This Row],[Código del producto Vendido]],STOCK[],5,FALSE),"-")</f>
        <v>-</v>
      </c>
      <c r="G413" s="10">
        <v>1</v>
      </c>
      <c r="H413" s="12">
        <v>30</v>
      </c>
      <c r="I413" s="12">
        <f>VENTAS[[#This Row],[Cantidad]]*VENTAS[[#This Row],[Precio Venta]]</f>
        <v>30</v>
      </c>
      <c r="J413" s="12">
        <f>IF(VENTAS[[#This Row],[Nombre del Gestor]]&gt;1,VENTAS[[#This Row],[Total]]*10%,0)</f>
        <v>0</v>
      </c>
      <c r="K413" s="12">
        <f>IFERROR(VLOOKUP(VENTAS[[#This Row],[Código del producto Vendido]],STOCK[],16,FALSE)*VENTAS[[#This Row],[Cantidad]]+VLOOKUP(VENTAS[[#This Row],[Código del producto Vendido]],STOCK[],19,FALSE)*VENTAS[[#This Row],[Cantidad]],VENTAS[[#This Row],[Total]])</f>
        <v>30</v>
      </c>
      <c r="L413" s="12">
        <f>VENTAS[[#This Row],[Total]]-VENTAS[[#This Row],[Comisión 10%]]-VENTAS[[#This Row],[Costo SIN Comision]]</f>
        <v>0</v>
      </c>
      <c r="M413" s="12"/>
      <c r="N413" s="16"/>
    </row>
    <row r="414" spans="1:14" ht="20" hidden="1" customHeight="1">
      <c r="A414" s="41" t="s">
        <v>4247</v>
      </c>
      <c r="B414" s="10"/>
      <c r="C414" s="10" t="s">
        <v>4250</v>
      </c>
      <c r="D414" s="10"/>
      <c r="E414" s="10" t="s">
        <v>962</v>
      </c>
      <c r="F414" s="10" t="str">
        <f>IFERROR(VLOOKUP(VENTAS[[#This Row],[Código del producto Vendido]],STOCK[],5,FALSE),"-")</f>
        <v>Pantalón Business Básico</v>
      </c>
      <c r="G414" s="10">
        <v>1</v>
      </c>
      <c r="H414" s="12">
        <v>30</v>
      </c>
      <c r="I414" s="12">
        <f>VENTAS[[#This Row],[Cantidad]]*VENTAS[[#This Row],[Precio Venta]]</f>
        <v>30</v>
      </c>
      <c r="J414" s="12">
        <f>IF(VENTAS[[#This Row],[Nombre del Gestor]]&gt;1,VENTAS[[#This Row],[Total]]*10%,0)</f>
        <v>0</v>
      </c>
      <c r="K414" s="12">
        <f>IFERROR(VLOOKUP(VENTAS[[#This Row],[Código del producto Vendido]],STOCK[],16,FALSE)*VENTAS[[#This Row],[Cantidad]]+VLOOKUP(VENTAS[[#This Row],[Código del producto Vendido]],STOCK[],19,FALSE)*VENTAS[[#This Row],[Cantidad]],VENTAS[[#This Row],[Total]])</f>
        <v>21.372272727272701</v>
      </c>
      <c r="L414" s="12">
        <f>VENTAS[[#This Row],[Total]]-VENTAS[[#This Row],[Comisión 10%]]-VENTAS[[#This Row],[Costo SIN Comision]]</f>
        <v>8.6277272727272987</v>
      </c>
      <c r="M414" s="12"/>
      <c r="N414" s="16"/>
    </row>
    <row r="415" spans="1:14" ht="20" hidden="1" customHeight="1">
      <c r="A415" s="42" t="s">
        <v>4247</v>
      </c>
      <c r="B415" s="10"/>
      <c r="C415" s="10" t="s">
        <v>4250</v>
      </c>
      <c r="D415" s="10"/>
      <c r="E415" s="10" t="s">
        <v>432</v>
      </c>
      <c r="F415" s="10" t="str">
        <f>IFERROR(VLOOKUP(VENTAS[[#This Row],[Código del producto Vendido]],STOCK[],5,FALSE),"-")</f>
        <v>Vestido con cordón de espalda cruzada</v>
      </c>
      <c r="G415" s="10">
        <v>1</v>
      </c>
      <c r="H415" s="12">
        <v>28</v>
      </c>
      <c r="I415" s="12">
        <f>VENTAS[[#This Row],[Cantidad]]*VENTAS[[#This Row],[Precio Venta]]</f>
        <v>28</v>
      </c>
      <c r="J415" s="12">
        <f>IF(VENTAS[[#This Row],[Nombre del Gestor]]&gt;1,VENTAS[[#This Row],[Total]]*10%,0)</f>
        <v>0</v>
      </c>
      <c r="K415" s="12">
        <f>IFERROR(VLOOKUP(VENTAS[[#This Row],[Código del producto Vendido]],STOCK[],16,FALSE)*VENTAS[[#This Row],[Cantidad]]+VLOOKUP(VENTAS[[#This Row],[Código del producto Vendido]],STOCK[],19,FALSE)*VENTAS[[#This Row],[Cantidad]],VENTAS[[#This Row],[Total]])</f>
        <v>15.907777777777801</v>
      </c>
      <c r="L415" s="12">
        <f>VENTAS[[#This Row],[Total]]-VENTAS[[#This Row],[Comisión 10%]]-VENTAS[[#This Row],[Costo SIN Comision]]</f>
        <v>12.092222222222199</v>
      </c>
      <c r="M415" s="12"/>
      <c r="N415" s="16"/>
    </row>
    <row r="416" spans="1:14" ht="20" hidden="1" customHeight="1">
      <c r="A416" s="41" t="s">
        <v>4247</v>
      </c>
      <c r="B416" s="10"/>
      <c r="C416" s="10" t="s">
        <v>4252</v>
      </c>
      <c r="D416" s="10"/>
      <c r="E416" s="10" t="s">
        <v>229</v>
      </c>
      <c r="F416" s="10" t="str">
        <f>IFERROR(VLOOKUP(VENTAS[[#This Row],[Código del producto Vendido]],STOCK[],5,FALSE),"-")</f>
        <v>Pantalón pierna ancha con cinturón</v>
      </c>
      <c r="G416" s="10">
        <v>1</v>
      </c>
      <c r="H416" s="12">
        <v>25</v>
      </c>
      <c r="I416" s="12">
        <f>VENTAS[[#This Row],[Cantidad]]*VENTAS[[#This Row],[Precio Venta]]</f>
        <v>25</v>
      </c>
      <c r="J416" s="12">
        <f>IF(VENTAS[[#This Row],[Nombre del Gestor]]&gt;1,VENTAS[[#This Row],[Total]]*10%,0)</f>
        <v>0</v>
      </c>
      <c r="K416" s="12">
        <f>IFERROR(VLOOKUP(VENTAS[[#This Row],[Código del producto Vendido]],STOCK[],16,FALSE)*VENTAS[[#This Row],[Cantidad]]+VLOOKUP(VENTAS[[#This Row],[Código del producto Vendido]],STOCK[],19,FALSE)*VENTAS[[#This Row],[Cantidad]],VENTAS[[#This Row],[Total]])</f>
        <v>13.9444444444444</v>
      </c>
      <c r="L416" s="12">
        <f>VENTAS[[#This Row],[Total]]-VENTAS[[#This Row],[Comisión 10%]]-VENTAS[[#This Row],[Costo SIN Comision]]</f>
        <v>11.0555555555556</v>
      </c>
      <c r="M416" s="12"/>
      <c r="N416" s="16"/>
    </row>
    <row r="417" spans="1:14" ht="20" hidden="1" customHeight="1">
      <c r="A417" s="42" t="s">
        <v>4253</v>
      </c>
      <c r="B417" s="10"/>
      <c r="C417" s="10" t="s">
        <v>4252</v>
      </c>
      <c r="D417" s="10"/>
      <c r="E417" s="10" t="s">
        <v>1051</v>
      </c>
      <c r="F417" s="10" t="str">
        <f>IFERROR(VLOOKUP(VENTAS[[#This Row],[Código del producto Vendido]],STOCK[],5,FALSE),"-")</f>
        <v>Pantaloneta Camel</v>
      </c>
      <c r="G417" s="10">
        <v>1</v>
      </c>
      <c r="H417" s="12">
        <v>30</v>
      </c>
      <c r="I417" s="12">
        <f>VENTAS[[#This Row],[Cantidad]]*VENTAS[[#This Row],[Precio Venta]]</f>
        <v>30</v>
      </c>
      <c r="J417" s="12">
        <f>IF(VENTAS[[#This Row],[Nombre del Gestor]]&gt;1,VENTAS[[#This Row],[Total]]*10%,0)</f>
        <v>0</v>
      </c>
      <c r="K417" s="12">
        <f>IFERROR(VLOOKUP(VENTAS[[#This Row],[Código del producto Vendido]],STOCK[],16,FALSE)*VENTAS[[#This Row],[Cantidad]]+VLOOKUP(VENTAS[[#This Row],[Código del producto Vendido]],STOCK[],19,FALSE)*VENTAS[[#This Row],[Cantidad]],VENTAS[[#This Row],[Total]])</f>
        <v>18.647727272727302</v>
      </c>
      <c r="L417" s="12">
        <f>VENTAS[[#This Row],[Total]]-VENTAS[[#This Row],[Comisión 10%]]-VENTAS[[#This Row],[Costo SIN Comision]]</f>
        <v>11.352272727272698</v>
      </c>
      <c r="M417" s="12"/>
      <c r="N417" s="16"/>
    </row>
    <row r="418" spans="1:14" ht="20" hidden="1" customHeight="1">
      <c r="A418" s="41" t="s">
        <v>4253</v>
      </c>
      <c r="B418" s="10"/>
      <c r="C418" s="10" t="s">
        <v>4250</v>
      </c>
      <c r="D418" s="10"/>
      <c r="E418" s="10" t="s">
        <v>1202</v>
      </c>
      <c r="F418" s="10" t="str">
        <f>IFERROR(VLOOKUP(VENTAS[[#This Row],[Código del producto Vendido]],STOCK[],5,FALSE),"-")</f>
        <v>Camisa Blanca</v>
      </c>
      <c r="G418" s="10">
        <v>1</v>
      </c>
      <c r="H418" s="12">
        <v>20</v>
      </c>
      <c r="I418" s="12">
        <f>VENTAS[[#This Row],[Cantidad]]*VENTAS[[#This Row],[Precio Venta]]</f>
        <v>20</v>
      </c>
      <c r="J418" s="12">
        <f>IF(VENTAS[[#This Row],[Nombre del Gestor]]&gt;1,VENTAS[[#This Row],[Total]]*10%,0)</f>
        <v>0</v>
      </c>
      <c r="K418" s="12">
        <f>IFERROR(VLOOKUP(VENTAS[[#This Row],[Código del producto Vendido]],STOCK[],16,FALSE)*VENTAS[[#This Row],[Cantidad]]+VLOOKUP(VENTAS[[#This Row],[Código del producto Vendido]],STOCK[],19,FALSE)*VENTAS[[#This Row],[Cantidad]],VENTAS[[#This Row],[Total]])</f>
        <v>12.9</v>
      </c>
      <c r="L418" s="12">
        <f>VENTAS[[#This Row],[Total]]-VENTAS[[#This Row],[Comisión 10%]]-VENTAS[[#This Row],[Costo SIN Comision]]</f>
        <v>7.1</v>
      </c>
      <c r="M418" s="12"/>
      <c r="N418" s="16"/>
    </row>
    <row r="419" spans="1:14" ht="20" hidden="1" customHeight="1">
      <c r="A419" s="42" t="s">
        <v>4253</v>
      </c>
      <c r="B419" s="10"/>
      <c r="C419" s="10" t="s">
        <v>4214</v>
      </c>
      <c r="D419" s="10"/>
      <c r="E419" s="10" t="s">
        <v>1204</v>
      </c>
      <c r="F419" s="10" t="str">
        <f>IFERROR(VLOOKUP(VENTAS[[#This Row],[Código del producto Vendido]],STOCK[],5,FALSE),"-")</f>
        <v>Camisa Blanca</v>
      </c>
      <c r="G419" s="10">
        <v>1</v>
      </c>
      <c r="H419" s="12">
        <v>20</v>
      </c>
      <c r="I419" s="12">
        <f>VENTAS[[#This Row],[Cantidad]]*VENTAS[[#This Row],[Precio Venta]]</f>
        <v>20</v>
      </c>
      <c r="J419" s="12">
        <f>IF(VENTAS[[#This Row],[Nombre del Gestor]]&gt;1,VENTAS[[#This Row],[Total]]*10%,0)</f>
        <v>0</v>
      </c>
      <c r="K419" s="12">
        <f>IFERROR(VLOOKUP(VENTAS[[#This Row],[Código del producto Vendido]],STOCK[],16,FALSE)*VENTAS[[#This Row],[Cantidad]]+VLOOKUP(VENTAS[[#This Row],[Código del producto Vendido]],STOCK[],19,FALSE)*VENTAS[[#This Row],[Cantidad]],VENTAS[[#This Row],[Total]])</f>
        <v>12.9</v>
      </c>
      <c r="L419" s="12">
        <f>VENTAS[[#This Row],[Total]]-VENTAS[[#This Row],[Comisión 10%]]-VENTAS[[#This Row],[Costo SIN Comision]]</f>
        <v>7.1</v>
      </c>
      <c r="M419" s="12"/>
      <c r="N419" s="16"/>
    </row>
    <row r="420" spans="1:14" ht="20" hidden="1" customHeight="1">
      <c r="A420" s="41" t="s">
        <v>4253</v>
      </c>
      <c r="B420" s="10"/>
      <c r="C420" s="10" t="s">
        <v>4214</v>
      </c>
      <c r="D420" s="10"/>
      <c r="E420" s="10" t="s">
        <v>1184</v>
      </c>
      <c r="F420" s="10" t="str">
        <f>IFERROR(VLOOKUP(VENTAS[[#This Row],[Código del producto Vendido]],STOCK[],5,FALSE),"-")</f>
        <v>Short de mezclilla clara con doblez</v>
      </c>
      <c r="G420" s="10">
        <v>1</v>
      </c>
      <c r="H420" s="12">
        <v>25</v>
      </c>
      <c r="I420" s="12">
        <f>VENTAS[[#This Row],[Cantidad]]*VENTAS[[#This Row],[Precio Venta]]</f>
        <v>25</v>
      </c>
      <c r="J420" s="12">
        <f>IF(VENTAS[[#This Row],[Nombre del Gestor]]&gt;1,VENTAS[[#This Row],[Total]]*10%,0)</f>
        <v>0</v>
      </c>
      <c r="K420" s="12">
        <f>IFERROR(VLOOKUP(VENTAS[[#This Row],[Código del producto Vendido]],STOCK[],16,FALSE)*VENTAS[[#This Row],[Cantidad]]+VLOOKUP(VENTAS[[#This Row],[Código del producto Vendido]],STOCK[],19,FALSE)*VENTAS[[#This Row],[Cantidad]],VENTAS[[#This Row],[Total]])</f>
        <v>14.29</v>
      </c>
      <c r="L420" s="12">
        <f>VENTAS[[#This Row],[Total]]-VENTAS[[#This Row],[Comisión 10%]]-VENTAS[[#This Row],[Costo SIN Comision]]</f>
        <v>10.71</v>
      </c>
      <c r="M420" s="12"/>
      <c r="N420" s="16"/>
    </row>
    <row r="421" spans="1:14" ht="20" hidden="1" customHeight="1">
      <c r="A421" s="42" t="s">
        <v>4253</v>
      </c>
      <c r="B421" s="10"/>
      <c r="C421" s="10" t="s">
        <v>4250</v>
      </c>
      <c r="D421" s="10"/>
      <c r="E421" s="10" t="s">
        <v>1123</v>
      </c>
      <c r="F421" s="10" t="str">
        <f>IFERROR(VLOOKUP(VENTAS[[#This Row],[Código del producto Vendido]],STOCK[],5,FALSE),"-")</f>
        <v>Set de lencería de encaje</v>
      </c>
      <c r="G421" s="10">
        <v>1</v>
      </c>
      <c r="H421" s="12">
        <v>15</v>
      </c>
      <c r="I421" s="12">
        <f>VENTAS[[#This Row],[Cantidad]]*VENTAS[[#This Row],[Precio Venta]]</f>
        <v>15</v>
      </c>
      <c r="J421" s="12">
        <f>IF(VENTAS[[#This Row],[Nombre del Gestor]]&gt;1,VENTAS[[#This Row],[Total]]*10%,0)</f>
        <v>0</v>
      </c>
      <c r="K421" s="12">
        <f>IFERROR(VLOOKUP(VENTAS[[#This Row],[Código del producto Vendido]],STOCK[],16,FALSE)*VENTAS[[#This Row],[Cantidad]]+VLOOKUP(VENTAS[[#This Row],[Código del producto Vendido]],STOCK[],19,FALSE)*VENTAS[[#This Row],[Cantidad]],VENTAS[[#This Row],[Total]])</f>
        <v>7.1088235294117599</v>
      </c>
      <c r="L421" s="12">
        <f>VENTAS[[#This Row],[Total]]-VENTAS[[#This Row],[Comisión 10%]]-VENTAS[[#This Row],[Costo SIN Comision]]</f>
        <v>7.8911764705882401</v>
      </c>
      <c r="M421" s="12"/>
      <c r="N421" s="16"/>
    </row>
    <row r="422" spans="1:14" ht="20" hidden="1" customHeight="1">
      <c r="A422" s="41" t="s">
        <v>4253</v>
      </c>
      <c r="B422" s="10"/>
      <c r="C422" s="10" t="s">
        <v>4214</v>
      </c>
      <c r="D422" s="10"/>
      <c r="E422" s="10" t="s">
        <v>1006</v>
      </c>
      <c r="F422" s="10" t="str">
        <f>IFERROR(VLOOKUP(VENTAS[[#This Row],[Código del producto Vendido]],STOCK[],5,FALSE),"-")</f>
        <v>Bañador una pieza con estampado de planta cremallera</v>
      </c>
      <c r="G422" s="10">
        <v>1</v>
      </c>
      <c r="H422" s="12">
        <v>25</v>
      </c>
      <c r="I422" s="12">
        <f>VENTAS[[#This Row],[Cantidad]]*VENTAS[[#This Row],[Precio Venta]]</f>
        <v>25</v>
      </c>
      <c r="J422" s="12">
        <f>IF(VENTAS[[#This Row],[Nombre del Gestor]]&gt;1,VENTAS[[#This Row],[Total]]*10%,0)</f>
        <v>0</v>
      </c>
      <c r="K422" s="12">
        <f>IFERROR(VLOOKUP(VENTAS[[#This Row],[Código del producto Vendido]],STOCK[],16,FALSE)*VENTAS[[#This Row],[Cantidad]]+VLOOKUP(VENTAS[[#This Row],[Código del producto Vendido]],STOCK[],19,FALSE)*VENTAS[[#This Row],[Cantidad]],VENTAS[[#This Row],[Total]])</f>
        <v>14.645454545454539</v>
      </c>
      <c r="L422" s="12">
        <f>VENTAS[[#This Row],[Total]]-VENTAS[[#This Row],[Comisión 10%]]-VENTAS[[#This Row],[Costo SIN Comision]]</f>
        <v>10.354545454545461</v>
      </c>
      <c r="M422" s="12"/>
      <c r="N422" s="16"/>
    </row>
    <row r="423" spans="1:14" ht="20" hidden="1" customHeight="1">
      <c r="A423" s="42" t="s">
        <v>4253</v>
      </c>
      <c r="B423" s="10"/>
      <c r="C423" s="10" t="s">
        <v>4215</v>
      </c>
      <c r="D423" s="10"/>
      <c r="E423" s="10" t="s">
        <v>1253</v>
      </c>
      <c r="F423" s="10" t="str">
        <f>IFERROR(VLOOKUP(VENTAS[[#This Row],[Código del producto Vendido]],STOCK[],5,FALSE),"-")</f>
        <v>Pantaloneta verde</v>
      </c>
      <c r="G423" s="10">
        <v>1</v>
      </c>
      <c r="H423" s="12">
        <v>18.52</v>
      </c>
      <c r="I423" s="12">
        <f>VENTAS[[#This Row],[Cantidad]]*VENTAS[[#This Row],[Precio Venta]]</f>
        <v>18.52</v>
      </c>
      <c r="J423" s="12">
        <f>IF(VENTAS[[#This Row],[Nombre del Gestor]]&gt;1,VENTAS[[#This Row],[Total]]*10%,0)</f>
        <v>0</v>
      </c>
      <c r="K423" s="12">
        <f>IFERROR(VLOOKUP(VENTAS[[#This Row],[Código del producto Vendido]],STOCK[],16,FALSE)*VENTAS[[#This Row],[Cantidad]]+VLOOKUP(VENTAS[[#This Row],[Código del producto Vendido]],STOCK[],19,FALSE)*VENTAS[[#This Row],[Cantidad]],VENTAS[[#This Row],[Total]])</f>
        <v>18.3</v>
      </c>
      <c r="L423" s="12">
        <f>VENTAS[[#This Row],[Total]]-VENTAS[[#This Row],[Comisión 10%]]-VENTAS[[#This Row],[Costo SIN Comision]]</f>
        <v>0.21999999999999886</v>
      </c>
      <c r="M423" s="12"/>
      <c r="N423" s="16"/>
    </row>
    <row r="424" spans="1:14" ht="20" hidden="1" customHeight="1">
      <c r="A424" s="41" t="s">
        <v>4253</v>
      </c>
      <c r="B424" s="10"/>
      <c r="C424" s="10" t="s">
        <v>4250</v>
      </c>
      <c r="D424" s="10"/>
      <c r="E424" s="10" t="s">
        <v>1271</v>
      </c>
      <c r="F424" s="10" t="str">
        <f>IFERROR(VLOOKUP(VENTAS[[#This Row],[Código del producto Vendido]],STOCK[],5,FALSE),"-")</f>
        <v>Top blanco cuello V con encaje</v>
      </c>
      <c r="G424" s="10">
        <v>1</v>
      </c>
      <c r="H424" s="12">
        <v>12</v>
      </c>
      <c r="I424" s="12">
        <f>VENTAS[[#This Row],[Cantidad]]*VENTAS[[#This Row],[Precio Venta]]</f>
        <v>12</v>
      </c>
      <c r="J424" s="12">
        <f>IF(VENTAS[[#This Row],[Nombre del Gestor]]&gt;1,VENTAS[[#This Row],[Total]]*10%,0)</f>
        <v>0</v>
      </c>
      <c r="K424" s="12">
        <f>IFERROR(VLOOKUP(VENTAS[[#This Row],[Código del producto Vendido]],STOCK[],16,FALSE)*VENTAS[[#This Row],[Cantidad]]+VLOOKUP(VENTAS[[#This Row],[Código del producto Vendido]],STOCK[],19,FALSE)*VENTAS[[#This Row],[Cantidad]],VENTAS[[#This Row],[Total]])</f>
        <v>7.97</v>
      </c>
      <c r="L424" s="12">
        <f>VENTAS[[#This Row],[Total]]-VENTAS[[#This Row],[Comisión 10%]]-VENTAS[[#This Row],[Costo SIN Comision]]</f>
        <v>4.03</v>
      </c>
      <c r="M424" s="12"/>
      <c r="N424" s="16"/>
    </row>
    <row r="425" spans="1:14" ht="20" hidden="1" customHeight="1">
      <c r="A425" s="42" t="s">
        <v>4253</v>
      </c>
      <c r="B425" s="10"/>
      <c r="C425" s="10" t="s">
        <v>4250</v>
      </c>
      <c r="D425" s="10"/>
      <c r="E425" s="10" t="s">
        <v>1279</v>
      </c>
      <c r="F425" s="10" t="str">
        <f>IFERROR(VLOOKUP(VENTAS[[#This Row],[Código del producto Vendido]],STOCK[],5,FALSE),"-")</f>
        <v>Top negro  cuello V con encaje</v>
      </c>
      <c r="G425" s="10">
        <v>1</v>
      </c>
      <c r="H425" s="12">
        <v>12</v>
      </c>
      <c r="I425" s="12">
        <f>VENTAS[[#This Row],[Cantidad]]*VENTAS[[#This Row],[Precio Venta]]</f>
        <v>12</v>
      </c>
      <c r="J425" s="12">
        <f>IF(VENTAS[[#This Row],[Nombre del Gestor]]&gt;1,VENTAS[[#This Row],[Total]]*10%,0)</f>
        <v>0</v>
      </c>
      <c r="K425" s="12">
        <f>IFERROR(VLOOKUP(VENTAS[[#This Row],[Código del producto Vendido]],STOCK[],16,FALSE)*VENTAS[[#This Row],[Cantidad]]+VLOOKUP(VENTAS[[#This Row],[Código del producto Vendido]],STOCK[],19,FALSE)*VENTAS[[#This Row],[Cantidad]],VENTAS[[#This Row],[Total]])</f>
        <v>8.09</v>
      </c>
      <c r="L425" s="12">
        <f>VENTAS[[#This Row],[Total]]-VENTAS[[#This Row],[Comisión 10%]]-VENTAS[[#This Row],[Costo SIN Comision]]</f>
        <v>3.91</v>
      </c>
      <c r="M425" s="12"/>
      <c r="N425" s="16"/>
    </row>
    <row r="426" spans="1:14" ht="20" hidden="1" customHeight="1">
      <c r="A426" s="41" t="s">
        <v>4253</v>
      </c>
      <c r="B426" s="10"/>
      <c r="C426" s="10" t="s">
        <v>4250</v>
      </c>
      <c r="D426" s="10"/>
      <c r="E426" s="10" t="s">
        <v>1255</v>
      </c>
      <c r="F426" s="10" t="str">
        <f>IFERROR(VLOOKUP(VENTAS[[#This Row],[Código del producto Vendido]],STOCK[],5,FALSE),"-")</f>
        <v>Pantaloneta verde</v>
      </c>
      <c r="G426" s="10">
        <v>1</v>
      </c>
      <c r="H426" s="12">
        <v>25</v>
      </c>
      <c r="I426" s="12">
        <f>VENTAS[[#This Row],[Cantidad]]*VENTAS[[#This Row],[Precio Venta]]</f>
        <v>25</v>
      </c>
      <c r="J426" s="12">
        <f>IF(VENTAS[[#This Row],[Nombre del Gestor]]&gt;1,VENTAS[[#This Row],[Total]]*10%,0)</f>
        <v>0</v>
      </c>
      <c r="K426" s="12">
        <f>IFERROR(VLOOKUP(VENTAS[[#This Row],[Código del producto Vendido]],STOCK[],16,FALSE)*VENTAS[[#This Row],[Cantidad]]+VLOOKUP(VENTAS[[#This Row],[Código del producto Vendido]],STOCK[],19,FALSE)*VENTAS[[#This Row],[Cantidad]],VENTAS[[#This Row],[Total]])</f>
        <v>18.3</v>
      </c>
      <c r="L426" s="12">
        <f>VENTAS[[#This Row],[Total]]-VENTAS[[#This Row],[Comisión 10%]]-VENTAS[[#This Row],[Costo SIN Comision]]</f>
        <v>6.6999999999999993</v>
      </c>
      <c r="M426" s="12"/>
      <c r="N426" s="16"/>
    </row>
    <row r="427" spans="1:14" ht="20" hidden="1" customHeight="1">
      <c r="A427" s="42" t="s">
        <v>4253</v>
      </c>
      <c r="B427" s="10"/>
      <c r="C427" s="10" t="s">
        <v>4250</v>
      </c>
      <c r="D427" s="10"/>
      <c r="E427" s="10" t="s">
        <v>1101</v>
      </c>
      <c r="F427" s="10" t="str">
        <f>IFERROR(VLOOKUP(VENTAS[[#This Row],[Código del producto Vendido]],STOCK[],5,FALSE),"-")</f>
        <v>Sandalias crema</v>
      </c>
      <c r="G427" s="10">
        <v>1</v>
      </c>
      <c r="H427" s="12">
        <v>35</v>
      </c>
      <c r="I427" s="12">
        <f>VENTAS[[#This Row],[Cantidad]]*VENTAS[[#This Row],[Precio Venta]]</f>
        <v>35</v>
      </c>
      <c r="J427" s="12">
        <f>IF(VENTAS[[#This Row],[Nombre del Gestor]]&gt;1,VENTAS[[#This Row],[Total]]*10%,0)</f>
        <v>0</v>
      </c>
      <c r="K427" s="12">
        <f>IFERROR(VLOOKUP(VENTAS[[#This Row],[Código del producto Vendido]],STOCK[],16,FALSE)*VENTAS[[#This Row],[Cantidad]]+VLOOKUP(VENTAS[[#This Row],[Código del producto Vendido]],STOCK[],19,FALSE)*VENTAS[[#This Row],[Cantidad]],VENTAS[[#This Row],[Total]])</f>
        <v>26.852941176470601</v>
      </c>
      <c r="L427" s="12">
        <f>VENTAS[[#This Row],[Total]]-VENTAS[[#This Row],[Comisión 10%]]-VENTAS[[#This Row],[Costo SIN Comision]]</f>
        <v>8.1470588235293988</v>
      </c>
      <c r="M427" s="12"/>
      <c r="N427" s="16"/>
    </row>
    <row r="428" spans="1:14" ht="20" hidden="1" customHeight="1">
      <c r="A428" s="41" t="s">
        <v>4254</v>
      </c>
      <c r="B428" s="10"/>
      <c r="C428" s="10" t="s">
        <v>4255</v>
      </c>
      <c r="D428" s="10"/>
      <c r="E428" s="10" t="s">
        <v>1113</v>
      </c>
      <c r="F428" s="10" t="str">
        <f>IFERROR(VLOOKUP(VENTAS[[#This Row],[Código del producto Vendido]],STOCK[],5,FALSE),"-")</f>
        <v>Bolso de mimbre</v>
      </c>
      <c r="G428" s="10">
        <v>1</v>
      </c>
      <c r="H428" s="12">
        <v>12</v>
      </c>
      <c r="I428" s="12">
        <f>VENTAS[[#This Row],[Cantidad]]*VENTAS[[#This Row],[Precio Venta]]</f>
        <v>12</v>
      </c>
      <c r="J428" s="12">
        <f>IF(VENTAS[[#This Row],[Nombre del Gestor]]&gt;1,VENTAS[[#This Row],[Total]]*10%,0)</f>
        <v>0</v>
      </c>
      <c r="K428" s="12">
        <f>IFERROR(VLOOKUP(VENTAS[[#This Row],[Código del producto Vendido]],STOCK[],16,FALSE)*VENTAS[[#This Row],[Cantidad]]+VLOOKUP(VENTAS[[#This Row],[Código del producto Vendido]],STOCK[],19,FALSE)*VENTAS[[#This Row],[Cantidad]],VENTAS[[#This Row],[Total]])</f>
        <v>11.828676470588242</v>
      </c>
      <c r="L428" s="12">
        <f>VENTAS[[#This Row],[Total]]-VENTAS[[#This Row],[Comisión 10%]]-VENTAS[[#This Row],[Costo SIN Comision]]</f>
        <v>0.1713235294117581</v>
      </c>
      <c r="M428" s="12"/>
      <c r="N428" s="16"/>
    </row>
    <row r="429" spans="1:14" ht="20" hidden="1" customHeight="1">
      <c r="A429" s="42" t="s">
        <v>4254</v>
      </c>
      <c r="B429" s="10"/>
      <c r="C429" s="10" t="s">
        <v>4255</v>
      </c>
      <c r="D429" s="10"/>
      <c r="E429" s="10" t="s">
        <v>617</v>
      </c>
      <c r="F429" s="10" t="str">
        <f>IFERROR(VLOOKUP(VENTAS[[#This Row],[Código del producto Vendido]],STOCK[],5,FALSE),"-")</f>
        <v xml:space="preserve">Cinturón trenzado </v>
      </c>
      <c r="G429" s="10">
        <v>1</v>
      </c>
      <c r="H429" s="12">
        <v>10</v>
      </c>
      <c r="I429" s="12">
        <f>VENTAS[[#This Row],[Cantidad]]*VENTAS[[#This Row],[Precio Venta]]</f>
        <v>10</v>
      </c>
      <c r="J429" s="12">
        <f>IF(VENTAS[[#This Row],[Nombre del Gestor]]&gt;1,VENTAS[[#This Row],[Total]]*10%,0)</f>
        <v>0</v>
      </c>
      <c r="K429" s="12">
        <f>IFERROR(VLOOKUP(VENTAS[[#This Row],[Código del producto Vendido]],STOCK[],16,FALSE)*VENTAS[[#This Row],[Cantidad]]+VLOOKUP(VENTAS[[#This Row],[Código del producto Vendido]],STOCK[],19,FALSE)*VENTAS[[#This Row],[Cantidad]],VENTAS[[#This Row],[Total]])</f>
        <v>4.1500000000000004</v>
      </c>
      <c r="L429" s="12">
        <f>VENTAS[[#This Row],[Total]]-VENTAS[[#This Row],[Comisión 10%]]-VENTAS[[#This Row],[Costo SIN Comision]]</f>
        <v>5.85</v>
      </c>
      <c r="M429" s="12"/>
      <c r="N429" s="16"/>
    </row>
    <row r="430" spans="1:14" ht="20" hidden="1" customHeight="1">
      <c r="A430" s="41" t="s">
        <v>4256</v>
      </c>
      <c r="B430" s="10"/>
      <c r="C430" s="10" t="s">
        <v>4214</v>
      </c>
      <c r="D430" s="10"/>
      <c r="E430" s="10" t="s">
        <v>868</v>
      </c>
      <c r="F430" s="10" t="str">
        <f>IFERROR(VLOOKUP(VENTAS[[#This Row],[Código del producto Vendido]],STOCK[],5,FALSE),"-")</f>
        <v>Bikini push up</v>
      </c>
      <c r="G430" s="10">
        <v>1</v>
      </c>
      <c r="H430" s="12"/>
      <c r="I430" s="12">
        <f>VENTAS[[#This Row],[Cantidad]]*VENTAS[[#This Row],[Precio Venta]]</f>
        <v>0</v>
      </c>
      <c r="J430" s="12">
        <f>IF(VENTAS[[#This Row],[Nombre del Gestor]]&gt;1,VENTAS[[#This Row],[Total]]*10%,0)</f>
        <v>0</v>
      </c>
      <c r="K430" s="12">
        <f>IFERROR(VLOOKUP(VENTAS[[#This Row],[Código del producto Vendido]],STOCK[],16,FALSE)*VENTAS[[#This Row],[Cantidad]]+VLOOKUP(VENTAS[[#This Row],[Código del producto Vendido]],STOCK[],19,FALSE)*VENTAS[[#This Row],[Cantidad]],VENTAS[[#This Row],[Total]])</f>
        <v>10.33333333333333</v>
      </c>
      <c r="L430" s="12">
        <f>VENTAS[[#This Row],[Total]]-VENTAS[[#This Row],[Comisión 10%]]-VENTAS[[#This Row],[Costo SIN Comision]]</f>
        <v>-10.33333333333333</v>
      </c>
      <c r="M430" s="12"/>
      <c r="N430" s="16"/>
    </row>
    <row r="431" spans="1:14" ht="20" hidden="1" customHeight="1">
      <c r="A431" s="41" t="s">
        <v>4257</v>
      </c>
      <c r="B431" s="10"/>
      <c r="C431" s="10" t="s">
        <v>4258</v>
      </c>
      <c r="D431" s="10"/>
      <c r="E431" s="10" t="s">
        <v>692</v>
      </c>
      <c r="F431" s="10" t="str">
        <f>IFERROR(VLOOKUP(VENTAS[[#This Row],[Código del producto Vendido]],STOCK[],5,FALSE),"-")</f>
        <v>Vestido con estampado de cereza</v>
      </c>
      <c r="G431" s="10">
        <v>1</v>
      </c>
      <c r="H431" s="12">
        <v>5</v>
      </c>
      <c r="I431" s="12">
        <f>VENTAS[[#This Row],[Cantidad]]*VENTAS[[#This Row],[Precio Venta]]</f>
        <v>5</v>
      </c>
      <c r="J431" s="12">
        <f>IF(VENTAS[[#This Row],[Nombre del Gestor]]&gt;1,VENTAS[[#This Row],[Total]]*10%,0)</f>
        <v>0</v>
      </c>
      <c r="K431" s="12">
        <f>IFERROR(VLOOKUP(VENTAS[[#This Row],[Código del producto Vendido]],STOCK[],16,FALSE)*VENTAS[[#This Row],[Cantidad]]+VLOOKUP(VENTAS[[#This Row],[Código del producto Vendido]],STOCK[],19,FALSE)*VENTAS[[#This Row],[Cantidad]],VENTAS[[#This Row],[Total]])</f>
        <v>6.8833333333333302</v>
      </c>
      <c r="L431" s="12">
        <f>VENTAS[[#This Row],[Total]]-VENTAS[[#This Row],[Comisión 10%]]-VENTAS[[#This Row],[Costo SIN Comision]]</f>
        <v>-1.8833333333333302</v>
      </c>
      <c r="M431" s="12"/>
      <c r="N431" s="16"/>
    </row>
    <row r="432" spans="1:14" ht="20" hidden="1" customHeight="1">
      <c r="A432" s="42" t="s">
        <v>4257</v>
      </c>
      <c r="B432" s="10"/>
      <c r="C432" s="10" t="s">
        <v>4259</v>
      </c>
      <c r="D432" s="10"/>
      <c r="E432" s="10" t="s">
        <v>692</v>
      </c>
      <c r="F432" s="10" t="str">
        <f>IFERROR(VLOOKUP(VENTAS[[#This Row],[Código del producto Vendido]],STOCK[],5,FALSE),"-")</f>
        <v>Vestido con estampado de cereza</v>
      </c>
      <c r="G432" s="10">
        <v>1</v>
      </c>
      <c r="H432" s="12">
        <v>5</v>
      </c>
      <c r="I432" s="12">
        <f>VENTAS[[#This Row],[Cantidad]]*VENTAS[[#This Row],[Precio Venta]]</f>
        <v>5</v>
      </c>
      <c r="J432" s="12">
        <f>IF(VENTAS[[#This Row],[Nombre del Gestor]]&gt;1,VENTAS[[#This Row],[Total]]*10%,0)</f>
        <v>0</v>
      </c>
      <c r="K432" s="12">
        <f>IFERROR(VLOOKUP(VENTAS[[#This Row],[Código del producto Vendido]],STOCK[],16,FALSE)*VENTAS[[#This Row],[Cantidad]]+VLOOKUP(VENTAS[[#This Row],[Código del producto Vendido]],STOCK[],19,FALSE)*VENTAS[[#This Row],[Cantidad]],VENTAS[[#This Row],[Total]])</f>
        <v>6.8833333333333302</v>
      </c>
      <c r="L432" s="12">
        <f>VENTAS[[#This Row],[Total]]-VENTAS[[#This Row],[Comisión 10%]]-VENTAS[[#This Row],[Costo SIN Comision]]</f>
        <v>-1.8833333333333302</v>
      </c>
      <c r="M432" s="12"/>
      <c r="N432" s="16"/>
    </row>
    <row r="433" spans="1:14" ht="20" hidden="1" customHeight="1">
      <c r="A433" s="41" t="s">
        <v>4257</v>
      </c>
      <c r="B433" s="10"/>
      <c r="C433" s="10" t="s">
        <v>4260</v>
      </c>
      <c r="D433" s="10"/>
      <c r="E433" s="10" t="s">
        <v>1293</v>
      </c>
      <c r="F433" s="10" t="str">
        <f>IFERROR(VLOOKUP(VENTAS[[#This Row],[Código del producto Vendido]],STOCK[],5,FALSE),"-")</f>
        <v xml:space="preserve">Jean skinny oscuro </v>
      </c>
      <c r="G433" s="10">
        <v>1</v>
      </c>
      <c r="H433" s="12">
        <v>35</v>
      </c>
      <c r="I433" s="12">
        <f>VENTAS[[#This Row],[Cantidad]]*VENTAS[[#This Row],[Precio Venta]]</f>
        <v>35</v>
      </c>
      <c r="J433" s="12">
        <f>IF(VENTAS[[#This Row],[Nombre del Gestor]]&gt;1,VENTAS[[#This Row],[Total]]*10%,0)</f>
        <v>0</v>
      </c>
      <c r="K433" s="12">
        <f>IFERROR(VLOOKUP(VENTAS[[#This Row],[Código del producto Vendido]],STOCK[],16,FALSE)*VENTAS[[#This Row],[Cantidad]]+VLOOKUP(VENTAS[[#This Row],[Código del producto Vendido]],STOCK[],19,FALSE)*VENTAS[[#This Row],[Cantidad]],VENTAS[[#This Row],[Total]])</f>
        <v>20.79</v>
      </c>
      <c r="L433" s="12">
        <f>VENTAS[[#This Row],[Total]]-VENTAS[[#This Row],[Comisión 10%]]-VENTAS[[#This Row],[Costo SIN Comision]]</f>
        <v>14.21</v>
      </c>
      <c r="M433" s="12"/>
      <c r="N433" s="16"/>
    </row>
    <row r="434" spans="1:14" ht="20" hidden="1" customHeight="1">
      <c r="A434" s="42" t="s">
        <v>4257</v>
      </c>
      <c r="B434" s="10"/>
      <c r="C434" s="10" t="s">
        <v>4260</v>
      </c>
      <c r="D434" s="10"/>
      <c r="E434" s="10" t="s">
        <v>543</v>
      </c>
      <c r="F434" s="10" t="str">
        <f>IFERROR(VLOOKUP(VENTAS[[#This Row],[Código del producto Vendido]],STOCK[],5,FALSE),"-")</f>
        <v xml:space="preserve">Body de un hombro manga farol </v>
      </c>
      <c r="G434" s="10">
        <v>1</v>
      </c>
      <c r="H434" s="12">
        <v>14</v>
      </c>
      <c r="I434" s="12">
        <f>VENTAS[[#This Row],[Cantidad]]*VENTAS[[#This Row],[Precio Venta]]</f>
        <v>14</v>
      </c>
      <c r="J434" s="12">
        <f>IF(VENTAS[[#This Row],[Nombre del Gestor]]&gt;1,VENTAS[[#This Row],[Total]]*10%,0)</f>
        <v>0</v>
      </c>
      <c r="K434" s="12">
        <f>IFERROR(VLOOKUP(VENTAS[[#This Row],[Código del producto Vendido]],STOCK[],16,FALSE)*VENTAS[[#This Row],[Cantidad]]+VLOOKUP(VENTAS[[#This Row],[Código del producto Vendido]],STOCK[],19,FALSE)*VENTAS[[#This Row],[Cantidad]],VENTAS[[#This Row],[Total]])</f>
        <v>10.40444444444444</v>
      </c>
      <c r="L434" s="12">
        <f>VENTAS[[#This Row],[Total]]-VENTAS[[#This Row],[Comisión 10%]]-VENTAS[[#This Row],[Costo SIN Comision]]</f>
        <v>3.5955555555555598</v>
      </c>
      <c r="M434" s="12"/>
      <c r="N434" s="16"/>
    </row>
    <row r="435" spans="1:14" ht="20" hidden="1" customHeight="1">
      <c r="A435" s="41" t="s">
        <v>4257</v>
      </c>
      <c r="B435" s="10"/>
      <c r="C435" s="10" t="s">
        <v>4260</v>
      </c>
      <c r="D435" s="10"/>
      <c r="E435" s="10" t="s">
        <v>931</v>
      </c>
      <c r="F435" s="10" t="str">
        <f>IFERROR(VLOOKUP(VENTAS[[#This Row],[Código del producto Vendido]],STOCK[],5,FALSE),"-")</f>
        <v>Falda de trabajo</v>
      </c>
      <c r="G435" s="10">
        <v>1</v>
      </c>
      <c r="H435" s="12">
        <v>15</v>
      </c>
      <c r="I435" s="12">
        <f>VENTAS[[#This Row],[Cantidad]]*VENTAS[[#This Row],[Precio Venta]]</f>
        <v>15</v>
      </c>
      <c r="J435" s="12">
        <f>IF(VENTAS[[#This Row],[Nombre del Gestor]]&gt;1,VENTAS[[#This Row],[Total]]*10%,0)</f>
        <v>0</v>
      </c>
      <c r="K435" s="12">
        <f>IFERROR(VLOOKUP(VENTAS[[#This Row],[Código del producto Vendido]],STOCK[],16,FALSE)*VENTAS[[#This Row],[Cantidad]]+VLOOKUP(VENTAS[[#This Row],[Código del producto Vendido]],STOCK[],19,FALSE)*VENTAS[[#This Row],[Cantidad]],VENTAS[[#This Row],[Total]])</f>
        <v>7.8336363636363604</v>
      </c>
      <c r="L435" s="12">
        <f>VENTAS[[#This Row],[Total]]-VENTAS[[#This Row],[Comisión 10%]]-VENTAS[[#This Row],[Costo SIN Comision]]</f>
        <v>7.1663636363636396</v>
      </c>
      <c r="M435" s="12"/>
      <c r="N435" s="16"/>
    </row>
    <row r="436" spans="1:14" ht="20" hidden="1" customHeight="1">
      <c r="A436" s="42" t="s">
        <v>4257</v>
      </c>
      <c r="B436" s="10"/>
      <c r="C436" s="10" t="s">
        <v>4260</v>
      </c>
      <c r="D436" s="10"/>
      <c r="E436" s="10" t="s">
        <v>741</v>
      </c>
      <c r="F436" s="10" t="str">
        <f>IFERROR(VLOOKUP(VENTAS[[#This Row],[Código del producto Vendido]],STOCK[],5,FALSE),"-")</f>
        <v>Sostén Push-up</v>
      </c>
      <c r="G436" s="10">
        <v>1</v>
      </c>
      <c r="H436" s="12">
        <v>15</v>
      </c>
      <c r="I436" s="12">
        <f>VENTAS[[#This Row],[Cantidad]]*VENTAS[[#This Row],[Precio Venta]]</f>
        <v>15</v>
      </c>
      <c r="J436" s="12">
        <f>IF(VENTAS[[#This Row],[Nombre del Gestor]]&gt;1,VENTAS[[#This Row],[Total]]*10%,0)</f>
        <v>0</v>
      </c>
      <c r="K436" s="12">
        <f>IFERROR(VLOOKUP(VENTAS[[#This Row],[Código del producto Vendido]],STOCK[],16,FALSE)*VENTAS[[#This Row],[Cantidad]]+VLOOKUP(VENTAS[[#This Row],[Código del producto Vendido]],STOCK[],19,FALSE)*VENTAS[[#This Row],[Cantidad]],VENTAS[[#This Row],[Total]])</f>
        <v>11.133333333333301</v>
      </c>
      <c r="L436" s="12">
        <f>VENTAS[[#This Row],[Total]]-VENTAS[[#This Row],[Comisión 10%]]-VENTAS[[#This Row],[Costo SIN Comision]]</f>
        <v>3.8666666666666991</v>
      </c>
      <c r="M436" s="12"/>
      <c r="N436" s="16"/>
    </row>
    <row r="437" spans="1:14" ht="20" hidden="1" customHeight="1">
      <c r="A437" s="41" t="s">
        <v>4257</v>
      </c>
      <c r="B437" s="10"/>
      <c r="C437" s="10" t="s">
        <v>4214</v>
      </c>
      <c r="D437" s="10"/>
      <c r="E437" s="10" t="s">
        <v>803</v>
      </c>
      <c r="F437" s="10" t="str">
        <f>IFERROR(VLOOKUP(VENTAS[[#This Row],[Código del producto Vendido]],STOCK[],5,FALSE),"-")</f>
        <v>Vestido slip satinado</v>
      </c>
      <c r="G437" s="10">
        <v>1</v>
      </c>
      <c r="H437" s="12">
        <v>0</v>
      </c>
      <c r="I437" s="12">
        <f>VENTAS[[#This Row],[Cantidad]]*VENTAS[[#This Row],[Precio Venta]]</f>
        <v>0</v>
      </c>
      <c r="J437" s="12">
        <f>IF(VENTAS[[#This Row],[Nombre del Gestor]]&gt;1,VENTAS[[#This Row],[Total]]*10%,0)</f>
        <v>0</v>
      </c>
      <c r="K437" s="12">
        <f>IFERROR(VLOOKUP(VENTAS[[#This Row],[Código del producto Vendido]],STOCK[],16,FALSE)*VENTAS[[#This Row],[Cantidad]]+VLOOKUP(VENTAS[[#This Row],[Código del producto Vendido]],STOCK[],19,FALSE)*VENTAS[[#This Row],[Cantidad]],VENTAS[[#This Row],[Total]])</f>
        <v>8.5</v>
      </c>
      <c r="L437" s="12">
        <f>VENTAS[[#This Row],[Total]]-VENTAS[[#This Row],[Comisión 10%]]-VENTAS[[#This Row],[Costo SIN Comision]]</f>
        <v>-8.5</v>
      </c>
      <c r="M437" s="12"/>
      <c r="N437" s="16"/>
    </row>
    <row r="438" spans="1:14" ht="20" hidden="1" customHeight="1">
      <c r="A438" s="42" t="s">
        <v>4257</v>
      </c>
      <c r="B438" s="10"/>
      <c r="C438" s="10" t="s">
        <v>4214</v>
      </c>
      <c r="D438" s="10"/>
      <c r="E438" s="10" t="s">
        <v>642</v>
      </c>
      <c r="F438" s="10" t="str">
        <f>IFERROR(VLOOKUP(VENTAS[[#This Row],[Código del producto Vendido]],STOCK[],5,FALSE),"-")</f>
        <v>Vestido con estampado floral</v>
      </c>
      <c r="G438" s="10">
        <v>1</v>
      </c>
      <c r="H438" s="12">
        <v>15</v>
      </c>
      <c r="I438" s="12">
        <f>VENTAS[[#This Row],[Cantidad]]*VENTAS[[#This Row],[Precio Venta]]</f>
        <v>15</v>
      </c>
      <c r="J438" s="12">
        <f>IF(VENTAS[[#This Row],[Nombre del Gestor]]&gt;1,VENTAS[[#This Row],[Total]]*10%,0)</f>
        <v>0</v>
      </c>
      <c r="K438" s="12">
        <f>IFERROR(VLOOKUP(VENTAS[[#This Row],[Código del producto Vendido]],STOCK[],16,FALSE)*VENTAS[[#This Row],[Cantidad]]+VLOOKUP(VENTAS[[#This Row],[Código del producto Vendido]],STOCK[],19,FALSE)*VENTAS[[#This Row],[Cantidad]],VENTAS[[#This Row],[Total]])</f>
        <v>10.72222222222222</v>
      </c>
      <c r="L438" s="12">
        <f>VENTAS[[#This Row],[Total]]-VENTAS[[#This Row],[Comisión 10%]]-VENTAS[[#This Row],[Costo SIN Comision]]</f>
        <v>4.2777777777777803</v>
      </c>
      <c r="M438" s="12"/>
      <c r="N438" s="16"/>
    </row>
    <row r="439" spans="1:14" ht="20" hidden="1" customHeight="1">
      <c r="A439" s="41" t="s">
        <v>4257</v>
      </c>
      <c r="B439" s="10"/>
      <c r="C439" s="10" t="s">
        <v>4214</v>
      </c>
      <c r="D439" s="10"/>
      <c r="E439" s="10" t="s">
        <v>640</v>
      </c>
      <c r="F439" s="10" t="str">
        <f>IFERROR(VLOOKUP(VENTAS[[#This Row],[Código del producto Vendido]],STOCK[],5,FALSE),"-")</f>
        <v>Vestido con estampado floral</v>
      </c>
      <c r="G439" s="10">
        <v>3</v>
      </c>
      <c r="H439" s="12">
        <v>15</v>
      </c>
      <c r="I439" s="12">
        <f>VENTAS[[#This Row],[Cantidad]]*VENTAS[[#This Row],[Precio Venta]]</f>
        <v>45</v>
      </c>
      <c r="J439" s="12">
        <f>IF(VENTAS[[#This Row],[Nombre del Gestor]]&gt;1,VENTAS[[#This Row],[Total]]*10%,0)</f>
        <v>0</v>
      </c>
      <c r="K439" s="12">
        <f>IFERROR(VLOOKUP(VENTAS[[#This Row],[Código del producto Vendido]],STOCK[],16,FALSE)*VENTAS[[#This Row],[Cantidad]]+VLOOKUP(VENTAS[[#This Row],[Código del producto Vendido]],STOCK[],19,FALSE)*VENTAS[[#This Row],[Cantidad]],VENTAS[[#This Row],[Total]])</f>
        <v>32.166666666666657</v>
      </c>
      <c r="L439" s="12">
        <f>VENTAS[[#This Row],[Total]]-VENTAS[[#This Row],[Comisión 10%]]-VENTAS[[#This Row],[Costo SIN Comision]]</f>
        <v>12.833333333333343</v>
      </c>
      <c r="M439" s="12"/>
      <c r="N439" s="16"/>
    </row>
    <row r="440" spans="1:14" ht="20" hidden="1" customHeight="1">
      <c r="A440" s="42" t="s">
        <v>4257</v>
      </c>
      <c r="B440" s="10"/>
      <c r="C440" s="10" t="s">
        <v>4214</v>
      </c>
      <c r="D440" s="10"/>
      <c r="E440" s="10" t="s">
        <v>634</v>
      </c>
      <c r="F440" s="10" t="str">
        <f>IFERROR(VLOOKUP(VENTAS[[#This Row],[Código del producto Vendido]],STOCK[],5,FALSE),"-")</f>
        <v>Vestido floral con abertura trasera</v>
      </c>
      <c r="G440" s="10">
        <v>3</v>
      </c>
      <c r="H440" s="12">
        <v>15</v>
      </c>
      <c r="I440" s="12">
        <f>VENTAS[[#This Row],[Cantidad]]*VENTAS[[#This Row],[Precio Venta]]</f>
        <v>45</v>
      </c>
      <c r="J440" s="12">
        <f>IF(VENTAS[[#This Row],[Nombre del Gestor]]&gt;1,VENTAS[[#This Row],[Total]]*10%,0)</f>
        <v>0</v>
      </c>
      <c r="K440" s="12">
        <f>IFERROR(VLOOKUP(VENTAS[[#This Row],[Código del producto Vendido]],STOCK[],16,FALSE)*VENTAS[[#This Row],[Cantidad]]+VLOOKUP(VENTAS[[#This Row],[Código del producto Vendido]],STOCK[],19,FALSE)*VENTAS[[#This Row],[Cantidad]],VENTAS[[#This Row],[Total]])</f>
        <v>32.166666666666657</v>
      </c>
      <c r="L440" s="12">
        <f>VENTAS[[#This Row],[Total]]-VENTAS[[#This Row],[Comisión 10%]]-VENTAS[[#This Row],[Costo SIN Comision]]</f>
        <v>12.833333333333343</v>
      </c>
      <c r="M440" s="12"/>
      <c r="N440" s="16"/>
    </row>
    <row r="441" spans="1:14" ht="20" hidden="1" customHeight="1">
      <c r="A441" s="41" t="s">
        <v>4257</v>
      </c>
      <c r="B441" s="10"/>
      <c r="C441" s="10" t="s">
        <v>4214</v>
      </c>
      <c r="D441" s="10"/>
      <c r="E441" s="10" t="s">
        <v>631</v>
      </c>
      <c r="F441" s="10" t="str">
        <f>IFERROR(VLOOKUP(VENTAS[[#This Row],[Código del producto Vendido]],STOCK[],5,FALSE),"-")</f>
        <v>Vestido floral con abertura trasera</v>
      </c>
      <c r="G441" s="10">
        <v>2</v>
      </c>
      <c r="H441" s="12">
        <v>15</v>
      </c>
      <c r="I441" s="12">
        <f>VENTAS[[#This Row],[Cantidad]]*VENTAS[[#This Row],[Precio Venta]]</f>
        <v>30</v>
      </c>
      <c r="J441" s="12">
        <f>IF(VENTAS[[#This Row],[Nombre del Gestor]]&gt;1,VENTAS[[#This Row],[Total]]*10%,0)</f>
        <v>0</v>
      </c>
      <c r="K441" s="12">
        <f>IFERROR(VLOOKUP(VENTAS[[#This Row],[Código del producto Vendido]],STOCK[],16,FALSE)*VENTAS[[#This Row],[Cantidad]]+VLOOKUP(VENTAS[[#This Row],[Código del producto Vendido]],STOCK[],19,FALSE)*VENTAS[[#This Row],[Cantidad]],VENTAS[[#This Row],[Total]])</f>
        <v>21.444444444444439</v>
      </c>
      <c r="L441" s="12">
        <f>VENTAS[[#This Row],[Total]]-VENTAS[[#This Row],[Comisión 10%]]-VENTAS[[#This Row],[Costo SIN Comision]]</f>
        <v>8.5555555555555607</v>
      </c>
      <c r="M441" s="12"/>
      <c r="N441" s="16"/>
    </row>
    <row r="442" spans="1:14" ht="20" hidden="1" customHeight="1">
      <c r="A442" s="42" t="s">
        <v>4257</v>
      </c>
      <c r="B442" s="10"/>
      <c r="C442" s="10" t="s">
        <v>4214</v>
      </c>
      <c r="D442" s="10"/>
      <c r="E442" s="10" t="s">
        <v>635</v>
      </c>
      <c r="F442" s="10" t="str">
        <f>IFERROR(VLOOKUP(VENTAS[[#This Row],[Código del producto Vendido]],STOCK[],5,FALSE),"-")</f>
        <v>Vestido floral escote corazón</v>
      </c>
      <c r="G442" s="10">
        <v>2</v>
      </c>
      <c r="H442" s="12">
        <v>15</v>
      </c>
      <c r="I442" s="12">
        <f>VENTAS[[#This Row],[Cantidad]]*VENTAS[[#This Row],[Precio Venta]]</f>
        <v>30</v>
      </c>
      <c r="J442" s="12">
        <f>IF(VENTAS[[#This Row],[Nombre del Gestor]]&gt;1,VENTAS[[#This Row],[Total]]*10%,0)</f>
        <v>0</v>
      </c>
      <c r="K442" s="12">
        <f>IFERROR(VLOOKUP(VENTAS[[#This Row],[Código del producto Vendido]],STOCK[],16,FALSE)*VENTAS[[#This Row],[Cantidad]]+VLOOKUP(VENTAS[[#This Row],[Código del producto Vendido]],STOCK[],19,FALSE)*VENTAS[[#This Row],[Cantidad]],VENTAS[[#This Row],[Total]])</f>
        <v>21.444444444444439</v>
      </c>
      <c r="L442" s="12">
        <f>VENTAS[[#This Row],[Total]]-VENTAS[[#This Row],[Comisión 10%]]-VENTAS[[#This Row],[Costo SIN Comision]]</f>
        <v>8.5555555555555607</v>
      </c>
      <c r="M442" s="12"/>
      <c r="N442" s="16"/>
    </row>
    <row r="443" spans="1:14" ht="20" hidden="1" customHeight="1">
      <c r="A443" s="41" t="s">
        <v>4257</v>
      </c>
      <c r="B443" s="10"/>
      <c r="C443" s="10" t="s">
        <v>4214</v>
      </c>
      <c r="D443" s="10"/>
      <c r="E443" s="10" t="s">
        <v>637</v>
      </c>
      <c r="F443" s="10" t="str">
        <f>IFERROR(VLOOKUP(VENTAS[[#This Row],[Código del producto Vendido]],STOCK[],5,FALSE),"-")</f>
        <v>Vestido floral escote corazón</v>
      </c>
      <c r="G443" s="10">
        <v>1</v>
      </c>
      <c r="H443" s="12">
        <v>15</v>
      </c>
      <c r="I443" s="12">
        <f>VENTAS[[#This Row],[Cantidad]]*VENTAS[[#This Row],[Precio Venta]]</f>
        <v>15</v>
      </c>
      <c r="J443" s="12">
        <f>IF(VENTAS[[#This Row],[Nombre del Gestor]]&gt;1,VENTAS[[#This Row],[Total]]*10%,0)</f>
        <v>0</v>
      </c>
      <c r="K443" s="12">
        <f>IFERROR(VLOOKUP(VENTAS[[#This Row],[Código del producto Vendido]],STOCK[],16,FALSE)*VENTAS[[#This Row],[Cantidad]]+VLOOKUP(VENTAS[[#This Row],[Código del producto Vendido]],STOCK[],19,FALSE)*VENTAS[[#This Row],[Cantidad]],VENTAS[[#This Row],[Total]])</f>
        <v>10.72222222222222</v>
      </c>
      <c r="L443" s="12">
        <f>VENTAS[[#This Row],[Total]]-VENTAS[[#This Row],[Comisión 10%]]-VENTAS[[#This Row],[Costo SIN Comision]]</f>
        <v>4.2777777777777803</v>
      </c>
      <c r="M443" s="12"/>
      <c r="N443" s="16"/>
    </row>
    <row r="444" spans="1:14" ht="20" hidden="1" customHeight="1">
      <c r="A444" s="42" t="s">
        <v>4257</v>
      </c>
      <c r="B444" s="10"/>
      <c r="C444" s="10" t="s">
        <v>4214</v>
      </c>
      <c r="D444" s="10"/>
      <c r="E444" s="10" t="s">
        <v>605</v>
      </c>
      <c r="F444" s="10" t="str">
        <f>IFERROR(VLOOKUP(VENTAS[[#This Row],[Código del producto Vendido]],STOCK[],5,FALSE),"-")</f>
        <v>Vestido floral de mangas farol</v>
      </c>
      <c r="G444" s="10">
        <v>1</v>
      </c>
      <c r="H444" s="12">
        <v>20</v>
      </c>
      <c r="I444" s="12">
        <f>VENTAS[[#This Row],[Cantidad]]*VENTAS[[#This Row],[Precio Venta]]</f>
        <v>20</v>
      </c>
      <c r="J444" s="12">
        <f>IF(VENTAS[[#This Row],[Nombre del Gestor]]&gt;1,VENTAS[[#This Row],[Total]]*10%,0)</f>
        <v>0</v>
      </c>
      <c r="K444" s="12">
        <f>IFERROR(VLOOKUP(VENTAS[[#This Row],[Código del producto Vendido]],STOCK[],16,FALSE)*VENTAS[[#This Row],[Cantidad]]+VLOOKUP(VENTAS[[#This Row],[Código del producto Vendido]],STOCK[],19,FALSE)*VENTAS[[#This Row],[Cantidad]],VENTAS[[#This Row],[Total]])</f>
        <v>10.72222222222222</v>
      </c>
      <c r="L444" s="12">
        <f>VENTAS[[#This Row],[Total]]-VENTAS[[#This Row],[Comisión 10%]]-VENTAS[[#This Row],[Costo SIN Comision]]</f>
        <v>9.2777777777777803</v>
      </c>
      <c r="M444" s="12"/>
      <c r="N444" s="16"/>
    </row>
    <row r="445" spans="1:14" ht="20" hidden="1" customHeight="1">
      <c r="A445" s="41" t="s">
        <v>4257</v>
      </c>
      <c r="B445" s="10"/>
      <c r="C445" s="10" t="s">
        <v>4214</v>
      </c>
      <c r="D445" s="10"/>
      <c r="E445" s="43" t="s">
        <v>805</v>
      </c>
      <c r="F445" s="10" t="str">
        <f>IFERROR(VLOOKUP(VENTAS[[#This Row],[Código del producto Vendido]],STOCK[],5,FALSE),"-")</f>
        <v xml:space="preserve"> Bañador espalda descubierta</v>
      </c>
      <c r="G445" s="10">
        <v>1</v>
      </c>
      <c r="H445" s="12">
        <v>20</v>
      </c>
      <c r="I445" s="12">
        <f>VENTAS[[#This Row],[Cantidad]]*VENTAS[[#This Row],[Precio Venta]]</f>
        <v>20</v>
      </c>
      <c r="J445" s="12">
        <f>IF(VENTAS[[#This Row],[Nombre del Gestor]]&gt;1,VENTAS[[#This Row],[Total]]*10%,0)</f>
        <v>0</v>
      </c>
      <c r="K445" s="12">
        <f>IFERROR(VLOOKUP(VENTAS[[#This Row],[Código del producto Vendido]],STOCK[],16,FALSE)*VENTAS[[#This Row],[Cantidad]]+VLOOKUP(VENTAS[[#This Row],[Código del producto Vendido]],STOCK[],19,FALSE)*VENTAS[[#This Row],[Cantidad]],VENTAS[[#This Row],[Total]])</f>
        <v>15.5555555555556</v>
      </c>
      <c r="L445" s="12">
        <f>VENTAS[[#This Row],[Total]]-VENTAS[[#This Row],[Comisión 10%]]-VENTAS[[#This Row],[Costo SIN Comision]]</f>
        <v>4.4444444444444002</v>
      </c>
      <c r="M445" s="12"/>
      <c r="N445" s="16"/>
    </row>
    <row r="446" spans="1:14" ht="20" hidden="1" customHeight="1">
      <c r="A446" s="42" t="s">
        <v>4257</v>
      </c>
      <c r="B446" s="10"/>
      <c r="C446" s="10" t="s">
        <v>4261</v>
      </c>
      <c r="D446" s="10"/>
      <c r="E446" s="10" t="s">
        <v>665</v>
      </c>
      <c r="F446" s="10" t="str">
        <f>IFERROR(VLOOKUP(VENTAS[[#This Row],[Código del producto Vendido]],STOCK[],5,FALSE),"-")</f>
        <v>Top Cruzado negro</v>
      </c>
      <c r="G446" s="10">
        <v>1</v>
      </c>
      <c r="H446" s="12">
        <v>9</v>
      </c>
      <c r="I446" s="12">
        <f>VENTAS[[#This Row],[Cantidad]]*VENTAS[[#This Row],[Precio Venta]]</f>
        <v>9</v>
      </c>
      <c r="J446" s="12">
        <f>IF(VENTAS[[#This Row],[Nombre del Gestor]]&gt;1,VENTAS[[#This Row],[Total]]*10%,0)</f>
        <v>0</v>
      </c>
      <c r="K446" s="12">
        <f>IFERROR(VLOOKUP(VENTAS[[#This Row],[Código del producto Vendido]],STOCK[],16,FALSE)*VENTAS[[#This Row],[Cantidad]]+VLOOKUP(VENTAS[[#This Row],[Código del producto Vendido]],STOCK[],19,FALSE)*VENTAS[[#This Row],[Cantidad]],VENTAS[[#This Row],[Total]])</f>
        <v>4.9016666666666699</v>
      </c>
      <c r="L446" s="12">
        <f>VENTAS[[#This Row],[Total]]-VENTAS[[#This Row],[Comisión 10%]]-VENTAS[[#This Row],[Costo SIN Comision]]</f>
        <v>4.0983333333333301</v>
      </c>
      <c r="M446" s="12"/>
      <c r="N446" s="16"/>
    </row>
    <row r="447" spans="1:14" ht="20" hidden="1" customHeight="1">
      <c r="A447" s="42" t="s">
        <v>4257</v>
      </c>
      <c r="B447" s="10"/>
      <c r="C447" s="10" t="s">
        <v>4262</v>
      </c>
      <c r="D447" s="10"/>
      <c r="E447" s="10" t="s">
        <v>698</v>
      </c>
      <c r="F447" s="10" t="str">
        <f>IFERROR(VLOOKUP(VENTAS[[#This Row],[Código del producto Vendido]],STOCK[],5,FALSE),"-")</f>
        <v xml:space="preserve"> Vestido ajustado con estampado de dragón</v>
      </c>
      <c r="G447" s="10">
        <v>1</v>
      </c>
      <c r="H447" s="12">
        <v>5</v>
      </c>
      <c r="I447" s="12">
        <f>VENTAS[[#This Row],[Cantidad]]*VENTAS[[#This Row],[Precio Venta]]</f>
        <v>5</v>
      </c>
      <c r="J447" s="12">
        <f>IF(VENTAS[[#This Row],[Nombre del Gestor]]&gt;1,VENTAS[[#This Row],[Total]]*10%,0)</f>
        <v>0</v>
      </c>
      <c r="K447" s="12">
        <f>IFERROR(VLOOKUP(VENTAS[[#This Row],[Código del producto Vendido]],STOCK[],16,FALSE)*VENTAS[[#This Row],[Cantidad]]+VLOOKUP(VENTAS[[#This Row],[Código del producto Vendido]],STOCK[],19,FALSE)*VENTAS[[#This Row],[Cantidad]],VENTAS[[#This Row],[Total]])</f>
        <v>7.1055555555555596</v>
      </c>
      <c r="L447" s="12">
        <f>VENTAS[[#This Row],[Total]]-VENTAS[[#This Row],[Comisión 10%]]-VENTAS[[#This Row],[Costo SIN Comision]]</f>
        <v>-2.1055555555555596</v>
      </c>
      <c r="M447" s="12"/>
      <c r="N447" s="16"/>
    </row>
    <row r="448" spans="1:14" ht="20" hidden="1" customHeight="1">
      <c r="A448" s="41" t="s">
        <v>4257</v>
      </c>
      <c r="B448" s="10"/>
      <c r="C448" s="10" t="s">
        <v>4262</v>
      </c>
      <c r="D448" s="10"/>
      <c r="E448" s="10" t="s">
        <v>696</v>
      </c>
      <c r="F448" s="10" t="str">
        <f>IFERROR(VLOOKUP(VENTAS[[#This Row],[Código del producto Vendido]],STOCK[],5,FALSE),"-")</f>
        <v>Vestido slip cebra</v>
      </c>
      <c r="G448" s="10">
        <v>1</v>
      </c>
      <c r="H448" s="12">
        <v>5</v>
      </c>
      <c r="I448" s="12">
        <f>VENTAS[[#This Row],[Cantidad]]*VENTAS[[#This Row],[Precio Venta]]</f>
        <v>5</v>
      </c>
      <c r="J448" s="12">
        <f>IF(VENTAS[[#This Row],[Nombre del Gestor]]&gt;1,VENTAS[[#This Row],[Total]]*10%,0)</f>
        <v>0</v>
      </c>
      <c r="K448" s="12">
        <f>IFERROR(VLOOKUP(VENTAS[[#This Row],[Código del producto Vendido]],STOCK[],16,FALSE)*VENTAS[[#This Row],[Cantidad]]+VLOOKUP(VENTAS[[#This Row],[Código del producto Vendido]],STOCK[],19,FALSE)*VENTAS[[#This Row],[Cantidad]],VENTAS[[#This Row],[Total]])</f>
        <v>7.1055555555555596</v>
      </c>
      <c r="L448" s="12">
        <f>VENTAS[[#This Row],[Total]]-VENTAS[[#This Row],[Comisión 10%]]-VENTAS[[#This Row],[Costo SIN Comision]]</f>
        <v>-2.1055555555555596</v>
      </c>
      <c r="M448" s="12"/>
      <c r="N448" s="16"/>
    </row>
    <row r="449" spans="1:14" ht="20" hidden="1" customHeight="1">
      <c r="A449" s="42" t="s">
        <v>4257</v>
      </c>
      <c r="B449" s="10"/>
      <c r="C449" s="10" t="s">
        <v>4259</v>
      </c>
      <c r="D449" s="10"/>
      <c r="E449" s="10" t="s">
        <v>694</v>
      </c>
      <c r="F449" s="10" t="str">
        <f>IFERROR(VLOOKUP(VENTAS[[#This Row],[Código del producto Vendido]],STOCK[],5,FALSE),"-")</f>
        <v>Vestido slip de rayas de cebra</v>
      </c>
      <c r="G449" s="10">
        <v>1</v>
      </c>
      <c r="H449" s="12">
        <v>5</v>
      </c>
      <c r="I449" s="12">
        <f>VENTAS[[#This Row],[Cantidad]]*VENTAS[[#This Row],[Precio Venta]]</f>
        <v>5</v>
      </c>
      <c r="J449" s="12">
        <f>IF(VENTAS[[#This Row],[Nombre del Gestor]]&gt;1,VENTAS[[#This Row],[Total]]*10%,0)</f>
        <v>0</v>
      </c>
      <c r="K449" s="12">
        <f>IFERROR(VLOOKUP(VENTAS[[#This Row],[Código del producto Vendido]],STOCK[],16,FALSE)*VENTAS[[#This Row],[Cantidad]]+VLOOKUP(VENTAS[[#This Row],[Código del producto Vendido]],STOCK[],19,FALSE)*VENTAS[[#This Row],[Cantidad]],VENTAS[[#This Row],[Total]])</f>
        <v>7.1055555555555596</v>
      </c>
      <c r="L449" s="12">
        <f>VENTAS[[#This Row],[Total]]-VENTAS[[#This Row],[Comisión 10%]]-VENTAS[[#This Row],[Costo SIN Comision]]</f>
        <v>-2.1055555555555596</v>
      </c>
      <c r="M449" s="12"/>
      <c r="N449" s="16"/>
    </row>
    <row r="450" spans="1:14" ht="20" hidden="1" customHeight="1">
      <c r="A450" s="42" t="s">
        <v>4257</v>
      </c>
      <c r="B450" s="10"/>
      <c r="C450" s="10" t="s">
        <v>4263</v>
      </c>
      <c r="D450" s="10"/>
      <c r="E450" s="10" t="s">
        <v>4264</v>
      </c>
      <c r="F450" s="10" t="str">
        <f>IFERROR(VLOOKUP(VENTAS[[#This Row],[Código del producto Vendido]],STOCK[],5,FALSE),"-")</f>
        <v>-</v>
      </c>
      <c r="G450" s="10">
        <v>1</v>
      </c>
      <c r="H450" s="12">
        <v>20</v>
      </c>
      <c r="I450" s="12">
        <f>VENTAS[[#This Row],[Cantidad]]*VENTAS[[#This Row],[Precio Venta]]</f>
        <v>20</v>
      </c>
      <c r="J450" s="12">
        <f>IF(VENTAS[[#This Row],[Nombre del Gestor]]&gt;1,VENTAS[[#This Row],[Total]]*10%,0)</f>
        <v>0</v>
      </c>
      <c r="K450" s="12">
        <f>IFERROR(VLOOKUP(VENTAS[[#This Row],[Código del producto Vendido]],STOCK[],16,FALSE)*VENTAS[[#This Row],[Cantidad]]+VLOOKUP(VENTAS[[#This Row],[Código del producto Vendido]],STOCK[],19,FALSE)*VENTAS[[#This Row],[Cantidad]],VENTAS[[#This Row],[Total]])</f>
        <v>20</v>
      </c>
      <c r="L450" s="12">
        <f>VENTAS[[#This Row],[Total]]-VENTAS[[#This Row],[Comisión 10%]]-VENTAS[[#This Row],[Costo SIN Comision]]</f>
        <v>0</v>
      </c>
      <c r="M450" s="12"/>
      <c r="N450" s="16"/>
    </row>
    <row r="451" spans="1:14" ht="20" hidden="1" customHeight="1">
      <c r="A451" s="41" t="s">
        <v>4257</v>
      </c>
      <c r="B451" s="10"/>
      <c r="C451" s="10" t="s">
        <v>4265</v>
      </c>
      <c r="D451" s="10"/>
      <c r="E451" s="10" t="s">
        <v>240</v>
      </c>
      <c r="F451" s="10" t="str">
        <f>IFERROR(VLOOKUP(VENTAS[[#This Row],[Código del producto Vendido]],STOCK[],5,FALSE),"-")</f>
        <v>Vestido tank tejido de canalé con cinturón</v>
      </c>
      <c r="G451" s="10">
        <v>1</v>
      </c>
      <c r="H451" s="12">
        <v>28</v>
      </c>
      <c r="I451" s="12">
        <f>VENTAS[[#This Row],[Cantidad]]*VENTAS[[#This Row],[Precio Venta]]</f>
        <v>28</v>
      </c>
      <c r="J451" s="12">
        <f>IF(VENTAS[[#This Row],[Nombre del Gestor]]&gt;1,VENTAS[[#This Row],[Total]]*10%,0)</f>
        <v>0</v>
      </c>
      <c r="K451" s="12">
        <f>IFERROR(VLOOKUP(VENTAS[[#This Row],[Código del producto Vendido]],STOCK[],16,FALSE)*VENTAS[[#This Row],[Cantidad]]+VLOOKUP(VENTAS[[#This Row],[Código del producto Vendido]],STOCK[],19,FALSE)*VENTAS[[#This Row],[Cantidad]],VENTAS[[#This Row],[Total]])</f>
        <v>17.637777777777799</v>
      </c>
      <c r="L451" s="12">
        <f>VENTAS[[#This Row],[Total]]-VENTAS[[#This Row],[Comisión 10%]]-VENTAS[[#This Row],[Costo SIN Comision]]</f>
        <v>10.362222222222201</v>
      </c>
      <c r="M451" s="12"/>
      <c r="N451" s="16"/>
    </row>
    <row r="452" spans="1:14" ht="20" hidden="1" customHeight="1">
      <c r="A452" s="42" t="s">
        <v>4257</v>
      </c>
      <c r="B452" s="10"/>
      <c r="C452" s="10" t="s">
        <v>4258</v>
      </c>
      <c r="D452" s="10"/>
      <c r="E452" s="10" t="s">
        <v>718</v>
      </c>
      <c r="F452" s="10" t="str">
        <f>IFERROR(VLOOKUP(VENTAS[[#This Row],[Código del producto Vendido]],STOCK[],5,FALSE),"-")</f>
        <v>Vestido bodycon</v>
      </c>
      <c r="G452" s="10">
        <v>1</v>
      </c>
      <c r="H452" s="12">
        <v>5</v>
      </c>
      <c r="I452" s="12">
        <f>VENTAS[[#This Row],[Cantidad]]*VENTAS[[#This Row],[Precio Venta]]</f>
        <v>5</v>
      </c>
      <c r="J452" s="12">
        <f>IF(VENTAS[[#This Row],[Nombre del Gestor]]&gt;1,VENTAS[[#This Row],[Total]]*10%,0)</f>
        <v>0</v>
      </c>
      <c r="K452" s="12">
        <f>IFERROR(VLOOKUP(VENTAS[[#This Row],[Código del producto Vendido]],STOCK[],16,FALSE)*VENTAS[[#This Row],[Cantidad]]+VLOOKUP(VENTAS[[#This Row],[Código del producto Vendido]],STOCK[],19,FALSE)*VENTAS[[#This Row],[Cantidad]],VENTAS[[#This Row],[Total]])</f>
        <v>5.7222222222222197</v>
      </c>
      <c r="L452" s="12">
        <f>VENTAS[[#This Row],[Total]]-VENTAS[[#This Row],[Comisión 10%]]-VENTAS[[#This Row],[Costo SIN Comision]]</f>
        <v>-0.72222222222221966</v>
      </c>
      <c r="M452" s="12"/>
      <c r="N452" s="16"/>
    </row>
    <row r="453" spans="1:14" ht="20" hidden="1" customHeight="1">
      <c r="A453" s="41" t="s">
        <v>4257</v>
      </c>
      <c r="B453" s="10"/>
      <c r="C453" s="10" t="s">
        <v>4266</v>
      </c>
      <c r="D453" s="10"/>
      <c r="E453" s="10" t="s">
        <v>694</v>
      </c>
      <c r="F453" s="10" t="str">
        <f>IFERROR(VLOOKUP(VENTAS[[#This Row],[Código del producto Vendido]],STOCK[],5,FALSE),"-")</f>
        <v>Vestido slip de rayas de cebra</v>
      </c>
      <c r="G453" s="10">
        <v>1</v>
      </c>
      <c r="H453" s="12">
        <v>5</v>
      </c>
      <c r="I453" s="12">
        <f>VENTAS[[#This Row],[Cantidad]]*VENTAS[[#This Row],[Precio Venta]]</f>
        <v>5</v>
      </c>
      <c r="J453" s="12">
        <f>IF(VENTAS[[#This Row],[Nombre del Gestor]]&gt;1,VENTAS[[#This Row],[Total]]*10%,0)</f>
        <v>0</v>
      </c>
      <c r="K453" s="12">
        <f>IFERROR(VLOOKUP(VENTAS[[#This Row],[Código del producto Vendido]],STOCK[],16,FALSE)*VENTAS[[#This Row],[Cantidad]]+VLOOKUP(VENTAS[[#This Row],[Código del producto Vendido]],STOCK[],19,FALSE)*VENTAS[[#This Row],[Cantidad]],VENTAS[[#This Row],[Total]])</f>
        <v>7.1055555555555596</v>
      </c>
      <c r="L453" s="12">
        <f>VENTAS[[#This Row],[Total]]-VENTAS[[#This Row],[Comisión 10%]]-VENTAS[[#This Row],[Costo SIN Comision]]</f>
        <v>-2.1055555555555596</v>
      </c>
      <c r="M453" s="12"/>
      <c r="N453" s="16"/>
    </row>
    <row r="454" spans="1:14" ht="20" hidden="1" customHeight="1">
      <c r="A454" s="42" t="s">
        <v>4257</v>
      </c>
      <c r="B454" s="10"/>
      <c r="C454" s="10" t="s">
        <v>4266</v>
      </c>
      <c r="D454" s="10"/>
      <c r="E454" s="10" t="s">
        <v>698</v>
      </c>
      <c r="F454" s="10" t="str">
        <f>IFERROR(VLOOKUP(VENTAS[[#This Row],[Código del producto Vendido]],STOCK[],5,FALSE),"-")</f>
        <v xml:space="preserve"> Vestido ajustado con estampado de dragón</v>
      </c>
      <c r="G454" s="10">
        <v>1</v>
      </c>
      <c r="H454" s="12">
        <v>5</v>
      </c>
      <c r="I454" s="12">
        <f>VENTAS[[#This Row],[Cantidad]]*VENTAS[[#This Row],[Precio Venta]]</f>
        <v>5</v>
      </c>
      <c r="J454" s="12">
        <f>IF(VENTAS[[#This Row],[Nombre del Gestor]]&gt;1,VENTAS[[#This Row],[Total]]*10%,0)</f>
        <v>0</v>
      </c>
      <c r="K454" s="12">
        <f>IFERROR(VLOOKUP(VENTAS[[#This Row],[Código del producto Vendido]],STOCK[],16,FALSE)*VENTAS[[#This Row],[Cantidad]]+VLOOKUP(VENTAS[[#This Row],[Código del producto Vendido]],STOCK[],19,FALSE)*VENTAS[[#This Row],[Cantidad]],VENTAS[[#This Row],[Total]])</f>
        <v>7.1055555555555596</v>
      </c>
      <c r="L454" s="12">
        <f>VENTAS[[#This Row],[Total]]-VENTAS[[#This Row],[Comisión 10%]]-VENTAS[[#This Row],[Costo SIN Comision]]</f>
        <v>-2.1055555555555596</v>
      </c>
      <c r="M454" s="12"/>
      <c r="N454" s="16"/>
    </row>
    <row r="455" spans="1:14" ht="20" hidden="1" customHeight="1">
      <c r="A455" s="41">
        <v>45138</v>
      </c>
      <c r="B455" s="10"/>
      <c r="C455" s="10" t="s">
        <v>4259</v>
      </c>
      <c r="D455" s="10"/>
      <c r="E455" s="10" t="s">
        <v>721</v>
      </c>
      <c r="F455" s="10" t="str">
        <f>IFERROR(VLOOKUP(VENTAS[[#This Row],[Código del producto Vendido]],STOCK[],5,FALSE),"-")</f>
        <v>Top acanalado sin mangas</v>
      </c>
      <c r="G455" s="10">
        <v>1</v>
      </c>
      <c r="H455" s="12">
        <v>10</v>
      </c>
      <c r="I455" s="12">
        <f>VENTAS[[#This Row],[Cantidad]]*VENTAS[[#This Row],[Precio Venta]]</f>
        <v>10</v>
      </c>
      <c r="J455" s="12">
        <f>IF(VENTAS[[#This Row],[Nombre del Gestor]]&gt;1,VENTAS[[#This Row],[Total]]*10%,0)</f>
        <v>0</v>
      </c>
      <c r="K455" s="12">
        <f>IFERROR(VLOOKUP(VENTAS[[#This Row],[Código del producto Vendido]],STOCK[],16,FALSE)*VENTAS[[#This Row],[Cantidad]]+VLOOKUP(VENTAS[[#This Row],[Código del producto Vendido]],STOCK[],19,FALSE)*VENTAS[[#This Row],[Cantidad]],VENTAS[[#This Row],[Total]])</f>
        <v>5.0222222222222195</v>
      </c>
      <c r="L455" s="12">
        <f>VENTAS[[#This Row],[Total]]-VENTAS[[#This Row],[Comisión 10%]]-VENTAS[[#This Row],[Costo SIN Comision]]</f>
        <v>4.9777777777777805</v>
      </c>
      <c r="M455" s="12"/>
      <c r="N455" s="16"/>
    </row>
    <row r="456" spans="1:14" ht="20" hidden="1" customHeight="1">
      <c r="A456" s="42"/>
      <c r="B456" s="10"/>
      <c r="C456" s="10"/>
      <c r="D456" s="10"/>
      <c r="E456" s="10" t="s">
        <v>410</v>
      </c>
      <c r="F456" s="10" t="str">
        <f>IFERROR(VLOOKUP(VENTAS[[#This Row],[Código del producto Vendido]],STOCK[],5,FALSE),"-")</f>
        <v xml:space="preserve">Bañador una pieza de color combinado </v>
      </c>
      <c r="G456" s="10">
        <v>1</v>
      </c>
      <c r="H456" s="12">
        <v>20</v>
      </c>
      <c r="I456" s="12">
        <f>VENTAS[[#This Row],[Cantidad]]*VENTAS[[#This Row],[Precio Venta]]</f>
        <v>20</v>
      </c>
      <c r="J456" s="12">
        <f>IF(VENTAS[[#This Row],[Nombre del Gestor]]&gt;1,VENTAS[[#This Row],[Total]]*10%,0)</f>
        <v>0</v>
      </c>
      <c r="K456" s="12">
        <f>IFERROR(VLOOKUP(VENTAS[[#This Row],[Código del producto Vendido]],STOCK[],16,FALSE)*VENTAS[[#This Row],[Cantidad]]+VLOOKUP(VENTAS[[#This Row],[Código del producto Vendido]],STOCK[],19,FALSE)*VENTAS[[#This Row],[Cantidad]],VENTAS[[#This Row],[Total]])</f>
        <v>9.6666666666666696</v>
      </c>
      <c r="L456" s="12">
        <f>VENTAS[[#This Row],[Total]]-VENTAS[[#This Row],[Comisión 10%]]-VENTAS[[#This Row],[Costo SIN Comision]]</f>
        <v>10.33333333333333</v>
      </c>
      <c r="M456" s="12"/>
      <c r="N456" s="16"/>
    </row>
    <row r="457" spans="1:14" ht="20" hidden="1" customHeight="1">
      <c r="A457" s="41" t="s">
        <v>4267</v>
      </c>
      <c r="B457" s="10"/>
      <c r="C457" s="10"/>
      <c r="D457" s="10"/>
      <c r="E457" s="10" t="s">
        <v>457</v>
      </c>
      <c r="F457" s="10" t="str">
        <f>IFERROR(VLOOKUP(VENTAS[[#This Row],[Código del producto Vendido]],STOCK[],5,FALSE),"-")</f>
        <v>Bolso pequeño guateado con perla artificial</v>
      </c>
      <c r="G457" s="10">
        <v>1</v>
      </c>
      <c r="H457" s="12">
        <v>15</v>
      </c>
      <c r="I457" s="12">
        <f>VENTAS[[#This Row],[Cantidad]]*VENTAS[[#This Row],[Precio Venta]]</f>
        <v>15</v>
      </c>
      <c r="J457" s="12">
        <f>IF(VENTAS[[#This Row],[Nombre del Gestor]]&gt;1,VENTAS[[#This Row],[Total]]*10%,0)</f>
        <v>0</v>
      </c>
      <c r="K457" s="12">
        <f>IFERROR(VLOOKUP(VENTAS[[#This Row],[Código del producto Vendido]],STOCK[],16,FALSE)*VENTAS[[#This Row],[Cantidad]]+VLOOKUP(VENTAS[[#This Row],[Código del producto Vendido]],STOCK[],19,FALSE)*VENTAS[[#This Row],[Cantidad]],VENTAS[[#This Row],[Total]])</f>
        <v>9.5500000000000007</v>
      </c>
      <c r="L457" s="12">
        <f>VENTAS[[#This Row],[Total]]-VENTAS[[#This Row],[Comisión 10%]]-VENTAS[[#This Row],[Costo SIN Comision]]</f>
        <v>5.4499999999999993</v>
      </c>
      <c r="M457" s="12"/>
      <c r="N457" s="16"/>
    </row>
    <row r="458" spans="1:14" ht="20" hidden="1" customHeight="1">
      <c r="A458" s="42" t="s">
        <v>4268</v>
      </c>
      <c r="B458" s="10"/>
      <c r="C458" s="10" t="s">
        <v>4269</v>
      </c>
      <c r="D458" s="10"/>
      <c r="E458" s="10" t="s">
        <v>66</v>
      </c>
      <c r="F458" s="10" t="str">
        <f>IFERROR(VLOOKUP(VENTAS[[#This Row],[Código del producto Vendido]],STOCK[],5,FALSE),"-")</f>
        <v>Bañador Elegante con Lazo</v>
      </c>
      <c r="G458" s="10">
        <v>1</v>
      </c>
      <c r="H458" s="12">
        <v>20</v>
      </c>
      <c r="I458" s="12">
        <f>VENTAS[[#This Row],[Cantidad]]*VENTAS[[#This Row],[Precio Venta]]</f>
        <v>20</v>
      </c>
      <c r="J458" s="12">
        <f>IF(VENTAS[[#This Row],[Nombre del Gestor]]&gt;1,VENTAS[[#This Row],[Total]]*10%,0)</f>
        <v>0</v>
      </c>
      <c r="K458" s="12">
        <f>IFERROR(VLOOKUP(VENTAS[[#This Row],[Código del producto Vendido]],STOCK[],16,FALSE)*VENTAS[[#This Row],[Cantidad]]+VLOOKUP(VENTAS[[#This Row],[Código del producto Vendido]],STOCK[],19,FALSE)*VENTAS[[#This Row],[Cantidad]],VENTAS[[#This Row],[Total]])</f>
        <v>11.971666666666669</v>
      </c>
      <c r="L458" s="12">
        <f>VENTAS[[#This Row],[Total]]-VENTAS[[#This Row],[Comisión 10%]]-VENTAS[[#This Row],[Costo SIN Comision]]</f>
        <v>8.0283333333333307</v>
      </c>
      <c r="M458" s="12"/>
      <c r="N458" s="16"/>
    </row>
    <row r="459" spans="1:14" ht="20" hidden="1" customHeight="1">
      <c r="A459" s="41" t="s">
        <v>4268</v>
      </c>
      <c r="B459" s="10"/>
      <c r="C459" s="10" t="s">
        <v>4270</v>
      </c>
      <c r="D459" s="10"/>
      <c r="E459" s="10" t="s">
        <v>940</v>
      </c>
      <c r="F459" s="10" t="str">
        <f>IFERROR(VLOOKUP(VENTAS[[#This Row],[Código del producto Vendido]],STOCK[],5,FALSE),"-")</f>
        <v>Vestido Tropical</v>
      </c>
      <c r="G459" s="10">
        <v>1</v>
      </c>
      <c r="H459" s="12">
        <v>30</v>
      </c>
      <c r="I459" s="12">
        <f>VENTAS[[#This Row],[Cantidad]]*VENTAS[[#This Row],[Precio Venta]]</f>
        <v>30</v>
      </c>
      <c r="J459" s="12">
        <f>IF(VENTAS[[#This Row],[Nombre del Gestor]]&gt;1,VENTAS[[#This Row],[Total]]*10%,0)</f>
        <v>0</v>
      </c>
      <c r="K459" s="12">
        <f>IFERROR(VLOOKUP(VENTAS[[#This Row],[Código del producto Vendido]],STOCK[],16,FALSE)*VENTAS[[#This Row],[Cantidad]]+VLOOKUP(VENTAS[[#This Row],[Código del producto Vendido]],STOCK[],19,FALSE)*VENTAS[[#This Row],[Cantidad]],VENTAS[[#This Row],[Total]])</f>
        <v>19.0186363636364</v>
      </c>
      <c r="L459" s="12">
        <f>VENTAS[[#This Row],[Total]]-VENTAS[[#This Row],[Comisión 10%]]-VENTAS[[#This Row],[Costo SIN Comision]]</f>
        <v>10.9813636363636</v>
      </c>
      <c r="M459" s="12"/>
      <c r="N459" s="16"/>
    </row>
    <row r="460" spans="1:14" ht="20" hidden="1" customHeight="1">
      <c r="A460" s="42" t="s">
        <v>4268</v>
      </c>
      <c r="B460" s="10"/>
      <c r="C460" s="10" t="s">
        <v>4270</v>
      </c>
      <c r="D460" s="10"/>
      <c r="E460" s="10" t="s">
        <v>530</v>
      </c>
      <c r="F460" s="10" t="str">
        <f>IFERROR(VLOOKUP(VENTAS[[#This Row],[Código del producto Vendido]],STOCK[],5,FALSE),"-")</f>
        <v xml:space="preserve">Esponja de maquillaje </v>
      </c>
      <c r="G460" s="10">
        <v>1</v>
      </c>
      <c r="H460" s="12">
        <v>1</v>
      </c>
      <c r="I460" s="12">
        <f>VENTAS[[#This Row],[Cantidad]]*VENTAS[[#This Row],[Precio Venta]]</f>
        <v>1</v>
      </c>
      <c r="J460" s="12">
        <f>IF(VENTAS[[#This Row],[Nombre del Gestor]]&gt;1,VENTAS[[#This Row],[Total]]*10%,0)</f>
        <v>0</v>
      </c>
      <c r="K460" s="12">
        <f>IFERROR(VLOOKUP(VENTAS[[#This Row],[Código del producto Vendido]],STOCK[],16,FALSE)*VENTAS[[#This Row],[Cantidad]]+VLOOKUP(VENTAS[[#This Row],[Código del producto Vendido]],STOCK[],19,FALSE)*VENTAS[[#This Row],[Cantidad]],VENTAS[[#This Row],[Total]])</f>
        <v>0.43611111111111112</v>
      </c>
      <c r="L460" s="12">
        <f>VENTAS[[#This Row],[Total]]-VENTAS[[#This Row],[Comisión 10%]]-VENTAS[[#This Row],[Costo SIN Comision]]</f>
        <v>0.56388888888888888</v>
      </c>
      <c r="M460" s="12"/>
      <c r="N460" s="16"/>
    </row>
    <row r="461" spans="1:14" ht="20" hidden="1" customHeight="1">
      <c r="A461" s="41" t="s">
        <v>4271</v>
      </c>
      <c r="B461" s="10"/>
      <c r="C461" s="10" t="s">
        <v>4272</v>
      </c>
      <c r="D461" s="10"/>
      <c r="E461" s="10" t="s">
        <v>1187</v>
      </c>
      <c r="F461" s="10" t="str">
        <f>IFERROR(VLOOKUP(VENTAS[[#This Row],[Código del producto Vendido]],STOCK[],5,FALSE),"-")</f>
        <v>Top healter en capas color beige</v>
      </c>
      <c r="G461" s="10">
        <v>1</v>
      </c>
      <c r="H461" s="12">
        <v>17</v>
      </c>
      <c r="I461" s="12">
        <f>VENTAS[[#This Row],[Cantidad]]*VENTAS[[#This Row],[Precio Venta]]</f>
        <v>17</v>
      </c>
      <c r="J461" s="12">
        <f>IF(VENTAS[[#This Row],[Nombre del Gestor]]&gt;1,VENTAS[[#This Row],[Total]]*10%,0)</f>
        <v>0</v>
      </c>
      <c r="K461" s="12">
        <f>IFERROR(VLOOKUP(VENTAS[[#This Row],[Código del producto Vendido]],STOCK[],16,FALSE)*VENTAS[[#This Row],[Cantidad]]+VLOOKUP(VENTAS[[#This Row],[Código del producto Vendido]],STOCK[],19,FALSE)*VENTAS[[#This Row],[Cantidad]],VENTAS[[#This Row],[Total]])</f>
        <v>12.75</v>
      </c>
      <c r="L461" s="12">
        <f>VENTAS[[#This Row],[Total]]-VENTAS[[#This Row],[Comisión 10%]]-VENTAS[[#This Row],[Costo SIN Comision]]</f>
        <v>4.25</v>
      </c>
      <c r="M461" s="12"/>
      <c r="N461" s="16"/>
    </row>
    <row r="462" spans="1:14" ht="20" hidden="1" customHeight="1">
      <c r="A462" s="42" t="s">
        <v>4271</v>
      </c>
      <c r="B462" s="10"/>
      <c r="C462" s="10" t="s">
        <v>4273</v>
      </c>
      <c r="D462" s="10"/>
      <c r="E462" s="10" t="s">
        <v>851</v>
      </c>
      <c r="F462" s="10" t="str">
        <f>IFERROR(VLOOKUP(VENTAS[[#This Row],[Código del producto Vendido]],STOCK[],5,FALSE),"-")</f>
        <v>Vestido esmeralda</v>
      </c>
      <c r="G462" s="10">
        <v>1</v>
      </c>
      <c r="H462" s="12">
        <v>20</v>
      </c>
      <c r="I462" s="12">
        <f>VENTAS[[#This Row],[Cantidad]]*VENTAS[[#This Row],[Precio Venta]]</f>
        <v>20</v>
      </c>
      <c r="J462" s="12">
        <f>IF(VENTAS[[#This Row],[Nombre del Gestor]]&gt;1,VENTAS[[#This Row],[Total]]*10%,0)</f>
        <v>0</v>
      </c>
      <c r="K462" s="12">
        <f>IFERROR(VLOOKUP(VENTAS[[#This Row],[Código del producto Vendido]],STOCK[],16,FALSE)*VENTAS[[#This Row],[Cantidad]]+VLOOKUP(VENTAS[[#This Row],[Código del producto Vendido]],STOCK[],19,FALSE)*VENTAS[[#This Row],[Cantidad]],VENTAS[[#This Row],[Total]])</f>
        <v>16.7777777777778</v>
      </c>
      <c r="L462" s="12">
        <f>VENTAS[[#This Row],[Total]]-VENTAS[[#This Row],[Comisión 10%]]-VENTAS[[#This Row],[Costo SIN Comision]]</f>
        <v>3.2222222222222001</v>
      </c>
      <c r="M462" s="12"/>
      <c r="N462" s="16"/>
    </row>
    <row r="463" spans="1:14" ht="20" hidden="1" customHeight="1">
      <c r="A463" s="41" t="s">
        <v>4274</v>
      </c>
      <c r="B463" s="10"/>
      <c r="C463" s="10" t="s">
        <v>4275</v>
      </c>
      <c r="D463" s="10"/>
      <c r="E463" s="10" t="s">
        <v>457</v>
      </c>
      <c r="F463" s="10" t="str">
        <f>IFERROR(VLOOKUP(VENTAS[[#This Row],[Código del producto Vendido]],STOCK[],5,FALSE),"-")</f>
        <v>Bolso pequeño guateado con perla artificial</v>
      </c>
      <c r="G463" s="10">
        <v>1</v>
      </c>
      <c r="H463" s="12">
        <v>15</v>
      </c>
      <c r="I463" s="12">
        <f>VENTAS[[#This Row],[Cantidad]]*VENTAS[[#This Row],[Precio Venta]]</f>
        <v>15</v>
      </c>
      <c r="J463" s="12">
        <f>IF(VENTAS[[#This Row],[Nombre del Gestor]]&gt;1,VENTAS[[#This Row],[Total]]*10%,0)</f>
        <v>0</v>
      </c>
      <c r="K463" s="12">
        <f>IFERROR(VLOOKUP(VENTAS[[#This Row],[Código del producto Vendido]],STOCK[],16,FALSE)*VENTAS[[#This Row],[Cantidad]]+VLOOKUP(VENTAS[[#This Row],[Código del producto Vendido]],STOCK[],19,FALSE)*VENTAS[[#This Row],[Cantidad]],VENTAS[[#This Row],[Total]])</f>
        <v>9.5500000000000007</v>
      </c>
      <c r="L463" s="12">
        <f>VENTAS[[#This Row],[Total]]-VENTAS[[#This Row],[Comisión 10%]]-VENTAS[[#This Row],[Costo SIN Comision]]</f>
        <v>5.4499999999999993</v>
      </c>
      <c r="M463" s="12"/>
      <c r="N463" s="16"/>
    </row>
    <row r="464" spans="1:14" ht="20" hidden="1" customHeight="1">
      <c r="A464" s="42" t="s">
        <v>4274</v>
      </c>
      <c r="B464" s="10" t="s">
        <v>4276</v>
      </c>
      <c r="C464" s="10" t="s">
        <v>4197</v>
      </c>
      <c r="D464" s="10"/>
      <c r="E464" s="10" t="s">
        <v>904</v>
      </c>
      <c r="F464" s="10" t="str">
        <f>IFERROR(VLOOKUP(VENTAS[[#This Row],[Código del producto Vendido]],STOCK[],5,FALSE),"-")</f>
        <v>Maxi Vestido Fruncido</v>
      </c>
      <c r="G464" s="10">
        <v>1</v>
      </c>
      <c r="H464" s="12">
        <v>33</v>
      </c>
      <c r="I464" s="12">
        <f>VENTAS[[#This Row],[Cantidad]]*VENTAS[[#This Row],[Precio Venta]]</f>
        <v>33</v>
      </c>
      <c r="J464" s="12">
        <f>IF(VENTAS[[#This Row],[Nombre del Gestor]]&gt;1,VENTAS[[#This Row],[Total]]*10%,0)</f>
        <v>0</v>
      </c>
      <c r="K464" s="12">
        <f>IFERROR(VLOOKUP(VENTAS[[#This Row],[Código del producto Vendido]],STOCK[],16,FALSE)*VENTAS[[#This Row],[Cantidad]]+VLOOKUP(VENTAS[[#This Row],[Código del producto Vendido]],STOCK[],19,FALSE)*VENTAS[[#This Row],[Cantidad]],VENTAS[[#This Row],[Total]])</f>
        <v>21.456363636363598</v>
      </c>
      <c r="L464" s="12">
        <f>VENTAS[[#This Row],[Total]]-VENTAS[[#This Row],[Comisión 10%]]-VENTAS[[#This Row],[Costo SIN Comision]]</f>
        <v>11.543636363636402</v>
      </c>
      <c r="M464" s="12"/>
      <c r="N464" s="16"/>
    </row>
    <row r="465" spans="1:14" ht="20" hidden="1" customHeight="1">
      <c r="A465" s="41" t="s">
        <v>4274</v>
      </c>
      <c r="B465" s="10" t="s">
        <v>4276</v>
      </c>
      <c r="C465" s="10" t="s">
        <v>4197</v>
      </c>
      <c r="D465" s="10"/>
      <c r="E465" s="10" t="s">
        <v>1012</v>
      </c>
      <c r="F465" s="10" t="str">
        <f>IFERROR(VLOOKUP(VENTAS[[#This Row],[Código del producto Vendido]],STOCK[],5,FALSE),"-")</f>
        <v>Maxi Vestido con Bolsillo</v>
      </c>
      <c r="G465" s="10">
        <v>1</v>
      </c>
      <c r="H465" s="12">
        <v>33</v>
      </c>
      <c r="I465" s="12">
        <f>VENTAS[[#This Row],[Cantidad]]*VENTAS[[#This Row],[Precio Venta]]</f>
        <v>33</v>
      </c>
      <c r="J465" s="12">
        <f>IF(VENTAS[[#This Row],[Nombre del Gestor]]&gt;1,VENTAS[[#This Row],[Total]]*10%,0)</f>
        <v>0</v>
      </c>
      <c r="K465" s="12">
        <f>IFERROR(VLOOKUP(VENTAS[[#This Row],[Código del producto Vendido]],STOCK[],16,FALSE)*VENTAS[[#This Row],[Cantidad]]+VLOOKUP(VENTAS[[#This Row],[Código del producto Vendido]],STOCK[],19,FALSE)*VENTAS[[#This Row],[Cantidad]],VENTAS[[#This Row],[Total]])</f>
        <v>22.1920454545455</v>
      </c>
      <c r="L465" s="12">
        <f>VENTAS[[#This Row],[Total]]-VENTAS[[#This Row],[Comisión 10%]]-VENTAS[[#This Row],[Costo SIN Comision]]</f>
        <v>10.8079545454545</v>
      </c>
      <c r="M465" s="12"/>
      <c r="N465" s="16"/>
    </row>
    <row r="466" spans="1:14" ht="20" hidden="1" customHeight="1">
      <c r="A466" s="42" t="s">
        <v>4274</v>
      </c>
      <c r="B466" s="10"/>
      <c r="C466" s="10" t="s">
        <v>4277</v>
      </c>
      <c r="D466" s="10"/>
      <c r="E466" s="10" t="s">
        <v>718</v>
      </c>
      <c r="F466" s="10" t="str">
        <f>IFERROR(VLOOKUP(VENTAS[[#This Row],[Código del producto Vendido]],STOCK[],5,FALSE),"-")</f>
        <v>Vestido bodycon</v>
      </c>
      <c r="G466" s="10">
        <v>1</v>
      </c>
      <c r="H466" s="12">
        <v>12</v>
      </c>
      <c r="I466" s="12">
        <f>VENTAS[[#This Row],[Cantidad]]*VENTAS[[#This Row],[Precio Venta]]</f>
        <v>12</v>
      </c>
      <c r="J466" s="12">
        <f>IF(VENTAS[[#This Row],[Nombre del Gestor]]&gt;1,VENTAS[[#This Row],[Total]]*10%,0)</f>
        <v>0</v>
      </c>
      <c r="K466" s="12">
        <f>IFERROR(VLOOKUP(VENTAS[[#This Row],[Código del producto Vendido]],STOCK[],16,FALSE)*VENTAS[[#This Row],[Cantidad]]+VLOOKUP(VENTAS[[#This Row],[Código del producto Vendido]],STOCK[],19,FALSE)*VENTAS[[#This Row],[Cantidad]],VENTAS[[#This Row],[Total]])</f>
        <v>5.7222222222222197</v>
      </c>
      <c r="L466" s="12">
        <f>VENTAS[[#This Row],[Total]]-VENTAS[[#This Row],[Comisión 10%]]-VENTAS[[#This Row],[Costo SIN Comision]]</f>
        <v>6.2777777777777803</v>
      </c>
      <c r="M466" s="12"/>
      <c r="N466" s="16"/>
    </row>
    <row r="467" spans="1:14" ht="20" hidden="1" customHeight="1">
      <c r="A467" s="41" t="s">
        <v>4274</v>
      </c>
      <c r="B467" s="10" t="s">
        <v>4278</v>
      </c>
      <c r="C467" s="10" t="s">
        <v>4279</v>
      </c>
      <c r="D467" s="10"/>
      <c r="E467" s="10" t="s">
        <v>31</v>
      </c>
      <c r="F467" s="10" t="str">
        <f>IFERROR(VLOOKUP(VENTAS[[#This Row],[Código del producto Vendido]],STOCK[],5,FALSE),"-")</f>
        <v xml:space="preserve">Pareo falda </v>
      </c>
      <c r="G467" s="10">
        <v>1</v>
      </c>
      <c r="H467" s="12">
        <v>6</v>
      </c>
      <c r="I467" s="12">
        <f>VENTAS[[#This Row],[Cantidad]]*VENTAS[[#This Row],[Precio Venta]]</f>
        <v>6</v>
      </c>
      <c r="J467" s="12">
        <f>IF(VENTAS[[#This Row],[Nombre del Gestor]]&gt;1,VENTAS[[#This Row],[Total]]*10%,0)</f>
        <v>0</v>
      </c>
      <c r="K467" s="12">
        <f>IFERROR(VLOOKUP(VENTAS[[#This Row],[Código del producto Vendido]],STOCK[],16,FALSE)*VENTAS[[#This Row],[Cantidad]]+VLOOKUP(VENTAS[[#This Row],[Código del producto Vendido]],STOCK[],19,FALSE)*VENTAS[[#This Row],[Cantidad]],VENTAS[[#This Row],[Total]])</f>
        <v>4.3372222222222199</v>
      </c>
      <c r="L467" s="12">
        <f>VENTAS[[#This Row],[Total]]-VENTAS[[#This Row],[Comisión 10%]]-VENTAS[[#This Row],[Costo SIN Comision]]</f>
        <v>1.6627777777777801</v>
      </c>
      <c r="M467" s="12"/>
      <c r="N467" s="16"/>
    </row>
    <row r="468" spans="1:14" ht="20" hidden="1" customHeight="1">
      <c r="A468" s="42" t="s">
        <v>4274</v>
      </c>
      <c r="B468" s="10"/>
      <c r="C468" s="10" t="s">
        <v>4279</v>
      </c>
      <c r="D468" s="10"/>
      <c r="E468" s="10" t="s">
        <v>75</v>
      </c>
      <c r="F468" s="10" t="str">
        <f>IFERROR(VLOOKUP(VENTAS[[#This Row],[Código del producto Vendido]],STOCK[],5,FALSE),"-")</f>
        <v xml:space="preserve">Bañador floral </v>
      </c>
      <c r="G468" s="10">
        <v>1</v>
      </c>
      <c r="H468" s="12">
        <v>28</v>
      </c>
      <c r="I468" s="12">
        <f>VENTAS[[#This Row],[Cantidad]]*VENTAS[[#This Row],[Precio Venta]]</f>
        <v>28</v>
      </c>
      <c r="J468" s="12">
        <f>IF(VENTAS[[#This Row],[Nombre del Gestor]]&gt;1,VENTAS[[#This Row],[Total]]*10%,0)</f>
        <v>0</v>
      </c>
      <c r="K468" s="12">
        <f>IFERROR(VLOOKUP(VENTAS[[#This Row],[Código del producto Vendido]],STOCK[],16,FALSE)*VENTAS[[#This Row],[Cantidad]]+VLOOKUP(VENTAS[[#This Row],[Código del producto Vendido]],STOCK[],19,FALSE)*VENTAS[[#This Row],[Cantidad]],VENTAS[[#This Row],[Total]])</f>
        <v>18.053888888888899</v>
      </c>
      <c r="L468" s="12">
        <f>VENTAS[[#This Row],[Total]]-VENTAS[[#This Row],[Comisión 10%]]-VENTAS[[#This Row],[Costo SIN Comision]]</f>
        <v>9.9461111111111009</v>
      </c>
      <c r="M468" s="12"/>
      <c r="N468" s="16"/>
    </row>
    <row r="469" spans="1:14" ht="20" hidden="1" customHeight="1">
      <c r="A469" s="41" t="s">
        <v>4274</v>
      </c>
      <c r="B469" s="10"/>
      <c r="C469" s="10" t="s">
        <v>4279</v>
      </c>
      <c r="D469" s="10"/>
      <c r="E469" s="10" t="s">
        <v>805</v>
      </c>
      <c r="F469" s="10" t="str">
        <f>IFERROR(VLOOKUP(VENTAS[[#This Row],[Código del producto Vendido]],STOCK[],5,FALSE),"-")</f>
        <v xml:space="preserve"> Bañador espalda descubierta</v>
      </c>
      <c r="G469" s="10">
        <v>1</v>
      </c>
      <c r="H469" s="12">
        <v>20</v>
      </c>
      <c r="I469" s="12">
        <f>VENTAS[[#This Row],[Cantidad]]*VENTAS[[#This Row],[Precio Venta]]</f>
        <v>20</v>
      </c>
      <c r="J469" s="12">
        <f>IF(VENTAS[[#This Row],[Nombre del Gestor]]&gt;1,VENTAS[[#This Row],[Total]]*10%,0)</f>
        <v>0</v>
      </c>
      <c r="K469" s="12">
        <f>IFERROR(VLOOKUP(VENTAS[[#This Row],[Código del producto Vendido]],STOCK[],16,FALSE)*VENTAS[[#This Row],[Cantidad]]+VLOOKUP(VENTAS[[#This Row],[Código del producto Vendido]],STOCK[],19,FALSE)*VENTAS[[#This Row],[Cantidad]],VENTAS[[#This Row],[Total]])</f>
        <v>15.5555555555556</v>
      </c>
      <c r="L469" s="12">
        <f>VENTAS[[#This Row],[Total]]-VENTAS[[#This Row],[Comisión 10%]]-VENTAS[[#This Row],[Costo SIN Comision]]</f>
        <v>4.4444444444444002</v>
      </c>
      <c r="M469" s="12"/>
      <c r="N469" s="16"/>
    </row>
    <row r="470" spans="1:14" ht="20" hidden="1" customHeight="1">
      <c r="A470" s="42" t="s">
        <v>4274</v>
      </c>
      <c r="B470" s="10"/>
      <c r="C470" s="10" t="s">
        <v>4280</v>
      </c>
      <c r="D470" s="10"/>
      <c r="E470" s="10" t="s">
        <v>102</v>
      </c>
      <c r="F470" s="10" t="str">
        <f>IFERROR(VLOOKUP(VENTAS[[#This Row],[Código del producto Vendido]],STOCK[],5,FALSE),"-")</f>
        <v>Pareo pantalón de malla</v>
      </c>
      <c r="G470" s="10">
        <v>1</v>
      </c>
      <c r="H470" s="12">
        <v>15</v>
      </c>
      <c r="I470" s="12">
        <f>VENTAS[[#This Row],[Cantidad]]*VENTAS[[#This Row],[Precio Venta]]</f>
        <v>15</v>
      </c>
      <c r="J470" s="12">
        <f>IF(VENTAS[[#This Row],[Nombre del Gestor]]&gt;1,VENTAS[[#This Row],[Total]]*10%,0)</f>
        <v>0</v>
      </c>
      <c r="K470" s="12">
        <f>IFERROR(VLOOKUP(VENTAS[[#This Row],[Código del producto Vendido]],STOCK[],16,FALSE)*VENTAS[[#This Row],[Cantidad]]+VLOOKUP(VENTAS[[#This Row],[Código del producto Vendido]],STOCK[],19,FALSE)*VENTAS[[#This Row],[Cantidad]],VENTAS[[#This Row],[Total]])</f>
        <v>9.7855555555555593</v>
      </c>
      <c r="L470" s="12">
        <f>VENTAS[[#This Row],[Total]]-VENTAS[[#This Row],[Comisión 10%]]-VENTAS[[#This Row],[Costo SIN Comision]]</f>
        <v>5.2144444444444407</v>
      </c>
      <c r="M470" s="12"/>
      <c r="N470" s="16"/>
    </row>
    <row r="471" spans="1:14" ht="20" hidden="1" customHeight="1">
      <c r="A471" s="41" t="s">
        <v>4274</v>
      </c>
      <c r="B471" s="10"/>
      <c r="C471" s="10" t="s">
        <v>4281</v>
      </c>
      <c r="D471" s="10"/>
      <c r="E471" s="10" t="s">
        <v>635</v>
      </c>
      <c r="F471" s="10" t="str">
        <f>IFERROR(VLOOKUP(VENTAS[[#This Row],[Código del producto Vendido]],STOCK[],5,FALSE),"-")</f>
        <v>Vestido floral escote corazón</v>
      </c>
      <c r="G471" s="10">
        <v>1</v>
      </c>
      <c r="H471" s="12">
        <v>18</v>
      </c>
      <c r="I471" s="12">
        <f>VENTAS[[#This Row],[Cantidad]]*VENTAS[[#This Row],[Precio Venta]]</f>
        <v>18</v>
      </c>
      <c r="J471" s="12">
        <f>IF(VENTAS[[#This Row],[Nombre del Gestor]]&gt;1,VENTAS[[#This Row],[Total]]*10%,0)</f>
        <v>0</v>
      </c>
      <c r="K471" s="12">
        <f>IFERROR(VLOOKUP(VENTAS[[#This Row],[Código del producto Vendido]],STOCK[],16,FALSE)*VENTAS[[#This Row],[Cantidad]]+VLOOKUP(VENTAS[[#This Row],[Código del producto Vendido]],STOCK[],19,FALSE)*VENTAS[[#This Row],[Cantidad]],VENTAS[[#This Row],[Total]])</f>
        <v>10.72222222222222</v>
      </c>
      <c r="L471" s="12">
        <f>VENTAS[[#This Row],[Total]]-VENTAS[[#This Row],[Comisión 10%]]-VENTAS[[#This Row],[Costo SIN Comision]]</f>
        <v>7.2777777777777803</v>
      </c>
      <c r="M471" s="12"/>
      <c r="N471" s="16"/>
    </row>
    <row r="472" spans="1:14" ht="20" hidden="1" customHeight="1">
      <c r="A472" s="42" t="s">
        <v>4282</v>
      </c>
      <c r="B472" s="10"/>
      <c r="C472" s="10" t="s">
        <v>4283</v>
      </c>
      <c r="D472" s="10"/>
      <c r="E472" s="10" t="s">
        <v>1285</v>
      </c>
      <c r="F472" s="10" t="str">
        <f>IFERROR(VLOOKUP(VENTAS[[#This Row],[Código del producto Vendido]],STOCK[],5,FALSE),"-")</f>
        <v>Pantalón de corte recto</v>
      </c>
      <c r="G472" s="10">
        <v>1</v>
      </c>
      <c r="H472" s="12">
        <v>30</v>
      </c>
      <c r="I472" s="12">
        <f>VENTAS[[#This Row],[Cantidad]]*VENTAS[[#This Row],[Precio Venta]]</f>
        <v>30</v>
      </c>
      <c r="J472" s="12">
        <f>IF(VENTAS[[#This Row],[Nombre del Gestor]]&gt;1,VENTAS[[#This Row],[Total]]*10%,0)</f>
        <v>0</v>
      </c>
      <c r="K472" s="12">
        <f>IFERROR(VLOOKUP(VENTAS[[#This Row],[Código del producto Vendido]],STOCK[],16,FALSE)*VENTAS[[#This Row],[Cantidad]]+VLOOKUP(VENTAS[[#This Row],[Código del producto Vendido]],STOCK[],19,FALSE)*VENTAS[[#This Row],[Cantidad]],VENTAS[[#This Row],[Total]])</f>
        <v>20.78</v>
      </c>
      <c r="L472" s="12">
        <f>VENTAS[[#This Row],[Total]]-VENTAS[[#This Row],[Comisión 10%]]-VENTAS[[#This Row],[Costo SIN Comision]]</f>
        <v>9.2199999999999989</v>
      </c>
      <c r="M472" s="12"/>
      <c r="N472" s="16"/>
    </row>
    <row r="473" spans="1:14" ht="20" hidden="1" customHeight="1">
      <c r="A473" s="41" t="s">
        <v>4282</v>
      </c>
      <c r="B473" s="10"/>
      <c r="C473" s="10" t="s">
        <v>4284</v>
      </c>
      <c r="D473" s="10"/>
      <c r="E473" s="10" t="s">
        <v>1297</v>
      </c>
      <c r="F473" s="10" t="str">
        <f>IFERROR(VLOOKUP(VENTAS[[#This Row],[Código del producto Vendido]],STOCK[],5,FALSE),"-")</f>
        <v>Pantaloneta con cinturón</v>
      </c>
      <c r="G473" s="10">
        <v>1</v>
      </c>
      <c r="H473" s="12">
        <v>26</v>
      </c>
      <c r="I473" s="12">
        <f>VENTAS[[#This Row],[Cantidad]]*VENTAS[[#This Row],[Precio Venta]]</f>
        <v>26</v>
      </c>
      <c r="J473" s="12">
        <f>IF(VENTAS[[#This Row],[Nombre del Gestor]]&gt;1,VENTAS[[#This Row],[Total]]*10%,0)</f>
        <v>0</v>
      </c>
      <c r="K473" s="12">
        <f>IFERROR(VLOOKUP(VENTAS[[#This Row],[Código del producto Vendido]],STOCK[],16,FALSE)*VENTAS[[#This Row],[Cantidad]]+VLOOKUP(VENTAS[[#This Row],[Código del producto Vendido]],STOCK[],19,FALSE)*VENTAS[[#This Row],[Cantidad]],VENTAS[[#This Row],[Total]])</f>
        <v>18</v>
      </c>
      <c r="L473" s="12">
        <f>VENTAS[[#This Row],[Total]]-VENTAS[[#This Row],[Comisión 10%]]-VENTAS[[#This Row],[Costo SIN Comision]]</f>
        <v>8</v>
      </c>
      <c r="M473" s="12"/>
      <c r="N473" s="16"/>
    </row>
    <row r="474" spans="1:14" ht="20" hidden="1" customHeight="1">
      <c r="A474" s="42" t="s">
        <v>4282</v>
      </c>
      <c r="B474" s="10"/>
      <c r="C474" s="10" t="s">
        <v>4284</v>
      </c>
      <c r="D474" s="10"/>
      <c r="E474" s="10" t="s">
        <v>1218</v>
      </c>
      <c r="F474" s="10" t="str">
        <f>IFERROR(VLOOKUP(VENTAS[[#This Row],[Código del producto Vendido]],STOCK[],5,FALSE),"-")</f>
        <v>Pullover negro cuello redondo</v>
      </c>
      <c r="G474" s="10">
        <v>1</v>
      </c>
      <c r="H474" s="12">
        <v>13</v>
      </c>
      <c r="I474" s="12">
        <f>VENTAS[[#This Row],[Cantidad]]*VENTAS[[#This Row],[Precio Venta]]</f>
        <v>13</v>
      </c>
      <c r="J474" s="12">
        <f>IF(VENTAS[[#This Row],[Nombre del Gestor]]&gt;1,VENTAS[[#This Row],[Total]]*10%,0)</f>
        <v>0</v>
      </c>
      <c r="K474" s="12">
        <f>IFERROR(VLOOKUP(VENTAS[[#This Row],[Código del producto Vendido]],STOCK[],16,FALSE)*VENTAS[[#This Row],[Cantidad]]+VLOOKUP(VENTAS[[#This Row],[Código del producto Vendido]],STOCK[],19,FALSE)*VENTAS[[#This Row],[Cantidad]],VENTAS[[#This Row],[Total]])</f>
        <v>8.5300000000000011</v>
      </c>
      <c r="L474" s="12">
        <f>VENTAS[[#This Row],[Total]]-VENTAS[[#This Row],[Comisión 10%]]-VENTAS[[#This Row],[Costo SIN Comision]]</f>
        <v>4.4699999999999989</v>
      </c>
      <c r="M474" s="12"/>
      <c r="N474" s="16"/>
    </row>
    <row r="475" spans="1:14" ht="20" hidden="1" customHeight="1">
      <c r="A475" s="41" t="s">
        <v>4285</v>
      </c>
      <c r="B475" s="10"/>
      <c r="C475" s="10" t="s">
        <v>4286</v>
      </c>
      <c r="D475" s="10"/>
      <c r="E475" s="10" t="s">
        <v>1112</v>
      </c>
      <c r="F475" s="10" t="str">
        <f>IFERROR(VLOOKUP(VENTAS[[#This Row],[Código del producto Vendido]],STOCK[],5,FALSE),"-")</f>
        <v>Jumpsuit culotte</v>
      </c>
      <c r="G475" s="10">
        <v>1</v>
      </c>
      <c r="H475" s="12">
        <v>22</v>
      </c>
      <c r="I475" s="12">
        <f>VENTAS[[#This Row],[Cantidad]]*VENTAS[[#This Row],[Precio Venta]]</f>
        <v>22</v>
      </c>
      <c r="J475" s="12">
        <f>IF(VENTAS[[#This Row],[Nombre del Gestor]]&gt;1,VENTAS[[#This Row],[Total]]*10%,0)</f>
        <v>0</v>
      </c>
      <c r="K475" s="12">
        <f>IFERROR(VLOOKUP(VENTAS[[#This Row],[Código del producto Vendido]],STOCK[],16,FALSE)*VENTAS[[#This Row],[Cantidad]]+VLOOKUP(VENTAS[[#This Row],[Código del producto Vendido]],STOCK[],19,FALSE)*VENTAS[[#This Row],[Cantidad]],VENTAS[[#This Row],[Total]])</f>
        <v>18.4279411764706</v>
      </c>
      <c r="L475" s="12">
        <f>VENTAS[[#This Row],[Total]]-VENTAS[[#This Row],[Comisión 10%]]-VENTAS[[#This Row],[Costo SIN Comision]]</f>
        <v>3.5720588235293995</v>
      </c>
      <c r="M475" s="12"/>
      <c r="N475" s="16"/>
    </row>
    <row r="476" spans="1:14" ht="20" hidden="1" customHeight="1">
      <c r="A476" s="42" t="s">
        <v>4285</v>
      </c>
      <c r="B476" s="10"/>
      <c r="C476" s="10" t="s">
        <v>4286</v>
      </c>
      <c r="D476" s="10"/>
      <c r="E476" s="10" t="s">
        <v>1106</v>
      </c>
      <c r="F476" s="10" t="str">
        <f>IFERROR(VLOOKUP(VENTAS[[#This Row],[Código del producto Vendido]],STOCK[],5,FALSE),"-")</f>
        <v>Mono Oblicuo con bolsillo</v>
      </c>
      <c r="G476" s="10">
        <v>1</v>
      </c>
      <c r="H476" s="12">
        <v>19</v>
      </c>
      <c r="I476" s="12">
        <f>VENTAS[[#This Row],[Cantidad]]*VENTAS[[#This Row],[Precio Venta]]</f>
        <v>19</v>
      </c>
      <c r="J476" s="12">
        <f>IF(VENTAS[[#This Row],[Nombre del Gestor]]&gt;1,VENTAS[[#This Row],[Total]]*10%,0)</f>
        <v>0</v>
      </c>
      <c r="K476" s="12">
        <f>IFERROR(VLOOKUP(VENTAS[[#This Row],[Código del producto Vendido]],STOCK[],16,FALSE)*VENTAS[[#This Row],[Cantidad]]+VLOOKUP(VENTAS[[#This Row],[Código del producto Vendido]],STOCK[],19,FALSE)*VENTAS[[#This Row],[Cantidad]],VENTAS[[#This Row],[Total]])</f>
        <v>14.54852941176471</v>
      </c>
      <c r="L476" s="12">
        <f>VENTAS[[#This Row],[Total]]-VENTAS[[#This Row],[Comisión 10%]]-VENTAS[[#This Row],[Costo SIN Comision]]</f>
        <v>4.4514705882352903</v>
      </c>
      <c r="M476" s="12"/>
      <c r="N476" s="16"/>
    </row>
    <row r="477" spans="1:14" ht="20" hidden="1" customHeight="1">
      <c r="A477" s="41" t="s">
        <v>4285</v>
      </c>
      <c r="B477" s="10"/>
      <c r="C477" s="10" t="s">
        <v>4211</v>
      </c>
      <c r="D477" s="10"/>
      <c r="E477" s="10" t="s">
        <v>1257</v>
      </c>
      <c r="F477" s="10" t="str">
        <f>IFERROR(VLOOKUP(VENTAS[[#This Row],[Código del producto Vendido]],STOCK[],5,FALSE),"-")</f>
        <v>Maxi vestido playero rojo</v>
      </c>
      <c r="G477" s="10">
        <v>1</v>
      </c>
      <c r="H477" s="12">
        <v>35</v>
      </c>
      <c r="I477" s="12">
        <f>VENTAS[[#This Row],[Cantidad]]*VENTAS[[#This Row],[Precio Venta]]</f>
        <v>35</v>
      </c>
      <c r="J477" s="12">
        <f>IF(VENTAS[[#This Row],[Nombre del Gestor]]&gt;1,VENTAS[[#This Row],[Total]]*10%,0)</f>
        <v>0</v>
      </c>
      <c r="K477" s="12">
        <f>IFERROR(VLOOKUP(VENTAS[[#This Row],[Código del producto Vendido]],STOCK[],16,FALSE)*VENTAS[[#This Row],[Cantidad]]+VLOOKUP(VENTAS[[#This Row],[Código del producto Vendido]],STOCK[],19,FALSE)*VENTAS[[#This Row],[Cantidad]],VENTAS[[#This Row],[Total]])</f>
        <v>23.42</v>
      </c>
      <c r="L477" s="12">
        <f>VENTAS[[#This Row],[Total]]-VENTAS[[#This Row],[Comisión 10%]]-VENTAS[[#This Row],[Costo SIN Comision]]</f>
        <v>11.579999999999998</v>
      </c>
      <c r="M477" s="12"/>
      <c r="N477" s="16"/>
    </row>
    <row r="478" spans="1:14" ht="20" hidden="1" customHeight="1">
      <c r="A478" s="42" t="s">
        <v>4285</v>
      </c>
      <c r="B478" s="10"/>
      <c r="C478" s="10" t="s">
        <v>4284</v>
      </c>
      <c r="D478" s="10"/>
      <c r="E478" s="10" t="s">
        <v>219</v>
      </c>
      <c r="F478" s="10" t="str">
        <f>IFERROR(VLOOKUP(VENTAS[[#This Row],[Código del producto Vendido]],STOCK[],5,FALSE),"-")</f>
        <v>Camisetaen contraste tejido canalé</v>
      </c>
      <c r="G478" s="10">
        <v>1</v>
      </c>
      <c r="H478" s="12">
        <v>14</v>
      </c>
      <c r="I478" s="12">
        <f>VENTAS[[#This Row],[Cantidad]]*VENTAS[[#This Row],[Precio Venta]]</f>
        <v>14</v>
      </c>
      <c r="J478" s="12">
        <f>IF(VENTAS[[#This Row],[Nombre del Gestor]]&gt;1,VENTAS[[#This Row],[Total]]*10%,0)</f>
        <v>0</v>
      </c>
      <c r="K478" s="12">
        <f>IFERROR(VLOOKUP(VENTAS[[#This Row],[Código del producto Vendido]],STOCK[],16,FALSE)*VENTAS[[#This Row],[Cantidad]]+VLOOKUP(VENTAS[[#This Row],[Código del producto Vendido]],STOCK[],19,FALSE)*VENTAS[[#This Row],[Cantidad]],VENTAS[[#This Row],[Total]])</f>
        <v>8.8577777777777804</v>
      </c>
      <c r="L478" s="12">
        <f>VENTAS[[#This Row],[Total]]-VENTAS[[#This Row],[Comisión 10%]]-VENTAS[[#This Row],[Costo SIN Comision]]</f>
        <v>5.1422222222222196</v>
      </c>
      <c r="M478" s="12"/>
      <c r="N478" s="16"/>
    </row>
    <row r="479" spans="1:14" ht="20" hidden="1" customHeight="1">
      <c r="A479" s="41" t="s">
        <v>4285</v>
      </c>
      <c r="B479" s="10"/>
      <c r="C479" s="10" t="s">
        <v>4287</v>
      </c>
      <c r="D479" s="10"/>
      <c r="E479" s="10" t="s">
        <v>31</v>
      </c>
      <c r="F479" s="10" t="str">
        <f>IFERROR(VLOOKUP(VENTAS[[#This Row],[Código del producto Vendido]],STOCK[],5,FALSE),"-")</f>
        <v xml:space="preserve">Pareo falda </v>
      </c>
      <c r="G479" s="10">
        <v>1</v>
      </c>
      <c r="H479" s="12">
        <v>8</v>
      </c>
      <c r="I479" s="12">
        <f>VENTAS[[#This Row],[Cantidad]]*VENTAS[[#This Row],[Precio Venta]]</f>
        <v>8</v>
      </c>
      <c r="J479" s="12">
        <f>IF(VENTAS[[#This Row],[Nombre del Gestor]]&gt;1,VENTAS[[#This Row],[Total]]*10%,0)</f>
        <v>0</v>
      </c>
      <c r="K479" s="12">
        <f>IFERROR(VLOOKUP(VENTAS[[#This Row],[Código del producto Vendido]],STOCK[],16,FALSE)*VENTAS[[#This Row],[Cantidad]]+VLOOKUP(VENTAS[[#This Row],[Código del producto Vendido]],STOCK[],19,FALSE)*VENTAS[[#This Row],[Cantidad]],VENTAS[[#This Row],[Total]])</f>
        <v>4.3372222222222199</v>
      </c>
      <c r="L479" s="12">
        <f>VENTAS[[#This Row],[Total]]-VENTAS[[#This Row],[Comisión 10%]]-VENTAS[[#This Row],[Costo SIN Comision]]</f>
        <v>3.6627777777777801</v>
      </c>
      <c r="M479" s="12"/>
      <c r="N479" s="16"/>
    </row>
    <row r="480" spans="1:14" ht="20" hidden="1" customHeight="1">
      <c r="A480" s="42" t="s">
        <v>4288</v>
      </c>
      <c r="B480" s="10"/>
      <c r="C480" s="10" t="s">
        <v>4289</v>
      </c>
      <c r="D480" s="10"/>
      <c r="E480" s="10" t="s">
        <v>1205</v>
      </c>
      <c r="F480" s="10" t="str">
        <f>IFERROR(VLOOKUP(VENTAS[[#This Row],[Código del producto Vendido]],STOCK[],5,FALSE),"-")</f>
        <v>Camisa Blanca</v>
      </c>
      <c r="G480" s="10">
        <v>1</v>
      </c>
      <c r="H480" s="12">
        <v>20</v>
      </c>
      <c r="I480" s="12">
        <f>VENTAS[[#This Row],[Cantidad]]*VENTAS[[#This Row],[Precio Venta]]</f>
        <v>20</v>
      </c>
      <c r="J480" s="12">
        <f>IF(VENTAS[[#This Row],[Nombre del Gestor]]&gt;1,VENTAS[[#This Row],[Total]]*10%,0)</f>
        <v>0</v>
      </c>
      <c r="K480" s="12">
        <f>IFERROR(VLOOKUP(VENTAS[[#This Row],[Código del producto Vendido]],STOCK[],16,FALSE)*VENTAS[[#This Row],[Cantidad]]+VLOOKUP(VENTAS[[#This Row],[Código del producto Vendido]],STOCK[],19,FALSE)*VENTAS[[#This Row],[Cantidad]],VENTAS[[#This Row],[Total]])</f>
        <v>12.9</v>
      </c>
      <c r="L480" s="12">
        <f>VENTAS[[#This Row],[Total]]-VENTAS[[#This Row],[Comisión 10%]]-VENTAS[[#This Row],[Costo SIN Comision]]</f>
        <v>7.1</v>
      </c>
      <c r="M480" s="12"/>
      <c r="N480" s="16"/>
    </row>
    <row r="481" spans="1:14" ht="20" hidden="1" customHeight="1">
      <c r="A481" s="41" t="s">
        <v>4288</v>
      </c>
      <c r="B481" s="10"/>
      <c r="C481" s="10" t="s">
        <v>4290</v>
      </c>
      <c r="D481" s="10"/>
      <c r="E481" s="10" t="s">
        <v>246</v>
      </c>
      <c r="F481" s="10" t="str">
        <f>IFERROR(VLOOKUP(VENTAS[[#This Row],[Código del producto Vendido]],STOCK[],5,FALSE),"-")</f>
        <v>Top de mangas anchas y lentejuelas amarillo</v>
      </c>
      <c r="G481" s="10">
        <v>0</v>
      </c>
      <c r="H481" s="12">
        <v>0</v>
      </c>
      <c r="I481" s="12">
        <f>VENTAS[[#This Row],[Cantidad]]*VENTAS[[#This Row],[Precio Venta]]</f>
        <v>0</v>
      </c>
      <c r="J481" s="12">
        <f>IF(VENTAS[[#This Row],[Nombre del Gestor]]&gt;1,VENTAS[[#This Row],[Total]]*10%,0)</f>
        <v>0</v>
      </c>
      <c r="K481" s="12">
        <f>IFERROR(VLOOKUP(VENTAS[[#This Row],[Código del producto Vendido]],STOCK[],16,FALSE)*VENTAS[[#This Row],[Cantidad]]+VLOOKUP(VENTAS[[#This Row],[Código del producto Vendido]],STOCK[],19,FALSE)*VENTAS[[#This Row],[Cantidad]],VENTAS[[#This Row],[Total]])</f>
        <v>0</v>
      </c>
      <c r="L481" s="12">
        <f>VENTAS[[#This Row],[Total]]-VENTAS[[#This Row],[Comisión 10%]]-VENTAS[[#This Row],[Costo SIN Comision]]</f>
        <v>0</v>
      </c>
      <c r="M481" s="12"/>
      <c r="N481" s="16"/>
    </row>
    <row r="482" spans="1:14" ht="20" hidden="1" customHeight="1">
      <c r="A482" s="42" t="s">
        <v>4288</v>
      </c>
      <c r="B482" s="10"/>
      <c r="C482" s="10" t="s">
        <v>4195</v>
      </c>
      <c r="D482" s="10"/>
      <c r="E482" s="10" t="s">
        <v>450</v>
      </c>
      <c r="F482" s="10" t="str">
        <f>IFERROR(VLOOKUP(VENTAS[[#This Row],[Código del producto Vendido]],STOCK[],5,FALSE),"-")</f>
        <v>Bañador estampado de planta</v>
      </c>
      <c r="G482" s="10">
        <v>1</v>
      </c>
      <c r="H482" s="12">
        <v>25</v>
      </c>
      <c r="I482" s="12">
        <f>VENTAS[[#This Row],[Cantidad]]*VENTAS[[#This Row],[Precio Venta]]</f>
        <v>25</v>
      </c>
      <c r="J482" s="12">
        <f>IF(VENTAS[[#This Row],[Nombre del Gestor]]&gt;1,VENTAS[[#This Row],[Total]]*10%,0)</f>
        <v>0</v>
      </c>
      <c r="K482" s="12">
        <f>IFERROR(VLOOKUP(VENTAS[[#This Row],[Código del producto Vendido]],STOCK[],16,FALSE)*VENTAS[[#This Row],[Cantidad]]+VLOOKUP(VENTAS[[#This Row],[Código del producto Vendido]],STOCK[],19,FALSE)*VENTAS[[#This Row],[Cantidad]],VENTAS[[#This Row],[Total]])</f>
        <v>13.4166666666667</v>
      </c>
      <c r="L482" s="12">
        <f>VENTAS[[#This Row],[Total]]-VENTAS[[#This Row],[Comisión 10%]]-VENTAS[[#This Row],[Costo SIN Comision]]</f>
        <v>11.5833333333333</v>
      </c>
      <c r="M482" s="12"/>
      <c r="N482" s="16"/>
    </row>
    <row r="483" spans="1:14" ht="20" hidden="1" customHeight="1">
      <c r="A483" s="41" t="s">
        <v>4288</v>
      </c>
      <c r="B483" s="10"/>
      <c r="C483" s="10" t="s">
        <v>4291</v>
      </c>
      <c r="D483" s="10"/>
      <c r="E483" s="10" t="s">
        <v>757</v>
      </c>
      <c r="F483" s="10" t="str">
        <f>IFERROR(VLOOKUP(VENTAS[[#This Row],[Código del producto Vendido]],STOCK[],5,FALSE),"-")</f>
        <v>Sandalias Trenzadas</v>
      </c>
      <c r="G483" s="10">
        <v>1</v>
      </c>
      <c r="H483" s="12">
        <v>35</v>
      </c>
      <c r="I483" s="12">
        <f>VENTAS[[#This Row],[Cantidad]]*VENTAS[[#This Row],[Precio Venta]]</f>
        <v>35</v>
      </c>
      <c r="J483" s="12">
        <f>IF(VENTAS[[#This Row],[Nombre del Gestor]]&gt;1,VENTAS[[#This Row],[Total]]*10%,0)</f>
        <v>0</v>
      </c>
      <c r="K483" s="12">
        <f>IFERROR(VLOOKUP(VENTAS[[#This Row],[Código del producto Vendido]],STOCK[],16,FALSE)*VENTAS[[#This Row],[Cantidad]]+VLOOKUP(VENTAS[[#This Row],[Código del producto Vendido]],STOCK[],19,FALSE)*VENTAS[[#This Row],[Cantidad]],VENTAS[[#This Row],[Total]])</f>
        <v>27</v>
      </c>
      <c r="L483" s="12">
        <f>VENTAS[[#This Row],[Total]]-VENTAS[[#This Row],[Comisión 10%]]-VENTAS[[#This Row],[Costo SIN Comision]]</f>
        <v>8</v>
      </c>
      <c r="M483" s="12"/>
      <c r="N483" s="16"/>
    </row>
    <row r="484" spans="1:14" ht="20" hidden="1" customHeight="1">
      <c r="A484" s="42" t="s">
        <v>4288</v>
      </c>
      <c r="B484" s="10"/>
      <c r="C484" s="10" t="s">
        <v>4284</v>
      </c>
      <c r="D484" s="10"/>
      <c r="E484" s="10" t="s">
        <v>1244</v>
      </c>
      <c r="F484" s="10" t="str">
        <f>IFERROR(VLOOKUP(VENTAS[[#This Row],[Código del producto Vendido]],STOCK[],5,FALSE),"-")</f>
        <v>Pantalón Corte Recto</v>
      </c>
      <c r="G484" s="10">
        <v>1</v>
      </c>
      <c r="H484" s="12">
        <v>30</v>
      </c>
      <c r="I484" s="12">
        <f>VENTAS[[#This Row],[Cantidad]]*VENTAS[[#This Row],[Precio Venta]]</f>
        <v>30</v>
      </c>
      <c r="J484" s="12">
        <f>IF(VENTAS[[#This Row],[Nombre del Gestor]]&gt;1,VENTAS[[#This Row],[Total]]*10%,0)</f>
        <v>0</v>
      </c>
      <c r="K484" s="12">
        <f>IFERROR(VLOOKUP(VENTAS[[#This Row],[Código del producto Vendido]],STOCK[],16,FALSE)*VENTAS[[#This Row],[Cantidad]]+VLOOKUP(VENTAS[[#This Row],[Código del producto Vendido]],STOCK[],19,FALSE)*VENTAS[[#This Row],[Cantidad]],VENTAS[[#This Row],[Total]])</f>
        <v>20.78</v>
      </c>
      <c r="L484" s="12">
        <f>VENTAS[[#This Row],[Total]]-VENTAS[[#This Row],[Comisión 10%]]-VENTAS[[#This Row],[Costo SIN Comision]]</f>
        <v>9.2199999999999989</v>
      </c>
      <c r="M484" s="12"/>
      <c r="N484" s="16"/>
    </row>
    <row r="485" spans="1:14" ht="20" hidden="1" customHeight="1">
      <c r="A485" s="41" t="s">
        <v>4288</v>
      </c>
      <c r="B485" s="10"/>
      <c r="C485" s="10" t="s">
        <v>4292</v>
      </c>
      <c r="D485" s="10"/>
      <c r="E485" s="10" t="s">
        <v>1024</v>
      </c>
      <c r="F485" s="10" t="str">
        <f>IFERROR(VLOOKUP(VENTAS[[#This Row],[Código del producto Vendido]],STOCK[],5,FALSE),"-")</f>
        <v>Falda Margarita</v>
      </c>
      <c r="G485" s="10">
        <v>1</v>
      </c>
      <c r="H485" s="12">
        <v>20</v>
      </c>
      <c r="I485" s="12">
        <f>VENTAS[[#This Row],[Cantidad]]*VENTAS[[#This Row],[Precio Venta]]</f>
        <v>20</v>
      </c>
      <c r="J485" s="12">
        <f>IF(VENTAS[[#This Row],[Nombre del Gestor]]&gt;1,VENTAS[[#This Row],[Total]]*10%,0)</f>
        <v>0</v>
      </c>
      <c r="K485" s="12">
        <f>IFERROR(VLOOKUP(VENTAS[[#This Row],[Código del producto Vendido]],STOCK[],16,FALSE)*VENTAS[[#This Row],[Cantidad]]+VLOOKUP(VENTAS[[#This Row],[Código del producto Vendido]],STOCK[],19,FALSE)*VENTAS[[#This Row],[Cantidad]],VENTAS[[#This Row],[Total]])</f>
        <v>8.1050000000000004</v>
      </c>
      <c r="L485" s="12">
        <f>VENTAS[[#This Row],[Total]]-VENTAS[[#This Row],[Comisión 10%]]-VENTAS[[#This Row],[Costo SIN Comision]]</f>
        <v>11.895</v>
      </c>
      <c r="M485" s="12"/>
      <c r="N485" s="16"/>
    </row>
    <row r="486" spans="1:14" ht="20" hidden="1" customHeight="1">
      <c r="A486" s="42" t="s">
        <v>4288</v>
      </c>
      <c r="B486" s="10"/>
      <c r="C486" s="10" t="s">
        <v>4293</v>
      </c>
      <c r="D486" s="10"/>
      <c r="E486" s="10" t="s">
        <v>1020</v>
      </c>
      <c r="F486" s="10" t="str">
        <f>IFERROR(VLOOKUP(VENTAS[[#This Row],[Código del producto Vendido]],STOCK[],5,FALSE),"-")</f>
        <v>Falda margarita de corte A</v>
      </c>
      <c r="G486" s="10">
        <v>1</v>
      </c>
      <c r="H486" s="12">
        <v>20</v>
      </c>
      <c r="I486" s="12">
        <f>VENTAS[[#This Row],[Cantidad]]*VENTAS[[#This Row],[Precio Venta]]</f>
        <v>20</v>
      </c>
      <c r="J486" s="12">
        <f>IF(VENTAS[[#This Row],[Nombre del Gestor]]&gt;1,VENTAS[[#This Row],[Total]]*10%,0)</f>
        <v>0</v>
      </c>
      <c r="K486" s="12">
        <f>IFERROR(VLOOKUP(VENTAS[[#This Row],[Código del producto Vendido]],STOCK[],16,FALSE)*VENTAS[[#This Row],[Cantidad]]+VLOOKUP(VENTAS[[#This Row],[Código del producto Vendido]],STOCK[],19,FALSE)*VENTAS[[#This Row],[Cantidad]],VENTAS[[#This Row],[Total]])</f>
        <v>8.1050000000000004</v>
      </c>
      <c r="L486" s="12">
        <f>VENTAS[[#This Row],[Total]]-VENTAS[[#This Row],[Comisión 10%]]-VENTAS[[#This Row],[Costo SIN Comision]]</f>
        <v>11.895</v>
      </c>
      <c r="M486" s="12"/>
      <c r="N486" s="16"/>
    </row>
    <row r="487" spans="1:14" ht="20" hidden="1" customHeight="1">
      <c r="A487" s="41" t="s">
        <v>4288</v>
      </c>
      <c r="B487" s="10"/>
      <c r="C487" s="10" t="s">
        <v>4293</v>
      </c>
      <c r="D487" s="10"/>
      <c r="E487" s="10" t="s">
        <v>1283</v>
      </c>
      <c r="F487" s="10" t="str">
        <f>IFERROR(VLOOKUP(VENTAS[[#This Row],[Código del producto Vendido]],STOCK[],5,FALSE),"-")</f>
        <v>Pantalón beige de pierna ancha</v>
      </c>
      <c r="G487" s="10">
        <v>1</v>
      </c>
      <c r="H487" s="12">
        <v>30</v>
      </c>
      <c r="I487" s="12">
        <f>VENTAS[[#This Row],[Cantidad]]*VENTAS[[#This Row],[Precio Venta]]</f>
        <v>30</v>
      </c>
      <c r="J487" s="12">
        <f>IF(VENTAS[[#This Row],[Nombre del Gestor]]&gt;1,VENTAS[[#This Row],[Total]]*10%,0)</f>
        <v>0</v>
      </c>
      <c r="K487" s="12">
        <f>IFERROR(VLOOKUP(VENTAS[[#This Row],[Código del producto Vendido]],STOCK[],16,FALSE)*VENTAS[[#This Row],[Cantidad]]+VLOOKUP(VENTAS[[#This Row],[Código del producto Vendido]],STOCK[],19,FALSE)*VENTAS[[#This Row],[Cantidad]],VENTAS[[#This Row],[Total]])</f>
        <v>20.78</v>
      </c>
      <c r="L487" s="12">
        <f>VENTAS[[#This Row],[Total]]-VENTAS[[#This Row],[Comisión 10%]]-VENTAS[[#This Row],[Costo SIN Comision]]</f>
        <v>9.2199999999999989</v>
      </c>
      <c r="M487" s="12"/>
      <c r="N487" s="16"/>
    </row>
    <row r="488" spans="1:14" ht="20" hidden="1" customHeight="1">
      <c r="A488" s="42" t="s">
        <v>4288</v>
      </c>
      <c r="B488" s="10"/>
      <c r="C488" s="10" t="s">
        <v>4293</v>
      </c>
      <c r="D488" s="10"/>
      <c r="E488" s="10" t="s">
        <v>1273</v>
      </c>
      <c r="F488" s="10" t="str">
        <f>IFERROR(VLOOKUP(VENTAS[[#This Row],[Código del producto Vendido]],STOCK[],5,FALSE),"-")</f>
        <v>Top blanco cuello V con encaje</v>
      </c>
      <c r="G488" s="10">
        <v>1</v>
      </c>
      <c r="H488" s="12">
        <v>12</v>
      </c>
      <c r="I488" s="12">
        <f>VENTAS[[#This Row],[Cantidad]]*VENTAS[[#This Row],[Precio Venta]]</f>
        <v>12</v>
      </c>
      <c r="J488" s="12">
        <f>IF(VENTAS[[#This Row],[Nombre del Gestor]]&gt;1,VENTAS[[#This Row],[Total]]*10%,0)</f>
        <v>0</v>
      </c>
      <c r="K488" s="12">
        <f>IFERROR(VLOOKUP(VENTAS[[#This Row],[Código del producto Vendido]],STOCK[],16,FALSE)*VENTAS[[#This Row],[Cantidad]]+VLOOKUP(VENTAS[[#This Row],[Código del producto Vendido]],STOCK[],19,FALSE)*VENTAS[[#This Row],[Cantidad]],VENTAS[[#This Row],[Total]])</f>
        <v>7.97</v>
      </c>
      <c r="L488" s="12">
        <f>VENTAS[[#This Row],[Total]]-VENTAS[[#This Row],[Comisión 10%]]-VENTAS[[#This Row],[Costo SIN Comision]]</f>
        <v>4.03</v>
      </c>
      <c r="M488" s="12"/>
      <c r="N488" s="16"/>
    </row>
    <row r="489" spans="1:14" ht="20" hidden="1" customHeight="1">
      <c r="A489" s="41" t="s">
        <v>4294</v>
      </c>
      <c r="B489" s="10"/>
      <c r="C489" s="10" t="s">
        <v>4193</v>
      </c>
      <c r="D489" s="10"/>
      <c r="E489" s="10" t="s">
        <v>1198</v>
      </c>
      <c r="F489" s="10" t="str">
        <f>IFERROR(VLOOKUP(VENTAS[[#This Row],[Código del producto Vendido]],STOCK[],5,FALSE),"-")</f>
        <v>Conjunto blanco top healter y falda cruzada</v>
      </c>
      <c r="G489" s="10">
        <v>1</v>
      </c>
      <c r="H489" s="12">
        <v>40</v>
      </c>
      <c r="I489" s="12">
        <f>VENTAS[[#This Row],[Cantidad]]*VENTAS[[#This Row],[Precio Venta]]</f>
        <v>40</v>
      </c>
      <c r="J489" s="12">
        <f>IF(VENTAS[[#This Row],[Nombre del Gestor]]&gt;1,VENTAS[[#This Row],[Total]]*10%,0)</f>
        <v>0</v>
      </c>
      <c r="K489" s="12">
        <f>IFERROR(VLOOKUP(VENTAS[[#This Row],[Código del producto Vendido]],STOCK[],16,FALSE)*VENTAS[[#This Row],[Cantidad]]+VLOOKUP(VENTAS[[#This Row],[Código del producto Vendido]],STOCK[],19,FALSE)*VENTAS[[#This Row],[Cantidad]],VENTAS[[#This Row],[Total]])</f>
        <v>27.82</v>
      </c>
      <c r="L489" s="12">
        <f>VENTAS[[#This Row],[Total]]-VENTAS[[#This Row],[Comisión 10%]]-VENTAS[[#This Row],[Costo SIN Comision]]</f>
        <v>12.18</v>
      </c>
      <c r="M489" s="12"/>
      <c r="N489" s="16"/>
    </row>
    <row r="490" spans="1:14" ht="20" hidden="1" customHeight="1">
      <c r="A490" s="42" t="s">
        <v>4294</v>
      </c>
      <c r="B490" s="10"/>
      <c r="C490" s="10" t="s">
        <v>4295</v>
      </c>
      <c r="D490" s="10"/>
      <c r="E490" s="10" t="s">
        <v>1299</v>
      </c>
      <c r="F490" s="10" t="str">
        <f>IFERROR(VLOOKUP(VENTAS[[#This Row],[Código del producto Vendido]],STOCK[],5,FALSE),"-")</f>
        <v>Sandalias rosadas Forever21</v>
      </c>
      <c r="G490" s="10">
        <v>1</v>
      </c>
      <c r="H490" s="12">
        <v>15</v>
      </c>
      <c r="I490" s="12">
        <f>VENTAS[[#This Row],[Cantidad]]*VENTAS[[#This Row],[Precio Venta]]</f>
        <v>15</v>
      </c>
      <c r="J490" s="12">
        <f>IF(VENTAS[[#This Row],[Nombre del Gestor]]&gt;1,VENTAS[[#This Row],[Total]]*10%,0)</f>
        <v>0</v>
      </c>
      <c r="K490" s="12">
        <f>IFERROR(VLOOKUP(VENTAS[[#This Row],[Código del producto Vendido]],STOCK[],16,FALSE)*VENTAS[[#This Row],[Cantidad]]+VLOOKUP(VENTAS[[#This Row],[Código del producto Vendido]],STOCK[],19,FALSE)*VENTAS[[#This Row],[Cantidad]],VENTAS[[#This Row],[Total]])</f>
        <v>19.490000000000002</v>
      </c>
      <c r="L490" s="12">
        <f>VENTAS[[#This Row],[Total]]-VENTAS[[#This Row],[Comisión 10%]]-VENTAS[[#This Row],[Costo SIN Comision]]</f>
        <v>-4.490000000000002</v>
      </c>
      <c r="M490" s="12"/>
      <c r="N490" s="16"/>
    </row>
    <row r="491" spans="1:14" ht="20" hidden="1" customHeight="1">
      <c r="A491" s="41" t="s">
        <v>4294</v>
      </c>
      <c r="B491" s="10"/>
      <c r="C491" s="10" t="s">
        <v>4296</v>
      </c>
      <c r="D491" s="10"/>
      <c r="E491" s="10" t="s">
        <v>778</v>
      </c>
      <c r="F491" s="10" t="str">
        <f>IFERROR(VLOOKUP(VENTAS[[#This Row],[Código del producto Vendido]],STOCK[],5,FALSE),"-")</f>
        <v>Top berry en tela de algodón</v>
      </c>
      <c r="G491" s="10">
        <v>1</v>
      </c>
      <c r="H491" s="12">
        <v>10</v>
      </c>
      <c r="I491" s="12">
        <f>VENTAS[[#This Row],[Cantidad]]*VENTAS[[#This Row],[Precio Venta]]</f>
        <v>10</v>
      </c>
      <c r="J491" s="12">
        <f>IF(VENTAS[[#This Row],[Nombre del Gestor]]&gt;1,VENTAS[[#This Row],[Total]]*10%,0)</f>
        <v>0</v>
      </c>
      <c r="K491" s="12">
        <f>IFERROR(VLOOKUP(VENTAS[[#This Row],[Código del producto Vendido]],STOCK[],16,FALSE)*VENTAS[[#This Row],[Cantidad]]+VLOOKUP(VENTAS[[#This Row],[Código del producto Vendido]],STOCK[],19,FALSE)*VENTAS[[#This Row],[Cantidad]],VENTAS[[#This Row],[Total]])</f>
        <v>6.0555555555555598</v>
      </c>
      <c r="L491" s="12">
        <f>VENTAS[[#This Row],[Total]]-VENTAS[[#This Row],[Comisión 10%]]-VENTAS[[#This Row],[Costo SIN Comision]]</f>
        <v>3.9444444444444402</v>
      </c>
      <c r="M491" s="12"/>
      <c r="N491" s="16"/>
    </row>
    <row r="492" spans="1:14" ht="20" hidden="1" customHeight="1">
      <c r="A492" s="42" t="s">
        <v>4297</v>
      </c>
      <c r="B492" s="10"/>
      <c r="C492" s="10" t="s">
        <v>4298</v>
      </c>
      <c r="D492" s="10"/>
      <c r="E492" s="10" t="s">
        <v>188</v>
      </c>
      <c r="F492" s="10" t="str">
        <f>IFERROR(VLOOKUP(VENTAS[[#This Row],[Código del producto Vendido]],STOCK[],5,FALSE),"-")</f>
        <v xml:space="preserve"> Top de espalda cruzada</v>
      </c>
      <c r="G492" s="10">
        <v>1</v>
      </c>
      <c r="H492" s="12">
        <v>14</v>
      </c>
      <c r="I492" s="12">
        <f>VENTAS[[#This Row],[Cantidad]]*VENTAS[[#This Row],[Precio Venta]]</f>
        <v>14</v>
      </c>
      <c r="J492" s="12">
        <f>IF(VENTAS[[#This Row],[Nombre del Gestor]]&gt;1,VENTAS[[#This Row],[Total]]*10%,0)</f>
        <v>0</v>
      </c>
      <c r="K492" s="12">
        <f>IFERROR(VLOOKUP(VENTAS[[#This Row],[Código del producto Vendido]],STOCK[],16,FALSE)*VENTAS[[#This Row],[Cantidad]]+VLOOKUP(VENTAS[[#This Row],[Código del producto Vendido]],STOCK[],19,FALSE)*VENTAS[[#This Row],[Cantidad]],VENTAS[[#This Row],[Total]])</f>
        <v>8.8977777777777796</v>
      </c>
      <c r="L492" s="12">
        <f>VENTAS[[#This Row],[Total]]-VENTAS[[#This Row],[Comisión 10%]]-VENTAS[[#This Row],[Costo SIN Comision]]</f>
        <v>5.1022222222222204</v>
      </c>
      <c r="M492" s="12"/>
      <c r="N492" s="16"/>
    </row>
    <row r="493" spans="1:14" ht="20" hidden="1" customHeight="1">
      <c r="A493" s="41" t="s">
        <v>4297</v>
      </c>
      <c r="B493" s="10"/>
      <c r="C493" s="10" t="s">
        <v>4298</v>
      </c>
      <c r="D493" s="10"/>
      <c r="E493" s="10" t="s">
        <v>256</v>
      </c>
      <c r="F493" s="10" t="str">
        <f>IFERROR(VLOOKUP(VENTAS[[#This Row],[Código del producto Vendido]],STOCK[],5,FALSE),"-")</f>
        <v>Top de espalda cruzada</v>
      </c>
      <c r="G493" s="10">
        <v>1</v>
      </c>
      <c r="H493" s="12">
        <v>14</v>
      </c>
      <c r="I493" s="12">
        <f>VENTAS[[#This Row],[Cantidad]]*VENTAS[[#This Row],[Precio Venta]]</f>
        <v>14</v>
      </c>
      <c r="J493" s="12">
        <f>IF(VENTAS[[#This Row],[Nombre del Gestor]]&gt;1,VENTAS[[#This Row],[Total]]*10%,0)</f>
        <v>0</v>
      </c>
      <c r="K493" s="12">
        <f>IFERROR(VLOOKUP(VENTAS[[#This Row],[Código del producto Vendido]],STOCK[],16,FALSE)*VENTAS[[#This Row],[Cantidad]]+VLOOKUP(VENTAS[[#This Row],[Código del producto Vendido]],STOCK[],19,FALSE)*VENTAS[[#This Row],[Cantidad]],VENTAS[[#This Row],[Total]])</f>
        <v>8.3422222222222189</v>
      </c>
      <c r="L493" s="12">
        <f>VENTAS[[#This Row],[Total]]-VENTAS[[#This Row],[Comisión 10%]]-VENTAS[[#This Row],[Costo SIN Comision]]</f>
        <v>5.6577777777777811</v>
      </c>
      <c r="M493" s="12"/>
      <c r="N493" s="16"/>
    </row>
    <row r="494" spans="1:14" ht="20" hidden="1" customHeight="1">
      <c r="A494" s="42" t="s">
        <v>4297</v>
      </c>
      <c r="B494" s="10"/>
      <c r="C494" s="10" t="s">
        <v>4298</v>
      </c>
      <c r="D494" s="10"/>
      <c r="E494" s="10" t="s">
        <v>989</v>
      </c>
      <c r="F494" s="10" t="str">
        <f>IFERROR(VLOOKUP(VENTAS[[#This Row],[Código del producto Vendido]],STOCK[],5,FALSE),"-")</f>
        <v xml:space="preserve"> Top Básico Business Negro</v>
      </c>
      <c r="G494" s="10">
        <v>1</v>
      </c>
      <c r="H494" s="12">
        <v>12</v>
      </c>
      <c r="I494" s="12">
        <f>VENTAS[[#This Row],[Cantidad]]*VENTAS[[#This Row],[Precio Venta]]</f>
        <v>12</v>
      </c>
      <c r="J494" s="12">
        <f>IF(VENTAS[[#This Row],[Nombre del Gestor]]&gt;1,VENTAS[[#This Row],[Total]]*10%,0)</f>
        <v>0</v>
      </c>
      <c r="K494" s="12">
        <f>IFERROR(VLOOKUP(VENTAS[[#This Row],[Código del producto Vendido]],STOCK[],16,FALSE)*VENTAS[[#This Row],[Cantidad]]+VLOOKUP(VENTAS[[#This Row],[Código del producto Vendido]],STOCK[],19,FALSE)*VENTAS[[#This Row],[Cantidad]],VENTAS[[#This Row],[Total]])</f>
        <v>7.6345454545454494</v>
      </c>
      <c r="L494" s="12">
        <f>VENTAS[[#This Row],[Total]]-VENTAS[[#This Row],[Comisión 10%]]-VENTAS[[#This Row],[Costo SIN Comision]]</f>
        <v>4.3654545454545506</v>
      </c>
      <c r="M494" s="12"/>
      <c r="N494" s="16"/>
    </row>
    <row r="495" spans="1:14" ht="20" hidden="1" customHeight="1">
      <c r="A495" s="41" t="s">
        <v>4297</v>
      </c>
      <c r="B495" s="10"/>
      <c r="C495" s="10" t="s">
        <v>4298</v>
      </c>
      <c r="D495" s="10"/>
      <c r="E495" s="10" t="s">
        <v>1265</v>
      </c>
      <c r="F495" s="10" t="str">
        <f>IFERROR(VLOOKUP(VENTAS[[#This Row],[Código del producto Vendido]],STOCK[],5,FALSE),"-")</f>
        <v>Pantaloneta negra con abertura</v>
      </c>
      <c r="G495" s="10">
        <v>1</v>
      </c>
      <c r="H495" s="12">
        <v>23</v>
      </c>
      <c r="I495" s="12">
        <f>VENTAS[[#This Row],[Cantidad]]*VENTAS[[#This Row],[Precio Venta]]</f>
        <v>23</v>
      </c>
      <c r="J495" s="12">
        <f>IF(VENTAS[[#This Row],[Nombre del Gestor]]&gt;1,VENTAS[[#This Row],[Total]]*10%,0)</f>
        <v>0</v>
      </c>
      <c r="K495" s="12">
        <f>IFERROR(VLOOKUP(VENTAS[[#This Row],[Código del producto Vendido]],STOCK[],16,FALSE)*VENTAS[[#This Row],[Cantidad]]+VLOOKUP(VENTAS[[#This Row],[Código del producto Vendido]],STOCK[],19,FALSE)*VENTAS[[#This Row],[Cantidad]],VENTAS[[#This Row],[Total]])</f>
        <v>15.22</v>
      </c>
      <c r="L495" s="12">
        <f>VENTAS[[#This Row],[Total]]-VENTAS[[#This Row],[Comisión 10%]]-VENTAS[[#This Row],[Costo SIN Comision]]</f>
        <v>7.7799999999999994</v>
      </c>
      <c r="M495" s="12"/>
      <c r="N495" s="16"/>
    </row>
    <row r="496" spans="1:14" ht="20" hidden="1" customHeight="1">
      <c r="A496" s="42" t="s">
        <v>4299</v>
      </c>
      <c r="B496" s="10"/>
      <c r="C496" s="10" t="s">
        <v>4266</v>
      </c>
      <c r="D496" s="10"/>
      <c r="E496" s="10" t="s">
        <v>1044</v>
      </c>
      <c r="F496" s="10" t="str">
        <f>IFERROR(VLOOKUP(VENTAS[[#This Row],[Código del producto Vendido]],STOCK[],5,FALSE),"-")</f>
        <v>Jeans Ajustados Claro</v>
      </c>
      <c r="G496" s="10">
        <v>1</v>
      </c>
      <c r="H496" s="12">
        <v>32</v>
      </c>
      <c r="I496" s="12">
        <f>VENTAS[[#This Row],[Cantidad]]*VENTAS[[#This Row],[Precio Venta]]</f>
        <v>32</v>
      </c>
      <c r="J496" s="12">
        <f>IF(VENTAS[[#This Row],[Nombre del Gestor]]&gt;1,VENTAS[[#This Row],[Total]]*10%,0)</f>
        <v>0</v>
      </c>
      <c r="K496" s="12">
        <f>IFERROR(VLOOKUP(VENTAS[[#This Row],[Código del producto Vendido]],STOCK[],16,FALSE)*VENTAS[[#This Row],[Cantidad]]+VLOOKUP(VENTAS[[#This Row],[Código del producto Vendido]],STOCK[],19,FALSE)*VENTAS[[#This Row],[Cantidad]],VENTAS[[#This Row],[Total]])</f>
        <v>25.818181818181799</v>
      </c>
      <c r="L496" s="12">
        <f>VENTAS[[#This Row],[Total]]-VENTAS[[#This Row],[Comisión 10%]]-VENTAS[[#This Row],[Costo SIN Comision]]</f>
        <v>6.1818181818182012</v>
      </c>
      <c r="M496" s="12"/>
      <c r="N496" s="16"/>
    </row>
    <row r="497" spans="1:14" ht="20" hidden="1" customHeight="1">
      <c r="A497" s="41" t="s">
        <v>4299</v>
      </c>
      <c r="B497" s="10"/>
      <c r="C497" s="10" t="s">
        <v>4266</v>
      </c>
      <c r="D497" s="10"/>
      <c r="E497" s="10" t="s">
        <v>1306</v>
      </c>
      <c r="F497" s="10" t="str">
        <f>IFERROR(VLOOKUP(VENTAS[[#This Row],[Código del producto Vendido]],STOCK[],5,FALSE),"-")</f>
        <v>Jean ajustado claro</v>
      </c>
      <c r="G497" s="10">
        <v>1</v>
      </c>
      <c r="H497" s="12">
        <v>32</v>
      </c>
      <c r="I497" s="12">
        <f>VENTAS[[#This Row],[Cantidad]]*VENTAS[[#This Row],[Precio Venta]]</f>
        <v>32</v>
      </c>
      <c r="J497" s="12">
        <f>IF(VENTAS[[#This Row],[Nombre del Gestor]]&gt;1,VENTAS[[#This Row],[Total]]*10%,0)</f>
        <v>0</v>
      </c>
      <c r="K497" s="12">
        <f>IFERROR(VLOOKUP(VENTAS[[#This Row],[Código del producto Vendido]],STOCK[],16,FALSE)*VENTAS[[#This Row],[Cantidad]]+VLOOKUP(VENTAS[[#This Row],[Código del producto Vendido]],STOCK[],19,FALSE)*VENTAS[[#This Row],[Cantidad]],VENTAS[[#This Row],[Total]])</f>
        <v>23.79</v>
      </c>
      <c r="L497" s="12">
        <f>VENTAS[[#This Row],[Total]]-VENTAS[[#This Row],[Comisión 10%]]-VENTAS[[#This Row],[Costo SIN Comision]]</f>
        <v>8.2100000000000009</v>
      </c>
      <c r="M497" s="12"/>
      <c r="N497" s="16"/>
    </row>
    <row r="498" spans="1:14" ht="20" hidden="1" customHeight="1">
      <c r="A498" s="42" t="s">
        <v>4299</v>
      </c>
      <c r="B498" s="10"/>
      <c r="C498" s="10" t="s">
        <v>4300</v>
      </c>
      <c r="D498" s="10"/>
      <c r="E498" s="10" t="s">
        <v>1301</v>
      </c>
      <c r="F498" s="10" t="str">
        <f>IFERROR(VLOOKUP(VENTAS[[#This Row],[Código del producto Vendido]],STOCK[],5,FALSE),"-")</f>
        <v>Sandalias negras de hebilla </v>
      </c>
      <c r="G498" s="10">
        <v>1</v>
      </c>
      <c r="H498" s="12">
        <v>18</v>
      </c>
      <c r="I498" s="12">
        <f>VENTAS[[#This Row],[Cantidad]]*VENTAS[[#This Row],[Precio Venta]]</f>
        <v>18</v>
      </c>
      <c r="J498" s="12">
        <f>IF(VENTAS[[#This Row],[Nombre del Gestor]]&gt;1,VENTAS[[#This Row],[Total]]*10%,0)</f>
        <v>0</v>
      </c>
      <c r="K498" s="12">
        <f>IFERROR(VLOOKUP(VENTAS[[#This Row],[Código del producto Vendido]],STOCK[],16,FALSE)*VENTAS[[#This Row],[Cantidad]]+VLOOKUP(VENTAS[[#This Row],[Código del producto Vendido]],STOCK[],19,FALSE)*VENTAS[[#This Row],[Cantidad]],VENTAS[[#This Row],[Total]])</f>
        <v>12</v>
      </c>
      <c r="L498" s="12">
        <f>VENTAS[[#This Row],[Total]]-VENTAS[[#This Row],[Comisión 10%]]-VENTAS[[#This Row],[Costo SIN Comision]]</f>
        <v>6</v>
      </c>
      <c r="M498" s="12"/>
      <c r="N498" s="16"/>
    </row>
    <row r="499" spans="1:14" ht="20" hidden="1" customHeight="1">
      <c r="A499" s="41" t="s">
        <v>4299</v>
      </c>
      <c r="B499" s="10"/>
      <c r="C499" s="10" t="s">
        <v>4300</v>
      </c>
      <c r="D499" s="10"/>
      <c r="E499" s="10" t="s">
        <v>407</v>
      </c>
      <c r="F499" s="10" t="str">
        <f>IFERROR(VLOOKUP(VENTAS[[#This Row],[Código del producto Vendido]],STOCK[],5,FALSE),"-")</f>
        <v xml:space="preserve">Bañador una pieza de color combinado </v>
      </c>
      <c r="G499" s="10">
        <v>1</v>
      </c>
      <c r="H499" s="12">
        <v>20</v>
      </c>
      <c r="I499" s="12">
        <f>VENTAS[[#This Row],[Cantidad]]*VENTAS[[#This Row],[Precio Venta]]</f>
        <v>20</v>
      </c>
      <c r="J499" s="12">
        <f>IF(VENTAS[[#This Row],[Nombre del Gestor]]&gt;1,VENTAS[[#This Row],[Total]]*10%,0)</f>
        <v>0</v>
      </c>
      <c r="K499" s="12">
        <f>IFERROR(VLOOKUP(VENTAS[[#This Row],[Código del producto Vendido]],STOCK[],16,FALSE)*VENTAS[[#This Row],[Cantidad]]+VLOOKUP(VENTAS[[#This Row],[Código del producto Vendido]],STOCK[],19,FALSE)*VENTAS[[#This Row],[Cantidad]],VENTAS[[#This Row],[Total]])</f>
        <v>9.6666666666666696</v>
      </c>
      <c r="L499" s="12">
        <f>VENTAS[[#This Row],[Total]]-VENTAS[[#This Row],[Comisión 10%]]-VENTAS[[#This Row],[Costo SIN Comision]]</f>
        <v>10.33333333333333</v>
      </c>
      <c r="M499" s="12"/>
      <c r="N499" s="16"/>
    </row>
    <row r="500" spans="1:14" ht="20" hidden="1" customHeight="1">
      <c r="A500" s="42" t="s">
        <v>4301</v>
      </c>
      <c r="B500" s="10"/>
      <c r="C500" s="10" t="s">
        <v>4302</v>
      </c>
      <c r="D500" s="10"/>
      <c r="E500" s="10" t="s">
        <v>1063</v>
      </c>
      <c r="F500" s="10" t="str">
        <f>IFERROR(VLOOKUP(VENTAS[[#This Row],[Código del producto Vendido]],STOCK[],5,FALSE),"-")</f>
        <v>Top cami carrera</v>
      </c>
      <c r="G500" s="10">
        <v>1</v>
      </c>
      <c r="H500" s="12">
        <v>10</v>
      </c>
      <c r="I500" s="12">
        <f>VENTAS[[#This Row],[Cantidad]]*VENTAS[[#This Row],[Precio Venta]]</f>
        <v>10</v>
      </c>
      <c r="J500" s="12">
        <f>IF(VENTAS[[#This Row],[Nombre del Gestor]]&gt;1,VENTAS[[#This Row],[Total]]*10%,0)</f>
        <v>0</v>
      </c>
      <c r="K500" s="12">
        <f>IFERROR(VLOOKUP(VENTAS[[#This Row],[Código del producto Vendido]],STOCK[],16,FALSE)*VENTAS[[#This Row],[Cantidad]]+VLOOKUP(VENTAS[[#This Row],[Código del producto Vendido]],STOCK[],19,FALSE)*VENTAS[[#This Row],[Cantidad]],VENTAS[[#This Row],[Total]])</f>
        <v>4.9926470588235299</v>
      </c>
      <c r="L500" s="12">
        <f>VENTAS[[#This Row],[Total]]-VENTAS[[#This Row],[Comisión 10%]]-VENTAS[[#This Row],[Costo SIN Comision]]</f>
        <v>5.0073529411764701</v>
      </c>
      <c r="M500" s="12"/>
      <c r="N500" s="16"/>
    </row>
    <row r="501" spans="1:14" ht="20" hidden="1" customHeight="1">
      <c r="A501" s="41" t="s">
        <v>4303</v>
      </c>
      <c r="B501" s="10"/>
      <c r="C501" s="10" t="s">
        <v>4304</v>
      </c>
      <c r="D501" s="10"/>
      <c r="E501" s="10" t="s">
        <v>225</v>
      </c>
      <c r="F501" s="10" t="str">
        <f>IFERROR(VLOOKUP(VENTAS[[#This Row],[Código del producto Vendido]],STOCK[],5,FALSE),"-")</f>
        <v>Vestido de manga farol con cordón delantero</v>
      </c>
      <c r="G501" s="10">
        <v>1</v>
      </c>
      <c r="H501" s="12">
        <v>22</v>
      </c>
      <c r="I501" s="12">
        <f>VENTAS[[#This Row],[Cantidad]]*VENTAS[[#This Row],[Precio Venta]]</f>
        <v>22</v>
      </c>
      <c r="J501" s="12">
        <f>IF(VENTAS[[#This Row],[Nombre del Gestor]]&gt;1,VENTAS[[#This Row],[Total]]*10%,0)</f>
        <v>0</v>
      </c>
      <c r="K501" s="12">
        <f>IFERROR(VLOOKUP(VENTAS[[#This Row],[Código del producto Vendido]],STOCK[],16,FALSE)*VENTAS[[#This Row],[Cantidad]]+VLOOKUP(VENTAS[[#This Row],[Código del producto Vendido]],STOCK[],19,FALSE)*VENTAS[[#This Row],[Cantidad]],VENTAS[[#This Row],[Total]])</f>
        <v>12.8711111111111</v>
      </c>
      <c r="L501" s="12">
        <f>VENTAS[[#This Row],[Total]]-VENTAS[[#This Row],[Comisión 10%]]-VENTAS[[#This Row],[Costo SIN Comision]]</f>
        <v>9.1288888888889002</v>
      </c>
      <c r="M501" s="12"/>
      <c r="N501" s="16"/>
    </row>
    <row r="502" spans="1:14" ht="20" hidden="1" customHeight="1">
      <c r="A502" s="42" t="s">
        <v>4303</v>
      </c>
      <c r="B502" s="10"/>
      <c r="C502" s="10" t="s">
        <v>4305</v>
      </c>
      <c r="D502" s="10"/>
      <c r="E502" s="10" t="s">
        <v>562</v>
      </c>
      <c r="F502" s="10" t="str">
        <f>IFERROR(VLOOKUP(VENTAS[[#This Row],[Código del producto Vendido]],STOCK[],5,FALSE),"-")</f>
        <v>Vestido de muslo con abertura .</v>
      </c>
      <c r="G502" s="10">
        <v>1</v>
      </c>
      <c r="H502" s="12">
        <v>40</v>
      </c>
      <c r="I502" s="12">
        <f>VENTAS[[#This Row],[Cantidad]]*VENTAS[[#This Row],[Precio Venta]]</f>
        <v>40</v>
      </c>
      <c r="J502" s="12">
        <f>IF(VENTAS[[#This Row],[Nombre del Gestor]]&gt;1,VENTAS[[#This Row],[Total]]*10%,0)</f>
        <v>0</v>
      </c>
      <c r="K502" s="12">
        <f>IFERROR(VLOOKUP(VENTAS[[#This Row],[Código del producto Vendido]],STOCK[],16,FALSE)*VENTAS[[#This Row],[Cantidad]]+VLOOKUP(VENTAS[[#This Row],[Código del producto Vendido]],STOCK[],19,FALSE)*VENTAS[[#This Row],[Cantidad]],VENTAS[[#This Row],[Total]])</f>
        <v>38.571666666666701</v>
      </c>
      <c r="L502" s="12">
        <f>VENTAS[[#This Row],[Total]]-VENTAS[[#This Row],[Comisión 10%]]-VENTAS[[#This Row],[Costo SIN Comision]]</f>
        <v>1.428333333333299</v>
      </c>
      <c r="M502" s="12"/>
      <c r="N502" s="16"/>
    </row>
    <row r="503" spans="1:14" ht="20" hidden="1" customHeight="1">
      <c r="A503" s="41" t="s">
        <v>4303</v>
      </c>
      <c r="B503" s="10"/>
      <c r="C503" s="10" t="s">
        <v>4306</v>
      </c>
      <c r="D503" s="10"/>
      <c r="E503" s="10" t="s">
        <v>849</v>
      </c>
      <c r="F503" s="10" t="str">
        <f>IFERROR(VLOOKUP(VENTAS[[#This Row],[Código del producto Vendido]],STOCK[],5,FALSE),"-")</f>
        <v>Kimono Maxi elegante</v>
      </c>
      <c r="G503" s="10">
        <v>1</v>
      </c>
      <c r="H503" s="12">
        <v>30</v>
      </c>
      <c r="I503" s="12">
        <f>VENTAS[[#This Row],[Cantidad]]*VENTAS[[#This Row],[Precio Venta]]</f>
        <v>30</v>
      </c>
      <c r="J503" s="12">
        <f>IF(VENTAS[[#This Row],[Nombre del Gestor]]&gt;1,VENTAS[[#This Row],[Total]]*10%,0)</f>
        <v>0</v>
      </c>
      <c r="K503" s="12">
        <f>IFERROR(VLOOKUP(VENTAS[[#This Row],[Código del producto Vendido]],STOCK[],16,FALSE)*VENTAS[[#This Row],[Cantidad]]+VLOOKUP(VENTAS[[#This Row],[Código del producto Vendido]],STOCK[],19,FALSE)*VENTAS[[#This Row],[Cantidad]],VENTAS[[#This Row],[Total]])</f>
        <v>20.0555555555556</v>
      </c>
      <c r="L503" s="12">
        <f>VENTAS[[#This Row],[Total]]-VENTAS[[#This Row],[Comisión 10%]]-VENTAS[[#This Row],[Costo SIN Comision]]</f>
        <v>9.9444444444444002</v>
      </c>
      <c r="M503" s="12"/>
      <c r="N503" s="16"/>
    </row>
    <row r="504" spans="1:14" ht="20" hidden="1" customHeight="1">
      <c r="A504" s="42" t="s">
        <v>4307</v>
      </c>
      <c r="B504" s="10"/>
      <c r="C504" s="10" t="s">
        <v>4284</v>
      </c>
      <c r="D504" s="10"/>
      <c r="E504" s="10" t="s">
        <v>4308</v>
      </c>
      <c r="F504" s="10" t="str">
        <f>IFERROR(VLOOKUP(VENTAS[[#This Row],[Código del producto Vendido]],STOCK[],5,FALSE),"-")</f>
        <v>-</v>
      </c>
      <c r="G504" s="10">
        <v>1</v>
      </c>
      <c r="H504" s="12">
        <v>23</v>
      </c>
      <c r="I504" s="12">
        <f>VENTAS[[#This Row],[Cantidad]]*VENTAS[[#This Row],[Precio Venta]]</f>
        <v>23</v>
      </c>
      <c r="J504" s="12">
        <f>IF(VENTAS[[#This Row],[Nombre del Gestor]]&gt;1,VENTAS[[#This Row],[Total]]*10%,0)</f>
        <v>0</v>
      </c>
      <c r="K504" s="12">
        <f>IFERROR(VLOOKUP(VENTAS[[#This Row],[Código del producto Vendido]],STOCK[],16,FALSE)*VENTAS[[#This Row],[Cantidad]]+VLOOKUP(VENTAS[[#This Row],[Código del producto Vendido]],STOCK[],19,FALSE)*VENTAS[[#This Row],[Cantidad]],VENTAS[[#This Row],[Total]])</f>
        <v>23</v>
      </c>
      <c r="L504" s="12">
        <f>VENTAS[[#This Row],[Total]]-VENTAS[[#This Row],[Comisión 10%]]-VENTAS[[#This Row],[Costo SIN Comision]]</f>
        <v>0</v>
      </c>
      <c r="M504" s="12"/>
      <c r="N504" s="16"/>
    </row>
    <row r="505" spans="1:14" ht="20" hidden="1" customHeight="1">
      <c r="A505" s="41" t="s">
        <v>4307</v>
      </c>
      <c r="B505" s="10"/>
      <c r="C505" s="10" t="s">
        <v>4284</v>
      </c>
      <c r="D505" s="10"/>
      <c r="E505" s="10" t="s">
        <v>896</v>
      </c>
      <c r="F505" s="10" t="str">
        <f>IFERROR(VLOOKUP(VENTAS[[#This Row],[Código del producto Vendido]],STOCK[],5,FALSE),"-")</f>
        <v>Top Cisne Blanco</v>
      </c>
      <c r="G505" s="10">
        <v>1</v>
      </c>
      <c r="H505" s="12">
        <v>12</v>
      </c>
      <c r="I505" s="12">
        <f>VENTAS[[#This Row],[Cantidad]]*VENTAS[[#This Row],[Precio Venta]]</f>
        <v>12</v>
      </c>
      <c r="J505" s="12">
        <f>IF(VENTAS[[#This Row],[Nombre del Gestor]]&gt;1,VENTAS[[#This Row],[Total]]*10%,0)</f>
        <v>0</v>
      </c>
      <c r="K505" s="12">
        <f>IFERROR(VLOOKUP(VENTAS[[#This Row],[Código del producto Vendido]],STOCK[],16,FALSE)*VENTAS[[#This Row],[Cantidad]]+VLOOKUP(VENTAS[[#This Row],[Código del producto Vendido]],STOCK[],19,FALSE)*VENTAS[[#This Row],[Cantidad]],VENTAS[[#This Row],[Total]])</f>
        <v>7.9731818181818195</v>
      </c>
      <c r="L505" s="12">
        <f>VENTAS[[#This Row],[Total]]-VENTAS[[#This Row],[Comisión 10%]]-VENTAS[[#This Row],[Costo SIN Comision]]</f>
        <v>4.0268181818181805</v>
      </c>
      <c r="M505" s="12"/>
      <c r="N505" s="16"/>
    </row>
    <row r="506" spans="1:14" ht="20" hidden="1" customHeight="1">
      <c r="A506" s="42" t="s">
        <v>4307</v>
      </c>
      <c r="B506" s="10"/>
      <c r="C506" s="10" t="s">
        <v>4222</v>
      </c>
      <c r="D506" s="10"/>
      <c r="E506" s="10" t="s">
        <v>1161</v>
      </c>
      <c r="F506" s="10" t="str">
        <f>IFERROR(VLOOKUP(VENTAS[[#This Row],[Código del producto Vendido]],STOCK[],5,FALSE),"-")</f>
        <v>Pezoneras de silicona</v>
      </c>
      <c r="G506" s="10">
        <v>1</v>
      </c>
      <c r="H506" s="12">
        <v>6</v>
      </c>
      <c r="I506" s="12">
        <f>VENTAS[[#This Row],[Cantidad]]*VENTAS[[#This Row],[Precio Venta]]</f>
        <v>6</v>
      </c>
      <c r="J506" s="12">
        <f>IF(VENTAS[[#This Row],[Nombre del Gestor]]&gt;1,VENTAS[[#This Row],[Total]]*10%,0)</f>
        <v>0</v>
      </c>
      <c r="K506" s="12">
        <f>IFERROR(VLOOKUP(VENTAS[[#This Row],[Código del producto Vendido]],STOCK[],16,FALSE)*VENTAS[[#This Row],[Cantidad]]+VLOOKUP(VENTAS[[#This Row],[Código del producto Vendido]],STOCK[],19,FALSE)*VENTAS[[#This Row],[Cantidad]],VENTAS[[#This Row],[Total]])</f>
        <v>2.0300000000000002</v>
      </c>
      <c r="L506" s="12">
        <f>VENTAS[[#This Row],[Total]]-VENTAS[[#This Row],[Comisión 10%]]-VENTAS[[#This Row],[Costo SIN Comision]]</f>
        <v>3.9699999999999998</v>
      </c>
      <c r="M506" s="12"/>
      <c r="N506" s="16"/>
    </row>
    <row r="507" spans="1:14" ht="20" hidden="1" customHeight="1">
      <c r="A507" s="41" t="s">
        <v>4307</v>
      </c>
      <c r="B507" s="10"/>
      <c r="C507" s="10" t="s">
        <v>4222</v>
      </c>
      <c r="D507" s="10"/>
      <c r="E507" s="10" t="s">
        <v>522</v>
      </c>
      <c r="F507" s="10" t="str">
        <f>IFERROR(VLOOKUP(VENTAS[[#This Row],[Código del producto Vendido]],STOCK[],5,FALSE),"-")</f>
        <v xml:space="preserve">Almohadilla de maquillaje </v>
      </c>
      <c r="G507" s="10">
        <v>2</v>
      </c>
      <c r="H507" s="12">
        <v>1</v>
      </c>
      <c r="I507" s="12">
        <f>VENTAS[[#This Row],[Cantidad]]*VENTAS[[#This Row],[Precio Venta]]</f>
        <v>2</v>
      </c>
      <c r="J507" s="12">
        <f>IF(VENTAS[[#This Row],[Nombre del Gestor]]&gt;1,VENTAS[[#This Row],[Total]]*10%,0)</f>
        <v>0</v>
      </c>
      <c r="K507" s="12">
        <f>IFERROR(VLOOKUP(VENTAS[[#This Row],[Código del producto Vendido]],STOCK[],16,FALSE)*VENTAS[[#This Row],[Cantidad]]+VLOOKUP(VENTAS[[#This Row],[Código del producto Vendido]],STOCK[],19,FALSE)*VENTAS[[#This Row],[Cantidad]],VENTAS[[#This Row],[Total]])</f>
        <v>0.48277777777777775</v>
      </c>
      <c r="L507" s="12">
        <f>VENTAS[[#This Row],[Total]]-VENTAS[[#This Row],[Comisión 10%]]-VENTAS[[#This Row],[Costo SIN Comision]]</f>
        <v>1.5172222222222222</v>
      </c>
      <c r="M507" s="12"/>
      <c r="N507" s="16"/>
    </row>
    <row r="508" spans="1:14" ht="20" hidden="1" customHeight="1">
      <c r="A508" s="42" t="s">
        <v>4307</v>
      </c>
      <c r="B508" s="10"/>
      <c r="C508" s="10" t="s">
        <v>4222</v>
      </c>
      <c r="D508" s="10"/>
      <c r="E508" s="10" t="s">
        <v>530</v>
      </c>
      <c r="F508" s="10" t="str">
        <f>IFERROR(VLOOKUP(VENTAS[[#This Row],[Código del producto Vendido]],STOCK[],5,FALSE),"-")</f>
        <v xml:space="preserve">Esponja de maquillaje </v>
      </c>
      <c r="G508" s="10">
        <v>2</v>
      </c>
      <c r="H508" s="12">
        <v>1</v>
      </c>
      <c r="I508" s="12">
        <f>VENTAS[[#This Row],[Cantidad]]*VENTAS[[#This Row],[Precio Venta]]</f>
        <v>2</v>
      </c>
      <c r="J508" s="12">
        <f>IF(VENTAS[[#This Row],[Nombre del Gestor]]&gt;1,VENTAS[[#This Row],[Total]]*10%,0)</f>
        <v>0</v>
      </c>
      <c r="K508" s="12">
        <f>IFERROR(VLOOKUP(VENTAS[[#This Row],[Código del producto Vendido]],STOCK[],16,FALSE)*VENTAS[[#This Row],[Cantidad]]+VLOOKUP(VENTAS[[#This Row],[Código del producto Vendido]],STOCK[],19,FALSE)*VENTAS[[#This Row],[Cantidad]],VENTAS[[#This Row],[Total]])</f>
        <v>0.87222222222222223</v>
      </c>
      <c r="L508" s="12">
        <f>VENTAS[[#This Row],[Total]]-VENTAS[[#This Row],[Comisión 10%]]-VENTAS[[#This Row],[Costo SIN Comision]]</f>
        <v>1.1277777777777778</v>
      </c>
      <c r="M508" s="12"/>
      <c r="N508" s="16"/>
    </row>
    <row r="509" spans="1:14" ht="20" hidden="1" customHeight="1">
      <c r="A509" s="42">
        <v>45171</v>
      </c>
      <c r="B509" s="10"/>
      <c r="C509" s="10" t="s">
        <v>4309</v>
      </c>
      <c r="D509" s="10"/>
      <c r="E509" s="44" t="s">
        <v>1130</v>
      </c>
      <c r="F509" s="10" t="str">
        <f>IFERROR(VLOOKUP(VENTAS[[#This Row],[Código del producto Vendido]],STOCK[],5,FALSE),"-")</f>
        <v>Maxi vestido floreado con abertura</v>
      </c>
      <c r="G509" s="10">
        <v>1</v>
      </c>
      <c r="H509" s="12">
        <v>30</v>
      </c>
      <c r="I509" s="12">
        <f>VENTAS[[#This Row],[Cantidad]]*VENTAS[[#This Row],[Precio Venta]]</f>
        <v>30</v>
      </c>
      <c r="J509" s="12">
        <f>IF(VENTAS[[#This Row],[Nombre del Gestor]]&gt;1,VENTAS[[#This Row],[Total]]*10%,0)</f>
        <v>0</v>
      </c>
      <c r="K509" s="12">
        <f>IFERROR(VLOOKUP(VENTAS[[#This Row],[Código del producto Vendido]],STOCK[],16,FALSE)*VENTAS[[#This Row],[Cantidad]]+VLOOKUP(VENTAS[[#This Row],[Código del producto Vendido]],STOCK[],19,FALSE)*VENTAS[[#This Row],[Cantidad]],VENTAS[[#This Row],[Total]])</f>
        <v>23.654411764705898</v>
      </c>
      <c r="L509" s="12">
        <f>VENTAS[[#This Row],[Total]]-VENTAS[[#This Row],[Comisión 10%]]-VENTAS[[#This Row],[Costo SIN Comision]]</f>
        <v>6.3455882352941018</v>
      </c>
      <c r="M509" s="12"/>
      <c r="N509" s="16"/>
    </row>
    <row r="510" spans="1:14" ht="20" hidden="1" customHeight="1">
      <c r="A510" s="41">
        <v>45171</v>
      </c>
      <c r="B510" s="10"/>
      <c r="C510" s="10" t="s">
        <v>4309</v>
      </c>
      <c r="D510" s="10"/>
      <c r="E510" s="10" t="s">
        <v>1196</v>
      </c>
      <c r="F510" s="10" t="str">
        <f>IFERROR(VLOOKUP(VENTAS[[#This Row],[Código del producto Vendido]],STOCK[],5,FALSE),"-")</f>
        <v>Conjunto de top y falda cruzada</v>
      </c>
      <c r="G510" s="10">
        <v>1</v>
      </c>
      <c r="H510" s="12">
        <v>40</v>
      </c>
      <c r="I510" s="12">
        <f>VENTAS[[#This Row],[Cantidad]]*VENTAS[[#This Row],[Precio Venta]]</f>
        <v>40</v>
      </c>
      <c r="J510" s="12">
        <f>IF(VENTAS[[#This Row],[Nombre del Gestor]]&gt;1,VENTAS[[#This Row],[Total]]*10%,0)</f>
        <v>0</v>
      </c>
      <c r="K510" s="12">
        <f>IFERROR(VLOOKUP(VENTAS[[#This Row],[Código del producto Vendido]],STOCK[],16,FALSE)*VENTAS[[#This Row],[Cantidad]]+VLOOKUP(VENTAS[[#This Row],[Código del producto Vendido]],STOCK[],19,FALSE)*VENTAS[[#This Row],[Cantidad]],VENTAS[[#This Row],[Total]])</f>
        <v>27.82</v>
      </c>
      <c r="L510" s="12">
        <f>VENTAS[[#This Row],[Total]]-VENTAS[[#This Row],[Comisión 10%]]-VENTAS[[#This Row],[Costo SIN Comision]]</f>
        <v>12.18</v>
      </c>
      <c r="M510" s="12"/>
      <c r="N510" s="16"/>
    </row>
    <row r="511" spans="1:14" ht="20" hidden="1" customHeight="1">
      <c r="A511" s="42">
        <v>45171</v>
      </c>
      <c r="B511" s="10"/>
      <c r="C511" s="10" t="s">
        <v>4309</v>
      </c>
      <c r="D511" s="10"/>
      <c r="E511" s="10" t="s">
        <v>1262</v>
      </c>
      <c r="F511" s="10" t="str">
        <f>IFERROR(VLOOKUP(VENTAS[[#This Row],[Código del producto Vendido]],STOCK[],5,FALSE),"-")</f>
        <v>Maxi vestido playero naranja quemada</v>
      </c>
      <c r="G511" s="10">
        <v>1</v>
      </c>
      <c r="H511" s="12">
        <v>30</v>
      </c>
      <c r="I511" s="12">
        <f>VENTAS[[#This Row],[Cantidad]]*VENTAS[[#This Row],[Precio Venta]]</f>
        <v>30</v>
      </c>
      <c r="J511" s="12">
        <f>IF(VENTAS[[#This Row],[Nombre del Gestor]]&gt;1,VENTAS[[#This Row],[Total]]*10%,0)</f>
        <v>0</v>
      </c>
      <c r="K511" s="12">
        <f>IFERROR(VLOOKUP(VENTAS[[#This Row],[Código del producto Vendido]],STOCK[],16,FALSE)*VENTAS[[#This Row],[Cantidad]]+VLOOKUP(VENTAS[[#This Row],[Código del producto Vendido]],STOCK[],19,FALSE)*VENTAS[[#This Row],[Cantidad]],VENTAS[[#This Row],[Total]])</f>
        <v>23.95</v>
      </c>
      <c r="L511" s="12">
        <f>VENTAS[[#This Row],[Total]]-VENTAS[[#This Row],[Comisión 10%]]-VENTAS[[#This Row],[Costo SIN Comision]]</f>
        <v>6.0500000000000007</v>
      </c>
      <c r="M511" s="12"/>
      <c r="N511" s="16"/>
    </row>
    <row r="512" spans="1:14" ht="20" hidden="1" customHeight="1">
      <c r="A512" s="41">
        <v>45171</v>
      </c>
      <c r="B512" s="10"/>
      <c r="C512" s="10" t="s">
        <v>4310</v>
      </c>
      <c r="D512" s="10"/>
      <c r="E512" s="10" t="s">
        <v>530</v>
      </c>
      <c r="F512" s="10" t="str">
        <f>IFERROR(VLOOKUP(VENTAS[[#This Row],[Código del producto Vendido]],STOCK[],5,FALSE),"-")</f>
        <v xml:space="preserve">Esponja de maquillaje </v>
      </c>
      <c r="G512" s="10">
        <v>1</v>
      </c>
      <c r="H512" s="12">
        <v>1</v>
      </c>
      <c r="I512" s="12">
        <f>VENTAS[[#This Row],[Cantidad]]*VENTAS[[#This Row],[Precio Venta]]</f>
        <v>1</v>
      </c>
      <c r="J512" s="12">
        <f>IF(VENTAS[[#This Row],[Nombre del Gestor]]&gt;1,VENTAS[[#This Row],[Total]]*10%,0)</f>
        <v>0</v>
      </c>
      <c r="K512" s="12">
        <f>IFERROR(VLOOKUP(VENTAS[[#This Row],[Código del producto Vendido]],STOCK[],16,FALSE)*VENTAS[[#This Row],[Cantidad]]+VLOOKUP(VENTAS[[#This Row],[Código del producto Vendido]],STOCK[],19,FALSE)*VENTAS[[#This Row],[Cantidad]],VENTAS[[#This Row],[Total]])</f>
        <v>0.43611111111111112</v>
      </c>
      <c r="L512" s="12">
        <f>VENTAS[[#This Row],[Total]]-VENTAS[[#This Row],[Comisión 10%]]-VENTAS[[#This Row],[Costo SIN Comision]]</f>
        <v>0.56388888888888888</v>
      </c>
      <c r="M512" s="12"/>
      <c r="N512" s="16"/>
    </row>
    <row r="513" spans="1:14" ht="20" hidden="1" customHeight="1">
      <c r="A513" s="42">
        <v>45171</v>
      </c>
      <c r="B513" s="10"/>
      <c r="C513" s="10" t="s">
        <v>4270</v>
      </c>
      <c r="D513" s="10"/>
      <c r="E513" s="10" t="s">
        <v>1308</v>
      </c>
      <c r="F513" s="10" t="str">
        <f>IFERROR(VLOOKUP(VENTAS[[#This Row],[Código del producto Vendido]],STOCK[],5,FALSE),"-")</f>
        <v>Sandalias rosadas Forever21</v>
      </c>
      <c r="G513" s="10">
        <v>1</v>
      </c>
      <c r="H513" s="12">
        <v>15</v>
      </c>
      <c r="I513" s="12">
        <f>VENTAS[[#This Row],[Cantidad]]*VENTAS[[#This Row],[Precio Venta]]</f>
        <v>15</v>
      </c>
      <c r="J513" s="12">
        <f>IF(VENTAS[[#This Row],[Nombre del Gestor]]&gt;1,VENTAS[[#This Row],[Total]]*10%,0)</f>
        <v>0</v>
      </c>
      <c r="K513" s="12">
        <f>IFERROR(VLOOKUP(VENTAS[[#This Row],[Código del producto Vendido]],STOCK[],16,FALSE)*VENTAS[[#This Row],[Cantidad]]+VLOOKUP(VENTAS[[#This Row],[Código del producto Vendido]],STOCK[],19,FALSE)*VENTAS[[#This Row],[Cantidad]],VENTAS[[#This Row],[Total]])</f>
        <v>19.490000000000002</v>
      </c>
      <c r="L513" s="12">
        <f>VENTAS[[#This Row],[Total]]-VENTAS[[#This Row],[Comisión 10%]]-VENTAS[[#This Row],[Costo SIN Comision]]</f>
        <v>-4.490000000000002</v>
      </c>
      <c r="M513" s="12"/>
      <c r="N513" s="16"/>
    </row>
    <row r="514" spans="1:14" ht="20" hidden="1" customHeight="1">
      <c r="A514" s="41">
        <v>45171</v>
      </c>
      <c r="B514" s="10"/>
      <c r="C514" s="10" t="s">
        <v>4311</v>
      </c>
      <c r="D514" s="10"/>
      <c r="E514" s="10" t="s">
        <v>1309</v>
      </c>
      <c r="F514" s="10" t="str">
        <f>IFERROR(VLOOKUP(VENTAS[[#This Row],[Código del producto Vendido]],STOCK[],5,FALSE),"-")</f>
        <v>Sandalias blancas</v>
      </c>
      <c r="G514" s="10">
        <v>1</v>
      </c>
      <c r="H514" s="12">
        <v>15</v>
      </c>
      <c r="I514" s="12">
        <f>VENTAS[[#This Row],[Cantidad]]*VENTAS[[#This Row],[Precio Venta]]</f>
        <v>15</v>
      </c>
      <c r="J514" s="12">
        <f>IF(VENTAS[[#This Row],[Nombre del Gestor]]&gt;1,VENTAS[[#This Row],[Total]]*10%,0)</f>
        <v>0</v>
      </c>
      <c r="K514" s="12">
        <f>IFERROR(VLOOKUP(VENTAS[[#This Row],[Código del producto Vendido]],STOCK[],16,FALSE)*VENTAS[[#This Row],[Cantidad]]+VLOOKUP(VENTAS[[#This Row],[Código del producto Vendido]],STOCK[],19,FALSE)*VENTAS[[#This Row],[Cantidad]],VENTAS[[#This Row],[Total]])</f>
        <v>12.49</v>
      </c>
      <c r="L514" s="12">
        <f>VENTAS[[#This Row],[Total]]-VENTAS[[#This Row],[Comisión 10%]]-VENTAS[[#This Row],[Costo SIN Comision]]</f>
        <v>2.5099999999999998</v>
      </c>
      <c r="M514" s="12"/>
      <c r="N514" s="16"/>
    </row>
    <row r="515" spans="1:14" ht="20" hidden="1" customHeight="1">
      <c r="A515" s="42">
        <v>45171</v>
      </c>
      <c r="B515" s="10"/>
      <c r="C515" s="10" t="s">
        <v>4220</v>
      </c>
      <c r="D515" s="10"/>
      <c r="E515" s="10" t="s">
        <v>1311</v>
      </c>
      <c r="F515" s="10" t="str">
        <f>IFERROR(VLOOKUP(VENTAS[[#This Row],[Código del producto Vendido]],STOCK[],5,FALSE),"-")</f>
        <v>Short de mezclilla suave con cinturón</v>
      </c>
      <c r="G515" s="10">
        <v>1</v>
      </c>
      <c r="H515" s="12">
        <v>20</v>
      </c>
      <c r="I515" s="12">
        <f>VENTAS[[#This Row],[Cantidad]]*VENTAS[[#This Row],[Precio Venta]]</f>
        <v>20</v>
      </c>
      <c r="J515" s="12">
        <f>IF(VENTAS[[#This Row],[Nombre del Gestor]]&gt;1,VENTAS[[#This Row],[Total]]*10%,0)</f>
        <v>0</v>
      </c>
      <c r="K515" s="12">
        <f>IFERROR(VLOOKUP(VENTAS[[#This Row],[Código del producto Vendido]],STOCK[],16,FALSE)*VENTAS[[#This Row],[Cantidad]]+VLOOKUP(VENTAS[[#This Row],[Código del producto Vendido]],STOCK[],19,FALSE)*VENTAS[[#This Row],[Cantidad]],VENTAS[[#This Row],[Total]])</f>
        <v>11</v>
      </c>
      <c r="L515" s="12">
        <f>VENTAS[[#This Row],[Total]]-VENTAS[[#This Row],[Comisión 10%]]-VENTAS[[#This Row],[Costo SIN Comision]]</f>
        <v>9</v>
      </c>
      <c r="M515" s="12"/>
      <c r="N515" s="16"/>
    </row>
    <row r="516" spans="1:14" ht="20" hidden="1" customHeight="1">
      <c r="A516" s="41">
        <v>45173</v>
      </c>
      <c r="B516" s="10"/>
      <c r="C516" s="10" t="s">
        <v>4312</v>
      </c>
      <c r="D516" s="10"/>
      <c r="E516" s="10" t="s">
        <v>1283</v>
      </c>
      <c r="F516" s="10" t="str">
        <f>IFERROR(VLOOKUP(VENTAS[[#This Row],[Código del producto Vendido]],STOCK[],5,FALSE),"-")</f>
        <v>Pantalón beige de pierna ancha</v>
      </c>
      <c r="G516" s="10">
        <v>1</v>
      </c>
      <c r="H516" s="12">
        <v>30</v>
      </c>
      <c r="I516" s="12">
        <f>VENTAS[[#This Row],[Cantidad]]*VENTAS[[#This Row],[Precio Venta]]</f>
        <v>30</v>
      </c>
      <c r="J516" s="12">
        <f>IF(VENTAS[[#This Row],[Nombre del Gestor]]&gt;1,VENTAS[[#This Row],[Total]]*10%,0)</f>
        <v>0</v>
      </c>
      <c r="K516" s="12">
        <f>IFERROR(VLOOKUP(VENTAS[[#This Row],[Código del producto Vendido]],STOCK[],16,FALSE)*VENTAS[[#This Row],[Cantidad]]+VLOOKUP(VENTAS[[#This Row],[Código del producto Vendido]],STOCK[],19,FALSE)*VENTAS[[#This Row],[Cantidad]],VENTAS[[#This Row],[Total]])</f>
        <v>20.78</v>
      </c>
      <c r="L516" s="12">
        <f>VENTAS[[#This Row],[Total]]-VENTAS[[#This Row],[Comisión 10%]]-VENTAS[[#This Row],[Costo SIN Comision]]</f>
        <v>9.2199999999999989</v>
      </c>
      <c r="M516" s="12"/>
      <c r="N516" s="16"/>
    </row>
    <row r="517" spans="1:14" ht="20" hidden="1" customHeight="1">
      <c r="A517" s="41">
        <v>45173</v>
      </c>
      <c r="B517" s="10"/>
      <c r="C517" s="10" t="s">
        <v>4284</v>
      </c>
      <c r="D517" s="10"/>
      <c r="E517" s="10" t="s">
        <v>1000</v>
      </c>
      <c r="F517" s="10" t="str">
        <f>IFERROR(VLOOKUP(VENTAS[[#This Row],[Código del producto Vendido]],STOCK[],5,FALSE),"-")</f>
        <v>Top cisne acanalado</v>
      </c>
      <c r="G517" s="10">
        <v>1</v>
      </c>
      <c r="H517" s="12">
        <v>12</v>
      </c>
      <c r="I517" s="12">
        <f>VENTAS[[#This Row],[Cantidad]]*VENTAS[[#This Row],[Precio Venta]]</f>
        <v>12</v>
      </c>
      <c r="J517" s="12">
        <f>IF(VENTAS[[#This Row],[Nombre del Gestor]]&gt;1,VENTAS[[#This Row],[Total]]*10%,0)</f>
        <v>0</v>
      </c>
      <c r="K517" s="12">
        <f>IFERROR(VLOOKUP(VENTAS[[#This Row],[Código del producto Vendido]],STOCK[],16,FALSE)*VENTAS[[#This Row],[Cantidad]]+VLOOKUP(VENTAS[[#This Row],[Código del producto Vendido]],STOCK[],19,FALSE)*VENTAS[[#This Row],[Cantidad]],VENTAS[[#This Row],[Total]])</f>
        <v>9.2799999999999994</v>
      </c>
      <c r="L517" s="12">
        <f>VENTAS[[#This Row],[Total]]-VENTAS[[#This Row],[Comisión 10%]]-VENTAS[[#This Row],[Costo SIN Comision]]</f>
        <v>2.7200000000000006</v>
      </c>
      <c r="M517" s="12"/>
      <c r="N517" s="16"/>
    </row>
    <row r="518" spans="1:14" ht="20" hidden="1" customHeight="1">
      <c r="A518" s="9">
        <v>45180</v>
      </c>
      <c r="B518" s="10"/>
      <c r="C518" s="10" t="s">
        <v>4261</v>
      </c>
      <c r="D518" s="10"/>
      <c r="E518" s="10" t="s">
        <v>182</v>
      </c>
      <c r="F518" s="10" t="str">
        <f>IFERROR(VLOOKUP(VENTAS[[#This Row],[Código del producto Vendido]],STOCK[],5,FALSE),"-")</f>
        <v>Top de manga farol con abertura en espalda</v>
      </c>
      <c r="G518" s="10">
        <v>1</v>
      </c>
      <c r="H518" s="12">
        <v>14</v>
      </c>
      <c r="I518" s="12">
        <f>VENTAS[[#This Row],[Cantidad]]*VENTAS[[#This Row],[Precio Venta]]</f>
        <v>14</v>
      </c>
      <c r="J518" s="12">
        <f>IF(VENTAS[[#This Row],[Nombre del Gestor]]&gt;1,VENTAS[[#This Row],[Total]]*10%,0)</f>
        <v>0</v>
      </c>
      <c r="K518" s="12">
        <f>IFERROR(VLOOKUP(VENTAS[[#This Row],[Código del producto Vendido]],STOCK[],16,FALSE)*VENTAS[[#This Row],[Cantidad]]+VLOOKUP(VENTAS[[#This Row],[Código del producto Vendido]],STOCK[],19,FALSE)*VENTAS[[#This Row],[Cantidad]],VENTAS[[#This Row],[Total]])</f>
        <v>8.8977777777777796</v>
      </c>
      <c r="L518" s="12">
        <f>VENTAS[[#This Row],[Total]]-VENTAS[[#This Row],[Comisión 10%]]-VENTAS[[#This Row],[Costo SIN Comision]]</f>
        <v>5.1022222222222204</v>
      </c>
      <c r="M518" s="12"/>
      <c r="N518" s="16"/>
    </row>
    <row r="519" spans="1:14" ht="20" hidden="1" customHeight="1">
      <c r="A519" s="9">
        <v>45180</v>
      </c>
      <c r="B519" s="10"/>
      <c r="C519" s="10" t="s">
        <v>4215</v>
      </c>
      <c r="D519" s="10"/>
      <c r="E519" s="10" t="s">
        <v>426</v>
      </c>
      <c r="F519" s="10" t="str">
        <f>IFERROR(VLOOKUP(VENTAS[[#This Row],[Código del producto Vendido]],STOCK[],5,FALSE),"-")</f>
        <v xml:space="preserve">Mono Bohemiocon cinturón </v>
      </c>
      <c r="G519" s="10">
        <v>1</v>
      </c>
      <c r="H519" s="12">
        <v>14.7</v>
      </c>
      <c r="I519" s="12">
        <f>VENTAS[[#This Row],[Cantidad]]*VENTAS[[#This Row],[Precio Venta]]</f>
        <v>14.7</v>
      </c>
      <c r="J519" s="12">
        <f>IF(VENTAS[[#This Row],[Nombre del Gestor]]&gt;1,VENTAS[[#This Row],[Total]]*10%,0)</f>
        <v>0</v>
      </c>
      <c r="K519" s="12">
        <f>IFERROR(VLOOKUP(VENTAS[[#This Row],[Código del producto Vendido]],STOCK[],16,FALSE)*VENTAS[[#This Row],[Cantidad]]+VLOOKUP(VENTAS[[#This Row],[Código del producto Vendido]],STOCK[],19,FALSE)*VENTAS[[#This Row],[Cantidad]],VENTAS[[#This Row],[Total]])</f>
        <v>14.702222222222201</v>
      </c>
      <c r="L519" s="12">
        <f>VENTAS[[#This Row],[Total]]-VENTAS[[#This Row],[Comisión 10%]]-VENTAS[[#This Row],[Costo SIN Comision]]</f>
        <v>-2.2222222222012533E-3</v>
      </c>
      <c r="M519" s="12"/>
      <c r="N519" s="16"/>
    </row>
    <row r="520" spans="1:14" ht="20" hidden="1" customHeight="1">
      <c r="A520" s="9">
        <v>45180</v>
      </c>
      <c r="B520" s="10"/>
      <c r="C520" s="10" t="s">
        <v>4215</v>
      </c>
      <c r="D520" s="10"/>
      <c r="E520" s="43" t="s">
        <v>1144</v>
      </c>
      <c r="F520" s="10" t="str">
        <f>IFERROR(VLOOKUP(VENTAS[[#This Row],[Código del producto Vendido]],STOCK[],5,FALSE),"-")</f>
        <v xml:space="preserve">Short de playa </v>
      </c>
      <c r="G520" s="10">
        <v>1</v>
      </c>
      <c r="H520" s="12">
        <v>16.27</v>
      </c>
      <c r="I520" s="12">
        <f>VENTAS[[#This Row],[Cantidad]]*VENTAS[[#This Row],[Precio Venta]]</f>
        <v>16.27</v>
      </c>
      <c r="J520" s="12">
        <f>IF(VENTAS[[#This Row],[Nombre del Gestor]]&gt;1,VENTAS[[#This Row],[Total]]*10%,0)</f>
        <v>0</v>
      </c>
      <c r="K520" s="12">
        <f>IFERROR(VLOOKUP(VENTAS[[#This Row],[Código del producto Vendido]],STOCK[],16,FALSE)*VENTAS[[#This Row],[Cantidad]]+VLOOKUP(VENTAS[[#This Row],[Código del producto Vendido]],STOCK[],19,FALSE)*VENTAS[[#This Row],[Cantidad]],VENTAS[[#This Row],[Total]])</f>
        <v>16.270588235294099</v>
      </c>
      <c r="L520" s="12">
        <f>VENTAS[[#This Row],[Total]]-VENTAS[[#This Row],[Comisión 10%]]-VENTAS[[#This Row],[Costo SIN Comision]]</f>
        <v>-5.8823529409934849E-4</v>
      </c>
      <c r="M520" s="12"/>
      <c r="N520" s="16"/>
    </row>
    <row r="521" spans="1:14" ht="20" hidden="1" customHeight="1">
      <c r="A521" s="9">
        <v>45174</v>
      </c>
      <c r="B521" s="10"/>
      <c r="C521" s="10" t="s">
        <v>4313</v>
      </c>
      <c r="D521" s="10"/>
      <c r="E521" s="43" t="s">
        <v>1136</v>
      </c>
      <c r="F521" s="10" t="str">
        <f>IFERROR(VLOOKUP(VENTAS[[#This Row],[Código del producto Vendido]],STOCK[],5,FALSE),"-")</f>
        <v>Vestido ajustado Mora</v>
      </c>
      <c r="G521" s="10">
        <v>1</v>
      </c>
      <c r="H521" s="12">
        <v>30</v>
      </c>
      <c r="I521" s="12">
        <f>VENTAS[[#This Row],[Cantidad]]*VENTAS[[#This Row],[Precio Venta]]</f>
        <v>30</v>
      </c>
      <c r="J521" s="12">
        <f>IF(VENTAS[[#This Row],[Nombre del Gestor]]&gt;1,VENTAS[[#This Row],[Total]]*10%,0)</f>
        <v>0</v>
      </c>
      <c r="K521" s="12">
        <f>IFERROR(VLOOKUP(VENTAS[[#This Row],[Código del producto Vendido]],STOCK[],16,FALSE)*VENTAS[[#This Row],[Cantidad]]+VLOOKUP(VENTAS[[#This Row],[Código del producto Vendido]],STOCK[],19,FALSE)*VENTAS[[#This Row],[Cantidad]],VENTAS[[#This Row],[Total]])</f>
        <v>22.014705882352899</v>
      </c>
      <c r="L521" s="12">
        <f>VENTAS[[#This Row],[Total]]-VENTAS[[#This Row],[Comisión 10%]]-VENTAS[[#This Row],[Costo SIN Comision]]</f>
        <v>7.9852941176471006</v>
      </c>
      <c r="M521" s="12"/>
      <c r="N521" s="16"/>
    </row>
    <row r="522" spans="1:14" ht="20" hidden="1" customHeight="1">
      <c r="A522" s="9">
        <v>45174</v>
      </c>
      <c r="B522" s="10"/>
      <c r="C522" s="10" t="s">
        <v>4313</v>
      </c>
      <c r="D522" s="10"/>
      <c r="E522" s="43" t="s">
        <v>1051</v>
      </c>
      <c r="F522" s="10" t="str">
        <f>IFERROR(VLOOKUP(VENTAS[[#This Row],[Código del producto Vendido]],STOCK[],5,FALSE),"-")</f>
        <v>Pantaloneta Camel</v>
      </c>
      <c r="G522" s="10">
        <v>1</v>
      </c>
      <c r="H522" s="12">
        <v>30</v>
      </c>
      <c r="I522" s="12">
        <f>VENTAS[[#This Row],[Cantidad]]*VENTAS[[#This Row],[Precio Venta]]</f>
        <v>30</v>
      </c>
      <c r="J522" s="12">
        <f>IF(VENTAS[[#This Row],[Nombre del Gestor]]&gt;1,VENTAS[[#This Row],[Total]]*10%,0)</f>
        <v>0</v>
      </c>
      <c r="K522" s="12">
        <f>IFERROR(VLOOKUP(VENTAS[[#This Row],[Código del producto Vendido]],STOCK[],16,FALSE)*VENTAS[[#This Row],[Cantidad]]+VLOOKUP(VENTAS[[#This Row],[Código del producto Vendido]],STOCK[],19,FALSE)*VENTAS[[#This Row],[Cantidad]],VENTAS[[#This Row],[Total]])</f>
        <v>18.647727272727302</v>
      </c>
      <c r="L522" s="12">
        <f>VENTAS[[#This Row],[Total]]-VENTAS[[#This Row],[Comisión 10%]]-VENTAS[[#This Row],[Costo SIN Comision]]</f>
        <v>11.352272727272698</v>
      </c>
      <c r="M522" s="12"/>
      <c r="N522" s="16"/>
    </row>
    <row r="523" spans="1:14" ht="20" hidden="1" customHeight="1">
      <c r="A523" s="9">
        <v>45174</v>
      </c>
      <c r="B523" s="10" t="s">
        <v>4314</v>
      </c>
      <c r="C523" s="10" t="s">
        <v>4313</v>
      </c>
      <c r="D523" s="10"/>
      <c r="E523" s="43" t="s">
        <v>249</v>
      </c>
      <c r="F523" s="10" t="str">
        <f>IFERROR(VLOOKUP(VENTAS[[#This Row],[Código del producto Vendido]],STOCK[],5,FALSE),"-")</f>
        <v>Vestido con abertura con botón floral de margarita</v>
      </c>
      <c r="G523" s="10">
        <v>1</v>
      </c>
      <c r="H523" s="12">
        <v>20</v>
      </c>
      <c r="I523" s="12">
        <f>VENTAS[[#This Row],[Cantidad]]*VENTAS[[#This Row],[Precio Venta]]</f>
        <v>20</v>
      </c>
      <c r="J523" s="12">
        <f>IF(VENTAS[[#This Row],[Nombre del Gestor]]&gt;1,VENTAS[[#This Row],[Total]]*10%,0)</f>
        <v>0</v>
      </c>
      <c r="K523" s="12">
        <f>IFERROR(VLOOKUP(VENTAS[[#This Row],[Código del producto Vendido]],STOCK[],16,FALSE)*VENTAS[[#This Row],[Cantidad]]+VLOOKUP(VENTAS[[#This Row],[Código del producto Vendido]],STOCK[],19,FALSE)*VENTAS[[#This Row],[Cantidad]],VENTAS[[#This Row],[Total]])</f>
        <v>17.2</v>
      </c>
      <c r="L523" s="12">
        <f>VENTAS[[#This Row],[Total]]-VENTAS[[#This Row],[Comisión 10%]]-VENTAS[[#This Row],[Costo SIN Comision]]</f>
        <v>2.8000000000000007</v>
      </c>
      <c r="M523" s="12"/>
      <c r="N523" s="16"/>
    </row>
    <row r="524" spans="1:14" ht="20" hidden="1" customHeight="1">
      <c r="A524" s="9">
        <v>45174</v>
      </c>
      <c r="B524" s="10"/>
      <c r="C524" s="10" t="s">
        <v>4313</v>
      </c>
      <c r="D524" s="10"/>
      <c r="E524" s="43" t="s">
        <v>47</v>
      </c>
      <c r="F524" s="10" t="str">
        <f>IFERROR(VLOOKUP(VENTAS[[#This Row],[Código del producto Vendido]],STOCK[],5,FALSE),"-")</f>
        <v>Vestido Camisero Elegante</v>
      </c>
      <c r="G524" s="10">
        <v>1</v>
      </c>
      <c r="H524" s="12">
        <v>30</v>
      </c>
      <c r="I524" s="12">
        <f>VENTAS[[#This Row],[Cantidad]]*VENTAS[[#This Row],[Precio Venta]]</f>
        <v>30</v>
      </c>
      <c r="J524" s="12">
        <f>IF(VENTAS[[#This Row],[Nombre del Gestor]]&gt;1,VENTAS[[#This Row],[Total]]*10%,0)</f>
        <v>0</v>
      </c>
      <c r="K524" s="12">
        <f>IFERROR(VLOOKUP(VENTAS[[#This Row],[Código del producto Vendido]],STOCK[],16,FALSE)*VENTAS[[#This Row],[Cantidad]]+VLOOKUP(VENTAS[[#This Row],[Código del producto Vendido]],STOCK[],19,FALSE)*VENTAS[[#This Row],[Cantidad]],VENTAS[[#This Row],[Total]])</f>
        <v>19.002222222222201</v>
      </c>
      <c r="L524" s="12">
        <f>VENTAS[[#This Row],[Total]]-VENTAS[[#This Row],[Comisión 10%]]-VENTAS[[#This Row],[Costo SIN Comision]]</f>
        <v>10.997777777777799</v>
      </c>
      <c r="M524" s="12"/>
      <c r="N524" s="16"/>
    </row>
    <row r="525" spans="1:14" ht="20" hidden="1" customHeight="1">
      <c r="A525" s="9">
        <v>45181</v>
      </c>
      <c r="B525" s="10"/>
      <c r="C525" s="10" t="s">
        <v>4315</v>
      </c>
      <c r="D525" s="10"/>
      <c r="E525" s="43" t="s">
        <v>1262</v>
      </c>
      <c r="F525" s="10" t="str">
        <f>IFERROR(VLOOKUP(VENTAS[[#This Row],[Código del producto Vendido]],STOCK[],5,FALSE),"-")</f>
        <v>Maxi vestido playero naranja quemada</v>
      </c>
      <c r="G525" s="10">
        <v>1</v>
      </c>
      <c r="H525" s="12">
        <v>35</v>
      </c>
      <c r="I525" s="12">
        <f>VENTAS[[#This Row],[Cantidad]]*VENTAS[[#This Row],[Precio Venta]]</f>
        <v>35</v>
      </c>
      <c r="J525" s="12">
        <f>IF(VENTAS[[#This Row],[Nombre del Gestor]]&gt;1,VENTAS[[#This Row],[Total]]*10%,0)</f>
        <v>0</v>
      </c>
      <c r="K525" s="12">
        <f>IFERROR(VLOOKUP(VENTAS[[#This Row],[Código del producto Vendido]],STOCK[],16,FALSE)*VENTAS[[#This Row],[Cantidad]]+VLOOKUP(VENTAS[[#This Row],[Código del producto Vendido]],STOCK[],19,FALSE)*VENTAS[[#This Row],[Cantidad]],VENTAS[[#This Row],[Total]])</f>
        <v>23.95</v>
      </c>
      <c r="L525" s="12">
        <f>VENTAS[[#This Row],[Total]]-VENTAS[[#This Row],[Comisión 10%]]-VENTAS[[#This Row],[Costo SIN Comision]]</f>
        <v>11.05</v>
      </c>
      <c r="M525" s="12"/>
      <c r="N525" s="16"/>
    </row>
    <row r="526" spans="1:14" ht="20" hidden="1" customHeight="1">
      <c r="A526" s="9">
        <v>45181</v>
      </c>
      <c r="B526" s="10"/>
      <c r="C526" s="10" t="s">
        <v>4316</v>
      </c>
      <c r="D526" s="10"/>
      <c r="E526" s="43" t="s">
        <v>1256</v>
      </c>
      <c r="F526" s="10" t="str">
        <f>IFERROR(VLOOKUP(VENTAS[[#This Row],[Código del producto Vendido]],STOCK[],5,FALSE),"-")</f>
        <v>Pantaloneta verde</v>
      </c>
      <c r="G526" s="10">
        <v>1</v>
      </c>
      <c r="H526" s="12">
        <v>25</v>
      </c>
      <c r="I526" s="12">
        <f>VENTAS[[#This Row],[Cantidad]]*VENTAS[[#This Row],[Precio Venta]]</f>
        <v>25</v>
      </c>
      <c r="J526" s="12">
        <f>IF(VENTAS[[#This Row],[Nombre del Gestor]]&gt;1,VENTAS[[#This Row],[Total]]*10%,0)</f>
        <v>0</v>
      </c>
      <c r="K526" s="12">
        <f>IFERROR(VLOOKUP(VENTAS[[#This Row],[Código del producto Vendido]],STOCK[],16,FALSE)*VENTAS[[#This Row],[Cantidad]]+VLOOKUP(VENTAS[[#This Row],[Código del producto Vendido]],STOCK[],19,FALSE)*VENTAS[[#This Row],[Cantidad]],VENTAS[[#This Row],[Total]])</f>
        <v>18.3</v>
      </c>
      <c r="L526" s="12">
        <f>VENTAS[[#This Row],[Total]]-VENTAS[[#This Row],[Comisión 10%]]-VENTAS[[#This Row],[Costo SIN Comision]]</f>
        <v>6.6999999999999993</v>
      </c>
      <c r="M526" s="12"/>
      <c r="N526" s="16"/>
    </row>
    <row r="527" spans="1:14" ht="20" hidden="1" customHeight="1">
      <c r="A527" s="9">
        <v>45181</v>
      </c>
      <c r="B527" s="10"/>
      <c r="C527" s="10" t="s">
        <v>4316</v>
      </c>
      <c r="D527" s="10"/>
      <c r="E527" s="43" t="s">
        <v>1274</v>
      </c>
      <c r="F527" s="10" t="str">
        <f>IFERROR(VLOOKUP(VENTAS[[#This Row],[Código del producto Vendido]],STOCK[],5,FALSE),"-")</f>
        <v>Top de cuello V con encaje</v>
      </c>
      <c r="G527" s="10">
        <v>1</v>
      </c>
      <c r="H527" s="12">
        <v>12</v>
      </c>
      <c r="I527" s="12">
        <f>VENTAS[[#This Row],[Cantidad]]*VENTAS[[#This Row],[Precio Venta]]</f>
        <v>12</v>
      </c>
      <c r="J527" s="12">
        <f>IF(VENTAS[[#This Row],[Nombre del Gestor]]&gt;1,VENTAS[[#This Row],[Total]]*10%,0)</f>
        <v>0</v>
      </c>
      <c r="K527" s="12">
        <f>IFERROR(VLOOKUP(VENTAS[[#This Row],[Código del producto Vendido]],STOCK[],16,FALSE)*VENTAS[[#This Row],[Cantidad]]+VLOOKUP(VENTAS[[#This Row],[Código del producto Vendido]],STOCK[],19,FALSE)*VENTAS[[#This Row],[Cantidad]],VENTAS[[#This Row],[Total]])</f>
        <v>7.97</v>
      </c>
      <c r="L527" s="12">
        <f>VENTAS[[#This Row],[Total]]-VENTAS[[#This Row],[Comisión 10%]]-VENTAS[[#This Row],[Costo SIN Comision]]</f>
        <v>4.03</v>
      </c>
      <c r="M527" s="12"/>
      <c r="N527" s="16"/>
    </row>
    <row r="528" spans="1:14" ht="20" hidden="1" customHeight="1">
      <c r="A528" s="9">
        <v>45182</v>
      </c>
      <c r="B528" s="10"/>
      <c r="C528" s="10" t="s">
        <v>4317</v>
      </c>
      <c r="D528" s="10"/>
      <c r="E528" s="43"/>
      <c r="F528" s="10" t="str">
        <f>IFERROR(VLOOKUP(VENTAS[[#This Row],[Código del producto Vendido]],STOCK[],5,FALSE),"-")</f>
        <v>-</v>
      </c>
      <c r="G528" s="10">
        <v>0</v>
      </c>
      <c r="H528" s="12">
        <v>0</v>
      </c>
      <c r="I528" s="12">
        <f>VENTAS[[#This Row],[Cantidad]]*VENTAS[[#This Row],[Precio Venta]]</f>
        <v>0</v>
      </c>
      <c r="J528" s="12">
        <f>IF(VENTAS[[#This Row],[Nombre del Gestor]]&gt;1,VENTAS[[#This Row],[Total]]*10%,0)</f>
        <v>0</v>
      </c>
      <c r="K528" s="12">
        <f>IFERROR(VLOOKUP(VENTAS[[#This Row],[Código del producto Vendido]],STOCK[],16,FALSE)*VENTAS[[#This Row],[Cantidad]]+VLOOKUP(VENTAS[[#This Row],[Código del producto Vendido]],STOCK[],19,FALSE)*VENTAS[[#This Row],[Cantidad]],VENTAS[[#This Row],[Total]])</f>
        <v>0</v>
      </c>
      <c r="L528" s="12">
        <f>VENTAS[[#This Row],[Total]]-VENTAS[[#This Row],[Comisión 10%]]-VENTAS[[#This Row],[Costo SIN Comision]]</f>
        <v>0</v>
      </c>
      <c r="M528" s="12"/>
      <c r="N528" s="16"/>
    </row>
    <row r="529" spans="1:14" ht="20" hidden="1" customHeight="1">
      <c r="A529" s="9" t="s">
        <v>4318</v>
      </c>
      <c r="B529" s="10"/>
      <c r="C529" s="10"/>
      <c r="D529" s="10"/>
      <c r="E529" s="43" t="s">
        <v>896</v>
      </c>
      <c r="F529" s="10" t="str">
        <f>IFERROR(VLOOKUP(VENTAS[[#This Row],[Código del producto Vendido]],STOCK[],5,FALSE),"-")</f>
        <v>Top Cisne Blanco</v>
      </c>
      <c r="G529" s="10">
        <v>1</v>
      </c>
      <c r="H529" s="12">
        <v>14</v>
      </c>
      <c r="I529" s="12">
        <f>VENTAS[[#This Row],[Cantidad]]*VENTAS[[#This Row],[Precio Venta]]</f>
        <v>14</v>
      </c>
      <c r="J529" s="12">
        <f>IF(VENTAS[[#This Row],[Nombre del Gestor]]&gt;1,VENTAS[[#This Row],[Total]]*10%,0)</f>
        <v>0</v>
      </c>
      <c r="K529" s="12">
        <f>IFERROR(VLOOKUP(VENTAS[[#This Row],[Código del producto Vendido]],STOCK[],16,FALSE)*VENTAS[[#This Row],[Cantidad]]+VLOOKUP(VENTAS[[#This Row],[Código del producto Vendido]],STOCK[],19,FALSE)*VENTAS[[#This Row],[Cantidad]],VENTAS[[#This Row],[Total]])</f>
        <v>7.9731818181818195</v>
      </c>
      <c r="L529" s="12">
        <f>VENTAS[[#This Row],[Total]]-VENTAS[[#This Row],[Comisión 10%]]-VENTAS[[#This Row],[Costo SIN Comision]]</f>
        <v>6.0268181818181805</v>
      </c>
      <c r="M529" s="12"/>
      <c r="N529" s="16"/>
    </row>
    <row r="530" spans="1:14" ht="20" hidden="1" customHeight="1">
      <c r="A530" s="9" t="s">
        <v>4318</v>
      </c>
      <c r="B530" s="10"/>
      <c r="C530" s="10"/>
      <c r="D530" s="10"/>
      <c r="E530" s="43" t="s">
        <v>893</v>
      </c>
      <c r="F530" s="10" t="str">
        <f>IFERROR(VLOOKUP(VENTAS[[#This Row],[Código del producto Vendido]],STOCK[],5,FALSE),"-")</f>
        <v>Top Cisne Blanco</v>
      </c>
      <c r="G530" s="10">
        <v>1</v>
      </c>
      <c r="H530" s="12">
        <v>12</v>
      </c>
      <c r="I530" s="12">
        <f>VENTAS[[#This Row],[Cantidad]]*VENTAS[[#This Row],[Precio Venta]]</f>
        <v>12</v>
      </c>
      <c r="J530" s="12">
        <f>IF(VENTAS[[#This Row],[Nombre del Gestor]]&gt;1,VENTAS[[#This Row],[Total]]*10%,0)</f>
        <v>0</v>
      </c>
      <c r="K530" s="12">
        <f>IFERROR(VLOOKUP(VENTAS[[#This Row],[Código del producto Vendido]],STOCK[],16,FALSE)*VENTAS[[#This Row],[Cantidad]]+VLOOKUP(VENTAS[[#This Row],[Código del producto Vendido]],STOCK[],19,FALSE)*VENTAS[[#This Row],[Cantidad]],VENTAS[[#This Row],[Total]])</f>
        <v>7.9731818181818195</v>
      </c>
      <c r="L530" s="12">
        <f>VENTAS[[#This Row],[Total]]-VENTAS[[#This Row],[Comisión 10%]]-VENTAS[[#This Row],[Costo SIN Comision]]</f>
        <v>4.0268181818181805</v>
      </c>
      <c r="M530" s="12"/>
      <c r="N530" s="16"/>
    </row>
    <row r="531" spans="1:14" ht="20" hidden="1" customHeight="1">
      <c r="A531" s="9" t="s">
        <v>4318</v>
      </c>
      <c r="B531" s="10"/>
      <c r="C531" s="10"/>
      <c r="D531" s="10"/>
      <c r="E531" s="43" t="s">
        <v>1018</v>
      </c>
      <c r="F531" s="10" t="str">
        <f>IFERROR(VLOOKUP(VENTAS[[#This Row],[Código del producto Vendido]],STOCK[],5,FALSE),"-")</f>
        <v>Top Dreamer Negro</v>
      </c>
      <c r="G531" s="10">
        <v>1</v>
      </c>
      <c r="H531" s="12">
        <v>12</v>
      </c>
      <c r="I531" s="12">
        <f>VENTAS[[#This Row],[Cantidad]]*VENTAS[[#This Row],[Precio Venta]]</f>
        <v>12</v>
      </c>
      <c r="J531" s="12">
        <f>IF(VENTAS[[#This Row],[Nombre del Gestor]]&gt;1,VENTAS[[#This Row],[Total]]*10%,0)</f>
        <v>0</v>
      </c>
      <c r="K531" s="12">
        <f>IFERROR(VLOOKUP(VENTAS[[#This Row],[Código del producto Vendido]],STOCK[],16,FALSE)*VENTAS[[#This Row],[Cantidad]]+VLOOKUP(VENTAS[[#This Row],[Código del producto Vendido]],STOCK[],19,FALSE)*VENTAS[[#This Row],[Cantidad]],VENTAS[[#This Row],[Total]])</f>
        <v>7.1568181818181795</v>
      </c>
      <c r="L531" s="12">
        <f>VENTAS[[#This Row],[Total]]-VENTAS[[#This Row],[Comisión 10%]]-VENTAS[[#This Row],[Costo SIN Comision]]</f>
        <v>4.8431818181818205</v>
      </c>
      <c r="M531" s="12"/>
      <c r="N531" s="16"/>
    </row>
    <row r="532" spans="1:14" ht="20" hidden="1" customHeight="1">
      <c r="A532" s="9" t="s">
        <v>4318</v>
      </c>
      <c r="B532" s="10"/>
      <c r="C532" s="10"/>
      <c r="D532" s="10"/>
      <c r="E532" s="10" t="s">
        <v>598</v>
      </c>
      <c r="F532" s="10" t="str">
        <f>IFERROR(VLOOKUP(VENTAS[[#This Row],[Código del producto Vendido]],STOCK[],5,FALSE),"-")</f>
        <v>Top corsetero asimétrico</v>
      </c>
      <c r="G532" s="10">
        <v>1</v>
      </c>
      <c r="H532" s="12">
        <v>10</v>
      </c>
      <c r="I532" s="12">
        <f>VENTAS[[#This Row],[Cantidad]]*VENTAS[[#This Row],[Precio Venta]]</f>
        <v>10</v>
      </c>
      <c r="J532" s="12">
        <f>IF(VENTAS[[#This Row],[Nombre del Gestor]]&gt;1,VENTAS[[#This Row],[Total]]*10%,0)</f>
        <v>0</v>
      </c>
      <c r="K532" s="12">
        <f>IFERROR(VLOOKUP(VENTAS[[#This Row],[Código del producto Vendido]],STOCK[],16,FALSE)*VENTAS[[#This Row],[Cantidad]]+VLOOKUP(VENTAS[[#This Row],[Código del producto Vendido]],STOCK[],19,FALSE)*VENTAS[[#This Row],[Cantidad]],VENTAS[[#This Row],[Total]])</f>
        <v>5.5683333333333307</v>
      </c>
      <c r="L532" s="12">
        <f>VENTAS[[#This Row],[Total]]-VENTAS[[#This Row],[Comisión 10%]]-VENTAS[[#This Row],[Costo SIN Comision]]</f>
        <v>4.4316666666666693</v>
      </c>
      <c r="M532" s="12"/>
      <c r="N532" s="16"/>
    </row>
    <row r="533" spans="1:14" ht="20" hidden="1" customHeight="1">
      <c r="A533" s="9" t="s">
        <v>4318</v>
      </c>
      <c r="B533" s="10"/>
      <c r="C533" s="10"/>
      <c r="D533" s="10"/>
      <c r="E533" s="10" t="s">
        <v>600</v>
      </c>
      <c r="F533" s="10" t="str">
        <f>IFERROR(VLOOKUP(VENTAS[[#This Row],[Código del producto Vendido]],STOCK[],5,FALSE),"-")</f>
        <v>Top corsetero asimétrico</v>
      </c>
      <c r="G533" s="10">
        <v>2</v>
      </c>
      <c r="H533" s="12">
        <v>10</v>
      </c>
      <c r="I533" s="12">
        <f>VENTAS[[#This Row],[Cantidad]]*VENTAS[[#This Row],[Precio Venta]]</f>
        <v>20</v>
      </c>
      <c r="J533" s="12">
        <f>IF(VENTAS[[#This Row],[Nombre del Gestor]]&gt;1,VENTAS[[#This Row],[Total]]*10%,0)</f>
        <v>0</v>
      </c>
      <c r="K533" s="12">
        <f>IFERROR(VLOOKUP(VENTAS[[#This Row],[Código del producto Vendido]],STOCK[],16,FALSE)*VENTAS[[#This Row],[Cantidad]]+VLOOKUP(VENTAS[[#This Row],[Código del producto Vendido]],STOCK[],19,FALSE)*VENTAS[[#This Row],[Cantidad]],VENTAS[[#This Row],[Total]])</f>
        <v>11.136666666666661</v>
      </c>
      <c r="L533" s="12">
        <f>VENTAS[[#This Row],[Total]]-VENTAS[[#This Row],[Comisión 10%]]-VENTAS[[#This Row],[Costo SIN Comision]]</f>
        <v>8.8633333333333386</v>
      </c>
      <c r="M533" s="12"/>
      <c r="N533" s="16"/>
    </row>
    <row r="534" spans="1:14" ht="20" hidden="1" customHeight="1">
      <c r="A534" s="9" t="s">
        <v>4318</v>
      </c>
      <c r="B534" s="10"/>
      <c r="C534" s="10"/>
      <c r="D534" s="10"/>
      <c r="E534" s="10" t="s">
        <v>1027</v>
      </c>
      <c r="F534" s="10" t="str">
        <f>IFERROR(VLOOKUP(VENTAS[[#This Row],[Código del producto Vendido]],STOCK[],5,FALSE),"-")</f>
        <v>Top Dreamer Blanco</v>
      </c>
      <c r="G534" s="10">
        <v>1</v>
      </c>
      <c r="H534" s="12">
        <v>12</v>
      </c>
      <c r="I534" s="12">
        <f>VENTAS[[#This Row],[Cantidad]]*VENTAS[[#This Row],[Precio Venta]]</f>
        <v>12</v>
      </c>
      <c r="J534" s="12">
        <f>IF(VENTAS[[#This Row],[Nombre del Gestor]]&gt;1,VENTAS[[#This Row],[Total]]*10%,0)</f>
        <v>0</v>
      </c>
      <c r="K534" s="12">
        <f>IFERROR(VLOOKUP(VENTAS[[#This Row],[Código del producto Vendido]],STOCK[],16,FALSE)*VENTAS[[#This Row],[Cantidad]]+VLOOKUP(VENTAS[[#This Row],[Código del producto Vendido]],STOCK[],19,FALSE)*VENTAS[[#This Row],[Cantidad]],VENTAS[[#This Row],[Total]])</f>
        <v>6.7590909090909097</v>
      </c>
      <c r="L534" s="12">
        <f>VENTAS[[#This Row],[Total]]-VENTAS[[#This Row],[Comisión 10%]]-VENTAS[[#This Row],[Costo SIN Comision]]</f>
        <v>5.2409090909090903</v>
      </c>
      <c r="M534" s="12"/>
      <c r="N534" s="16"/>
    </row>
    <row r="535" spans="1:14" ht="20" hidden="1" customHeight="1">
      <c r="A535" s="9" t="s">
        <v>4318</v>
      </c>
      <c r="B535" s="10"/>
      <c r="C535" s="10"/>
      <c r="D535" s="10"/>
      <c r="E535" s="10" t="s">
        <v>1110</v>
      </c>
      <c r="F535" s="10" t="str">
        <f>IFERROR(VLOOKUP(VENTAS[[#This Row],[Código del producto Vendido]],STOCK[],5,FALSE),"-")</f>
        <v>Jumpsuit culotte</v>
      </c>
      <c r="G535" s="10">
        <v>1</v>
      </c>
      <c r="H535" s="12">
        <v>22</v>
      </c>
      <c r="I535" s="12">
        <f>VENTAS[[#This Row],[Cantidad]]*VENTAS[[#This Row],[Precio Venta]]</f>
        <v>22</v>
      </c>
      <c r="J535" s="12">
        <f>IF(VENTAS[[#This Row],[Nombre del Gestor]]&gt;1,VENTAS[[#This Row],[Total]]*10%,0)</f>
        <v>0</v>
      </c>
      <c r="K535" s="12">
        <f>IFERROR(VLOOKUP(VENTAS[[#This Row],[Código del producto Vendido]],STOCK[],16,FALSE)*VENTAS[[#This Row],[Cantidad]]+VLOOKUP(VENTAS[[#This Row],[Código del producto Vendido]],STOCK[],19,FALSE)*VENTAS[[#This Row],[Cantidad]],VENTAS[[#This Row],[Total]])</f>
        <v>18.4279411764706</v>
      </c>
      <c r="L535" s="12">
        <f>VENTAS[[#This Row],[Total]]-VENTAS[[#This Row],[Comisión 10%]]-VENTAS[[#This Row],[Costo SIN Comision]]</f>
        <v>3.5720588235293995</v>
      </c>
      <c r="M535" s="12"/>
      <c r="N535" s="16"/>
    </row>
    <row r="536" spans="1:14" ht="20" hidden="1" customHeight="1">
      <c r="A536" s="9" t="s">
        <v>4318</v>
      </c>
      <c r="B536" s="10"/>
      <c r="C536" s="10"/>
      <c r="D536" s="10"/>
      <c r="E536" s="10" t="s">
        <v>1121</v>
      </c>
      <c r="F536" s="10" t="str">
        <f>IFERROR(VLOOKUP(VENTAS[[#This Row],[Código del producto Vendido]],STOCK[],5,FALSE),"-")</f>
        <v>Set de lencería de encaje</v>
      </c>
      <c r="G536" s="10">
        <v>1</v>
      </c>
      <c r="H536" s="12">
        <v>12</v>
      </c>
      <c r="I536" s="12">
        <f>VENTAS[[#This Row],[Cantidad]]*VENTAS[[#This Row],[Precio Venta]]</f>
        <v>12</v>
      </c>
      <c r="J536" s="12">
        <f>IF(VENTAS[[#This Row],[Nombre del Gestor]]&gt;1,VENTAS[[#This Row],[Total]]*10%,0)</f>
        <v>0</v>
      </c>
      <c r="K536" s="12">
        <f>IFERROR(VLOOKUP(VENTAS[[#This Row],[Código del producto Vendido]],STOCK[],16,FALSE)*VENTAS[[#This Row],[Cantidad]]+VLOOKUP(VENTAS[[#This Row],[Código del producto Vendido]],STOCK[],19,FALSE)*VENTAS[[#This Row],[Cantidad]],VENTAS[[#This Row],[Total]])</f>
        <v>7.1088235294117599</v>
      </c>
      <c r="L536" s="12">
        <f>VENTAS[[#This Row],[Total]]-VENTAS[[#This Row],[Comisión 10%]]-VENTAS[[#This Row],[Costo SIN Comision]]</f>
        <v>4.8911764705882401</v>
      </c>
      <c r="M536" s="12"/>
      <c r="N536" s="16"/>
    </row>
    <row r="537" spans="1:14" ht="20" hidden="1" customHeight="1">
      <c r="A537" s="9">
        <v>45521</v>
      </c>
      <c r="B537" s="10"/>
      <c r="C537" s="10" t="s">
        <v>4319</v>
      </c>
      <c r="D537" s="10" t="s">
        <v>4320</v>
      </c>
      <c r="E537" s="10" t="s">
        <v>1124</v>
      </c>
      <c r="F537" s="10" t="str">
        <f>IFERROR(VLOOKUP(VENTAS[[#This Row],[Código del producto Vendido]],STOCK[],5,FALSE),"-")</f>
        <v xml:space="preserve">Sandalias de tacón con tiras </v>
      </c>
      <c r="G537" s="10">
        <v>1</v>
      </c>
      <c r="H537" s="12">
        <v>40</v>
      </c>
      <c r="I537" s="12">
        <f>VENTAS[[#This Row],[Cantidad]]*VENTAS[[#This Row],[Precio Venta]]</f>
        <v>40</v>
      </c>
      <c r="J537" s="12">
        <f>IF(VENTAS[[#This Row],[Nombre del Gestor]]&gt;1,VENTAS[[#This Row],[Total]]*10%,0)</f>
        <v>4</v>
      </c>
      <c r="K537" s="12">
        <f>IFERROR(VLOOKUP(VENTAS[[#This Row],[Código del producto Vendido]],STOCK[],16,FALSE)*VENTAS[[#This Row],[Cantidad]]+VLOOKUP(VENTAS[[#This Row],[Código del producto Vendido]],STOCK[],19,FALSE)*VENTAS[[#This Row],[Cantidad]],VENTAS[[#This Row],[Total]])</f>
        <v>27.152941176470602</v>
      </c>
      <c r="L537" s="12">
        <f>VENTAS[[#This Row],[Total]]-VENTAS[[#This Row],[Comisión 10%]]-VENTAS[[#This Row],[Costo SIN Comision]]</f>
        <v>8.8470588235293981</v>
      </c>
      <c r="M537" s="12"/>
      <c r="N537" s="16"/>
    </row>
    <row r="538" spans="1:14" ht="20" hidden="1" customHeight="1">
      <c r="A538" s="9" t="s">
        <v>4318</v>
      </c>
      <c r="B538" s="10"/>
      <c r="C538" s="10"/>
      <c r="D538" s="10"/>
      <c r="E538" s="10" t="s">
        <v>1271</v>
      </c>
      <c r="F538" s="10" t="str">
        <f>IFERROR(VLOOKUP(VENTAS[[#This Row],[Código del producto Vendido]],STOCK[],5,FALSE),"-")</f>
        <v>Top blanco cuello V con encaje</v>
      </c>
      <c r="G538" s="10">
        <v>1</v>
      </c>
      <c r="H538" s="12">
        <v>12</v>
      </c>
      <c r="I538" s="12">
        <f>VENTAS[[#This Row],[Cantidad]]*VENTAS[[#This Row],[Precio Venta]]</f>
        <v>12</v>
      </c>
      <c r="J538" s="12">
        <f>IF(VENTAS[[#This Row],[Nombre del Gestor]]&gt;1,VENTAS[[#This Row],[Total]]*10%,0)</f>
        <v>0</v>
      </c>
      <c r="K538" s="12">
        <f>IFERROR(VLOOKUP(VENTAS[[#This Row],[Código del producto Vendido]],STOCK[],16,FALSE)*VENTAS[[#This Row],[Cantidad]]+VLOOKUP(VENTAS[[#This Row],[Código del producto Vendido]],STOCK[],19,FALSE)*VENTAS[[#This Row],[Cantidad]],VENTAS[[#This Row],[Total]])</f>
        <v>7.97</v>
      </c>
      <c r="L538" s="12">
        <f>VENTAS[[#This Row],[Total]]-VENTAS[[#This Row],[Comisión 10%]]-VENTAS[[#This Row],[Costo SIN Comision]]</f>
        <v>4.03</v>
      </c>
      <c r="M538" s="12"/>
      <c r="N538" s="16"/>
    </row>
    <row r="539" spans="1:14" ht="20" hidden="1" customHeight="1">
      <c r="A539" s="9" t="s">
        <v>4318</v>
      </c>
      <c r="B539" s="10"/>
      <c r="C539" s="10"/>
      <c r="D539" s="10"/>
      <c r="E539" s="10" t="s">
        <v>1273</v>
      </c>
      <c r="F539" s="10" t="str">
        <f>IFERROR(VLOOKUP(VENTAS[[#This Row],[Código del producto Vendido]],STOCK[],5,FALSE),"-")</f>
        <v>Top blanco cuello V con encaje</v>
      </c>
      <c r="G539" s="10">
        <v>1</v>
      </c>
      <c r="H539" s="12">
        <v>12</v>
      </c>
      <c r="I539" s="12">
        <f>VENTAS[[#This Row],[Cantidad]]*VENTAS[[#This Row],[Precio Venta]]</f>
        <v>12</v>
      </c>
      <c r="J539" s="12">
        <f>IF(VENTAS[[#This Row],[Nombre del Gestor]]&gt;1,VENTAS[[#This Row],[Total]]*10%,0)</f>
        <v>0</v>
      </c>
      <c r="K539" s="12">
        <f>IFERROR(VLOOKUP(VENTAS[[#This Row],[Código del producto Vendido]],STOCK[],16,FALSE)*VENTAS[[#This Row],[Cantidad]]+VLOOKUP(VENTAS[[#This Row],[Código del producto Vendido]],STOCK[],19,FALSE)*VENTAS[[#This Row],[Cantidad]],VENTAS[[#This Row],[Total]])</f>
        <v>7.97</v>
      </c>
      <c r="L539" s="12">
        <f>VENTAS[[#This Row],[Total]]-VENTAS[[#This Row],[Comisión 10%]]-VENTAS[[#This Row],[Costo SIN Comision]]</f>
        <v>4.03</v>
      </c>
      <c r="M539" s="12"/>
      <c r="N539" s="16"/>
    </row>
    <row r="540" spans="1:14" ht="20" hidden="1" customHeight="1">
      <c r="A540" s="9" t="s">
        <v>4318</v>
      </c>
      <c r="B540" s="10"/>
      <c r="C540" s="10"/>
      <c r="D540" s="10"/>
      <c r="E540" s="10" t="s">
        <v>1279</v>
      </c>
      <c r="F540" s="10" t="str">
        <f>IFERROR(VLOOKUP(VENTAS[[#This Row],[Código del producto Vendido]],STOCK[],5,FALSE),"-")</f>
        <v>Top negro  cuello V con encaje</v>
      </c>
      <c r="G540" s="10">
        <v>2</v>
      </c>
      <c r="H540" s="12">
        <v>12</v>
      </c>
      <c r="I540" s="12">
        <f>VENTAS[[#This Row],[Cantidad]]*VENTAS[[#This Row],[Precio Venta]]</f>
        <v>24</v>
      </c>
      <c r="J540" s="12">
        <f>IF(VENTAS[[#This Row],[Nombre del Gestor]]&gt;1,VENTAS[[#This Row],[Total]]*10%,0)</f>
        <v>0</v>
      </c>
      <c r="K540" s="12">
        <f>IFERROR(VLOOKUP(VENTAS[[#This Row],[Código del producto Vendido]],STOCK[],16,FALSE)*VENTAS[[#This Row],[Cantidad]]+VLOOKUP(VENTAS[[#This Row],[Código del producto Vendido]],STOCK[],19,FALSE)*VENTAS[[#This Row],[Cantidad]],VENTAS[[#This Row],[Total]])</f>
        <v>16.18</v>
      </c>
      <c r="L540" s="12">
        <f>VENTAS[[#This Row],[Total]]-VENTAS[[#This Row],[Comisión 10%]]-VENTAS[[#This Row],[Costo SIN Comision]]</f>
        <v>7.82</v>
      </c>
      <c r="M540" s="12"/>
      <c r="N540" s="16"/>
    </row>
    <row r="541" spans="1:14" ht="20" hidden="1" customHeight="1">
      <c r="A541" s="9" t="s">
        <v>4318</v>
      </c>
      <c r="B541" s="10"/>
      <c r="C541" s="10"/>
      <c r="D541" s="10"/>
      <c r="E541" s="10" t="s">
        <v>1061</v>
      </c>
      <c r="F541" s="10" t="str">
        <f>IFERROR(VLOOKUP(VENTAS[[#This Row],[Código del producto Vendido]],STOCK[],5,FALSE),"-")</f>
        <v>Top corto blanco</v>
      </c>
      <c r="G541" s="10">
        <v>1</v>
      </c>
      <c r="H541" s="12">
        <v>8</v>
      </c>
      <c r="I541" s="12">
        <f>VENTAS[[#This Row],[Cantidad]]*VENTAS[[#This Row],[Precio Venta]]</f>
        <v>8</v>
      </c>
      <c r="J541" s="12">
        <f>IF(VENTAS[[#This Row],[Nombre del Gestor]]&gt;1,VENTAS[[#This Row],[Total]]*10%,0)</f>
        <v>0</v>
      </c>
      <c r="K541" s="12">
        <f>IFERROR(VLOOKUP(VENTAS[[#This Row],[Código del producto Vendido]],STOCK[],16,FALSE)*VENTAS[[#This Row],[Cantidad]]+VLOOKUP(VENTAS[[#This Row],[Código del producto Vendido]],STOCK[],19,FALSE)*VENTAS[[#This Row],[Cantidad]],VENTAS[[#This Row],[Total]])</f>
        <v>4.4044117647058805</v>
      </c>
      <c r="L541" s="12">
        <f>VENTAS[[#This Row],[Total]]-VENTAS[[#This Row],[Comisión 10%]]-VENTAS[[#This Row],[Costo SIN Comision]]</f>
        <v>3.5955882352941195</v>
      </c>
      <c r="M541" s="12"/>
      <c r="N541" s="16"/>
    </row>
    <row r="542" spans="1:14" ht="20" hidden="1" customHeight="1">
      <c r="A542" s="9" t="s">
        <v>4318</v>
      </c>
      <c r="B542" s="10"/>
      <c r="C542" s="10"/>
      <c r="D542" s="10"/>
      <c r="E542" s="10" t="s">
        <v>785</v>
      </c>
      <c r="F542" s="10" t="str">
        <f>IFERROR(VLOOKUP(VENTAS[[#This Row],[Código del producto Vendido]],STOCK[],5,FALSE),"-")</f>
        <v>Top Manga Corta Negro</v>
      </c>
      <c r="G542" s="10">
        <v>1</v>
      </c>
      <c r="H542" s="12">
        <v>9</v>
      </c>
      <c r="I542" s="12">
        <f>VENTAS[[#This Row],[Cantidad]]*VENTAS[[#This Row],[Precio Venta]]</f>
        <v>9</v>
      </c>
      <c r="J542" s="12">
        <f>IF(VENTAS[[#This Row],[Nombre del Gestor]]&gt;1,VENTAS[[#This Row],[Total]]*10%,0)</f>
        <v>0</v>
      </c>
      <c r="K542" s="12">
        <f>IFERROR(VLOOKUP(VENTAS[[#This Row],[Código del producto Vendido]],STOCK[],16,FALSE)*VENTAS[[#This Row],[Cantidad]]+VLOOKUP(VENTAS[[#This Row],[Código del producto Vendido]],STOCK[],19,FALSE)*VENTAS[[#This Row],[Cantidad]],VENTAS[[#This Row],[Total]])</f>
        <v>6.0555555555555598</v>
      </c>
      <c r="L542" s="12">
        <f>VENTAS[[#This Row],[Total]]-VENTAS[[#This Row],[Comisión 10%]]-VENTAS[[#This Row],[Costo SIN Comision]]</f>
        <v>2.9444444444444402</v>
      </c>
      <c r="M542" s="12"/>
      <c r="N542" s="16"/>
    </row>
    <row r="543" spans="1:14" ht="20" hidden="1" customHeight="1">
      <c r="A543" s="9" t="s">
        <v>4318</v>
      </c>
      <c r="B543" s="10"/>
      <c r="C543" s="10"/>
      <c r="D543" s="10"/>
      <c r="E543" s="10" t="s">
        <v>702</v>
      </c>
      <c r="F543" s="10" t="str">
        <f>IFERROR(VLOOKUP(VENTAS[[#This Row],[Código del producto Vendido]],STOCK[],5,FALSE),"-")</f>
        <v>Vestido corto de punto</v>
      </c>
      <c r="G543" s="10">
        <v>1</v>
      </c>
      <c r="H543" s="12">
        <v>19</v>
      </c>
      <c r="I543" s="12">
        <f>VENTAS[[#This Row],[Cantidad]]*VENTAS[[#This Row],[Precio Venta]]</f>
        <v>19</v>
      </c>
      <c r="J543" s="12">
        <f>IF(VENTAS[[#This Row],[Nombre del Gestor]]&gt;1,VENTAS[[#This Row],[Total]]*10%,0)</f>
        <v>0</v>
      </c>
      <c r="K543" s="12">
        <f>IFERROR(VLOOKUP(VENTAS[[#This Row],[Código del producto Vendido]],STOCK[],16,FALSE)*VENTAS[[#This Row],[Cantidad]]+VLOOKUP(VENTAS[[#This Row],[Código del producto Vendido]],STOCK[],19,FALSE)*VENTAS[[#This Row],[Cantidad]],VENTAS[[#This Row],[Total]])</f>
        <v>17.07</v>
      </c>
      <c r="L543" s="12">
        <f>VENTAS[[#This Row],[Total]]-VENTAS[[#This Row],[Comisión 10%]]-VENTAS[[#This Row],[Costo SIN Comision]]</f>
        <v>1.9299999999999997</v>
      </c>
      <c r="M543" s="12"/>
      <c r="N543" s="16"/>
    </row>
    <row r="544" spans="1:14" ht="20" hidden="1" customHeight="1">
      <c r="A544" s="9" t="s">
        <v>4318</v>
      </c>
      <c r="B544" s="10"/>
      <c r="C544" s="10"/>
      <c r="D544" s="10"/>
      <c r="E544" s="10" t="s">
        <v>842</v>
      </c>
      <c r="F544" s="10" t="str">
        <f>IFERROR(VLOOKUP(VENTAS[[#This Row],[Código del producto Vendido]],STOCK[],5,FALSE),"-")</f>
        <v>Top de malla sexy</v>
      </c>
      <c r="G544" s="10">
        <v>1</v>
      </c>
      <c r="H544" s="12">
        <v>10</v>
      </c>
      <c r="I544" s="12">
        <f>VENTAS[[#This Row],[Cantidad]]*VENTAS[[#This Row],[Precio Venta]]</f>
        <v>10</v>
      </c>
      <c r="J544" s="12">
        <f>IF(VENTAS[[#This Row],[Nombre del Gestor]]&gt;1,VENTAS[[#This Row],[Total]]*10%,0)</f>
        <v>0</v>
      </c>
      <c r="K544" s="12">
        <f>IFERROR(VLOOKUP(VENTAS[[#This Row],[Código del producto Vendido]],STOCK[],16,FALSE)*VENTAS[[#This Row],[Cantidad]]+VLOOKUP(VENTAS[[#This Row],[Código del producto Vendido]],STOCK[],19,FALSE)*VENTAS[[#This Row],[Cantidad]],VENTAS[[#This Row],[Total]])</f>
        <v>3.4555555555555597</v>
      </c>
      <c r="L544" s="12">
        <f>VENTAS[[#This Row],[Total]]-VENTAS[[#This Row],[Comisión 10%]]-VENTAS[[#This Row],[Costo SIN Comision]]</f>
        <v>6.5444444444444407</v>
      </c>
      <c r="M544" s="12"/>
      <c r="N544" s="16"/>
    </row>
    <row r="545" spans="1:14" ht="20" hidden="1" customHeight="1">
      <c r="A545" s="9" t="s">
        <v>4318</v>
      </c>
      <c r="B545" s="10"/>
      <c r="C545" s="10"/>
      <c r="D545" s="10"/>
      <c r="E545" s="10" t="s">
        <v>176</v>
      </c>
      <c r="F545" s="10" t="str">
        <f>IFERROR(VLOOKUP(VENTAS[[#This Row],[Código del producto Vendido]],STOCK[],5,FALSE),"-")</f>
        <v xml:space="preserve">Vestido cruzado con abertura con nudo delantero </v>
      </c>
      <c r="G545" s="10">
        <v>1</v>
      </c>
      <c r="H545" s="12">
        <v>25</v>
      </c>
      <c r="I545" s="12">
        <f>VENTAS[[#This Row],[Cantidad]]*VENTAS[[#This Row],[Precio Venta]]</f>
        <v>25</v>
      </c>
      <c r="J545" s="12">
        <f>IF(VENTAS[[#This Row],[Nombre del Gestor]]&gt;1,VENTAS[[#This Row],[Total]]*10%,0)</f>
        <v>0</v>
      </c>
      <c r="K545" s="12">
        <f>IFERROR(VLOOKUP(VENTAS[[#This Row],[Código del producto Vendido]],STOCK[],16,FALSE)*VENTAS[[#This Row],[Cantidad]]+VLOOKUP(VENTAS[[#This Row],[Código del producto Vendido]],STOCK[],19,FALSE)*VENTAS[[#This Row],[Cantidad]],VENTAS[[#This Row],[Total]])</f>
        <v>16.768888888888899</v>
      </c>
      <c r="L545" s="12">
        <f>VENTAS[[#This Row],[Total]]-VENTAS[[#This Row],[Comisión 10%]]-VENTAS[[#This Row],[Costo SIN Comision]]</f>
        <v>8.2311111111111011</v>
      </c>
      <c r="M545" s="12"/>
      <c r="N545" s="16"/>
    </row>
    <row r="546" spans="1:14" ht="20" hidden="1" customHeight="1">
      <c r="A546" s="9" t="s">
        <v>4318</v>
      </c>
      <c r="B546" s="10"/>
      <c r="C546" s="10"/>
      <c r="D546" s="10"/>
      <c r="E546" s="10" t="s">
        <v>238</v>
      </c>
      <c r="F546" s="10" t="str">
        <f>IFERROR(VLOOKUP(VENTAS[[#This Row],[Código del producto Vendido]],STOCK[],5,FALSE),"-")</f>
        <v>Vestido tank tejido de canalé con cinturón</v>
      </c>
      <c r="G546" s="10">
        <v>1</v>
      </c>
      <c r="H546" s="12">
        <v>28</v>
      </c>
      <c r="I546" s="12">
        <f>VENTAS[[#This Row],[Cantidad]]*VENTAS[[#This Row],[Precio Venta]]</f>
        <v>28</v>
      </c>
      <c r="J546" s="12">
        <f>IF(VENTAS[[#This Row],[Nombre del Gestor]]&gt;1,VENTAS[[#This Row],[Total]]*10%,0)</f>
        <v>0</v>
      </c>
      <c r="K546" s="12">
        <f>IFERROR(VLOOKUP(VENTAS[[#This Row],[Código del producto Vendido]],STOCK[],16,FALSE)*VENTAS[[#This Row],[Cantidad]]+VLOOKUP(VENTAS[[#This Row],[Código del producto Vendido]],STOCK[],19,FALSE)*VENTAS[[#This Row],[Cantidad]],VENTAS[[#This Row],[Total]])</f>
        <v>18.397777777777801</v>
      </c>
      <c r="L546" s="12">
        <f>VENTAS[[#This Row],[Total]]-VENTAS[[#This Row],[Comisión 10%]]-VENTAS[[#This Row],[Costo SIN Comision]]</f>
        <v>9.6022222222221991</v>
      </c>
      <c r="M546" s="12"/>
      <c r="N546" s="16"/>
    </row>
    <row r="547" spans="1:14" ht="20" hidden="1" customHeight="1">
      <c r="A547" s="9" t="s">
        <v>4318</v>
      </c>
      <c r="B547" s="10"/>
      <c r="C547" s="10"/>
      <c r="D547" s="10"/>
      <c r="E547" s="10" t="s">
        <v>269</v>
      </c>
      <c r="F547" s="10" t="str">
        <f>IFERROR(VLOOKUP(VENTAS[[#This Row],[Código del producto Vendido]],STOCK[],5,FALSE),"-")</f>
        <v>Vestido Malla en contraste Lunares Elegante</v>
      </c>
      <c r="G547" s="10">
        <v>1</v>
      </c>
      <c r="H547" s="12">
        <v>25</v>
      </c>
      <c r="I547" s="12">
        <f>VENTAS[[#This Row],[Cantidad]]*VENTAS[[#This Row],[Precio Venta]]</f>
        <v>25</v>
      </c>
      <c r="J547" s="12">
        <f>IF(VENTAS[[#This Row],[Nombre del Gestor]]&gt;1,VENTAS[[#This Row],[Total]]*10%,0)</f>
        <v>0</v>
      </c>
      <c r="K547" s="12">
        <f>IFERROR(VLOOKUP(VENTAS[[#This Row],[Código del producto Vendido]],STOCK[],16,FALSE)*VENTAS[[#This Row],[Cantidad]]+VLOOKUP(VENTAS[[#This Row],[Código del producto Vendido]],STOCK[],19,FALSE)*VENTAS[[#This Row],[Cantidad]],VENTAS[[#This Row],[Total]])</f>
        <v>13.071111111111101</v>
      </c>
      <c r="L547" s="12">
        <f>VENTAS[[#This Row],[Total]]-VENTAS[[#This Row],[Comisión 10%]]-VENTAS[[#This Row],[Costo SIN Comision]]</f>
        <v>11.928888888888899</v>
      </c>
      <c r="M547" s="12"/>
      <c r="N547" s="16"/>
    </row>
    <row r="548" spans="1:14" ht="20" hidden="1" customHeight="1">
      <c r="A548" s="9" t="s">
        <v>4318</v>
      </c>
      <c r="B548" s="10"/>
      <c r="C548" s="10"/>
      <c r="D548" s="10"/>
      <c r="E548" s="10" t="s">
        <v>285</v>
      </c>
      <c r="F548" s="10" t="str">
        <f>IFERROR(VLOOKUP(VENTAS[[#This Row],[Código del producto Vendido]],STOCK[],5,FALSE),"-")</f>
        <v>Vestido lápiz de manga con malla fina</v>
      </c>
      <c r="G548" s="10">
        <v>1</v>
      </c>
      <c r="H548" s="12">
        <v>20</v>
      </c>
      <c r="I548" s="12">
        <f>VENTAS[[#This Row],[Cantidad]]*VENTAS[[#This Row],[Precio Venta]]</f>
        <v>20</v>
      </c>
      <c r="J548" s="12">
        <f>IF(VENTAS[[#This Row],[Nombre del Gestor]]&gt;1,VENTAS[[#This Row],[Total]]*10%,0)</f>
        <v>0</v>
      </c>
      <c r="K548" s="12">
        <f>IFERROR(VLOOKUP(VENTAS[[#This Row],[Código del producto Vendido]],STOCK[],16,FALSE)*VENTAS[[#This Row],[Cantidad]]+VLOOKUP(VENTAS[[#This Row],[Código del producto Vendido]],STOCK[],19,FALSE)*VENTAS[[#This Row],[Cantidad]],VENTAS[[#This Row],[Total]])</f>
        <v>13.5111111111111</v>
      </c>
      <c r="L548" s="12">
        <f>VENTAS[[#This Row],[Total]]-VENTAS[[#This Row],[Comisión 10%]]-VENTAS[[#This Row],[Costo SIN Comision]]</f>
        <v>6.4888888888888996</v>
      </c>
      <c r="M548" s="12"/>
      <c r="N548" s="16"/>
    </row>
    <row r="549" spans="1:14" ht="20" hidden="1" customHeight="1">
      <c r="A549" s="9" t="s">
        <v>4318</v>
      </c>
      <c r="B549" s="10"/>
      <c r="C549" s="10"/>
      <c r="D549" s="10"/>
      <c r="E549" s="10" t="s">
        <v>310</v>
      </c>
      <c r="F549" s="10" t="str">
        <f>IFERROR(VLOOKUP(VENTAS[[#This Row],[Código del producto Vendido]],STOCK[],5,FALSE),"-")</f>
        <v>Vestido ajustado de titrantes finos</v>
      </c>
      <c r="G549" s="10">
        <v>1</v>
      </c>
      <c r="H549" s="12">
        <v>25</v>
      </c>
      <c r="I549" s="12">
        <f>VENTAS[[#This Row],[Cantidad]]*VENTAS[[#This Row],[Precio Venta]]</f>
        <v>25</v>
      </c>
      <c r="J549" s="12">
        <f>IF(VENTAS[[#This Row],[Nombre del Gestor]]&gt;1,VENTAS[[#This Row],[Total]]*10%,0)</f>
        <v>0</v>
      </c>
      <c r="K549" s="12">
        <f>IFERROR(VLOOKUP(VENTAS[[#This Row],[Código del producto Vendido]],STOCK[],16,FALSE)*VENTAS[[#This Row],[Cantidad]]+VLOOKUP(VENTAS[[#This Row],[Código del producto Vendido]],STOCK[],19,FALSE)*VENTAS[[#This Row],[Cantidad]],VENTAS[[#This Row],[Total]])</f>
        <v>13.1111111111111</v>
      </c>
      <c r="L549" s="12">
        <f>VENTAS[[#This Row],[Total]]-VENTAS[[#This Row],[Comisión 10%]]-VENTAS[[#This Row],[Costo SIN Comision]]</f>
        <v>11.8888888888889</v>
      </c>
      <c r="M549" s="12"/>
      <c r="N549" s="16"/>
    </row>
    <row r="550" spans="1:14" ht="20" hidden="1" customHeight="1">
      <c r="A550" s="9" t="s">
        <v>4318</v>
      </c>
      <c r="B550" s="10"/>
      <c r="C550" s="10"/>
      <c r="D550" s="10"/>
      <c r="E550" s="10" t="s">
        <v>332</v>
      </c>
      <c r="F550" s="10" t="str">
        <f>IFERROR(VLOOKUP(VENTAS[[#This Row],[Código del producto Vendido]],STOCK[],5,FALSE),"-")</f>
        <v>Vestido floral con cinturón</v>
      </c>
      <c r="G550" s="10">
        <v>1</v>
      </c>
      <c r="H550" s="12">
        <v>15</v>
      </c>
      <c r="I550" s="12">
        <f>VENTAS[[#This Row],[Cantidad]]*VENTAS[[#This Row],[Precio Venta]]</f>
        <v>15</v>
      </c>
      <c r="J550" s="12">
        <f>IF(VENTAS[[#This Row],[Nombre del Gestor]]&gt;1,VENTAS[[#This Row],[Total]]*10%,0)</f>
        <v>0</v>
      </c>
      <c r="K550" s="12">
        <f>IFERROR(VLOOKUP(VENTAS[[#This Row],[Código del producto Vendido]],STOCK[],16,FALSE)*VENTAS[[#This Row],[Cantidad]]+VLOOKUP(VENTAS[[#This Row],[Código del producto Vendido]],STOCK[],19,FALSE)*VENTAS[[#This Row],[Cantidad]],VENTAS[[#This Row],[Total]])</f>
        <v>9.5616666666666692</v>
      </c>
      <c r="L550" s="12">
        <f>VENTAS[[#This Row],[Total]]-VENTAS[[#This Row],[Comisión 10%]]-VENTAS[[#This Row],[Costo SIN Comision]]</f>
        <v>5.4383333333333308</v>
      </c>
      <c r="M550" s="12"/>
      <c r="N550" s="16"/>
    </row>
    <row r="551" spans="1:14" ht="20" hidden="1" customHeight="1">
      <c r="A551" s="9" t="s">
        <v>4318</v>
      </c>
      <c r="B551" s="10"/>
      <c r="C551" s="10"/>
      <c r="D551" s="10"/>
      <c r="E551" s="10" t="s">
        <v>348</v>
      </c>
      <c r="F551" s="10" t="str">
        <f>IFERROR(VLOOKUP(VENTAS[[#This Row],[Código del producto Vendido]],STOCK[],5,FALSE),"-")</f>
        <v>Vestido bajo cruzado de tie dye</v>
      </c>
      <c r="G551" s="10">
        <v>1</v>
      </c>
      <c r="H551" s="12">
        <v>15</v>
      </c>
      <c r="I551" s="12">
        <f>VENTAS[[#This Row],[Cantidad]]*VENTAS[[#This Row],[Precio Venta]]</f>
        <v>15</v>
      </c>
      <c r="J551" s="12">
        <f>IF(VENTAS[[#This Row],[Nombre del Gestor]]&gt;1,VENTAS[[#This Row],[Total]]*10%,0)</f>
        <v>0</v>
      </c>
      <c r="K551" s="12">
        <f>IFERROR(VLOOKUP(VENTAS[[#This Row],[Código del producto Vendido]],STOCK[],16,FALSE)*VENTAS[[#This Row],[Cantidad]]+VLOOKUP(VENTAS[[#This Row],[Código del producto Vendido]],STOCK[],19,FALSE)*VENTAS[[#This Row],[Cantidad]],VENTAS[[#This Row],[Total]])</f>
        <v>10.87055555555556</v>
      </c>
      <c r="L551" s="12">
        <f>VENTAS[[#This Row],[Total]]-VENTAS[[#This Row],[Comisión 10%]]-VENTAS[[#This Row],[Costo SIN Comision]]</f>
        <v>4.1294444444444398</v>
      </c>
      <c r="M551" s="12"/>
      <c r="N551" s="16"/>
    </row>
    <row r="552" spans="1:14" ht="20" hidden="1" customHeight="1">
      <c r="A552" s="9" t="s">
        <v>4318</v>
      </c>
      <c r="B552" s="10"/>
      <c r="C552" s="10"/>
      <c r="D552" s="10"/>
      <c r="E552" s="10" t="s">
        <v>637</v>
      </c>
      <c r="F552" s="10" t="str">
        <f>IFERROR(VLOOKUP(VENTAS[[#This Row],[Código del producto Vendido]],STOCK[],5,FALSE),"-")</f>
        <v>Vestido floral escote corazón</v>
      </c>
      <c r="G552" s="10">
        <v>1</v>
      </c>
      <c r="H552" s="12">
        <v>16</v>
      </c>
      <c r="I552" s="12">
        <f>VENTAS[[#This Row],[Cantidad]]*VENTAS[[#This Row],[Precio Venta]]</f>
        <v>16</v>
      </c>
      <c r="J552" s="12">
        <f>IF(VENTAS[[#This Row],[Nombre del Gestor]]&gt;1,VENTAS[[#This Row],[Total]]*10%,0)</f>
        <v>0</v>
      </c>
      <c r="K552" s="12">
        <f>IFERROR(VLOOKUP(VENTAS[[#This Row],[Código del producto Vendido]],STOCK[],16,FALSE)*VENTAS[[#This Row],[Cantidad]]+VLOOKUP(VENTAS[[#This Row],[Código del producto Vendido]],STOCK[],19,FALSE)*VENTAS[[#This Row],[Cantidad]],VENTAS[[#This Row],[Total]])</f>
        <v>10.72222222222222</v>
      </c>
      <c r="L552" s="12">
        <f>VENTAS[[#This Row],[Total]]-VENTAS[[#This Row],[Comisión 10%]]-VENTAS[[#This Row],[Costo SIN Comision]]</f>
        <v>5.2777777777777803</v>
      </c>
      <c r="M552" s="12"/>
      <c r="N552" s="16"/>
    </row>
    <row r="553" spans="1:14" ht="20" hidden="1" customHeight="1">
      <c r="A553" s="9" t="s">
        <v>4318</v>
      </c>
      <c r="B553" s="10"/>
      <c r="C553" s="10"/>
      <c r="D553" s="10"/>
      <c r="E553" s="10" t="s">
        <v>631</v>
      </c>
      <c r="F553" s="10" t="str">
        <f>IFERROR(VLOOKUP(VENTAS[[#This Row],[Código del producto Vendido]],STOCK[],5,FALSE),"-")</f>
        <v>Vestido floral con abertura trasera</v>
      </c>
      <c r="G553" s="10">
        <v>1</v>
      </c>
      <c r="H553" s="12">
        <v>15</v>
      </c>
      <c r="I553" s="12">
        <f>VENTAS[[#This Row],[Cantidad]]*VENTAS[[#This Row],[Precio Venta]]</f>
        <v>15</v>
      </c>
      <c r="J553" s="12">
        <f>IF(VENTAS[[#This Row],[Nombre del Gestor]]&gt;1,VENTAS[[#This Row],[Total]]*10%,0)</f>
        <v>0</v>
      </c>
      <c r="K553" s="12">
        <f>IFERROR(VLOOKUP(VENTAS[[#This Row],[Código del producto Vendido]],STOCK[],16,FALSE)*VENTAS[[#This Row],[Cantidad]]+VLOOKUP(VENTAS[[#This Row],[Código del producto Vendido]],STOCK[],19,FALSE)*VENTAS[[#This Row],[Cantidad]],VENTAS[[#This Row],[Total]])</f>
        <v>10.72222222222222</v>
      </c>
      <c r="L553" s="12">
        <f>VENTAS[[#This Row],[Total]]-VENTAS[[#This Row],[Comisión 10%]]-VENTAS[[#This Row],[Costo SIN Comision]]</f>
        <v>4.2777777777777803</v>
      </c>
      <c r="M553" s="12"/>
      <c r="N553" s="16"/>
    </row>
    <row r="554" spans="1:14" ht="20" hidden="1" customHeight="1">
      <c r="A554" s="9" t="s">
        <v>4318</v>
      </c>
      <c r="B554" s="10"/>
      <c r="C554" s="10"/>
      <c r="D554" s="10"/>
      <c r="E554" s="10" t="s">
        <v>366</v>
      </c>
      <c r="F554" s="10" t="str">
        <f>IFERROR(VLOOKUP(VENTAS[[#This Row],[Código del producto Vendido]],STOCK[],5,FALSE),"-")</f>
        <v>Vestido manga larga con cinturón</v>
      </c>
      <c r="G554" s="10">
        <v>1</v>
      </c>
      <c r="H554" s="12">
        <v>16</v>
      </c>
      <c r="I554" s="12">
        <f>VENTAS[[#This Row],[Cantidad]]*VENTAS[[#This Row],[Precio Venta]]</f>
        <v>16</v>
      </c>
      <c r="J554" s="12">
        <f>IF(VENTAS[[#This Row],[Nombre del Gestor]]&gt;1,VENTAS[[#This Row],[Total]]*10%,0)</f>
        <v>0</v>
      </c>
      <c r="K554" s="12">
        <f>IFERROR(VLOOKUP(VENTAS[[#This Row],[Código del producto Vendido]],STOCK[],16,FALSE)*VENTAS[[#This Row],[Cantidad]]+VLOOKUP(VENTAS[[#This Row],[Código del producto Vendido]],STOCK[],19,FALSE)*VENTAS[[#This Row],[Cantidad]],VENTAS[[#This Row],[Total]])</f>
        <v>12.503888888888889</v>
      </c>
      <c r="L554" s="12">
        <f>VENTAS[[#This Row],[Total]]-VENTAS[[#This Row],[Comisión 10%]]-VENTAS[[#This Row],[Costo SIN Comision]]</f>
        <v>3.4961111111111105</v>
      </c>
      <c r="M554" s="12"/>
      <c r="N554" s="16"/>
    </row>
    <row r="555" spans="1:14" ht="20" hidden="1" customHeight="1">
      <c r="A555" s="9" t="s">
        <v>4318</v>
      </c>
      <c r="B555" s="10"/>
      <c r="C555" s="10"/>
      <c r="D555" s="10"/>
      <c r="E555" s="10" t="s">
        <v>445</v>
      </c>
      <c r="F555" s="10" t="str">
        <f>IFERROR(VLOOKUP(VENTAS[[#This Row],[Código del producto Vendido]],STOCK[],5,FALSE),"-")</f>
        <v>Vestido Amanecer</v>
      </c>
      <c r="G555" s="10">
        <v>1</v>
      </c>
      <c r="H555" s="12">
        <v>16</v>
      </c>
      <c r="I555" s="12">
        <f>VENTAS[[#This Row],[Cantidad]]*VENTAS[[#This Row],[Precio Venta]]</f>
        <v>16</v>
      </c>
      <c r="J555" s="12">
        <f>IF(VENTAS[[#This Row],[Nombre del Gestor]]&gt;1,VENTAS[[#This Row],[Total]]*10%,0)</f>
        <v>0</v>
      </c>
      <c r="K555" s="12">
        <f>IFERROR(VLOOKUP(VENTAS[[#This Row],[Código del producto Vendido]],STOCK[],16,FALSE)*VENTAS[[#This Row],[Cantidad]]+VLOOKUP(VENTAS[[#This Row],[Código del producto Vendido]],STOCK[],19,FALSE)*VENTAS[[#This Row],[Cantidad]],VENTAS[[#This Row],[Total]])</f>
        <v>15.313333333333301</v>
      </c>
      <c r="L555" s="12">
        <f>VENTAS[[#This Row],[Total]]-VENTAS[[#This Row],[Comisión 10%]]-VENTAS[[#This Row],[Costo SIN Comision]]</f>
        <v>0.6866666666666994</v>
      </c>
      <c r="M555" s="12"/>
      <c r="N555" s="16"/>
    </row>
    <row r="556" spans="1:14" ht="20" hidden="1" customHeight="1">
      <c r="A556" s="9" t="s">
        <v>4318</v>
      </c>
      <c r="B556" s="10"/>
      <c r="C556" s="10"/>
      <c r="D556" s="10"/>
      <c r="E556" s="10" t="s">
        <v>514</v>
      </c>
      <c r="F556" s="10" t="str">
        <f>IFERROR(VLOOKUP(VENTAS[[#This Row],[Código del producto Vendido]],STOCK[],5,FALSE),"-")</f>
        <v xml:space="preserve">Zapatillas con cordón </v>
      </c>
      <c r="G556" s="10">
        <v>1</v>
      </c>
      <c r="H556" s="12">
        <v>20</v>
      </c>
      <c r="I556" s="12">
        <f>VENTAS[[#This Row],[Cantidad]]*VENTAS[[#This Row],[Precio Venta]]</f>
        <v>20</v>
      </c>
      <c r="J556" s="12">
        <f>IF(VENTAS[[#This Row],[Nombre del Gestor]]&gt;1,VENTAS[[#This Row],[Total]]*10%,0)</f>
        <v>0</v>
      </c>
      <c r="K556" s="12">
        <f>IFERROR(VLOOKUP(VENTAS[[#This Row],[Código del producto Vendido]],STOCK[],16,FALSE)*VENTAS[[#This Row],[Cantidad]]+VLOOKUP(VENTAS[[#This Row],[Código del producto Vendido]],STOCK[],19,FALSE)*VENTAS[[#This Row],[Cantidad]],VENTAS[[#This Row],[Total]])</f>
        <v>12.637222222222201</v>
      </c>
      <c r="L556" s="12">
        <f>VENTAS[[#This Row],[Total]]-VENTAS[[#This Row],[Comisión 10%]]-VENTAS[[#This Row],[Costo SIN Comision]]</f>
        <v>7.362777777777799</v>
      </c>
      <c r="M556" s="12"/>
      <c r="N556" s="16"/>
    </row>
    <row r="557" spans="1:14" ht="20" hidden="1" customHeight="1">
      <c r="A557" s="9" t="s">
        <v>4318</v>
      </c>
      <c r="B557" s="10"/>
      <c r="C557" s="10"/>
      <c r="D557" s="10"/>
      <c r="E557" s="10" t="s">
        <v>587</v>
      </c>
      <c r="F557" s="10" t="str">
        <f>IFERROR(VLOOKUP(VENTAS[[#This Row],[Código del producto Vendido]],STOCK[],5,FALSE),"-")</f>
        <v>Top cruzado blanco</v>
      </c>
      <c r="G557" s="10">
        <v>0</v>
      </c>
      <c r="H557" s="12">
        <v>9</v>
      </c>
      <c r="I557" s="12">
        <f>VENTAS[[#This Row],[Cantidad]]*VENTAS[[#This Row],[Precio Venta]]</f>
        <v>0</v>
      </c>
      <c r="J557" s="12">
        <f>IF(VENTAS[[#This Row],[Nombre del Gestor]]&gt;1,VENTAS[[#This Row],[Total]]*10%,0)</f>
        <v>0</v>
      </c>
      <c r="K557" s="12">
        <f>IFERROR(VLOOKUP(VENTAS[[#This Row],[Código del producto Vendido]],STOCK[],16,FALSE)*VENTAS[[#This Row],[Cantidad]]+VLOOKUP(VENTAS[[#This Row],[Código del producto Vendido]],STOCK[],19,FALSE)*VENTAS[[#This Row],[Cantidad]],VENTAS[[#This Row],[Total]])</f>
        <v>0</v>
      </c>
      <c r="L557" s="12">
        <f>VENTAS[[#This Row],[Total]]-VENTAS[[#This Row],[Comisión 10%]]-VENTAS[[#This Row],[Costo SIN Comision]]</f>
        <v>0</v>
      </c>
      <c r="M557" s="12"/>
      <c r="N557" s="16"/>
    </row>
    <row r="558" spans="1:14" ht="20" hidden="1" customHeight="1">
      <c r="A558" s="9" t="s">
        <v>4318</v>
      </c>
      <c r="B558" s="10"/>
      <c r="C558" s="10"/>
      <c r="D558" s="10"/>
      <c r="E558" s="10" t="s">
        <v>596</v>
      </c>
      <c r="F558" s="10" t="str">
        <f>IFERROR(VLOOKUP(VENTAS[[#This Row],[Código del producto Vendido]],STOCK[],5,FALSE),"-")</f>
        <v>Top cruzado naranja</v>
      </c>
      <c r="G558" s="10">
        <v>1</v>
      </c>
      <c r="H558" s="12">
        <v>9</v>
      </c>
      <c r="I558" s="12">
        <f>VENTAS[[#This Row],[Cantidad]]*VENTAS[[#This Row],[Precio Venta]]</f>
        <v>9</v>
      </c>
      <c r="J558" s="12">
        <f>IF(VENTAS[[#This Row],[Nombre del Gestor]]&gt;1,VENTAS[[#This Row],[Total]]*10%,0)</f>
        <v>0</v>
      </c>
      <c r="K558" s="12">
        <f>IFERROR(VLOOKUP(VENTAS[[#This Row],[Código del producto Vendido]],STOCK[],16,FALSE)*VENTAS[[#This Row],[Cantidad]]+VLOOKUP(VENTAS[[#This Row],[Código del producto Vendido]],STOCK[],19,FALSE)*VENTAS[[#This Row],[Cantidad]],VENTAS[[#This Row],[Total]])</f>
        <v>5.0683333333333307</v>
      </c>
      <c r="L558" s="12">
        <f>VENTAS[[#This Row],[Total]]-VENTAS[[#This Row],[Comisión 10%]]-VENTAS[[#This Row],[Costo SIN Comision]]</f>
        <v>3.9316666666666693</v>
      </c>
      <c r="M558" s="12"/>
      <c r="N558" s="16"/>
    </row>
    <row r="559" spans="1:14" ht="20" hidden="1" customHeight="1">
      <c r="A559" s="9" t="s">
        <v>4318</v>
      </c>
      <c r="B559" s="10"/>
      <c r="C559" s="10"/>
      <c r="D559" s="10"/>
      <c r="E559" s="10" t="s">
        <v>674</v>
      </c>
      <c r="F559" s="10" t="str">
        <f>IFERROR(VLOOKUP(VENTAS[[#This Row],[Código del producto Vendido]],STOCK[],5,FALSE),"-")</f>
        <v>Top Cruzado azul</v>
      </c>
      <c r="G559" s="10">
        <v>1</v>
      </c>
      <c r="H559" s="12">
        <v>9</v>
      </c>
      <c r="I559" s="12">
        <f>VENTAS[[#This Row],[Cantidad]]*VENTAS[[#This Row],[Precio Venta]]</f>
        <v>9</v>
      </c>
      <c r="J559" s="12">
        <f>IF(VENTAS[[#This Row],[Nombre del Gestor]]&gt;1,VENTAS[[#This Row],[Total]]*10%,0)</f>
        <v>0</v>
      </c>
      <c r="K559" s="12">
        <f>IFERROR(VLOOKUP(VENTAS[[#This Row],[Código del producto Vendido]],STOCK[],16,FALSE)*VENTAS[[#This Row],[Cantidad]]+VLOOKUP(VENTAS[[#This Row],[Código del producto Vendido]],STOCK[],19,FALSE)*VENTAS[[#This Row],[Cantidad]],VENTAS[[#This Row],[Total]])</f>
        <v>5.26833333333333</v>
      </c>
      <c r="L559" s="12">
        <f>VENTAS[[#This Row],[Total]]-VENTAS[[#This Row],[Comisión 10%]]-VENTAS[[#This Row],[Costo SIN Comision]]</f>
        <v>3.73166666666667</v>
      </c>
      <c r="M559" s="12"/>
      <c r="N559" s="16"/>
    </row>
    <row r="560" spans="1:14" ht="20" hidden="1" customHeight="1">
      <c r="A560" s="9" t="s">
        <v>4318</v>
      </c>
      <c r="B560" s="10"/>
      <c r="C560" s="10"/>
      <c r="D560" s="10"/>
      <c r="E560" s="10" t="s">
        <v>992</v>
      </c>
      <c r="F560" s="10" t="str">
        <f>IFERROR(VLOOKUP(VENTAS[[#This Row],[Código del producto Vendido]],STOCK[],5,FALSE),"-")</f>
        <v xml:space="preserve"> Top Básico Business </v>
      </c>
      <c r="G560" s="10">
        <v>1</v>
      </c>
      <c r="H560" s="12">
        <v>12</v>
      </c>
      <c r="I560" s="12">
        <f>VENTAS[[#This Row],[Cantidad]]*VENTAS[[#This Row],[Precio Venta]]</f>
        <v>12</v>
      </c>
      <c r="J560" s="12">
        <f>IF(VENTAS[[#This Row],[Nombre del Gestor]]&gt;1,VENTAS[[#This Row],[Total]]*10%,0)</f>
        <v>0</v>
      </c>
      <c r="K560" s="12">
        <f>IFERROR(VLOOKUP(VENTAS[[#This Row],[Código del producto Vendido]],STOCK[],16,FALSE)*VENTAS[[#This Row],[Cantidad]]+VLOOKUP(VENTAS[[#This Row],[Código del producto Vendido]],STOCK[],19,FALSE)*VENTAS[[#This Row],[Cantidad]],VENTAS[[#This Row],[Total]])</f>
        <v>7.3795454545454495</v>
      </c>
      <c r="L560" s="12">
        <f>VENTAS[[#This Row],[Total]]-VENTAS[[#This Row],[Comisión 10%]]-VENTAS[[#This Row],[Costo SIN Comision]]</f>
        <v>4.6204545454545505</v>
      </c>
      <c r="M560" s="12"/>
      <c r="N560" s="16"/>
    </row>
    <row r="561" spans="1:14" ht="20" hidden="1" customHeight="1">
      <c r="A561" s="9" t="s">
        <v>4318</v>
      </c>
      <c r="B561" s="10"/>
      <c r="C561" s="10"/>
      <c r="D561" s="10"/>
      <c r="E561" s="10" t="s">
        <v>965</v>
      </c>
      <c r="F561" s="10" t="str">
        <f>IFERROR(VLOOKUP(VENTAS[[#This Row],[Código del producto Vendido]],STOCK[],5,FALSE),"-")</f>
        <v xml:space="preserve"> Top Básico Business </v>
      </c>
      <c r="G561" s="10">
        <v>1</v>
      </c>
      <c r="H561" s="12">
        <v>12</v>
      </c>
      <c r="I561" s="12">
        <f>VENTAS[[#This Row],[Cantidad]]*VENTAS[[#This Row],[Precio Venta]]</f>
        <v>12</v>
      </c>
      <c r="J561" s="12">
        <f>IF(VENTAS[[#This Row],[Nombre del Gestor]]&gt;1,VENTAS[[#This Row],[Total]]*10%,0)</f>
        <v>0</v>
      </c>
      <c r="K561" s="12">
        <f>IFERROR(VLOOKUP(VENTAS[[#This Row],[Código del producto Vendido]],STOCK[],16,FALSE)*VENTAS[[#This Row],[Cantidad]]+VLOOKUP(VENTAS[[#This Row],[Código del producto Vendido]],STOCK[],19,FALSE)*VENTAS[[#This Row],[Cantidad]],VENTAS[[#This Row],[Total]])</f>
        <v>6.7840909090909101</v>
      </c>
      <c r="L561" s="12">
        <f>VENTAS[[#This Row],[Total]]-VENTAS[[#This Row],[Comisión 10%]]-VENTAS[[#This Row],[Costo SIN Comision]]</f>
        <v>5.2159090909090899</v>
      </c>
      <c r="M561" s="12"/>
      <c r="N561" s="16"/>
    </row>
    <row r="562" spans="1:14" ht="20" hidden="1" customHeight="1">
      <c r="A562" s="9" t="s">
        <v>4318</v>
      </c>
      <c r="B562" s="10"/>
      <c r="C562" s="10"/>
      <c r="D562" s="10"/>
      <c r="E562" s="10" t="s">
        <v>967</v>
      </c>
      <c r="F562" s="10" t="str">
        <f>IFERROR(VLOOKUP(VENTAS[[#This Row],[Código del producto Vendido]],STOCK[],5,FALSE),"-")</f>
        <v xml:space="preserve"> Top Básico Business</v>
      </c>
      <c r="G562" s="10">
        <v>1</v>
      </c>
      <c r="H562" s="12">
        <v>12</v>
      </c>
      <c r="I562" s="12">
        <f>VENTAS[[#This Row],[Cantidad]]*VENTAS[[#This Row],[Precio Venta]]</f>
        <v>12</v>
      </c>
      <c r="J562" s="12">
        <f>IF(VENTAS[[#This Row],[Nombre del Gestor]]&gt;1,VENTAS[[#This Row],[Total]]*10%,0)</f>
        <v>0</v>
      </c>
      <c r="K562" s="12">
        <f>IFERROR(VLOOKUP(VENTAS[[#This Row],[Código del producto Vendido]],STOCK[],16,FALSE)*VENTAS[[#This Row],[Cantidad]]+VLOOKUP(VENTAS[[#This Row],[Código del producto Vendido]],STOCK[],19,FALSE)*VENTAS[[#This Row],[Cantidad]],VENTAS[[#This Row],[Total]])</f>
        <v>6.7840909090909101</v>
      </c>
      <c r="L562" s="12">
        <f>VENTAS[[#This Row],[Total]]-VENTAS[[#This Row],[Comisión 10%]]-VENTAS[[#This Row],[Costo SIN Comision]]</f>
        <v>5.2159090909090899</v>
      </c>
      <c r="M562" s="12"/>
      <c r="N562" s="16"/>
    </row>
    <row r="563" spans="1:14" ht="20" hidden="1" customHeight="1">
      <c r="A563" s="9" t="s">
        <v>4318</v>
      </c>
      <c r="B563" s="10"/>
      <c r="C563" s="10"/>
      <c r="D563" s="10"/>
      <c r="E563" s="10" t="s">
        <v>916</v>
      </c>
      <c r="F563" s="10" t="str">
        <f>IFERROR(VLOOKUP(VENTAS[[#This Row],[Código del producto Vendido]],STOCK[],5,FALSE),"-")</f>
        <v>Camiseta con Dibujo</v>
      </c>
      <c r="G563" s="10">
        <v>1</v>
      </c>
      <c r="H563" s="12">
        <v>14</v>
      </c>
      <c r="I563" s="12">
        <f>VENTAS[[#This Row],[Cantidad]]*VENTAS[[#This Row],[Precio Venta]]</f>
        <v>14</v>
      </c>
      <c r="J563" s="12">
        <f>IF(VENTAS[[#This Row],[Nombre del Gestor]]&gt;1,VENTAS[[#This Row],[Total]]*10%,0)</f>
        <v>0</v>
      </c>
      <c r="K563" s="12">
        <f>IFERROR(VLOOKUP(VENTAS[[#This Row],[Código del producto Vendido]],STOCK[],16,FALSE)*VENTAS[[#This Row],[Cantidad]]+VLOOKUP(VENTAS[[#This Row],[Código del producto Vendido]],STOCK[],19,FALSE)*VENTAS[[#This Row],[Cantidad]],VENTAS[[#This Row],[Total]])</f>
        <v>10.162272727272731</v>
      </c>
      <c r="L563" s="12">
        <f>VENTAS[[#This Row],[Total]]-VENTAS[[#This Row],[Comisión 10%]]-VENTAS[[#This Row],[Costo SIN Comision]]</f>
        <v>3.8377272727272693</v>
      </c>
      <c r="M563" s="12"/>
      <c r="N563" s="16"/>
    </row>
    <row r="564" spans="1:14" ht="20" hidden="1" customHeight="1">
      <c r="A564" s="9" t="s">
        <v>4318</v>
      </c>
      <c r="B564" s="10"/>
      <c r="C564" s="10"/>
      <c r="D564" s="10"/>
      <c r="E564" s="10" t="s">
        <v>944</v>
      </c>
      <c r="F564" s="10" t="str">
        <f>IFERROR(VLOOKUP(VENTAS[[#This Row],[Código del producto Vendido]],STOCK[],5,FALSE),"-")</f>
        <v xml:space="preserve"> Top Básico Business Crema</v>
      </c>
      <c r="G564" s="10">
        <v>1</v>
      </c>
      <c r="H564" s="12">
        <v>12</v>
      </c>
      <c r="I564" s="12">
        <f>VENTAS[[#This Row],[Cantidad]]*VENTAS[[#This Row],[Precio Venta]]</f>
        <v>12</v>
      </c>
      <c r="J564" s="12">
        <f>IF(VENTAS[[#This Row],[Nombre del Gestor]]&gt;1,VENTAS[[#This Row],[Total]]*10%,0)</f>
        <v>0</v>
      </c>
      <c r="K564" s="12">
        <f>IFERROR(VLOOKUP(VENTAS[[#This Row],[Código del producto Vendido]],STOCK[],16,FALSE)*VENTAS[[#This Row],[Cantidad]]+VLOOKUP(VENTAS[[#This Row],[Código del producto Vendido]],STOCK[],19,FALSE)*VENTAS[[#This Row],[Cantidad]],VENTAS[[#This Row],[Total]])</f>
        <v>7.2090909090909099</v>
      </c>
      <c r="L564" s="12">
        <f>VENTAS[[#This Row],[Total]]-VENTAS[[#This Row],[Comisión 10%]]-VENTAS[[#This Row],[Costo SIN Comision]]</f>
        <v>4.7909090909090901</v>
      </c>
      <c r="M564" s="12"/>
      <c r="N564" s="16"/>
    </row>
    <row r="565" spans="1:14" ht="20" hidden="1" customHeight="1">
      <c r="A565" s="9" t="s">
        <v>4318</v>
      </c>
      <c r="B565" s="10"/>
      <c r="C565" s="10"/>
      <c r="D565" s="10"/>
      <c r="E565" s="10" t="s">
        <v>1059</v>
      </c>
      <c r="F565" s="10" t="str">
        <f>IFERROR(VLOOKUP(VENTAS[[#This Row],[Código del producto Vendido]],STOCK[],5,FALSE),"-")</f>
        <v>Top de cuadros</v>
      </c>
      <c r="G565" s="10">
        <v>1</v>
      </c>
      <c r="H565" s="12">
        <v>9</v>
      </c>
      <c r="I565" s="12">
        <f>VENTAS[[#This Row],[Cantidad]]*VENTAS[[#This Row],[Precio Venta]]</f>
        <v>9</v>
      </c>
      <c r="J565" s="12">
        <f>IF(VENTAS[[#This Row],[Nombre del Gestor]]&gt;1,VENTAS[[#This Row],[Total]]*10%,0)</f>
        <v>0</v>
      </c>
      <c r="K565" s="12">
        <f>IFERROR(VLOOKUP(VENTAS[[#This Row],[Código del producto Vendido]],STOCK[],16,FALSE)*VENTAS[[#This Row],[Cantidad]]+VLOOKUP(VENTAS[[#This Row],[Código del producto Vendido]],STOCK[],19,FALSE)*VENTAS[[#This Row],[Cantidad]],VENTAS[[#This Row],[Total]])</f>
        <v>4.9926470588235299</v>
      </c>
      <c r="L565" s="12">
        <f>VENTAS[[#This Row],[Total]]-VENTAS[[#This Row],[Comisión 10%]]-VENTAS[[#This Row],[Costo SIN Comision]]</f>
        <v>4.0073529411764701</v>
      </c>
      <c r="M565" s="12"/>
      <c r="N565" s="16"/>
    </row>
    <row r="566" spans="1:14" ht="20" hidden="1" customHeight="1">
      <c r="A566" s="9" t="s">
        <v>4318</v>
      </c>
      <c r="B566" s="10"/>
      <c r="C566" s="10"/>
      <c r="D566" s="10"/>
      <c r="E566" s="10" t="s">
        <v>645</v>
      </c>
      <c r="F566" s="10" t="str">
        <f>IFERROR(VLOOKUP(VENTAS[[#This Row],[Código del producto Vendido]],STOCK[],5,FALSE),"-")</f>
        <v>Vestido con estampado jungla</v>
      </c>
      <c r="G566" s="10">
        <v>2</v>
      </c>
      <c r="H566" s="12">
        <v>15</v>
      </c>
      <c r="I566" s="12">
        <f>VENTAS[[#This Row],[Cantidad]]*VENTAS[[#This Row],[Precio Venta]]</f>
        <v>30</v>
      </c>
      <c r="J566" s="12">
        <f>IF(VENTAS[[#This Row],[Nombre del Gestor]]&gt;1,VENTAS[[#This Row],[Total]]*10%,0)</f>
        <v>0</v>
      </c>
      <c r="K566" s="12">
        <f>IFERROR(VLOOKUP(VENTAS[[#This Row],[Código del producto Vendido]],STOCK[],16,FALSE)*VENTAS[[#This Row],[Cantidad]]+VLOOKUP(VENTAS[[#This Row],[Código del producto Vendido]],STOCK[],19,FALSE)*VENTAS[[#This Row],[Cantidad]],VENTAS[[#This Row],[Total]])</f>
        <v>21.444444444444439</v>
      </c>
      <c r="L566" s="12">
        <f>VENTAS[[#This Row],[Total]]-VENTAS[[#This Row],[Comisión 10%]]-VENTAS[[#This Row],[Costo SIN Comision]]</f>
        <v>8.5555555555555607</v>
      </c>
      <c r="M566" s="12"/>
      <c r="N566" s="16"/>
    </row>
    <row r="567" spans="1:14" ht="20" hidden="1" customHeight="1">
      <c r="A567" s="9" t="s">
        <v>4318</v>
      </c>
      <c r="B567" s="10"/>
      <c r="C567" s="10"/>
      <c r="D567" s="10"/>
      <c r="E567" s="10" t="s">
        <v>648</v>
      </c>
      <c r="F567" s="10" t="str">
        <f>IFERROR(VLOOKUP(VENTAS[[#This Row],[Código del producto Vendido]],STOCK[],5,FALSE),"-")</f>
        <v>Vestido con estampado jungla</v>
      </c>
      <c r="G567" s="10">
        <v>2</v>
      </c>
      <c r="H567" s="12">
        <v>15</v>
      </c>
      <c r="I567" s="12">
        <f>VENTAS[[#This Row],[Cantidad]]*VENTAS[[#This Row],[Precio Venta]]</f>
        <v>30</v>
      </c>
      <c r="J567" s="12">
        <f>IF(VENTAS[[#This Row],[Nombre del Gestor]]&gt;1,VENTAS[[#This Row],[Total]]*10%,0)</f>
        <v>0</v>
      </c>
      <c r="K567" s="12">
        <f>IFERROR(VLOOKUP(VENTAS[[#This Row],[Código del producto Vendido]],STOCK[],16,FALSE)*VENTAS[[#This Row],[Cantidad]]+VLOOKUP(VENTAS[[#This Row],[Código del producto Vendido]],STOCK[],19,FALSE)*VENTAS[[#This Row],[Cantidad]],VENTAS[[#This Row],[Total]])</f>
        <v>21.444444444444439</v>
      </c>
      <c r="L567" s="12">
        <f>VENTAS[[#This Row],[Total]]-VENTAS[[#This Row],[Comisión 10%]]-VENTAS[[#This Row],[Costo SIN Comision]]</f>
        <v>8.5555555555555607</v>
      </c>
      <c r="M567" s="12"/>
      <c r="N567" s="16"/>
    </row>
    <row r="568" spans="1:14" ht="20" hidden="1" customHeight="1">
      <c r="A568" s="9" t="s">
        <v>4318</v>
      </c>
      <c r="B568" s="10"/>
      <c r="C568" s="10"/>
      <c r="D568" s="10"/>
      <c r="E568" s="10" t="s">
        <v>728</v>
      </c>
      <c r="F568" s="10" t="str">
        <f>IFERROR(VLOOKUP(VENTAS[[#This Row],[Código del producto Vendido]],STOCK[],5,FALSE),"-")</f>
        <v>Top acanalado sin mangas</v>
      </c>
      <c r="G568" s="10">
        <v>1</v>
      </c>
      <c r="H568" s="12">
        <v>9</v>
      </c>
      <c r="I568" s="12">
        <f>VENTAS[[#This Row],[Cantidad]]*VENTAS[[#This Row],[Precio Venta]]</f>
        <v>9</v>
      </c>
      <c r="J568" s="12">
        <f>IF(VENTAS[[#This Row],[Nombre del Gestor]]&gt;1,VENTAS[[#This Row],[Total]]*10%,0)</f>
        <v>0</v>
      </c>
      <c r="K568" s="12">
        <f>IFERROR(VLOOKUP(VENTAS[[#This Row],[Código del producto Vendido]],STOCK[],16,FALSE)*VENTAS[[#This Row],[Cantidad]]+VLOOKUP(VENTAS[[#This Row],[Código del producto Vendido]],STOCK[],19,FALSE)*VENTAS[[#This Row],[Cantidad]],VENTAS[[#This Row],[Total]])</f>
        <v>5.0222222222222195</v>
      </c>
      <c r="L568" s="12">
        <f>VENTAS[[#This Row],[Total]]-VENTAS[[#This Row],[Comisión 10%]]-VENTAS[[#This Row],[Costo SIN Comision]]</f>
        <v>3.9777777777777805</v>
      </c>
      <c r="M568" s="12"/>
      <c r="N568" s="16"/>
    </row>
    <row r="569" spans="1:14" ht="20" hidden="1" customHeight="1">
      <c r="A569" s="9" t="s">
        <v>4318</v>
      </c>
      <c r="B569" s="10"/>
      <c r="C569" s="10"/>
      <c r="D569" s="10"/>
      <c r="E569" s="10" t="s">
        <v>724</v>
      </c>
      <c r="F569" s="10" t="str">
        <f>IFERROR(VLOOKUP(VENTAS[[#This Row],[Código del producto Vendido]],STOCK[],5,FALSE),"-")</f>
        <v>Top acanalado sin mangas</v>
      </c>
      <c r="G569" s="10">
        <v>1</v>
      </c>
      <c r="H569" s="12">
        <v>9</v>
      </c>
      <c r="I569" s="12">
        <f>VENTAS[[#This Row],[Cantidad]]*VENTAS[[#This Row],[Precio Venta]]</f>
        <v>9</v>
      </c>
      <c r="J569" s="12">
        <f>IF(VENTAS[[#This Row],[Nombre del Gestor]]&gt;1,VENTAS[[#This Row],[Total]]*10%,0)</f>
        <v>0</v>
      </c>
      <c r="K569" s="12">
        <f>IFERROR(VLOOKUP(VENTAS[[#This Row],[Código del producto Vendido]],STOCK[],16,FALSE)*VENTAS[[#This Row],[Cantidad]]+VLOOKUP(VENTAS[[#This Row],[Código del producto Vendido]],STOCK[],19,FALSE)*VENTAS[[#This Row],[Cantidad]],VENTAS[[#This Row],[Total]])</f>
        <v>5.0222222222222195</v>
      </c>
      <c r="L569" s="12">
        <f>VENTAS[[#This Row],[Total]]-VENTAS[[#This Row],[Comisión 10%]]-VENTAS[[#This Row],[Costo SIN Comision]]</f>
        <v>3.9777777777777805</v>
      </c>
      <c r="M569" s="12"/>
      <c r="N569" s="16"/>
    </row>
    <row r="570" spans="1:14" ht="20" hidden="1" customHeight="1">
      <c r="A570" s="9" t="s">
        <v>4318</v>
      </c>
      <c r="B570" s="10"/>
      <c r="C570" s="10"/>
      <c r="D570" s="10"/>
      <c r="E570" s="10" t="s">
        <v>791</v>
      </c>
      <c r="F570" s="10" t="str">
        <f>IFERROR(VLOOKUP(VENTAS[[#This Row],[Código del producto Vendido]],STOCK[],5,FALSE),"-")</f>
        <v>Bermuda denim</v>
      </c>
      <c r="G570" s="10">
        <v>1</v>
      </c>
      <c r="H570" s="12">
        <v>19</v>
      </c>
      <c r="I570" s="12">
        <f>VENTAS[[#This Row],[Cantidad]]*VENTAS[[#This Row],[Precio Venta]]</f>
        <v>19</v>
      </c>
      <c r="J570" s="12">
        <f>IF(VENTAS[[#This Row],[Nombre del Gestor]]&gt;1,VENTAS[[#This Row],[Total]]*10%,0)</f>
        <v>0</v>
      </c>
      <c r="K570" s="12">
        <f>IFERROR(VLOOKUP(VENTAS[[#This Row],[Código del producto Vendido]],STOCK[],16,FALSE)*VENTAS[[#This Row],[Cantidad]]+VLOOKUP(VENTAS[[#This Row],[Código del producto Vendido]],STOCK[],19,FALSE)*VENTAS[[#This Row],[Cantidad]],VENTAS[[#This Row],[Total]])</f>
        <v>13.0555555555556</v>
      </c>
      <c r="L570" s="12">
        <f>VENTAS[[#This Row],[Total]]-VENTAS[[#This Row],[Comisión 10%]]-VENTAS[[#This Row],[Costo SIN Comision]]</f>
        <v>5.9444444444444002</v>
      </c>
      <c r="M570" s="12"/>
      <c r="N570" s="16"/>
    </row>
    <row r="571" spans="1:14" ht="20" hidden="1" customHeight="1">
      <c r="A571" s="9" t="s">
        <v>4318</v>
      </c>
      <c r="B571" s="10"/>
      <c r="C571" s="10"/>
      <c r="D571" s="10"/>
      <c r="E571" s="10" t="s">
        <v>982</v>
      </c>
      <c r="F571" s="10" t="str">
        <f>IFERROR(VLOOKUP(VENTAS[[#This Row],[Código del producto Vendido]],STOCK[],5,FALSE),"-")</f>
        <v xml:space="preserve"> Top Mangas Fruncidas</v>
      </c>
      <c r="G571" s="10">
        <v>1</v>
      </c>
      <c r="H571" s="12">
        <v>12</v>
      </c>
      <c r="I571" s="12">
        <f>VENTAS[[#This Row],[Cantidad]]*VENTAS[[#This Row],[Precio Venta]]</f>
        <v>12</v>
      </c>
      <c r="J571" s="12">
        <f>IF(VENTAS[[#This Row],[Nombre del Gestor]]&gt;1,VENTAS[[#This Row],[Total]]*10%,0)</f>
        <v>0</v>
      </c>
      <c r="K571" s="12">
        <f>IFERROR(VLOOKUP(VENTAS[[#This Row],[Código del producto Vendido]],STOCK[],16,FALSE)*VENTAS[[#This Row],[Cantidad]]+VLOOKUP(VENTAS[[#This Row],[Código del producto Vendido]],STOCK[],19,FALSE)*VENTAS[[#This Row],[Cantidad]],VENTAS[[#This Row],[Total]])</f>
        <v>6.8113636363636401</v>
      </c>
      <c r="L571" s="12">
        <f>VENTAS[[#This Row],[Total]]-VENTAS[[#This Row],[Comisión 10%]]-VENTAS[[#This Row],[Costo SIN Comision]]</f>
        <v>5.1886363636363599</v>
      </c>
      <c r="M571" s="12"/>
      <c r="N571" s="16"/>
    </row>
    <row r="572" spans="1:14" ht="20" hidden="1" customHeight="1">
      <c r="A572" s="9" t="s">
        <v>4318</v>
      </c>
      <c r="B572" s="10"/>
      <c r="C572" s="10"/>
      <c r="D572" s="10"/>
      <c r="E572" s="10" t="s">
        <v>1014</v>
      </c>
      <c r="F572" s="10" t="str">
        <f>IFERROR(VLOOKUP(VENTAS[[#This Row],[Código del producto Vendido]],STOCK[],5,FALSE),"-")</f>
        <v>Set de sujetador con tira ajustable 2 paquetes</v>
      </c>
      <c r="G572" s="10">
        <v>1</v>
      </c>
      <c r="H572" s="12">
        <v>12</v>
      </c>
      <c r="I572" s="12">
        <f>VENTAS[[#This Row],[Cantidad]]*VENTAS[[#This Row],[Precio Venta]]</f>
        <v>12</v>
      </c>
      <c r="J572" s="12">
        <f>IF(VENTAS[[#This Row],[Nombre del Gestor]]&gt;1,VENTAS[[#This Row],[Total]]*10%,0)</f>
        <v>0</v>
      </c>
      <c r="K572" s="12">
        <f>IFERROR(VLOOKUP(VENTAS[[#This Row],[Código del producto Vendido]],STOCK[],16,FALSE)*VENTAS[[#This Row],[Cantidad]]+VLOOKUP(VENTAS[[#This Row],[Código del producto Vendido]],STOCK[],19,FALSE)*VENTAS[[#This Row],[Cantidad]],VENTAS[[#This Row],[Total]])</f>
        <v>7.6988636363636402</v>
      </c>
      <c r="L572" s="12">
        <f>VENTAS[[#This Row],[Total]]-VENTAS[[#This Row],[Comisión 10%]]-VENTAS[[#This Row],[Costo SIN Comision]]</f>
        <v>4.3011363636363598</v>
      </c>
      <c r="M572" s="12"/>
      <c r="N572" s="16"/>
    </row>
    <row r="573" spans="1:14" ht="20" hidden="1" customHeight="1">
      <c r="A573" s="9" t="s">
        <v>4318</v>
      </c>
      <c r="B573" s="10"/>
      <c r="C573" s="10"/>
      <c r="D573" s="10"/>
      <c r="E573" s="10" t="s">
        <v>1161</v>
      </c>
      <c r="F573" s="10" t="str">
        <f>IFERROR(VLOOKUP(VENTAS[[#This Row],[Código del producto Vendido]],STOCK[],5,FALSE),"-")</f>
        <v>Pezoneras de silicona</v>
      </c>
      <c r="G573" s="10">
        <v>3</v>
      </c>
      <c r="H573" s="12">
        <v>6</v>
      </c>
      <c r="I573" s="12">
        <f>VENTAS[[#This Row],[Cantidad]]*VENTAS[[#This Row],[Precio Venta]]</f>
        <v>18</v>
      </c>
      <c r="J573" s="12">
        <f>IF(VENTAS[[#This Row],[Nombre del Gestor]]&gt;1,VENTAS[[#This Row],[Total]]*10%,0)</f>
        <v>0</v>
      </c>
      <c r="K573" s="12">
        <f>IFERROR(VLOOKUP(VENTAS[[#This Row],[Código del producto Vendido]],STOCK[],16,FALSE)*VENTAS[[#This Row],[Cantidad]]+VLOOKUP(VENTAS[[#This Row],[Código del producto Vendido]],STOCK[],19,FALSE)*VENTAS[[#This Row],[Cantidad]],VENTAS[[#This Row],[Total]])</f>
        <v>6.09</v>
      </c>
      <c r="L573" s="12">
        <f>VENTAS[[#This Row],[Total]]-VENTAS[[#This Row],[Comisión 10%]]-VENTAS[[#This Row],[Costo SIN Comision]]</f>
        <v>11.91</v>
      </c>
      <c r="M573" s="12"/>
      <c r="N573" s="16"/>
    </row>
    <row r="574" spans="1:14" ht="20" hidden="1" customHeight="1">
      <c r="A574" s="9" t="s">
        <v>4318</v>
      </c>
      <c r="B574" s="10"/>
      <c r="C574" s="10"/>
      <c r="D574" s="10"/>
      <c r="E574" s="10" t="s">
        <v>1200</v>
      </c>
      <c r="F574" s="10" t="str">
        <f>IFERROR(VLOOKUP(VENTAS[[#This Row],[Código del producto Vendido]],STOCK[],5,FALSE),"-")</f>
        <v>Sujetador adhesivo de silicona</v>
      </c>
      <c r="G574" s="10">
        <v>1</v>
      </c>
      <c r="H574" s="12">
        <v>10</v>
      </c>
      <c r="I574" s="12">
        <f>VENTAS[[#This Row],[Cantidad]]*VENTAS[[#This Row],[Precio Venta]]</f>
        <v>10</v>
      </c>
      <c r="J574" s="12">
        <f>IF(VENTAS[[#This Row],[Nombre del Gestor]]&gt;1,VENTAS[[#This Row],[Total]]*10%,0)</f>
        <v>0</v>
      </c>
      <c r="K574" s="12">
        <f>IFERROR(VLOOKUP(VENTAS[[#This Row],[Código del producto Vendido]],STOCK[],16,FALSE)*VENTAS[[#This Row],[Cantidad]]+VLOOKUP(VENTAS[[#This Row],[Código del producto Vendido]],STOCK[],19,FALSE)*VENTAS[[#This Row],[Cantidad]],VENTAS[[#This Row],[Total]])</f>
        <v>5.87</v>
      </c>
      <c r="L574" s="12">
        <f>VENTAS[[#This Row],[Total]]-VENTAS[[#This Row],[Comisión 10%]]-VENTAS[[#This Row],[Costo SIN Comision]]</f>
        <v>4.13</v>
      </c>
      <c r="M574" s="12"/>
      <c r="N574" s="16"/>
    </row>
    <row r="575" spans="1:14" ht="20" hidden="1" customHeight="1">
      <c r="A575" s="9" t="s">
        <v>4318</v>
      </c>
      <c r="B575" s="10"/>
      <c r="C575" s="10"/>
      <c r="D575" s="10"/>
      <c r="E575" s="10" t="s">
        <v>1210</v>
      </c>
      <c r="F575" s="10" t="str">
        <f>IFERROR(VLOOKUP(VENTAS[[#This Row],[Código del producto Vendido]],STOCK[],5,FALSE),"-")</f>
        <v>Pantaloneta roja</v>
      </c>
      <c r="G575" s="10">
        <v>1</v>
      </c>
      <c r="H575" s="12">
        <v>20</v>
      </c>
      <c r="I575" s="12">
        <f>VENTAS[[#This Row],[Cantidad]]*VENTAS[[#This Row],[Precio Venta]]</f>
        <v>20</v>
      </c>
      <c r="J575" s="12">
        <f>IF(VENTAS[[#This Row],[Nombre del Gestor]]&gt;1,VENTAS[[#This Row],[Total]]*10%,0)</f>
        <v>0</v>
      </c>
      <c r="K575" s="12">
        <f>IFERROR(VLOOKUP(VENTAS[[#This Row],[Código del producto Vendido]],STOCK[],16,FALSE)*VENTAS[[#This Row],[Cantidad]]+VLOOKUP(VENTAS[[#This Row],[Código del producto Vendido]],STOCK[],19,FALSE)*VENTAS[[#This Row],[Cantidad]],VENTAS[[#This Row],[Total]])</f>
        <v>13.36</v>
      </c>
      <c r="L575" s="12">
        <f>VENTAS[[#This Row],[Total]]-VENTAS[[#This Row],[Comisión 10%]]-VENTAS[[#This Row],[Costo SIN Comision]]</f>
        <v>6.6400000000000006</v>
      </c>
      <c r="M575" s="12"/>
      <c r="N575" s="16"/>
    </row>
    <row r="576" spans="1:14" ht="20" hidden="1" customHeight="1">
      <c r="A576" s="9" t="s">
        <v>4318</v>
      </c>
      <c r="B576" s="10"/>
      <c r="C576" s="10"/>
      <c r="D576" s="10"/>
      <c r="E576" s="10" t="s">
        <v>1241</v>
      </c>
      <c r="F576" s="10" t="str">
        <f>IFERROR(VLOOKUP(VENTAS[[#This Row],[Código del producto Vendido]],STOCK[],5,FALSE),"-")</f>
        <v>Cinturón negro con hebilla dorada</v>
      </c>
      <c r="G576" s="10">
        <v>1</v>
      </c>
      <c r="H576" s="12">
        <v>12</v>
      </c>
      <c r="I576" s="12">
        <f>VENTAS[[#This Row],[Cantidad]]*VENTAS[[#This Row],[Precio Venta]]</f>
        <v>12</v>
      </c>
      <c r="J576" s="12">
        <f>IF(VENTAS[[#This Row],[Nombre del Gestor]]&gt;1,VENTAS[[#This Row],[Total]]*10%,0)</f>
        <v>0</v>
      </c>
      <c r="K576" s="12">
        <f>IFERROR(VLOOKUP(VENTAS[[#This Row],[Código del producto Vendido]],STOCK[],16,FALSE)*VENTAS[[#This Row],[Cantidad]]+VLOOKUP(VENTAS[[#This Row],[Código del producto Vendido]],STOCK[],19,FALSE)*VENTAS[[#This Row],[Cantidad]],VENTAS[[#This Row],[Total]])</f>
        <v>4.6099999999999994</v>
      </c>
      <c r="L576" s="12">
        <f>VENTAS[[#This Row],[Total]]-VENTAS[[#This Row],[Comisión 10%]]-VENTAS[[#This Row],[Costo SIN Comision]]</f>
        <v>7.3900000000000006</v>
      </c>
      <c r="M576" s="12"/>
      <c r="N576" s="16"/>
    </row>
    <row r="577" spans="1:14" ht="20" hidden="1" customHeight="1">
      <c r="A577" s="9" t="s">
        <v>30</v>
      </c>
      <c r="B577" s="10" t="str">
        <f>IFERROR(VLOOKUP(VENTAS[[#This Row],[Código del producto Vendido]],STOCK[],25,FALSE),"-")</f>
        <v>Recibido Freddy 24Mayo</v>
      </c>
      <c r="C577" s="10"/>
      <c r="D577" s="10"/>
      <c r="E577" s="10" t="s">
        <v>991</v>
      </c>
      <c r="F577" s="10" t="str">
        <f>IFERROR(VLOOKUP(VENTAS[[#This Row],[Código del producto Vendido]],STOCK[],5,FALSE),"-")</f>
        <v xml:space="preserve"> Top Básico Business Negro</v>
      </c>
      <c r="G577" s="10">
        <v>1</v>
      </c>
      <c r="H577" s="12">
        <v>12</v>
      </c>
      <c r="I577" s="12">
        <f>VENTAS[[#This Row],[Cantidad]]*VENTAS[[#This Row],[Precio Venta]]</f>
        <v>12</v>
      </c>
      <c r="J577" s="12">
        <f>IF(VENTAS[[#This Row],[Nombre del Gestor]]&gt;1,VENTAS[[#This Row],[Total]]*10%,0)</f>
        <v>0</v>
      </c>
      <c r="K577" s="12">
        <f>IFERROR(VLOOKUP(VENTAS[[#This Row],[Código del producto Vendido]],STOCK[],16,FALSE)*VENTAS[[#This Row],[Cantidad]]+VLOOKUP(VENTAS[[#This Row],[Código del producto Vendido]],STOCK[],19,FALSE)*VENTAS[[#This Row],[Cantidad]],VENTAS[[#This Row],[Total]])</f>
        <v>7.3795454545454495</v>
      </c>
      <c r="L577" s="12">
        <f>VENTAS[[#This Row],[Total]]-VENTAS[[#This Row],[Comisión 10%]]-VENTAS[[#This Row],[Costo SIN Comision]]</f>
        <v>4.6204545454545505</v>
      </c>
      <c r="M577" s="12"/>
      <c r="N577" s="16"/>
    </row>
    <row r="578" spans="1:14" ht="20" hidden="1" customHeight="1">
      <c r="A578" s="9" t="s">
        <v>30</v>
      </c>
      <c r="B578" s="10" t="str">
        <f>IFERROR(VLOOKUP(VENTAS[[#This Row],[Código del producto Vendido]],STOCK[],25,FALSE),"-")</f>
        <v>-</v>
      </c>
      <c r="C578" s="10"/>
      <c r="D578" s="10"/>
      <c r="E578" s="10" t="s">
        <v>4321</v>
      </c>
      <c r="F578" s="10" t="str">
        <f>IFERROR(VLOOKUP(VENTAS[[#This Row],[Código del producto Vendido]],STOCK[],5,FALSE),"-")</f>
        <v>-</v>
      </c>
      <c r="G578" s="10">
        <v>1</v>
      </c>
      <c r="H578" s="12">
        <v>30</v>
      </c>
      <c r="I578" s="12">
        <f>VENTAS[[#This Row],[Cantidad]]*VENTAS[[#This Row],[Precio Venta]]</f>
        <v>30</v>
      </c>
      <c r="J578" s="12">
        <f>IF(VENTAS[[#This Row],[Nombre del Gestor]]&gt;1,VENTAS[[#This Row],[Total]]*10%,0)</f>
        <v>0</v>
      </c>
      <c r="K578" s="12">
        <f>IFERROR(VLOOKUP(VENTAS[[#This Row],[Código del producto Vendido]],STOCK[],16,FALSE)*VENTAS[[#This Row],[Cantidad]]+VLOOKUP(VENTAS[[#This Row],[Código del producto Vendido]],STOCK[],19,FALSE)*VENTAS[[#This Row],[Cantidad]],VENTAS[[#This Row],[Total]])</f>
        <v>30</v>
      </c>
      <c r="L578" s="12">
        <f>VENTAS[[#This Row],[Total]]-VENTAS[[#This Row],[Comisión 10%]]-VENTAS[[#This Row],[Costo SIN Comision]]</f>
        <v>0</v>
      </c>
      <c r="M578" s="12"/>
      <c r="N578" s="16"/>
    </row>
    <row r="579" spans="1:14" ht="20" hidden="1" customHeight="1">
      <c r="A579" s="9" t="s">
        <v>30</v>
      </c>
      <c r="B579" s="10" t="str">
        <f>IFERROR(VLOOKUP(VENTAS[[#This Row],[Código del producto Vendido]],STOCK[],25,FALSE),"-")</f>
        <v>Recibido Freddy 12Mayo</v>
      </c>
      <c r="C579" s="10"/>
      <c r="D579" s="10"/>
      <c r="E579" s="10" t="s">
        <v>893</v>
      </c>
      <c r="F579" s="10" t="str">
        <f>IFERROR(VLOOKUP(VENTAS[[#This Row],[Código del producto Vendido]],STOCK[],5,FALSE),"-")</f>
        <v>Top Cisne Blanco</v>
      </c>
      <c r="G579" s="10">
        <v>1</v>
      </c>
      <c r="H579" s="12">
        <v>12</v>
      </c>
      <c r="I579" s="12">
        <f>VENTAS[[#This Row],[Cantidad]]*VENTAS[[#This Row],[Precio Venta]]</f>
        <v>12</v>
      </c>
      <c r="J579" s="12">
        <f>IF(VENTAS[[#This Row],[Nombre del Gestor]]&gt;1,VENTAS[[#This Row],[Total]]*10%,0)</f>
        <v>0</v>
      </c>
      <c r="K579" s="12">
        <f>IFERROR(VLOOKUP(VENTAS[[#This Row],[Código del producto Vendido]],STOCK[],16,FALSE)*VENTAS[[#This Row],[Cantidad]]+VLOOKUP(VENTAS[[#This Row],[Código del producto Vendido]],STOCK[],19,FALSE)*VENTAS[[#This Row],[Cantidad]],VENTAS[[#This Row],[Total]])</f>
        <v>7.9731818181818195</v>
      </c>
      <c r="L579" s="12">
        <f>VENTAS[[#This Row],[Total]]-VENTAS[[#This Row],[Comisión 10%]]-VENTAS[[#This Row],[Costo SIN Comision]]</f>
        <v>4.0268181818181805</v>
      </c>
      <c r="M579" s="12"/>
      <c r="N579" s="16"/>
    </row>
    <row r="580" spans="1:14" ht="20" hidden="1" customHeight="1">
      <c r="A580" s="9" t="s">
        <v>30</v>
      </c>
      <c r="B580" s="10">
        <f>IFERROR(VLOOKUP(VENTAS[[#This Row],[Código del producto Vendido]],STOCK[],25,FALSE),"-")</f>
        <v>0</v>
      </c>
      <c r="C580" s="10"/>
      <c r="D580" s="10"/>
      <c r="E580" s="10" t="s">
        <v>154</v>
      </c>
      <c r="F580" s="10" t="str">
        <f>IFERROR(VLOOKUP(VENTAS[[#This Row],[Código del producto Vendido]],STOCK[],5,FALSE),"-")</f>
        <v>Jeans de pierna recta desgarro</v>
      </c>
      <c r="G580" s="10">
        <v>1</v>
      </c>
      <c r="H580" s="12">
        <v>30</v>
      </c>
      <c r="I580" s="12">
        <f>VENTAS[[#This Row],[Cantidad]]*VENTAS[[#This Row],[Precio Venta]]</f>
        <v>30</v>
      </c>
      <c r="J580" s="12">
        <f>IF(VENTAS[[#This Row],[Nombre del Gestor]]&gt;1,VENTAS[[#This Row],[Total]]*10%,0)</f>
        <v>0</v>
      </c>
      <c r="K580" s="12">
        <f>IFERROR(VLOOKUP(VENTAS[[#This Row],[Código del producto Vendido]],STOCK[],16,FALSE)*VENTAS[[#This Row],[Cantidad]]+VLOOKUP(VENTAS[[#This Row],[Código del producto Vendido]],STOCK[],19,FALSE)*VENTAS[[#This Row],[Cantidad]],VENTAS[[#This Row],[Total]])</f>
        <v>18.686666666666667</v>
      </c>
      <c r="L580" s="12">
        <f>VENTAS[[#This Row],[Total]]-VENTAS[[#This Row],[Comisión 10%]]-VENTAS[[#This Row],[Costo SIN Comision]]</f>
        <v>11.313333333333333</v>
      </c>
      <c r="M580" s="12"/>
      <c r="N580" s="16"/>
    </row>
    <row r="581" spans="1:14" ht="20" hidden="1" customHeight="1">
      <c r="A581" s="9" t="s">
        <v>30</v>
      </c>
      <c r="B581" s="10" t="str">
        <f>IFERROR(VLOOKUP(VENTAS[[#This Row],[Código del producto Vendido]],STOCK[],25,FALSE),"-")</f>
        <v>Yenma 19 Mayo</v>
      </c>
      <c r="C581" s="10"/>
      <c r="D581" s="10"/>
      <c r="E581" s="10" t="s">
        <v>221</v>
      </c>
      <c r="F581" s="10" t="str">
        <f>IFERROR(VLOOKUP(VENTAS[[#This Row],[Código del producto Vendido]],STOCK[],5,FALSE),"-")</f>
        <v>Vestido slip abertura de espalda abierta de cuello desbocado</v>
      </c>
      <c r="G581" s="10">
        <v>1</v>
      </c>
      <c r="H581" s="12">
        <v>30</v>
      </c>
      <c r="I581" s="12">
        <f>VENTAS[[#This Row],[Cantidad]]*VENTAS[[#This Row],[Precio Venta]]</f>
        <v>30</v>
      </c>
      <c r="J581" s="12">
        <f>IF(VENTAS[[#This Row],[Nombre del Gestor]]&gt;1,VENTAS[[#This Row],[Total]]*10%,0)</f>
        <v>0</v>
      </c>
      <c r="K581" s="12">
        <f>IFERROR(VLOOKUP(VENTAS[[#This Row],[Código del producto Vendido]],STOCK[],16,FALSE)*VENTAS[[#This Row],[Cantidad]]+VLOOKUP(VENTAS[[#This Row],[Código del producto Vendido]],STOCK[],19,FALSE)*VENTAS[[#This Row],[Cantidad]],VENTAS[[#This Row],[Total]])</f>
        <v>16.4866666666667</v>
      </c>
      <c r="L581" s="12">
        <f>VENTAS[[#This Row],[Total]]-VENTAS[[#This Row],[Comisión 10%]]-VENTAS[[#This Row],[Costo SIN Comision]]</f>
        <v>13.5133333333333</v>
      </c>
      <c r="M581" s="12"/>
      <c r="N581" s="16"/>
    </row>
    <row r="582" spans="1:14" ht="20" hidden="1" customHeight="1">
      <c r="A582" s="9" t="s">
        <v>30</v>
      </c>
      <c r="B582" s="10" t="str">
        <f>IFERROR(VLOOKUP(VENTAS[[#This Row],[Código del producto Vendido]],STOCK[],25,FALSE),"-")</f>
        <v>recibido yenma correos 8mayo</v>
      </c>
      <c r="C582" s="10"/>
      <c r="D582" s="10"/>
      <c r="E582" s="10" t="s">
        <v>296</v>
      </c>
      <c r="F582" s="10" t="str">
        <f>IFERROR(VLOOKUP(VENTAS[[#This Row],[Código del producto Vendido]],STOCK[],5,FALSE),"-")</f>
        <v>Conjunto falda y blusa</v>
      </c>
      <c r="G582" s="10">
        <v>1</v>
      </c>
      <c r="H582" s="12">
        <v>45</v>
      </c>
      <c r="I582" s="12">
        <f>VENTAS[[#This Row],[Cantidad]]*VENTAS[[#This Row],[Precio Venta]]</f>
        <v>45</v>
      </c>
      <c r="J582" s="12">
        <f>IF(VENTAS[[#This Row],[Nombre del Gestor]]&gt;1,VENTAS[[#This Row],[Total]]*10%,0)</f>
        <v>0</v>
      </c>
      <c r="K582" s="12">
        <f>IFERROR(VLOOKUP(VENTAS[[#This Row],[Código del producto Vendido]],STOCK[],16,FALSE)*VENTAS[[#This Row],[Cantidad]]+VLOOKUP(VENTAS[[#This Row],[Código del producto Vendido]],STOCK[],19,FALSE)*VENTAS[[#This Row],[Cantidad]],VENTAS[[#This Row],[Total]])</f>
        <v>19.1533333333333</v>
      </c>
      <c r="L582" s="12">
        <f>VENTAS[[#This Row],[Total]]-VENTAS[[#This Row],[Comisión 10%]]-VENTAS[[#This Row],[Costo SIN Comision]]</f>
        <v>25.8466666666667</v>
      </c>
      <c r="M582" s="12"/>
      <c r="N582" s="16"/>
    </row>
    <row r="583" spans="1:14" ht="20" hidden="1" customHeight="1">
      <c r="A583" s="9" t="s">
        <v>30</v>
      </c>
      <c r="B583" s="10">
        <f>IFERROR(VLOOKUP(VENTAS[[#This Row],[Código del producto Vendido]],STOCK[],25,FALSE),"-")</f>
        <v>0</v>
      </c>
      <c r="C583" s="10"/>
      <c r="D583" s="10"/>
      <c r="E583" s="10" t="s">
        <v>442</v>
      </c>
      <c r="F583" s="10" t="str">
        <f>IFERROR(VLOOKUP(VENTAS[[#This Row],[Código del producto Vendido]],STOCK[],5,FALSE),"-")</f>
        <v xml:space="preserve">Top corto de cuello cuadrado </v>
      </c>
      <c r="G583" s="10">
        <v>1</v>
      </c>
      <c r="H583" s="12">
        <v>12</v>
      </c>
      <c r="I583" s="12">
        <f>VENTAS[[#This Row],[Cantidad]]*VENTAS[[#This Row],[Precio Venta]]</f>
        <v>12</v>
      </c>
      <c r="J583" s="12">
        <f>IF(VENTAS[[#This Row],[Nombre del Gestor]]&gt;1,VENTAS[[#This Row],[Total]]*10%,0)</f>
        <v>0</v>
      </c>
      <c r="K583" s="12">
        <f>IFERROR(VLOOKUP(VENTAS[[#This Row],[Código del producto Vendido]],STOCK[],16,FALSE)*VENTAS[[#This Row],[Cantidad]]+VLOOKUP(VENTAS[[#This Row],[Código del producto Vendido]],STOCK[],19,FALSE)*VENTAS[[#This Row],[Cantidad]],VENTAS[[#This Row],[Total]])</f>
        <v>7.4344444444444404</v>
      </c>
      <c r="L583" s="12">
        <f>VENTAS[[#This Row],[Total]]-VENTAS[[#This Row],[Comisión 10%]]-VENTAS[[#This Row],[Costo SIN Comision]]</f>
        <v>4.5655555555555596</v>
      </c>
      <c r="M583" s="12"/>
      <c r="N583" s="16"/>
    </row>
    <row r="584" spans="1:14" ht="20" hidden="1" customHeight="1">
      <c r="A584" s="9" t="s">
        <v>30</v>
      </c>
      <c r="B584" s="10">
        <f>IFERROR(VLOOKUP(VENTAS[[#This Row],[Código del producto Vendido]],STOCK[],25,FALSE),"-")</f>
        <v>0</v>
      </c>
      <c r="C584" s="10"/>
      <c r="D584" s="10"/>
      <c r="E584" s="10" t="s">
        <v>479</v>
      </c>
      <c r="F584" s="10" t="str">
        <f>IFERROR(VLOOKUP(VENTAS[[#This Row],[Código del producto Vendido]],STOCK[],5,FALSE),"-")</f>
        <v xml:space="preserve">Bolsa cuadrada mini geométrico </v>
      </c>
      <c r="G584" s="10">
        <v>1</v>
      </c>
      <c r="H584" s="12">
        <v>0</v>
      </c>
      <c r="I584" s="12">
        <f>VENTAS[[#This Row],[Cantidad]]*VENTAS[[#This Row],[Precio Venta]]</f>
        <v>0</v>
      </c>
      <c r="J584" s="12">
        <f>IF(VENTAS[[#This Row],[Nombre del Gestor]]&gt;1,VENTAS[[#This Row],[Total]]*10%,0)</f>
        <v>0</v>
      </c>
      <c r="K584" s="12">
        <f>IFERROR(VLOOKUP(VENTAS[[#This Row],[Código del producto Vendido]],STOCK[],16,FALSE)*VENTAS[[#This Row],[Cantidad]]+VLOOKUP(VENTAS[[#This Row],[Código del producto Vendido]],STOCK[],19,FALSE)*VENTAS[[#This Row],[Cantidad]],VENTAS[[#This Row],[Total]])</f>
        <v>6.3377777777777808</v>
      </c>
      <c r="L584" s="12">
        <f>VENTAS[[#This Row],[Total]]-VENTAS[[#This Row],[Comisión 10%]]-VENTAS[[#This Row],[Costo SIN Comision]]</f>
        <v>-6.3377777777777808</v>
      </c>
      <c r="M584" s="12"/>
      <c r="N584" s="16"/>
    </row>
    <row r="585" spans="1:14" ht="20" hidden="1" customHeight="1">
      <c r="A585" s="9" t="s">
        <v>30</v>
      </c>
      <c r="B585" s="10">
        <f>IFERROR(VLOOKUP(VENTAS[[#This Row],[Código del producto Vendido]],STOCK[],25,FALSE),"-")</f>
        <v>0</v>
      </c>
      <c r="C585" s="10"/>
      <c r="D585" s="10"/>
      <c r="E585" s="10" t="s">
        <v>518</v>
      </c>
      <c r="F585" s="10" t="str">
        <f>IFERROR(VLOOKUP(VENTAS[[#This Row],[Código del producto Vendido]],STOCK[],5,FALSE),"-")</f>
        <v>Calcetines unicolor</v>
      </c>
      <c r="G585" s="10">
        <v>8</v>
      </c>
      <c r="H585" s="12">
        <v>1.5</v>
      </c>
      <c r="I585" s="12">
        <f>VENTAS[[#This Row],[Cantidad]]*VENTAS[[#This Row],[Precio Venta]]</f>
        <v>12</v>
      </c>
      <c r="J585" s="12">
        <f>IF(VENTAS[[#This Row],[Nombre del Gestor]]&gt;1,VENTAS[[#This Row],[Total]]*10%,0)</f>
        <v>0</v>
      </c>
      <c r="K585" s="12">
        <f>IFERROR(VLOOKUP(VENTAS[[#This Row],[Código del producto Vendido]],STOCK[],16,FALSE)*VENTAS[[#This Row],[Cantidad]]+VLOOKUP(VENTAS[[#This Row],[Código del producto Vendido]],STOCK[],19,FALSE)*VENTAS[[#This Row],[Cantidad]],VENTAS[[#This Row],[Total]])</f>
        <v>6.755555555555552</v>
      </c>
      <c r="L585" s="12">
        <f>VENTAS[[#This Row],[Total]]-VENTAS[[#This Row],[Comisión 10%]]-VENTAS[[#This Row],[Costo SIN Comision]]</f>
        <v>5.244444444444448</v>
      </c>
      <c r="M585" s="12"/>
      <c r="N585" s="16"/>
    </row>
    <row r="586" spans="1:14" ht="20" hidden="1" customHeight="1">
      <c r="A586" s="9" t="s">
        <v>30</v>
      </c>
      <c r="B586" s="10">
        <f>IFERROR(VLOOKUP(VENTAS[[#This Row],[Código del producto Vendido]],STOCK[],25,FALSE),"-")</f>
        <v>0</v>
      </c>
      <c r="C586" s="10"/>
      <c r="D586" s="10"/>
      <c r="E586" s="10" t="s">
        <v>627</v>
      </c>
      <c r="F586" s="10" t="str">
        <f>IFERROR(VLOOKUP(VENTAS[[#This Row],[Código del producto Vendido]],STOCK[],5,FALSE),"-")</f>
        <v>Vestido vaporoso</v>
      </c>
      <c r="G586" s="10">
        <v>1</v>
      </c>
      <c r="H586" s="12">
        <v>16</v>
      </c>
      <c r="I586" s="12">
        <f>VENTAS[[#This Row],[Cantidad]]*VENTAS[[#This Row],[Precio Venta]]</f>
        <v>16</v>
      </c>
      <c r="J586" s="12">
        <f>IF(VENTAS[[#This Row],[Nombre del Gestor]]&gt;1,VENTAS[[#This Row],[Total]]*10%,0)</f>
        <v>0</v>
      </c>
      <c r="K586" s="12">
        <f>IFERROR(VLOOKUP(VENTAS[[#This Row],[Código del producto Vendido]],STOCK[],16,FALSE)*VENTAS[[#This Row],[Cantidad]]+VLOOKUP(VENTAS[[#This Row],[Código del producto Vendido]],STOCK[],19,FALSE)*VENTAS[[#This Row],[Cantidad]],VENTAS[[#This Row],[Total]])</f>
        <v>10.72222222222222</v>
      </c>
      <c r="L586" s="12">
        <f>VENTAS[[#This Row],[Total]]-VENTAS[[#This Row],[Comisión 10%]]-VENTAS[[#This Row],[Costo SIN Comision]]</f>
        <v>5.2777777777777803</v>
      </c>
      <c r="M586" s="12"/>
      <c r="N586" s="16"/>
    </row>
    <row r="587" spans="1:14" ht="20" hidden="1" customHeight="1">
      <c r="A587" s="9" t="s">
        <v>30</v>
      </c>
      <c r="B587" s="10">
        <f>IFERROR(VLOOKUP(VENTAS[[#This Row],[Código del producto Vendido]],STOCK[],25,FALSE),"-")</f>
        <v>0</v>
      </c>
      <c r="C587" s="10"/>
      <c r="D587" s="10"/>
      <c r="E587" s="10" t="s">
        <v>728</v>
      </c>
      <c r="F587" s="10" t="str">
        <f>IFERROR(VLOOKUP(VENTAS[[#This Row],[Código del producto Vendido]],STOCK[],5,FALSE),"-")</f>
        <v>Top acanalado sin mangas</v>
      </c>
      <c r="G587" s="10">
        <v>1</v>
      </c>
      <c r="H587" s="12">
        <v>12</v>
      </c>
      <c r="I587" s="12">
        <f>VENTAS[[#This Row],[Cantidad]]*VENTAS[[#This Row],[Precio Venta]]</f>
        <v>12</v>
      </c>
      <c r="J587" s="12">
        <f>IF(VENTAS[[#This Row],[Nombre del Gestor]]&gt;1,VENTAS[[#This Row],[Total]]*10%,0)</f>
        <v>0</v>
      </c>
      <c r="K587" s="12">
        <f>IFERROR(VLOOKUP(VENTAS[[#This Row],[Código del producto Vendido]],STOCK[],16,FALSE)*VENTAS[[#This Row],[Cantidad]]+VLOOKUP(VENTAS[[#This Row],[Código del producto Vendido]],STOCK[],19,FALSE)*VENTAS[[#This Row],[Cantidad]],VENTAS[[#This Row],[Total]])</f>
        <v>5.0222222222222195</v>
      </c>
      <c r="L587" s="12">
        <f>VENTAS[[#This Row],[Total]]-VENTAS[[#This Row],[Comisión 10%]]-VENTAS[[#This Row],[Costo SIN Comision]]</f>
        <v>6.9777777777777805</v>
      </c>
      <c r="M587" s="12"/>
      <c r="N587" s="16"/>
    </row>
    <row r="588" spans="1:14" ht="20" hidden="1" customHeight="1">
      <c r="A588" s="9" t="s">
        <v>30</v>
      </c>
      <c r="B588" s="10">
        <f>IFERROR(VLOOKUP(VENTAS[[#This Row],[Código del producto Vendido]],STOCK[],25,FALSE),"-")</f>
        <v>0</v>
      </c>
      <c r="C588" s="10"/>
      <c r="D588" s="10"/>
      <c r="E588" s="10" t="s">
        <v>738</v>
      </c>
      <c r="F588" s="10" t="str">
        <f>IFERROR(VLOOKUP(VENTAS[[#This Row],[Código del producto Vendido]],STOCK[],5,FALSE),"-")</f>
        <v>Sostén Push-up</v>
      </c>
      <c r="G588" s="10">
        <v>1</v>
      </c>
      <c r="H588" s="12">
        <v>12</v>
      </c>
      <c r="I588" s="12">
        <f>VENTAS[[#This Row],[Cantidad]]*VENTAS[[#This Row],[Precio Venta]]</f>
        <v>12</v>
      </c>
      <c r="J588" s="12">
        <f>IF(VENTAS[[#This Row],[Nombre del Gestor]]&gt;1,VENTAS[[#This Row],[Total]]*10%,0)</f>
        <v>0</v>
      </c>
      <c r="K588" s="12">
        <f>IFERROR(VLOOKUP(VENTAS[[#This Row],[Código del producto Vendido]],STOCK[],16,FALSE)*VENTAS[[#This Row],[Cantidad]]+VLOOKUP(VENTAS[[#This Row],[Código del producto Vendido]],STOCK[],19,FALSE)*VENTAS[[#This Row],[Cantidad]],VENTAS[[#This Row],[Total]])</f>
        <v>11.133333333333301</v>
      </c>
      <c r="L588" s="12">
        <f>VENTAS[[#This Row],[Total]]-VENTAS[[#This Row],[Comisión 10%]]-VENTAS[[#This Row],[Costo SIN Comision]]</f>
        <v>0.86666666666669911</v>
      </c>
      <c r="M588" s="12"/>
      <c r="N588" s="16"/>
    </row>
    <row r="589" spans="1:14" ht="20" hidden="1" customHeight="1">
      <c r="A589" s="9" t="s">
        <v>30</v>
      </c>
      <c r="B589" s="10">
        <f>IFERROR(VLOOKUP(VENTAS[[#This Row],[Código del producto Vendido]],STOCK[],25,FALSE),"-")</f>
        <v>0</v>
      </c>
      <c r="C589" s="10"/>
      <c r="D589" s="10"/>
      <c r="E589" s="10" t="s">
        <v>833</v>
      </c>
      <c r="F589" s="10" t="str">
        <f>IFERROR(VLOOKUP(VENTAS[[#This Row],[Código del producto Vendido]],STOCK[],5,FALSE),"-")</f>
        <v>Rubor rosa</v>
      </c>
      <c r="G589" s="10">
        <v>1</v>
      </c>
      <c r="H589" s="12">
        <v>0</v>
      </c>
      <c r="I589" s="12">
        <f>VENTAS[[#This Row],[Cantidad]]*VENTAS[[#This Row],[Precio Venta]]</f>
        <v>0</v>
      </c>
      <c r="J589" s="12">
        <f>IF(VENTAS[[#This Row],[Nombre del Gestor]]&gt;1,VENTAS[[#This Row],[Total]]*10%,0)</f>
        <v>0</v>
      </c>
      <c r="K589" s="12">
        <f>IFERROR(VLOOKUP(VENTAS[[#This Row],[Código del producto Vendido]],STOCK[],16,FALSE)*VENTAS[[#This Row],[Cantidad]]+VLOOKUP(VENTAS[[#This Row],[Código del producto Vendido]],STOCK[],19,FALSE)*VENTAS[[#This Row],[Cantidad]],VENTAS[[#This Row],[Total]])</f>
        <v>4.3333333333333304</v>
      </c>
      <c r="L589" s="12">
        <f>VENTAS[[#This Row],[Total]]-VENTAS[[#This Row],[Comisión 10%]]-VENTAS[[#This Row],[Costo SIN Comision]]</f>
        <v>-4.3333333333333304</v>
      </c>
      <c r="M589" s="12"/>
      <c r="N589" s="16"/>
    </row>
    <row r="590" spans="1:14" ht="20" hidden="1" customHeight="1">
      <c r="A590" s="9" t="s">
        <v>30</v>
      </c>
      <c r="B590" s="10">
        <f>IFERROR(VLOOKUP(VENTAS[[#This Row],[Código del producto Vendido]],STOCK[],25,FALSE),"-")</f>
        <v>0</v>
      </c>
      <c r="C590" s="10"/>
      <c r="D590" s="10"/>
      <c r="E590" s="10" t="s">
        <v>836</v>
      </c>
      <c r="F590" s="10" t="str">
        <f>IFERROR(VLOOKUP(VENTAS[[#This Row],[Código del producto Vendido]],STOCK[],5,FALSE),"-")</f>
        <v>Vestido pasión</v>
      </c>
      <c r="G590" s="10">
        <v>1</v>
      </c>
      <c r="H590" s="12">
        <v>35</v>
      </c>
      <c r="I590" s="12">
        <f>VENTAS[[#This Row],[Cantidad]]*VENTAS[[#This Row],[Precio Venta]]</f>
        <v>35</v>
      </c>
      <c r="J590" s="12">
        <f>IF(VENTAS[[#This Row],[Nombre del Gestor]]&gt;1,VENTAS[[#This Row],[Total]]*10%,0)</f>
        <v>0</v>
      </c>
      <c r="K590" s="12">
        <f>IFERROR(VLOOKUP(VENTAS[[#This Row],[Código del producto Vendido]],STOCK[],16,FALSE)*VENTAS[[#This Row],[Cantidad]]+VLOOKUP(VENTAS[[#This Row],[Código del producto Vendido]],STOCK[],19,FALSE)*VENTAS[[#This Row],[Cantidad]],VENTAS[[#This Row],[Total]])</f>
        <v>26.3888888888889</v>
      </c>
      <c r="L590" s="12">
        <f>VENTAS[[#This Row],[Total]]-VENTAS[[#This Row],[Comisión 10%]]-VENTAS[[#This Row],[Costo SIN Comision]]</f>
        <v>8.6111111111111001</v>
      </c>
      <c r="M590" s="12"/>
      <c r="N590" s="16"/>
    </row>
    <row r="591" spans="1:14" ht="20" hidden="1" customHeight="1">
      <c r="A591" s="9" t="s">
        <v>30</v>
      </c>
      <c r="B591" s="10">
        <f>IFERROR(VLOOKUP(VENTAS[[#This Row],[Código del producto Vendido]],STOCK[],25,FALSE),"-")</f>
        <v>0</v>
      </c>
      <c r="C591" s="10"/>
      <c r="D591" s="10"/>
      <c r="E591" s="10" t="s">
        <v>876</v>
      </c>
      <c r="F591" s="10" t="str">
        <f>IFERROR(VLOOKUP(VENTAS[[#This Row],[Código del producto Vendido]],STOCK[],5,FALSE),"-")</f>
        <v>Brasier de encaje_Negro Unitalla</v>
      </c>
      <c r="G591" s="10">
        <v>1</v>
      </c>
      <c r="H591" s="12">
        <v>7</v>
      </c>
      <c r="I591" s="12">
        <f>VENTAS[[#This Row],[Cantidad]]*VENTAS[[#This Row],[Precio Venta]]</f>
        <v>7</v>
      </c>
      <c r="J591" s="12">
        <f>IF(VENTAS[[#This Row],[Nombre del Gestor]]&gt;1,VENTAS[[#This Row],[Total]]*10%,0)</f>
        <v>0</v>
      </c>
      <c r="K591" s="12">
        <f>IFERROR(VLOOKUP(VENTAS[[#This Row],[Código del producto Vendido]],STOCK[],16,FALSE)*VENTAS[[#This Row],[Cantidad]]+VLOOKUP(VENTAS[[#This Row],[Código del producto Vendido]],STOCK[],19,FALSE)*VENTAS[[#This Row],[Cantidad]],VENTAS[[#This Row],[Total]])</f>
        <v>3.7111111111111099</v>
      </c>
      <c r="L591" s="12">
        <f>VENTAS[[#This Row],[Total]]-VENTAS[[#This Row],[Comisión 10%]]-VENTAS[[#This Row],[Costo SIN Comision]]</f>
        <v>3.2888888888888901</v>
      </c>
      <c r="M591" s="12"/>
      <c r="N591" s="16"/>
    </row>
    <row r="592" spans="1:14" ht="20" hidden="1" customHeight="1">
      <c r="A592" s="9" t="s">
        <v>30</v>
      </c>
      <c r="B592" s="10">
        <f>IFERROR(VLOOKUP(VENTAS[[#This Row],[Código del producto Vendido]],STOCK[],25,FALSE),"-")</f>
        <v>0</v>
      </c>
      <c r="C592" s="10"/>
      <c r="D592" s="10"/>
      <c r="E592" s="10" t="s">
        <v>932</v>
      </c>
      <c r="F592" s="10" t="str">
        <f>IFERROR(VLOOKUP(VENTAS[[#This Row],[Código del producto Vendido]],STOCK[],5,FALSE),"-")</f>
        <v>Falda de trabajo</v>
      </c>
      <c r="G592" s="10">
        <v>1</v>
      </c>
      <c r="H592" s="12">
        <v>15</v>
      </c>
      <c r="I592" s="12">
        <f>VENTAS[[#This Row],[Cantidad]]*VENTAS[[#This Row],[Precio Venta]]</f>
        <v>15</v>
      </c>
      <c r="J592" s="12">
        <f>IF(VENTAS[[#This Row],[Nombre del Gestor]]&gt;1,VENTAS[[#This Row],[Total]]*10%,0)</f>
        <v>0</v>
      </c>
      <c r="K592" s="12">
        <f>IFERROR(VLOOKUP(VENTAS[[#This Row],[Código del producto Vendido]],STOCK[],16,FALSE)*VENTAS[[#This Row],[Cantidad]]+VLOOKUP(VENTAS[[#This Row],[Código del producto Vendido]],STOCK[],19,FALSE)*VENTAS[[#This Row],[Cantidad]],VENTAS[[#This Row],[Total]])</f>
        <v>7.7486363636363595</v>
      </c>
      <c r="L592" s="12">
        <f>VENTAS[[#This Row],[Total]]-VENTAS[[#This Row],[Comisión 10%]]-VENTAS[[#This Row],[Costo SIN Comision]]</f>
        <v>7.2513636363636405</v>
      </c>
      <c r="M592" s="12"/>
      <c r="N592" s="16"/>
    </row>
    <row r="593" spans="1:14" ht="20" hidden="1" customHeight="1">
      <c r="A593" s="9" t="s">
        <v>30</v>
      </c>
      <c r="B593" s="10">
        <f>IFERROR(VLOOKUP(VENTAS[[#This Row],[Código del producto Vendido]],STOCK[],25,FALSE),"-")</f>
        <v>0</v>
      </c>
      <c r="C593" s="10"/>
      <c r="D593" s="10"/>
      <c r="E593" s="10" t="s">
        <v>963</v>
      </c>
      <c r="F593" s="10" t="str">
        <f>IFERROR(VLOOKUP(VENTAS[[#This Row],[Código del producto Vendido]],STOCK[],5,FALSE),"-")</f>
        <v>Pantalón business básico</v>
      </c>
      <c r="G593" s="10">
        <v>1</v>
      </c>
      <c r="H593" s="12">
        <v>30</v>
      </c>
      <c r="I593" s="12">
        <f>VENTAS[[#This Row],[Cantidad]]*VENTAS[[#This Row],[Precio Venta]]</f>
        <v>30</v>
      </c>
      <c r="J593" s="12">
        <f>IF(VENTAS[[#This Row],[Nombre del Gestor]]&gt;1,VENTAS[[#This Row],[Total]]*10%,0)</f>
        <v>0</v>
      </c>
      <c r="K593" s="12">
        <f>IFERROR(VLOOKUP(VENTAS[[#This Row],[Código del producto Vendido]],STOCK[],16,FALSE)*VENTAS[[#This Row],[Cantidad]]+VLOOKUP(VENTAS[[#This Row],[Código del producto Vendido]],STOCK[],19,FALSE)*VENTAS[[#This Row],[Cantidad]],VENTAS[[#This Row],[Total]])</f>
        <v>21.372272727272701</v>
      </c>
      <c r="L593" s="12">
        <f>VENTAS[[#This Row],[Total]]-VENTAS[[#This Row],[Comisión 10%]]-VENTAS[[#This Row],[Costo SIN Comision]]</f>
        <v>8.6277272727272987</v>
      </c>
      <c r="M593" s="12"/>
      <c r="N593" s="16"/>
    </row>
    <row r="594" spans="1:14" ht="20" hidden="1" customHeight="1">
      <c r="A594" s="9" t="s">
        <v>30</v>
      </c>
      <c r="B594" s="10" t="str">
        <f>IFERROR(VLOOKUP(VENTAS[[#This Row],[Código del producto Vendido]],STOCK[],25,FALSE),"-")</f>
        <v>Recibido Freddy 24Mayo</v>
      </c>
      <c r="C594" s="10"/>
      <c r="D594" s="10"/>
      <c r="E594" s="10" t="s">
        <v>1014</v>
      </c>
      <c r="F594" s="10" t="str">
        <f>IFERROR(VLOOKUP(VENTAS[[#This Row],[Código del producto Vendido]],STOCK[],5,FALSE),"-")</f>
        <v>Set de sujetador con tira ajustable 2 paquetes</v>
      </c>
      <c r="G594" s="10">
        <v>1</v>
      </c>
      <c r="H594" s="12">
        <v>15</v>
      </c>
      <c r="I594" s="12">
        <f>VENTAS[[#This Row],[Cantidad]]*VENTAS[[#This Row],[Precio Venta]]</f>
        <v>15</v>
      </c>
      <c r="J594" s="12">
        <f>IF(VENTAS[[#This Row],[Nombre del Gestor]]&gt;1,VENTAS[[#This Row],[Total]]*10%,0)</f>
        <v>0</v>
      </c>
      <c r="K594" s="12">
        <f>IFERROR(VLOOKUP(VENTAS[[#This Row],[Código del producto Vendido]],STOCK[],16,FALSE)*VENTAS[[#This Row],[Cantidad]]+VLOOKUP(VENTAS[[#This Row],[Código del producto Vendido]],STOCK[],19,FALSE)*VENTAS[[#This Row],[Cantidad]],VENTAS[[#This Row],[Total]])</f>
        <v>7.6988636363636402</v>
      </c>
      <c r="L594" s="12">
        <f>VENTAS[[#This Row],[Total]]-VENTAS[[#This Row],[Comisión 10%]]-VENTAS[[#This Row],[Costo SIN Comision]]</f>
        <v>7.3011363636363598</v>
      </c>
      <c r="M594" s="12"/>
      <c r="N594" s="16"/>
    </row>
    <row r="595" spans="1:14" ht="20" hidden="1" customHeight="1">
      <c r="A595" s="9" t="s">
        <v>30</v>
      </c>
      <c r="B595" s="10" t="str">
        <f>IFERROR(VLOOKUP(VENTAS[[#This Row],[Código del producto Vendido]],STOCK[],25,FALSE),"-")</f>
        <v>Recibido Freddy 12Mayo</v>
      </c>
      <c r="C595" s="10"/>
      <c r="D595" s="10"/>
      <c r="E595" s="10" t="s">
        <v>1031</v>
      </c>
      <c r="F595" s="10" t="str">
        <f>IFERROR(VLOOKUP(VENTAS[[#This Row],[Código del producto Vendido]],STOCK[],5,FALSE),"-")</f>
        <v>Sujetador Básico</v>
      </c>
      <c r="G595" s="10">
        <v>1</v>
      </c>
      <c r="H595" s="12">
        <v>12</v>
      </c>
      <c r="I595" s="12">
        <f>VENTAS[[#This Row],[Cantidad]]*VENTAS[[#This Row],[Precio Venta]]</f>
        <v>12</v>
      </c>
      <c r="J595" s="12">
        <f>IF(VENTAS[[#This Row],[Nombre del Gestor]]&gt;1,VENTAS[[#This Row],[Total]]*10%,0)</f>
        <v>0</v>
      </c>
      <c r="K595" s="12">
        <f>IFERROR(VLOOKUP(VENTAS[[#This Row],[Código del producto Vendido]],STOCK[],16,FALSE)*VENTAS[[#This Row],[Cantidad]]+VLOOKUP(VENTAS[[#This Row],[Código del producto Vendido]],STOCK[],19,FALSE)*VENTAS[[#This Row],[Cantidad]],VENTAS[[#This Row],[Total]])</f>
        <v>3.8034090909090899</v>
      </c>
      <c r="L595" s="12">
        <f>VENTAS[[#This Row],[Total]]-VENTAS[[#This Row],[Comisión 10%]]-VENTAS[[#This Row],[Costo SIN Comision]]</f>
        <v>8.1965909090909097</v>
      </c>
      <c r="M595" s="12"/>
      <c r="N595" s="16"/>
    </row>
    <row r="596" spans="1:14" ht="20" hidden="1" customHeight="1">
      <c r="A596" s="9" t="s">
        <v>30</v>
      </c>
      <c r="B596" s="10">
        <f>IFERROR(VLOOKUP(VENTAS[[#This Row],[Código del producto Vendido]],STOCK[],25,FALSE),"-")</f>
        <v>0</v>
      </c>
      <c r="C596" s="10"/>
      <c r="D596" s="10"/>
      <c r="E596" s="10" t="s">
        <v>1051</v>
      </c>
      <c r="F596" s="10" t="str">
        <f>IFERROR(VLOOKUP(VENTAS[[#This Row],[Código del producto Vendido]],STOCK[],5,FALSE),"-")</f>
        <v>Pantaloneta Camel</v>
      </c>
      <c r="G596" s="10">
        <v>1</v>
      </c>
      <c r="H596" s="12">
        <v>30</v>
      </c>
      <c r="I596" s="12">
        <f>VENTAS[[#This Row],[Cantidad]]*VENTAS[[#This Row],[Precio Venta]]</f>
        <v>30</v>
      </c>
      <c r="J596" s="12">
        <f>IF(VENTAS[[#This Row],[Nombre del Gestor]]&gt;1,VENTAS[[#This Row],[Total]]*10%,0)</f>
        <v>0</v>
      </c>
      <c r="K596" s="12">
        <f>IFERROR(VLOOKUP(VENTAS[[#This Row],[Código del producto Vendido]],STOCK[],16,FALSE)*VENTAS[[#This Row],[Cantidad]]+VLOOKUP(VENTAS[[#This Row],[Código del producto Vendido]],STOCK[],19,FALSE)*VENTAS[[#This Row],[Cantidad]],VENTAS[[#This Row],[Total]])</f>
        <v>18.647727272727302</v>
      </c>
      <c r="L596" s="12">
        <f>VENTAS[[#This Row],[Total]]-VENTAS[[#This Row],[Comisión 10%]]-VENTAS[[#This Row],[Costo SIN Comision]]</f>
        <v>11.352272727272698</v>
      </c>
      <c r="M596" s="12"/>
      <c r="N596" s="16"/>
    </row>
    <row r="597" spans="1:14" ht="20" hidden="1" customHeight="1">
      <c r="A597" s="9" t="s">
        <v>30</v>
      </c>
      <c r="B597" s="10">
        <f>IFERROR(VLOOKUP(VENTAS[[#This Row],[Código del producto Vendido]],STOCK[],25,FALSE),"-")</f>
        <v>0</v>
      </c>
      <c r="C597" s="10"/>
      <c r="D597" s="10"/>
      <c r="E597" s="10" t="s">
        <v>1315</v>
      </c>
      <c r="F597" s="10" t="str">
        <f>IFERROR(VLOOKUP(VENTAS[[#This Row],[Código del producto Vendido]],STOCK[],5,FALSE),"-")</f>
        <v>Blazer Crema</v>
      </c>
      <c r="G597" s="10">
        <v>1</v>
      </c>
      <c r="H597" s="12">
        <v>40</v>
      </c>
      <c r="I597" s="12">
        <f>VENTAS[[#This Row],[Cantidad]]*VENTAS[[#This Row],[Precio Venta]]</f>
        <v>40</v>
      </c>
      <c r="J597" s="12">
        <f>IF(VENTAS[[#This Row],[Nombre del Gestor]]&gt;1,VENTAS[[#This Row],[Total]]*10%,0)</f>
        <v>0</v>
      </c>
      <c r="K597" s="12">
        <f>IFERROR(VLOOKUP(VENTAS[[#This Row],[Código del producto Vendido]],STOCK[],16,FALSE)*VENTAS[[#This Row],[Cantidad]]+VLOOKUP(VENTAS[[#This Row],[Código del producto Vendido]],STOCK[],19,FALSE)*VENTAS[[#This Row],[Cantidad]],VENTAS[[#This Row],[Total]])</f>
        <v>30</v>
      </c>
      <c r="L597" s="12">
        <f>VENTAS[[#This Row],[Total]]-VENTAS[[#This Row],[Comisión 10%]]-VENTAS[[#This Row],[Costo SIN Comision]]</f>
        <v>10</v>
      </c>
      <c r="M597" s="12"/>
      <c r="N597" s="16"/>
    </row>
    <row r="598" spans="1:14" ht="20" hidden="1" customHeight="1">
      <c r="A598" s="9" t="s">
        <v>30</v>
      </c>
      <c r="B598" s="10">
        <f>IFERROR(VLOOKUP(VENTAS[[#This Row],[Código del producto Vendido]],STOCK[],25,FALSE),"-")</f>
        <v>0</v>
      </c>
      <c r="C598" s="10"/>
      <c r="D598" s="10"/>
      <c r="E598" s="10" t="s">
        <v>1348</v>
      </c>
      <c r="F598" s="10" t="str">
        <f>IFERROR(VLOOKUP(VENTAS[[#This Row],[Código del producto Vendido]],STOCK[],5,FALSE),"-")</f>
        <v>Cardigan Amarillo</v>
      </c>
      <c r="G598" s="10">
        <v>1</v>
      </c>
      <c r="H598" s="12">
        <v>22</v>
      </c>
      <c r="I598" s="12">
        <f>VENTAS[[#This Row],[Cantidad]]*VENTAS[[#This Row],[Precio Venta]]</f>
        <v>22</v>
      </c>
      <c r="J598" s="12">
        <f>IF(VENTAS[[#This Row],[Nombre del Gestor]]&gt;1,VENTAS[[#This Row],[Total]]*10%,0)</f>
        <v>0</v>
      </c>
      <c r="K598" s="12">
        <f>IFERROR(VLOOKUP(VENTAS[[#This Row],[Código del producto Vendido]],STOCK[],16,FALSE)*VENTAS[[#This Row],[Cantidad]]+VLOOKUP(VENTAS[[#This Row],[Código del producto Vendido]],STOCK[],19,FALSE)*VENTAS[[#This Row],[Cantidad]],VENTAS[[#This Row],[Total]])</f>
        <v>15</v>
      </c>
      <c r="L598" s="12">
        <f>VENTAS[[#This Row],[Total]]-VENTAS[[#This Row],[Comisión 10%]]-VENTAS[[#This Row],[Costo SIN Comision]]</f>
        <v>7</v>
      </c>
      <c r="M598" s="12"/>
      <c r="N598" s="16"/>
    </row>
    <row r="599" spans="1:14" ht="20" hidden="1" customHeight="1">
      <c r="A599" s="9" t="s">
        <v>30</v>
      </c>
      <c r="B599" s="10">
        <f>IFERROR(VLOOKUP(VENTAS[[#This Row],[Código del producto Vendido]],STOCK[],25,FALSE),"-")</f>
        <v>0</v>
      </c>
      <c r="C599" s="10"/>
      <c r="D599" s="10"/>
      <c r="E599" s="10" t="s">
        <v>1350</v>
      </c>
      <c r="F599" s="10" t="str">
        <f>IFERROR(VLOOKUP(VENTAS[[#This Row],[Código del producto Vendido]],STOCK[],5,FALSE),"-")</f>
        <v>Cardigan Amarillo</v>
      </c>
      <c r="G599" s="10">
        <v>1</v>
      </c>
      <c r="H599" s="12">
        <v>22</v>
      </c>
      <c r="I599" s="12">
        <f>VENTAS[[#This Row],[Cantidad]]*VENTAS[[#This Row],[Precio Venta]]</f>
        <v>22</v>
      </c>
      <c r="J599" s="12">
        <f>IF(VENTAS[[#This Row],[Nombre del Gestor]]&gt;1,VENTAS[[#This Row],[Total]]*10%,0)</f>
        <v>0</v>
      </c>
      <c r="K599" s="12">
        <f>IFERROR(VLOOKUP(VENTAS[[#This Row],[Código del producto Vendido]],STOCK[],16,FALSE)*VENTAS[[#This Row],[Cantidad]]+VLOOKUP(VENTAS[[#This Row],[Código del producto Vendido]],STOCK[],19,FALSE)*VENTAS[[#This Row],[Cantidad]],VENTAS[[#This Row],[Total]])</f>
        <v>15</v>
      </c>
      <c r="L599" s="12">
        <f>VENTAS[[#This Row],[Total]]-VENTAS[[#This Row],[Comisión 10%]]-VENTAS[[#This Row],[Costo SIN Comision]]</f>
        <v>7</v>
      </c>
      <c r="M599" s="12"/>
      <c r="N599" s="16"/>
    </row>
    <row r="600" spans="1:14" ht="20" hidden="1" customHeight="1">
      <c r="A600" s="9" t="s">
        <v>30</v>
      </c>
      <c r="B600" s="10">
        <f>IFERROR(VLOOKUP(VENTAS[[#This Row],[Código del producto Vendido]],STOCK[],25,FALSE),"-")</f>
        <v>0</v>
      </c>
      <c r="C600" s="10"/>
      <c r="D600" s="10"/>
      <c r="E600" s="10" t="s">
        <v>1353</v>
      </c>
      <c r="F600" s="10" t="str">
        <f>IFERROR(VLOOKUP(VENTAS[[#This Row],[Código del producto Vendido]],STOCK[],5,FALSE),"-")</f>
        <v>Sweater rosa con mangas abiertas</v>
      </c>
      <c r="G600" s="10">
        <v>2</v>
      </c>
      <c r="H600" s="12">
        <v>22</v>
      </c>
      <c r="I600" s="12">
        <f>VENTAS[[#This Row],[Cantidad]]*VENTAS[[#This Row],[Precio Venta]]</f>
        <v>44</v>
      </c>
      <c r="J600" s="12">
        <f>IF(VENTAS[[#This Row],[Nombre del Gestor]]&gt;1,VENTAS[[#This Row],[Total]]*10%,0)</f>
        <v>0</v>
      </c>
      <c r="K600" s="12">
        <f>IFERROR(VLOOKUP(VENTAS[[#This Row],[Código del producto Vendido]],STOCK[],16,FALSE)*VENTAS[[#This Row],[Cantidad]]+VLOOKUP(VENTAS[[#This Row],[Código del producto Vendido]],STOCK[],19,FALSE)*VENTAS[[#This Row],[Cantidad]],VENTAS[[#This Row],[Total]])</f>
        <v>40</v>
      </c>
      <c r="L600" s="12">
        <f>VENTAS[[#This Row],[Total]]-VENTAS[[#This Row],[Comisión 10%]]-VENTAS[[#This Row],[Costo SIN Comision]]</f>
        <v>4</v>
      </c>
      <c r="M600" s="12"/>
      <c r="N600" s="16"/>
    </row>
    <row r="601" spans="1:14" ht="20" hidden="1" customHeight="1">
      <c r="A601" s="9" t="s">
        <v>30</v>
      </c>
      <c r="B601" s="10">
        <f>IFERROR(VLOOKUP(VENTAS[[#This Row],[Código del producto Vendido]],STOCK[],25,FALSE),"-")</f>
        <v>0</v>
      </c>
      <c r="C601" s="10"/>
      <c r="D601" s="10"/>
      <c r="E601" s="10" t="s">
        <v>1568</v>
      </c>
      <c r="F601" s="10" t="str">
        <f>IFERROR(VLOOKUP(VENTAS[[#This Row],[Código del producto Vendido]],STOCK[],5,FALSE),"-")</f>
        <v>Blazer azul Rey</v>
      </c>
      <c r="G601" s="10">
        <v>1</v>
      </c>
      <c r="H601" s="12">
        <v>40</v>
      </c>
      <c r="I601" s="12">
        <f>VENTAS[[#This Row],[Cantidad]]*VENTAS[[#This Row],[Precio Venta]]</f>
        <v>40</v>
      </c>
      <c r="J601" s="12">
        <f>IF(VENTAS[[#This Row],[Nombre del Gestor]]&gt;1,VENTAS[[#This Row],[Total]]*10%,0)</f>
        <v>0</v>
      </c>
      <c r="K601" s="12">
        <f>IFERROR(VLOOKUP(VENTAS[[#This Row],[Código del producto Vendido]],STOCK[],16,FALSE)*VENTAS[[#This Row],[Cantidad]]+VLOOKUP(VENTAS[[#This Row],[Código del producto Vendido]],STOCK[],19,FALSE)*VENTAS[[#This Row],[Cantidad]],VENTAS[[#This Row],[Total]])</f>
        <v>20</v>
      </c>
      <c r="L601" s="12">
        <f>VENTAS[[#This Row],[Total]]-VENTAS[[#This Row],[Comisión 10%]]-VENTAS[[#This Row],[Costo SIN Comision]]</f>
        <v>20</v>
      </c>
      <c r="M601" s="12"/>
      <c r="N601" s="16"/>
    </row>
    <row r="602" spans="1:14" ht="20" hidden="1" customHeight="1">
      <c r="A602" s="9" t="s">
        <v>30</v>
      </c>
      <c r="B602" s="10" t="str">
        <f>IFERROR(VLOOKUP(VENTAS[[#This Row],[Código del producto Vendido]],STOCK[],25,FALSE),"-")</f>
        <v>COMPRA F21</v>
      </c>
      <c r="C602" s="10"/>
      <c r="D602" s="10"/>
      <c r="E602" s="10" t="s">
        <v>1446</v>
      </c>
      <c r="F602" s="10" t="str">
        <f>IFERROR(VLOOKUP(VENTAS[[#This Row],[Código del producto Vendido]],STOCK[],5,FALSE),"-")</f>
        <v>Mocasín con herrajes</v>
      </c>
      <c r="G602" s="10">
        <v>1</v>
      </c>
      <c r="H602" s="12">
        <v>43</v>
      </c>
      <c r="I602" s="12">
        <f>VENTAS[[#This Row],[Cantidad]]*VENTAS[[#This Row],[Precio Venta]]</f>
        <v>43</v>
      </c>
      <c r="J602" s="12">
        <f>IF(VENTAS[[#This Row],[Nombre del Gestor]]&gt;1,VENTAS[[#This Row],[Total]]*10%,0)</f>
        <v>0</v>
      </c>
      <c r="K602" s="12">
        <f>IFERROR(VLOOKUP(VENTAS[[#This Row],[Código del producto Vendido]],STOCK[],16,FALSE)*VENTAS[[#This Row],[Cantidad]]+VLOOKUP(VENTAS[[#This Row],[Código del producto Vendido]],STOCK[],19,FALSE)*VENTAS[[#This Row],[Cantidad]],VENTAS[[#This Row],[Total]])</f>
        <v>27.49</v>
      </c>
      <c r="L602" s="12">
        <f>VENTAS[[#This Row],[Total]]-VENTAS[[#This Row],[Comisión 10%]]-VENTAS[[#This Row],[Costo SIN Comision]]</f>
        <v>15.510000000000002</v>
      </c>
      <c r="M602" s="12"/>
      <c r="N602" s="16"/>
    </row>
    <row r="603" spans="1:14" ht="20" hidden="1" customHeight="1">
      <c r="A603" s="9" t="s">
        <v>30</v>
      </c>
      <c r="B603" s="10" t="str">
        <f>IFERROR(VLOOKUP(VENTAS[[#This Row],[Código del producto Vendido]],STOCK[],25,FALSE),"-")</f>
        <v>COMPRA F21</v>
      </c>
      <c r="C603" s="10"/>
      <c r="D603" s="10"/>
      <c r="E603" s="10" t="s">
        <v>1449</v>
      </c>
      <c r="F603" s="10" t="str">
        <f>IFERROR(VLOOKUP(VENTAS[[#This Row],[Código del producto Vendido]],STOCK[],5,FALSE),"-")</f>
        <v>Mocasín con herrajes</v>
      </c>
      <c r="G603" s="10">
        <v>1</v>
      </c>
      <c r="H603" s="12">
        <v>43</v>
      </c>
      <c r="I603" s="12">
        <f>VENTAS[[#This Row],[Cantidad]]*VENTAS[[#This Row],[Precio Venta]]</f>
        <v>43</v>
      </c>
      <c r="J603" s="12">
        <f>IF(VENTAS[[#This Row],[Nombre del Gestor]]&gt;1,VENTAS[[#This Row],[Total]]*10%,0)</f>
        <v>0</v>
      </c>
      <c r="K603" s="12">
        <f>IFERROR(VLOOKUP(VENTAS[[#This Row],[Código del producto Vendido]],STOCK[],16,FALSE)*VENTAS[[#This Row],[Cantidad]]+VLOOKUP(VENTAS[[#This Row],[Código del producto Vendido]],STOCK[],19,FALSE)*VENTAS[[#This Row],[Cantidad]],VENTAS[[#This Row],[Total]])</f>
        <v>27.49</v>
      </c>
      <c r="L603" s="12">
        <f>VENTAS[[#This Row],[Total]]-VENTAS[[#This Row],[Comisión 10%]]-VENTAS[[#This Row],[Costo SIN Comision]]</f>
        <v>15.510000000000002</v>
      </c>
      <c r="M603" s="12"/>
      <c r="N603" s="16"/>
    </row>
    <row r="604" spans="1:14" ht="20" hidden="1" customHeight="1">
      <c r="A604" s="9" t="s">
        <v>30</v>
      </c>
      <c r="B604" s="10" t="str">
        <f>IFERROR(VLOOKUP(VENTAS[[#This Row],[Código del producto Vendido]],STOCK[],25,FALSE),"-")</f>
        <v>COMPRA F21</v>
      </c>
      <c r="C604" s="10"/>
      <c r="D604" s="10"/>
      <c r="E604" s="10" t="s">
        <v>1450</v>
      </c>
      <c r="F604" s="10" t="str">
        <f>IFERROR(VLOOKUP(VENTAS[[#This Row],[Código del producto Vendido]],STOCK[],5,FALSE),"-")</f>
        <v>Sandalias minimalistas de plataforma</v>
      </c>
      <c r="G604" s="10">
        <v>1</v>
      </c>
      <c r="H604" s="12">
        <v>30</v>
      </c>
      <c r="I604" s="12">
        <f>VENTAS[[#This Row],[Cantidad]]*VENTAS[[#This Row],[Precio Venta]]</f>
        <v>30</v>
      </c>
      <c r="J604" s="12">
        <f>IF(VENTAS[[#This Row],[Nombre del Gestor]]&gt;1,VENTAS[[#This Row],[Total]]*10%,0)</f>
        <v>0</v>
      </c>
      <c r="K604" s="12">
        <f>IFERROR(VLOOKUP(VENTAS[[#This Row],[Código del producto Vendido]],STOCK[],16,FALSE)*VENTAS[[#This Row],[Cantidad]]+VLOOKUP(VENTAS[[#This Row],[Código del producto Vendido]],STOCK[],19,FALSE)*VENTAS[[#This Row],[Cantidad]],VENTAS[[#This Row],[Total]])</f>
        <v>22.490000000000002</v>
      </c>
      <c r="L604" s="12">
        <f>VENTAS[[#This Row],[Total]]-VENTAS[[#This Row],[Comisión 10%]]-VENTAS[[#This Row],[Costo SIN Comision]]</f>
        <v>7.509999999999998</v>
      </c>
      <c r="M604" s="12"/>
      <c r="N604" s="16"/>
    </row>
    <row r="605" spans="1:14" ht="20" hidden="1" customHeight="1">
      <c r="A605" s="9" t="s">
        <v>30</v>
      </c>
      <c r="B605" s="10">
        <f>IFERROR(VLOOKUP(VENTAS[[#This Row],[Código del producto Vendido]],STOCK[],25,FALSE),"-")</f>
        <v>0</v>
      </c>
      <c r="C605" s="10"/>
      <c r="D605" s="10"/>
      <c r="E605" s="10" t="s">
        <v>752</v>
      </c>
      <c r="F605" s="10" t="str">
        <f>IFERROR(VLOOKUP(VENTAS[[#This Row],[Código del producto Vendido]],STOCK[],5,FALSE),"-")</f>
        <v>Sandalias trenzadas</v>
      </c>
      <c r="G605" s="10">
        <v>1</v>
      </c>
      <c r="H605" s="12">
        <v>35</v>
      </c>
      <c r="I605" s="12">
        <f>VENTAS[[#This Row],[Cantidad]]*VENTAS[[#This Row],[Precio Venta]]</f>
        <v>35</v>
      </c>
      <c r="J605" s="12">
        <f>IF(VENTAS[[#This Row],[Nombre del Gestor]]&gt;1,VENTAS[[#This Row],[Total]]*10%,0)</f>
        <v>0</v>
      </c>
      <c r="K605" s="12">
        <f>IFERROR(VLOOKUP(VENTAS[[#This Row],[Código del producto Vendido]],STOCK[],16,FALSE)*VENTAS[[#This Row],[Cantidad]]+VLOOKUP(VENTAS[[#This Row],[Código del producto Vendido]],STOCK[],19,FALSE)*VENTAS[[#This Row],[Cantidad]],VENTAS[[#This Row],[Total]])</f>
        <v>27</v>
      </c>
      <c r="L605" s="12">
        <f>VENTAS[[#This Row],[Total]]-VENTAS[[#This Row],[Comisión 10%]]-VENTAS[[#This Row],[Costo SIN Comision]]</f>
        <v>8</v>
      </c>
      <c r="M605" s="12"/>
      <c r="N605" s="16"/>
    </row>
    <row r="606" spans="1:14" ht="20" hidden="1" customHeight="1">
      <c r="A606" s="9" t="s">
        <v>30</v>
      </c>
      <c r="B606" s="10">
        <f>IFERROR(VLOOKUP(VENTAS[[#This Row],[Código del producto Vendido]],STOCK[],25,FALSE),"-")</f>
        <v>0</v>
      </c>
      <c r="C606" s="10"/>
      <c r="D606" s="10"/>
      <c r="E606" s="10" t="s">
        <v>728</v>
      </c>
      <c r="F606" s="10" t="str">
        <f>IFERROR(VLOOKUP(VENTAS[[#This Row],[Código del producto Vendido]],STOCK[],5,FALSE),"-")</f>
        <v>Top acanalado sin mangas</v>
      </c>
      <c r="G606" s="10">
        <v>1</v>
      </c>
      <c r="H606" s="12">
        <v>10</v>
      </c>
      <c r="I606" s="12">
        <f>VENTAS[[#This Row],[Cantidad]]*VENTAS[[#This Row],[Precio Venta]]</f>
        <v>10</v>
      </c>
      <c r="J606" s="12">
        <f>IF(VENTAS[[#This Row],[Nombre del Gestor]]&gt;1,VENTAS[[#This Row],[Total]]*10%,0)</f>
        <v>0</v>
      </c>
      <c r="K606" s="12">
        <f>IFERROR(VLOOKUP(VENTAS[[#This Row],[Código del producto Vendido]],STOCK[],16,FALSE)*VENTAS[[#This Row],[Cantidad]]+VLOOKUP(VENTAS[[#This Row],[Código del producto Vendido]],STOCK[],19,FALSE)*VENTAS[[#This Row],[Cantidad]],VENTAS[[#This Row],[Total]])</f>
        <v>5.0222222222222195</v>
      </c>
      <c r="L606" s="12">
        <f>VENTAS[[#This Row],[Total]]-VENTAS[[#This Row],[Comisión 10%]]-VENTAS[[#This Row],[Costo SIN Comision]]</f>
        <v>4.9777777777777805</v>
      </c>
      <c r="M606" s="12"/>
      <c r="N606" s="16"/>
    </row>
    <row r="607" spans="1:14" ht="20" hidden="1" customHeight="1">
      <c r="A607" s="9" t="s">
        <v>30</v>
      </c>
      <c r="B607" s="10" t="str">
        <f>IFERROR(VLOOKUP(VENTAS[[#This Row],[Código del producto Vendido]],STOCK[],25,FALSE),"-")</f>
        <v>-</v>
      </c>
      <c r="C607" s="10"/>
      <c r="D607" s="10"/>
      <c r="E607" s="10" t="s">
        <v>4322</v>
      </c>
      <c r="F607" s="10" t="str">
        <f>IFERROR(VLOOKUP(VENTAS[[#This Row],[Código del producto Vendido]],STOCK[],5,FALSE),"-")</f>
        <v>-</v>
      </c>
      <c r="G607" s="10">
        <v>1</v>
      </c>
      <c r="H607" s="12">
        <v>23</v>
      </c>
      <c r="I607" s="12">
        <f>VENTAS[[#This Row],[Cantidad]]*VENTAS[[#This Row],[Precio Venta]]</f>
        <v>23</v>
      </c>
      <c r="J607" s="12">
        <f>IF(VENTAS[[#This Row],[Nombre del Gestor]]&gt;1,VENTAS[[#This Row],[Total]]*10%,0)</f>
        <v>0</v>
      </c>
      <c r="K607" s="12">
        <f>IFERROR(VLOOKUP(VENTAS[[#This Row],[Código del producto Vendido]],STOCK[],16,FALSE)*VENTAS[[#This Row],[Cantidad]]+VLOOKUP(VENTAS[[#This Row],[Código del producto Vendido]],STOCK[],19,FALSE)*VENTAS[[#This Row],[Cantidad]],VENTAS[[#This Row],[Total]])</f>
        <v>23</v>
      </c>
      <c r="L607" s="12">
        <f>VENTAS[[#This Row],[Total]]-VENTAS[[#This Row],[Comisión 10%]]-VENTAS[[#This Row],[Costo SIN Comision]]</f>
        <v>0</v>
      </c>
      <c r="M607" s="12"/>
      <c r="N607" s="16"/>
    </row>
    <row r="608" spans="1:14" ht="20" hidden="1" customHeight="1">
      <c r="A608" s="9" t="s">
        <v>30</v>
      </c>
      <c r="B608" s="10">
        <f>IFERROR(VLOOKUP(VENTAS[[#This Row],[Código del producto Vendido]],STOCK[],25,FALSE),"-")</f>
        <v>0</v>
      </c>
      <c r="C608" s="10"/>
      <c r="D608" s="10"/>
      <c r="E608" s="10" t="s">
        <v>1556</v>
      </c>
      <c r="F608" s="10" t="str">
        <f>IFERROR(VLOOKUP(VENTAS[[#This Row],[Código del producto Vendido]],STOCK[],5,FALSE),"-")</f>
        <v>Botas Chalsesa</v>
      </c>
      <c r="G608" s="10">
        <v>1</v>
      </c>
      <c r="H608" s="12">
        <v>90</v>
      </c>
      <c r="I608" s="12">
        <f>VENTAS[[#This Row],[Cantidad]]*VENTAS[[#This Row],[Precio Venta]]</f>
        <v>90</v>
      </c>
      <c r="J608" s="12">
        <f>IF(VENTAS[[#This Row],[Nombre del Gestor]]&gt;1,VENTAS[[#This Row],[Total]]*10%,0)</f>
        <v>0</v>
      </c>
      <c r="K608" s="12">
        <f>IFERROR(VLOOKUP(VENTAS[[#This Row],[Código del producto Vendido]],STOCK[],16,FALSE)*VENTAS[[#This Row],[Cantidad]]+VLOOKUP(VENTAS[[#This Row],[Código del producto Vendido]],STOCK[],19,FALSE)*VENTAS[[#This Row],[Cantidad]],VENTAS[[#This Row],[Total]])</f>
        <v>78</v>
      </c>
      <c r="L608" s="12">
        <f>VENTAS[[#This Row],[Total]]-VENTAS[[#This Row],[Comisión 10%]]-VENTAS[[#This Row],[Costo SIN Comision]]</f>
        <v>12</v>
      </c>
      <c r="M608" s="12"/>
      <c r="N608" s="16"/>
    </row>
    <row r="609" spans="1:14" ht="20" hidden="1" customHeight="1">
      <c r="A609" s="9" t="s">
        <v>30</v>
      </c>
      <c r="B609" s="10">
        <f>IFERROR(VLOOKUP(VENTAS[[#This Row],[Código del producto Vendido]],STOCK[],25,FALSE),"-")</f>
        <v>0</v>
      </c>
      <c r="C609" s="10"/>
      <c r="D609" s="10"/>
      <c r="E609" s="10" t="s">
        <v>1568</v>
      </c>
      <c r="F609" s="10" t="str">
        <f>IFERROR(VLOOKUP(VENTAS[[#This Row],[Código del producto Vendido]],STOCK[],5,FALSE),"-")</f>
        <v>Blazer azul Rey</v>
      </c>
      <c r="G609" s="10">
        <v>1</v>
      </c>
      <c r="H609" s="12">
        <v>40</v>
      </c>
      <c r="I609" s="12">
        <f>VENTAS[[#This Row],[Cantidad]]*VENTAS[[#This Row],[Precio Venta]]</f>
        <v>40</v>
      </c>
      <c r="J609" s="12">
        <f>IF(VENTAS[[#This Row],[Nombre del Gestor]]&gt;1,VENTAS[[#This Row],[Total]]*10%,0)</f>
        <v>0</v>
      </c>
      <c r="K609" s="12">
        <f>IFERROR(VLOOKUP(VENTAS[[#This Row],[Código del producto Vendido]],STOCK[],16,FALSE)*VENTAS[[#This Row],[Cantidad]]+VLOOKUP(VENTAS[[#This Row],[Código del producto Vendido]],STOCK[],19,FALSE)*VENTAS[[#This Row],[Cantidad]],VENTAS[[#This Row],[Total]])</f>
        <v>20</v>
      </c>
      <c r="L609" s="12">
        <f>VENTAS[[#This Row],[Total]]-VENTAS[[#This Row],[Comisión 10%]]-VENTAS[[#This Row],[Costo SIN Comision]]</f>
        <v>20</v>
      </c>
      <c r="M609" s="12"/>
      <c r="N609" s="16"/>
    </row>
    <row r="610" spans="1:14" ht="20" hidden="1" customHeight="1">
      <c r="A610" s="9" t="s">
        <v>30</v>
      </c>
      <c r="B610" s="10">
        <f>IFERROR(VLOOKUP(VENTAS[[#This Row],[Código del producto Vendido]],STOCK[],25,FALSE),"-")</f>
        <v>0</v>
      </c>
      <c r="C610" s="10"/>
      <c r="D610" s="10"/>
      <c r="E610" s="10" t="s">
        <v>728</v>
      </c>
      <c r="F610" s="10" t="str">
        <f>IFERROR(VLOOKUP(VENTAS[[#This Row],[Código del producto Vendido]],STOCK[],5,FALSE),"-")</f>
        <v>Top acanalado sin mangas</v>
      </c>
      <c r="G610" s="10">
        <v>1</v>
      </c>
      <c r="H610" s="12">
        <v>10</v>
      </c>
      <c r="I610" s="12">
        <f>VENTAS[[#This Row],[Cantidad]]*VENTAS[[#This Row],[Precio Venta]]</f>
        <v>10</v>
      </c>
      <c r="J610" s="12">
        <f>IF(VENTAS[[#This Row],[Nombre del Gestor]]&gt;1,VENTAS[[#This Row],[Total]]*10%,0)</f>
        <v>0</v>
      </c>
      <c r="K610" s="12">
        <f>IFERROR(VLOOKUP(VENTAS[[#This Row],[Código del producto Vendido]],STOCK[],16,FALSE)*VENTAS[[#This Row],[Cantidad]]+VLOOKUP(VENTAS[[#This Row],[Código del producto Vendido]],STOCK[],19,FALSE)*VENTAS[[#This Row],[Cantidad]],VENTAS[[#This Row],[Total]])</f>
        <v>5.0222222222222195</v>
      </c>
      <c r="L610" s="12">
        <f>VENTAS[[#This Row],[Total]]-VENTAS[[#This Row],[Comisión 10%]]-VENTAS[[#This Row],[Costo SIN Comision]]</f>
        <v>4.9777777777777805</v>
      </c>
      <c r="M610" s="12"/>
      <c r="N610" s="16"/>
    </row>
    <row r="611" spans="1:14" ht="20" hidden="1" customHeight="1">
      <c r="A611" s="9" t="s">
        <v>4323</v>
      </c>
      <c r="B611" s="10">
        <f>IFERROR(VLOOKUP(VENTAS[[#This Row],[Código del producto Vendido]],STOCK[],25,FALSE),"-")</f>
        <v>0</v>
      </c>
      <c r="C611" s="10"/>
      <c r="D611" s="10"/>
      <c r="E611" s="10" t="s">
        <v>362</v>
      </c>
      <c r="F611" s="10" t="str">
        <f>IFERROR(VLOOKUP(VENTAS[[#This Row],[Código del producto Vendido]],STOCK[],5,FALSE),"-")</f>
        <v xml:space="preserve">Pantalones tejido de rayas </v>
      </c>
      <c r="G611" s="10">
        <v>1</v>
      </c>
      <c r="H611" s="12">
        <v>30</v>
      </c>
      <c r="I611" s="12">
        <f>VENTAS[[#This Row],[Cantidad]]*VENTAS[[#This Row],[Precio Venta]]</f>
        <v>30</v>
      </c>
      <c r="J611" s="12">
        <f>IF(VENTAS[[#This Row],[Nombre del Gestor]]&gt;1,VENTAS[[#This Row],[Total]]*10%,0)</f>
        <v>0</v>
      </c>
      <c r="K611" s="12">
        <f>IFERROR(VLOOKUP(VENTAS[[#This Row],[Código del producto Vendido]],STOCK[],16,FALSE)*VENTAS[[#This Row],[Cantidad]]+VLOOKUP(VENTAS[[#This Row],[Código del producto Vendido]],STOCK[],19,FALSE)*VENTAS[[#This Row],[Cantidad]],VENTAS[[#This Row],[Total]])</f>
        <v>12.883333333333301</v>
      </c>
      <c r="L611" s="12">
        <f>VENTAS[[#This Row],[Total]]-VENTAS[[#This Row],[Comisión 10%]]-VENTAS[[#This Row],[Costo SIN Comision]]</f>
        <v>17.116666666666699</v>
      </c>
      <c r="M611" s="12"/>
      <c r="N611" s="16"/>
    </row>
    <row r="612" spans="1:14" ht="20" hidden="1" customHeight="1">
      <c r="A612" s="9" t="s">
        <v>4323</v>
      </c>
      <c r="B612" s="10">
        <f>IFERROR(VLOOKUP(VENTAS[[#This Row],[Código del producto Vendido]],STOCK[],25,FALSE),"-")</f>
        <v>0</v>
      </c>
      <c r="C612" s="10"/>
      <c r="D612" s="10" t="s">
        <v>4324</v>
      </c>
      <c r="E612" s="10" t="s">
        <v>154</v>
      </c>
      <c r="F612" s="10" t="str">
        <f>IFERROR(VLOOKUP(VENTAS[[#This Row],[Código del producto Vendido]],STOCK[],5,FALSE),"-")</f>
        <v>Jeans de pierna recta desgarro</v>
      </c>
      <c r="G612" s="10">
        <v>1</v>
      </c>
      <c r="H612" s="12">
        <v>30</v>
      </c>
      <c r="I612" s="12">
        <f>VENTAS[[#This Row],[Cantidad]]*VENTAS[[#This Row],[Precio Venta]]</f>
        <v>30</v>
      </c>
      <c r="J612" s="12">
        <f>IF(VENTAS[[#This Row],[Nombre del Gestor]]&gt;1,VENTAS[[#This Row],[Total]]*10%,0)</f>
        <v>3</v>
      </c>
      <c r="K612" s="12">
        <f>IFERROR(VLOOKUP(VENTAS[[#This Row],[Código del producto Vendido]],STOCK[],16,FALSE)*VENTAS[[#This Row],[Cantidad]]+VLOOKUP(VENTAS[[#This Row],[Código del producto Vendido]],STOCK[],19,FALSE)*VENTAS[[#This Row],[Cantidad]],VENTAS[[#This Row],[Total]])</f>
        <v>18.686666666666667</v>
      </c>
      <c r="L612" s="12">
        <f>VENTAS[[#This Row],[Total]]-VENTAS[[#This Row],[Comisión 10%]]-VENTAS[[#This Row],[Costo SIN Comision]]</f>
        <v>8.3133333333333326</v>
      </c>
      <c r="M612" s="12"/>
      <c r="N612" s="16"/>
    </row>
    <row r="613" spans="1:14" ht="20" hidden="1" customHeight="1">
      <c r="A613" s="9" t="s">
        <v>4323</v>
      </c>
      <c r="B613" s="10">
        <f>IFERROR(VLOOKUP(VENTAS[[#This Row],[Código del producto Vendido]],STOCK[],25,FALSE),"-")</f>
        <v>0</v>
      </c>
      <c r="C613" s="10"/>
      <c r="D613" s="10"/>
      <c r="E613" s="10" t="s">
        <v>154</v>
      </c>
      <c r="F613" s="10" t="str">
        <f>IFERROR(VLOOKUP(VENTAS[[#This Row],[Código del producto Vendido]],STOCK[],5,FALSE),"-")</f>
        <v>Jeans de pierna recta desgarro</v>
      </c>
      <c r="G613" s="10">
        <v>1</v>
      </c>
      <c r="H613" s="12">
        <v>30</v>
      </c>
      <c r="I613" s="12">
        <f>VENTAS[[#This Row],[Cantidad]]*VENTAS[[#This Row],[Precio Venta]]</f>
        <v>30</v>
      </c>
      <c r="J613" s="12">
        <f>IF(VENTAS[[#This Row],[Nombre del Gestor]]&gt;1,VENTAS[[#This Row],[Total]]*10%,0)</f>
        <v>0</v>
      </c>
      <c r="K613" s="12">
        <f>IFERROR(VLOOKUP(VENTAS[[#This Row],[Código del producto Vendido]],STOCK[],16,FALSE)*VENTAS[[#This Row],[Cantidad]]+VLOOKUP(VENTAS[[#This Row],[Código del producto Vendido]],STOCK[],19,FALSE)*VENTAS[[#This Row],[Cantidad]],VENTAS[[#This Row],[Total]])</f>
        <v>18.686666666666667</v>
      </c>
      <c r="L613" s="12">
        <f>VENTAS[[#This Row],[Total]]-VENTAS[[#This Row],[Comisión 10%]]-VENTAS[[#This Row],[Costo SIN Comision]]</f>
        <v>11.313333333333333</v>
      </c>
      <c r="M613" s="12"/>
      <c r="N613" s="16"/>
    </row>
    <row r="614" spans="1:14" ht="20" hidden="1" customHeight="1">
      <c r="A614" s="9" t="s">
        <v>4323</v>
      </c>
      <c r="B614" s="10" t="str">
        <f>IFERROR(VLOOKUP(VENTAS[[#This Row],[Código del producto Vendido]],STOCK[],25,FALSE),"-")</f>
        <v>Yenma 19 Mayo</v>
      </c>
      <c r="C614" s="10"/>
      <c r="D614" s="10" t="s">
        <v>4324</v>
      </c>
      <c r="E614" s="10" t="s">
        <v>264</v>
      </c>
      <c r="F614" s="10" t="str">
        <f>IFERROR(VLOOKUP(VENTAS[[#This Row],[Código del producto Vendido]],STOCK[],5,FALSE),"-")</f>
        <v>Blusas Botón Floral Casual</v>
      </c>
      <c r="G614" s="10">
        <v>1</v>
      </c>
      <c r="H614" s="12">
        <v>14</v>
      </c>
      <c r="I614" s="12">
        <f>VENTAS[[#This Row],[Cantidad]]*VENTAS[[#This Row],[Precio Venta]]</f>
        <v>14</v>
      </c>
      <c r="J614" s="12">
        <f>IF(VENTAS[[#This Row],[Nombre del Gestor]]&gt;1,VENTAS[[#This Row],[Total]]*10%,0)</f>
        <v>1.4000000000000001</v>
      </c>
      <c r="K614" s="12">
        <f>IFERROR(VLOOKUP(VENTAS[[#This Row],[Código del producto Vendido]],STOCK[],16,FALSE)*VENTAS[[#This Row],[Cantidad]]+VLOOKUP(VENTAS[[#This Row],[Código del producto Vendido]],STOCK[],19,FALSE)*VENTAS[[#This Row],[Cantidad]],VENTAS[[#This Row],[Total]])</f>
        <v>8.2622222222222206</v>
      </c>
      <c r="L614" s="12">
        <f>VENTAS[[#This Row],[Total]]-VENTAS[[#This Row],[Comisión 10%]]-VENTAS[[#This Row],[Costo SIN Comision]]</f>
        <v>4.3377777777777791</v>
      </c>
      <c r="M614" s="12"/>
      <c r="N614" s="16"/>
    </row>
    <row r="615" spans="1:14" ht="20" hidden="1" customHeight="1">
      <c r="A615" s="9" t="s">
        <v>4323</v>
      </c>
      <c r="B615" s="10" t="str">
        <f>IFERROR(VLOOKUP(VENTAS[[#This Row],[Código del producto Vendido]],STOCK[],25,FALSE),"-")</f>
        <v>Recibido Freddy 12Mayo</v>
      </c>
      <c r="C615" s="10"/>
      <c r="D615" s="10"/>
      <c r="E615" s="10" t="s">
        <v>903</v>
      </c>
      <c r="F615" s="10" t="str">
        <f>IFERROR(VLOOKUP(VENTAS[[#This Row],[Código del producto Vendido]],STOCK[],5,FALSE),"-")</f>
        <v>Maxi Vestido Fruncido</v>
      </c>
      <c r="G615" s="10">
        <v>1</v>
      </c>
      <c r="H615" s="12">
        <v>35</v>
      </c>
      <c r="I615" s="12">
        <f>VENTAS[[#This Row],[Cantidad]]*VENTAS[[#This Row],[Precio Venta]]</f>
        <v>35</v>
      </c>
      <c r="J615" s="12">
        <f>IF(VENTAS[[#This Row],[Nombre del Gestor]]&gt;1,VENTAS[[#This Row],[Total]]*10%,0)</f>
        <v>0</v>
      </c>
      <c r="K615" s="12">
        <f>IFERROR(VLOOKUP(VENTAS[[#This Row],[Código del producto Vendido]],STOCK[],16,FALSE)*VENTAS[[#This Row],[Cantidad]]+VLOOKUP(VENTAS[[#This Row],[Código del producto Vendido]],STOCK[],19,FALSE)*VENTAS[[#This Row],[Cantidad]],VENTAS[[#This Row],[Total]])</f>
        <v>21.456363636363598</v>
      </c>
      <c r="L615" s="12">
        <f>VENTAS[[#This Row],[Total]]-VENTAS[[#This Row],[Comisión 10%]]-VENTAS[[#This Row],[Costo SIN Comision]]</f>
        <v>13.543636363636402</v>
      </c>
      <c r="M615" s="12"/>
      <c r="N615" s="16"/>
    </row>
    <row r="616" spans="1:14" ht="20" hidden="1" customHeight="1">
      <c r="A616" s="9" t="s">
        <v>4323</v>
      </c>
      <c r="B616" s="10">
        <f>IFERROR(VLOOKUP(VENTAS[[#This Row],[Código del producto Vendido]],STOCK[],25,FALSE),"-")</f>
        <v>0</v>
      </c>
      <c r="C616" s="10"/>
      <c r="D616" s="10"/>
      <c r="E616" s="10" t="s">
        <v>963</v>
      </c>
      <c r="F616" s="10" t="str">
        <f>IFERROR(VLOOKUP(VENTAS[[#This Row],[Código del producto Vendido]],STOCK[],5,FALSE),"-")</f>
        <v>Pantalón business básico</v>
      </c>
      <c r="G616" s="10">
        <v>1</v>
      </c>
      <c r="H616" s="12">
        <v>28</v>
      </c>
      <c r="I616" s="12">
        <f>VENTAS[[#This Row],[Cantidad]]*VENTAS[[#This Row],[Precio Venta]]</f>
        <v>28</v>
      </c>
      <c r="J616" s="12">
        <f>IF(VENTAS[[#This Row],[Nombre del Gestor]]&gt;1,VENTAS[[#This Row],[Total]]*10%,0)</f>
        <v>0</v>
      </c>
      <c r="K616" s="12">
        <f>IFERROR(VLOOKUP(VENTAS[[#This Row],[Código del producto Vendido]],STOCK[],16,FALSE)*VENTAS[[#This Row],[Cantidad]]+VLOOKUP(VENTAS[[#This Row],[Código del producto Vendido]],STOCK[],19,FALSE)*VENTAS[[#This Row],[Cantidad]],VENTAS[[#This Row],[Total]])</f>
        <v>21.372272727272701</v>
      </c>
      <c r="L616" s="12">
        <f>VENTAS[[#This Row],[Total]]-VENTAS[[#This Row],[Comisión 10%]]-VENTAS[[#This Row],[Costo SIN Comision]]</f>
        <v>6.6277272727272987</v>
      </c>
      <c r="M616" s="12"/>
      <c r="N616" s="16"/>
    </row>
    <row r="617" spans="1:14" ht="20" hidden="1" customHeight="1">
      <c r="A617" s="9" t="s">
        <v>4323</v>
      </c>
      <c r="B617" s="10" t="str">
        <f>IFERROR(VLOOKUP(VENTAS[[#This Row],[Código del producto Vendido]],STOCK[],25,FALSE),"-")</f>
        <v>Recibido Freddy 12 junio</v>
      </c>
      <c r="C617" s="10"/>
      <c r="D617" s="10"/>
      <c r="E617" s="10" t="s">
        <v>1084</v>
      </c>
      <c r="F617" s="10" t="str">
        <f>IFERROR(VLOOKUP(VENTAS[[#This Row],[Código del producto Vendido]],STOCK[],5,FALSE),"-")</f>
        <v>Camisero blanco con pinzas</v>
      </c>
      <c r="G617" s="10">
        <v>1</v>
      </c>
      <c r="H617" s="12">
        <v>25</v>
      </c>
      <c r="I617" s="12">
        <f>VENTAS[[#This Row],[Cantidad]]*VENTAS[[#This Row],[Precio Venta]]</f>
        <v>25</v>
      </c>
      <c r="J617" s="12">
        <f>IF(VENTAS[[#This Row],[Nombre del Gestor]]&gt;1,VENTAS[[#This Row],[Total]]*10%,0)</f>
        <v>0</v>
      </c>
      <c r="K617" s="12">
        <f>IFERROR(VLOOKUP(VENTAS[[#This Row],[Código del producto Vendido]],STOCK[],16,FALSE)*VENTAS[[#This Row],[Cantidad]]+VLOOKUP(VENTAS[[#This Row],[Código del producto Vendido]],STOCK[],19,FALSE)*VENTAS[[#This Row],[Cantidad]],VENTAS[[#This Row],[Total]])</f>
        <v>16.8</v>
      </c>
      <c r="L617" s="12">
        <f>VENTAS[[#This Row],[Total]]-VENTAS[[#This Row],[Comisión 10%]]-VENTAS[[#This Row],[Costo SIN Comision]]</f>
        <v>8.1999999999999993</v>
      </c>
      <c r="M617" s="12"/>
      <c r="N617" s="16"/>
    </row>
    <row r="618" spans="1:14" ht="20" hidden="1" customHeight="1">
      <c r="A618" s="9" t="s">
        <v>4323</v>
      </c>
      <c r="B618" s="10" t="str">
        <f>IFERROR(VLOOKUP(VENTAS[[#This Row],[Código del producto Vendido]],STOCK[],25,FALSE),"-")</f>
        <v>Viaje Agosto</v>
      </c>
      <c r="C618" s="10"/>
      <c r="D618" s="10"/>
      <c r="E618" s="10" t="s">
        <v>1211</v>
      </c>
      <c r="F618" s="10" t="str">
        <f>IFERROR(VLOOKUP(VENTAS[[#This Row],[Código del producto Vendido]],STOCK[],5,FALSE),"-")</f>
        <v>Falda negra con flores y abertura</v>
      </c>
      <c r="G618" s="10">
        <v>1</v>
      </c>
      <c r="H618" s="12">
        <v>19</v>
      </c>
      <c r="I618" s="12">
        <f>VENTAS[[#This Row],[Cantidad]]*VENTAS[[#This Row],[Precio Venta]]</f>
        <v>19</v>
      </c>
      <c r="J618" s="12">
        <f>IF(VENTAS[[#This Row],[Nombre del Gestor]]&gt;1,VENTAS[[#This Row],[Total]]*10%,0)</f>
        <v>0</v>
      </c>
      <c r="K618" s="12">
        <f>IFERROR(VLOOKUP(VENTAS[[#This Row],[Código del producto Vendido]],STOCK[],16,FALSE)*VENTAS[[#This Row],[Cantidad]]+VLOOKUP(VENTAS[[#This Row],[Código del producto Vendido]],STOCK[],19,FALSE)*VENTAS[[#This Row],[Cantidad]],VENTAS[[#This Row],[Total]])</f>
        <v>10.77</v>
      </c>
      <c r="L618" s="12">
        <f>VENTAS[[#This Row],[Total]]-VENTAS[[#This Row],[Comisión 10%]]-VENTAS[[#This Row],[Costo SIN Comision]]</f>
        <v>8.23</v>
      </c>
      <c r="M618" s="12"/>
      <c r="N618" s="16"/>
    </row>
    <row r="619" spans="1:14" ht="20" hidden="1" customHeight="1">
      <c r="A619" s="9" t="s">
        <v>4323</v>
      </c>
      <c r="B619" s="10" t="str">
        <f>IFERROR(VLOOKUP(VENTAS[[#This Row],[Código del producto Vendido]],STOCK[],25,FALSE),"-")</f>
        <v>Recibido Freddy 24Mayo</v>
      </c>
      <c r="C619" s="10"/>
      <c r="D619" s="10"/>
      <c r="E619" s="10" t="s">
        <v>1018</v>
      </c>
      <c r="F619" s="10" t="str">
        <f>IFERROR(VLOOKUP(VENTAS[[#This Row],[Código del producto Vendido]],STOCK[],5,FALSE),"-")</f>
        <v>Top Dreamer Negro</v>
      </c>
      <c r="G619" s="10">
        <v>1</v>
      </c>
      <c r="H619" s="12">
        <v>12</v>
      </c>
      <c r="I619" s="12">
        <f>VENTAS[[#This Row],[Cantidad]]*VENTAS[[#This Row],[Precio Venta]]</f>
        <v>12</v>
      </c>
      <c r="J619" s="12">
        <f>IF(VENTAS[[#This Row],[Nombre del Gestor]]&gt;1,VENTAS[[#This Row],[Total]]*10%,0)</f>
        <v>0</v>
      </c>
      <c r="K619" s="12">
        <f>IFERROR(VLOOKUP(VENTAS[[#This Row],[Código del producto Vendido]],STOCK[],16,FALSE)*VENTAS[[#This Row],[Cantidad]]+VLOOKUP(VENTAS[[#This Row],[Código del producto Vendido]],STOCK[],19,FALSE)*VENTAS[[#This Row],[Cantidad]],VENTAS[[#This Row],[Total]])</f>
        <v>7.1568181818181795</v>
      </c>
      <c r="L619" s="12">
        <f>VENTAS[[#This Row],[Total]]-VENTAS[[#This Row],[Comisión 10%]]-VENTAS[[#This Row],[Costo SIN Comision]]</f>
        <v>4.8431818181818205</v>
      </c>
      <c r="M619" s="12"/>
      <c r="N619" s="16"/>
    </row>
    <row r="620" spans="1:14" ht="20" hidden="1" customHeight="1">
      <c r="A620" s="9" t="s">
        <v>4323</v>
      </c>
      <c r="B620" s="10" t="str">
        <f>IFERROR(VLOOKUP(VENTAS[[#This Row],[Código del producto Vendido]],STOCK[],25,FALSE),"-")</f>
        <v>Viaje Agosto</v>
      </c>
      <c r="C620" s="10"/>
      <c r="D620" s="10"/>
      <c r="E620" s="10" t="s">
        <v>1264</v>
      </c>
      <c r="F620" s="10" t="str">
        <f>IFERROR(VLOOKUP(VENTAS[[#This Row],[Código del producto Vendido]],STOCK[],5,FALSE),"-")</f>
        <v>Maxi vestido playero naranja quemada</v>
      </c>
      <c r="G620" s="10">
        <v>2</v>
      </c>
      <c r="H620" s="12">
        <v>35</v>
      </c>
      <c r="I620" s="12">
        <f>VENTAS[[#This Row],[Cantidad]]*VENTAS[[#This Row],[Precio Venta]]</f>
        <v>70</v>
      </c>
      <c r="J620" s="12">
        <f>IF(VENTAS[[#This Row],[Nombre del Gestor]]&gt;1,VENTAS[[#This Row],[Total]]*10%,0)</f>
        <v>0</v>
      </c>
      <c r="K620" s="12">
        <f>IFERROR(VLOOKUP(VENTAS[[#This Row],[Código del producto Vendido]],STOCK[],16,FALSE)*VENTAS[[#This Row],[Cantidad]]+VLOOKUP(VENTAS[[#This Row],[Código del producto Vendido]],STOCK[],19,FALSE)*VENTAS[[#This Row],[Cantidad]],VENTAS[[#This Row],[Total]])</f>
        <v>47.9</v>
      </c>
      <c r="L620" s="12">
        <f>VENTAS[[#This Row],[Total]]-VENTAS[[#This Row],[Comisión 10%]]-VENTAS[[#This Row],[Costo SIN Comision]]</f>
        <v>22.1</v>
      </c>
      <c r="M620" s="12"/>
      <c r="N620" s="16"/>
    </row>
    <row r="621" spans="1:14" ht="20" hidden="1" customHeight="1">
      <c r="A621" s="9" t="s">
        <v>4323</v>
      </c>
      <c r="B621" s="10">
        <f>IFERROR(VLOOKUP(VENTAS[[#This Row],[Código del producto Vendido]],STOCK[],25,FALSE),"-")</f>
        <v>0</v>
      </c>
      <c r="C621" s="10"/>
      <c r="D621" s="10"/>
      <c r="E621" s="10" t="s">
        <v>1315</v>
      </c>
      <c r="F621" s="10" t="str">
        <f>IFERROR(VLOOKUP(VENTAS[[#This Row],[Código del producto Vendido]],STOCK[],5,FALSE),"-")</f>
        <v>Blazer Crema</v>
      </c>
      <c r="G621" s="10">
        <v>1</v>
      </c>
      <c r="H621" s="12">
        <v>40</v>
      </c>
      <c r="I621" s="12">
        <f>VENTAS[[#This Row],[Cantidad]]*VENTAS[[#This Row],[Precio Venta]]</f>
        <v>40</v>
      </c>
      <c r="J621" s="12">
        <f>IF(VENTAS[[#This Row],[Nombre del Gestor]]&gt;1,VENTAS[[#This Row],[Total]]*10%,0)</f>
        <v>0</v>
      </c>
      <c r="K621" s="12">
        <f>IFERROR(VLOOKUP(VENTAS[[#This Row],[Código del producto Vendido]],STOCK[],16,FALSE)*VENTAS[[#This Row],[Cantidad]]+VLOOKUP(VENTAS[[#This Row],[Código del producto Vendido]],STOCK[],19,FALSE)*VENTAS[[#This Row],[Cantidad]],VENTAS[[#This Row],[Total]])</f>
        <v>30</v>
      </c>
      <c r="L621" s="12">
        <f>VENTAS[[#This Row],[Total]]-VENTAS[[#This Row],[Comisión 10%]]-VENTAS[[#This Row],[Costo SIN Comision]]</f>
        <v>10</v>
      </c>
      <c r="M621" s="12"/>
      <c r="N621" s="16"/>
    </row>
    <row r="622" spans="1:14" ht="20" hidden="1" customHeight="1">
      <c r="A622" s="9" t="s">
        <v>4323</v>
      </c>
      <c r="B622" s="10">
        <f>IFERROR(VLOOKUP(VENTAS[[#This Row],[Código del producto Vendido]],STOCK[],25,FALSE),"-")</f>
        <v>0</v>
      </c>
      <c r="C622" s="10"/>
      <c r="D622" s="10"/>
      <c r="E622" s="10" t="s">
        <v>1326</v>
      </c>
      <c r="F622" s="10" t="str">
        <f>IFERROR(VLOOKUP(VENTAS[[#This Row],[Código del producto Vendido]],STOCK[],5,FALSE),"-")</f>
        <v xml:space="preserve">Camisa Blanca </v>
      </c>
      <c r="G622" s="10">
        <v>1</v>
      </c>
      <c r="H622" s="12">
        <v>25</v>
      </c>
      <c r="I622" s="12">
        <f>VENTAS[[#This Row],[Cantidad]]*VENTAS[[#This Row],[Precio Venta]]</f>
        <v>25</v>
      </c>
      <c r="J622" s="12">
        <f>IF(VENTAS[[#This Row],[Nombre del Gestor]]&gt;1,VENTAS[[#This Row],[Total]]*10%,0)</f>
        <v>0</v>
      </c>
      <c r="K622" s="12">
        <f>IFERROR(VLOOKUP(VENTAS[[#This Row],[Código del producto Vendido]],STOCK[],16,FALSE)*VENTAS[[#This Row],[Cantidad]]+VLOOKUP(VENTAS[[#This Row],[Código del producto Vendido]],STOCK[],19,FALSE)*VENTAS[[#This Row],[Cantidad]],VENTAS[[#This Row],[Total]])</f>
        <v>19</v>
      </c>
      <c r="L622" s="12">
        <f>VENTAS[[#This Row],[Total]]-VENTAS[[#This Row],[Comisión 10%]]-VENTAS[[#This Row],[Costo SIN Comision]]</f>
        <v>6</v>
      </c>
      <c r="M622" s="12"/>
      <c r="N622" s="16"/>
    </row>
    <row r="623" spans="1:14" ht="20" hidden="1" customHeight="1">
      <c r="A623" s="9" t="s">
        <v>4323</v>
      </c>
      <c r="B623" s="10">
        <f>IFERROR(VLOOKUP(VENTAS[[#This Row],[Código del producto Vendido]],STOCK[],25,FALSE),"-")</f>
        <v>0</v>
      </c>
      <c r="C623" s="10"/>
      <c r="D623" s="10"/>
      <c r="E623" s="10" t="s">
        <v>1337</v>
      </c>
      <c r="F623" s="10" t="str">
        <f>IFERROR(VLOOKUP(VENTAS[[#This Row],[Código del producto Vendido]],STOCK[],5,FALSE),"-")</f>
        <v>Blusa Camisa de puño largo</v>
      </c>
      <c r="G623" s="10">
        <v>2</v>
      </c>
      <c r="H623" s="12">
        <v>25</v>
      </c>
      <c r="I623" s="12">
        <f>VENTAS[[#This Row],[Cantidad]]*VENTAS[[#This Row],[Precio Venta]]</f>
        <v>50</v>
      </c>
      <c r="J623" s="12">
        <f>IF(VENTAS[[#This Row],[Nombre del Gestor]]&gt;1,VENTAS[[#This Row],[Total]]*10%,0)</f>
        <v>0</v>
      </c>
      <c r="K623" s="12">
        <f>IFERROR(VLOOKUP(VENTAS[[#This Row],[Código del producto Vendido]],STOCK[],16,FALSE)*VENTAS[[#This Row],[Cantidad]]+VLOOKUP(VENTAS[[#This Row],[Código del producto Vendido]],STOCK[],19,FALSE)*VENTAS[[#This Row],[Cantidad]],VENTAS[[#This Row],[Total]])</f>
        <v>32.74</v>
      </c>
      <c r="L623" s="12">
        <f>VENTAS[[#This Row],[Total]]-VENTAS[[#This Row],[Comisión 10%]]-VENTAS[[#This Row],[Costo SIN Comision]]</f>
        <v>17.259999999999998</v>
      </c>
      <c r="M623" s="12"/>
      <c r="N623" s="16"/>
    </row>
    <row r="624" spans="1:14" ht="20" hidden="1" customHeight="1">
      <c r="A624" s="9" t="s">
        <v>4323</v>
      </c>
      <c r="B624" s="10">
        <f>IFERROR(VLOOKUP(VENTAS[[#This Row],[Código del producto Vendido]],STOCK[],25,FALSE),"-")</f>
        <v>0</v>
      </c>
      <c r="C624" s="10"/>
      <c r="D624" s="10"/>
      <c r="E624" s="10" t="s">
        <v>1339</v>
      </c>
      <c r="F624" s="10" t="str">
        <f>IFERROR(VLOOKUP(VENTAS[[#This Row],[Código del producto Vendido]],STOCK[],5,FALSE),"-")</f>
        <v>Blusa camisa de puño largo</v>
      </c>
      <c r="G624" s="10">
        <v>1</v>
      </c>
      <c r="H624" s="12">
        <v>25</v>
      </c>
      <c r="I624" s="12">
        <f>VENTAS[[#This Row],[Cantidad]]*VENTAS[[#This Row],[Precio Venta]]</f>
        <v>25</v>
      </c>
      <c r="J624" s="12">
        <f>IF(VENTAS[[#This Row],[Nombre del Gestor]]&gt;1,VENTAS[[#This Row],[Total]]*10%,0)</f>
        <v>0</v>
      </c>
      <c r="K624" s="12">
        <f>IFERROR(VLOOKUP(VENTAS[[#This Row],[Código del producto Vendido]],STOCK[],16,FALSE)*VENTAS[[#This Row],[Cantidad]]+VLOOKUP(VENTAS[[#This Row],[Código del producto Vendido]],STOCK[],19,FALSE)*VENTAS[[#This Row],[Cantidad]],VENTAS[[#This Row],[Total]])</f>
        <v>16.37</v>
      </c>
      <c r="L624" s="12">
        <f>VENTAS[[#This Row],[Total]]-VENTAS[[#This Row],[Comisión 10%]]-VENTAS[[#This Row],[Costo SIN Comision]]</f>
        <v>8.629999999999999</v>
      </c>
      <c r="M624" s="12"/>
      <c r="N624" s="16"/>
    </row>
    <row r="625" spans="1:14" ht="20" hidden="1" customHeight="1">
      <c r="A625" s="9" t="s">
        <v>4323</v>
      </c>
      <c r="B625" s="10">
        <f>IFERROR(VLOOKUP(VENTAS[[#This Row],[Código del producto Vendido]],STOCK[],25,FALSE),"-")</f>
        <v>0</v>
      </c>
      <c r="C625" s="10"/>
      <c r="D625" s="10"/>
      <c r="E625" s="10" t="s">
        <v>1341</v>
      </c>
      <c r="F625" s="10" t="str">
        <f>IFERROR(VLOOKUP(VENTAS[[#This Row],[Código del producto Vendido]],STOCK[],5,FALSE),"-")</f>
        <v>Camisa entallada dazy</v>
      </c>
      <c r="G625" s="10">
        <v>2</v>
      </c>
      <c r="H625" s="12">
        <v>25</v>
      </c>
      <c r="I625" s="12">
        <f>VENTAS[[#This Row],[Cantidad]]*VENTAS[[#This Row],[Precio Venta]]</f>
        <v>50</v>
      </c>
      <c r="J625" s="12">
        <f>IF(VENTAS[[#This Row],[Nombre del Gestor]]&gt;1,VENTAS[[#This Row],[Total]]*10%,0)</f>
        <v>0</v>
      </c>
      <c r="K625" s="12">
        <f>IFERROR(VLOOKUP(VENTAS[[#This Row],[Código del producto Vendido]],STOCK[],16,FALSE)*VENTAS[[#This Row],[Cantidad]]+VLOOKUP(VENTAS[[#This Row],[Código del producto Vendido]],STOCK[],19,FALSE)*VENTAS[[#This Row],[Cantidad]],VENTAS[[#This Row],[Total]])</f>
        <v>31.299999999999997</v>
      </c>
      <c r="L625" s="12">
        <f>VENTAS[[#This Row],[Total]]-VENTAS[[#This Row],[Comisión 10%]]-VENTAS[[#This Row],[Costo SIN Comision]]</f>
        <v>18.700000000000003</v>
      </c>
      <c r="M625" s="12"/>
      <c r="N625" s="16"/>
    </row>
    <row r="626" spans="1:14" ht="20" hidden="1" customHeight="1">
      <c r="A626" s="9" t="s">
        <v>4323</v>
      </c>
      <c r="B626" s="10">
        <f>IFERROR(VLOOKUP(VENTAS[[#This Row],[Código del producto Vendido]],STOCK[],25,FALSE),"-")</f>
        <v>0</v>
      </c>
      <c r="C626" s="10"/>
      <c r="D626" s="10"/>
      <c r="E626" s="10" t="s">
        <v>1343</v>
      </c>
      <c r="F626" s="10" t="str">
        <f>IFERROR(VLOOKUP(VENTAS[[#This Row],[Código del producto Vendido]],STOCK[],5,FALSE),"-")</f>
        <v>Camisa entallada dazy</v>
      </c>
      <c r="G626" s="10">
        <v>2</v>
      </c>
      <c r="H626" s="12">
        <v>25</v>
      </c>
      <c r="I626" s="12">
        <f>VENTAS[[#This Row],[Cantidad]]*VENTAS[[#This Row],[Precio Venta]]</f>
        <v>50</v>
      </c>
      <c r="J626" s="12">
        <f>IF(VENTAS[[#This Row],[Nombre del Gestor]]&gt;1,VENTAS[[#This Row],[Total]]*10%,0)</f>
        <v>0</v>
      </c>
      <c r="K626" s="12">
        <f>IFERROR(VLOOKUP(VENTAS[[#This Row],[Código del producto Vendido]],STOCK[],16,FALSE)*VENTAS[[#This Row],[Cantidad]]+VLOOKUP(VENTAS[[#This Row],[Código del producto Vendido]],STOCK[],19,FALSE)*VENTAS[[#This Row],[Cantidad]],VENTAS[[#This Row],[Total]])</f>
        <v>31.299999999999997</v>
      </c>
      <c r="L626" s="12">
        <f>VENTAS[[#This Row],[Total]]-VENTAS[[#This Row],[Comisión 10%]]-VENTAS[[#This Row],[Costo SIN Comision]]</f>
        <v>18.700000000000003</v>
      </c>
      <c r="M626" s="12"/>
      <c r="N626" s="16"/>
    </row>
    <row r="627" spans="1:14" ht="20" hidden="1" customHeight="1">
      <c r="A627" s="9" t="s">
        <v>4323</v>
      </c>
      <c r="B627" s="10">
        <f>IFERROR(VLOOKUP(VENTAS[[#This Row],[Código del producto Vendido]],STOCK[],25,FALSE),"-")</f>
        <v>0</v>
      </c>
      <c r="C627" s="10"/>
      <c r="D627" s="10"/>
      <c r="E627" s="10" t="s">
        <v>1390</v>
      </c>
      <c r="F627" s="10" t="str">
        <f>IFERROR(VLOOKUP(VENTAS[[#This Row],[Código del producto Vendido]],STOCK[],5,FALSE),"-")</f>
        <v>Playera negra de cuello cisne</v>
      </c>
      <c r="G627" s="10">
        <v>1</v>
      </c>
      <c r="H627" s="12">
        <v>18</v>
      </c>
      <c r="I627" s="12">
        <f>VENTAS[[#This Row],[Cantidad]]*VENTAS[[#This Row],[Precio Venta]]</f>
        <v>18</v>
      </c>
      <c r="J627" s="12">
        <f>IF(VENTAS[[#This Row],[Nombre del Gestor]]&gt;1,VENTAS[[#This Row],[Total]]*10%,0)</f>
        <v>0</v>
      </c>
      <c r="K627" s="12">
        <f>IFERROR(VLOOKUP(VENTAS[[#This Row],[Código del producto Vendido]],STOCK[],16,FALSE)*VENTAS[[#This Row],[Cantidad]]+VLOOKUP(VENTAS[[#This Row],[Código del producto Vendido]],STOCK[],19,FALSE)*VENTAS[[#This Row],[Cantidad]],VENTAS[[#This Row],[Total]])</f>
        <v>11.32</v>
      </c>
      <c r="L627" s="12">
        <f>VENTAS[[#This Row],[Total]]-VENTAS[[#This Row],[Comisión 10%]]-VENTAS[[#This Row],[Costo SIN Comision]]</f>
        <v>6.68</v>
      </c>
      <c r="M627" s="12"/>
      <c r="N627" s="16"/>
    </row>
    <row r="628" spans="1:14" ht="20" hidden="1" customHeight="1">
      <c r="A628" s="9" t="s">
        <v>4323</v>
      </c>
      <c r="B628" s="10">
        <f>IFERROR(VLOOKUP(VENTAS[[#This Row],[Código del producto Vendido]],STOCK[],25,FALSE),"-")</f>
        <v>0</v>
      </c>
      <c r="C628" s="10"/>
      <c r="D628" s="10"/>
      <c r="E628" s="10" t="s">
        <v>1394</v>
      </c>
      <c r="F628" s="10" t="str">
        <f>IFERROR(VLOOKUP(VENTAS[[#This Row],[Código del producto Vendido]],STOCK[],5,FALSE),"-")</f>
        <v>Playera negra de cuello cisne</v>
      </c>
      <c r="G628" s="10">
        <v>1</v>
      </c>
      <c r="H628" s="12">
        <v>18</v>
      </c>
      <c r="I628" s="12">
        <f>VENTAS[[#This Row],[Cantidad]]*VENTAS[[#This Row],[Precio Venta]]</f>
        <v>18</v>
      </c>
      <c r="J628" s="12">
        <f>IF(VENTAS[[#This Row],[Nombre del Gestor]]&gt;1,VENTAS[[#This Row],[Total]]*10%,0)</f>
        <v>0</v>
      </c>
      <c r="K628" s="12">
        <f>IFERROR(VLOOKUP(VENTAS[[#This Row],[Código del producto Vendido]],STOCK[],16,FALSE)*VENTAS[[#This Row],[Cantidad]]+VLOOKUP(VENTAS[[#This Row],[Código del producto Vendido]],STOCK[],19,FALSE)*VENTAS[[#This Row],[Cantidad]],VENTAS[[#This Row],[Total]])</f>
        <v>11.32</v>
      </c>
      <c r="L628" s="12">
        <f>VENTAS[[#This Row],[Total]]-VENTAS[[#This Row],[Comisión 10%]]-VENTAS[[#This Row],[Costo SIN Comision]]</f>
        <v>6.68</v>
      </c>
      <c r="M628" s="12"/>
      <c r="N628" s="16"/>
    </row>
    <row r="629" spans="1:14" ht="20" hidden="1" customHeight="1">
      <c r="A629" s="9" t="s">
        <v>4323</v>
      </c>
      <c r="B629" s="10" t="str">
        <f>IFERROR(VLOOKUP(VENTAS[[#This Row],[Código del producto Vendido]],STOCK[],25,FALSE),"-")</f>
        <v>Compra 11 dic 2023</v>
      </c>
      <c r="C629" s="10"/>
      <c r="D629" s="10"/>
      <c r="E629" s="10" t="s">
        <v>1404</v>
      </c>
      <c r="F629" s="10" t="str">
        <f>IFERROR(VLOOKUP(VENTAS[[#This Row],[Código del producto Vendido]],STOCK[],5,FALSE),"-")</f>
        <v>Top bustier corsetero</v>
      </c>
      <c r="G629" s="10">
        <v>1</v>
      </c>
      <c r="H629" s="12">
        <v>22</v>
      </c>
      <c r="I629" s="12">
        <f>VENTAS[[#This Row],[Cantidad]]*VENTAS[[#This Row],[Precio Venta]]</f>
        <v>22</v>
      </c>
      <c r="J629" s="12">
        <f>IF(VENTAS[[#This Row],[Nombre del Gestor]]&gt;1,VENTAS[[#This Row],[Total]]*10%,0)</f>
        <v>0</v>
      </c>
      <c r="K629" s="12">
        <f>IFERROR(VLOOKUP(VENTAS[[#This Row],[Código del producto Vendido]],STOCK[],16,FALSE)*VENTAS[[#This Row],[Cantidad]]+VLOOKUP(VENTAS[[#This Row],[Código del producto Vendido]],STOCK[],19,FALSE)*VENTAS[[#This Row],[Cantidad]],VENTAS[[#This Row],[Total]])</f>
        <v>5.5</v>
      </c>
      <c r="L629" s="12">
        <f>VENTAS[[#This Row],[Total]]-VENTAS[[#This Row],[Comisión 10%]]-VENTAS[[#This Row],[Costo SIN Comision]]</f>
        <v>16.5</v>
      </c>
      <c r="M629" s="12"/>
      <c r="N629" s="16"/>
    </row>
    <row r="630" spans="1:14" ht="20" hidden="1" customHeight="1">
      <c r="A630" s="9" t="s">
        <v>4323</v>
      </c>
      <c r="B630" s="10">
        <f>IFERROR(VLOOKUP(VENTAS[[#This Row],[Código del producto Vendido]],STOCK[],25,FALSE),"-")</f>
        <v>0</v>
      </c>
      <c r="C630" s="10"/>
      <c r="D630" s="10"/>
      <c r="E630" s="10" t="s">
        <v>1420</v>
      </c>
      <c r="F630" s="10" t="str">
        <f>IFERROR(VLOOKUP(VENTAS[[#This Row],[Código del producto Vendido]],STOCK[],5,FALSE),"-")</f>
        <v>Vestido acanalado cruzado color crema</v>
      </c>
      <c r="G630" s="10">
        <v>2</v>
      </c>
      <c r="H630" s="12">
        <v>28</v>
      </c>
      <c r="I630" s="12">
        <f>VENTAS[[#This Row],[Cantidad]]*VENTAS[[#This Row],[Precio Venta]]</f>
        <v>56</v>
      </c>
      <c r="J630" s="12">
        <f>IF(VENTAS[[#This Row],[Nombre del Gestor]]&gt;1,VENTAS[[#This Row],[Total]]*10%,0)</f>
        <v>0</v>
      </c>
      <c r="K630" s="12">
        <f>IFERROR(VLOOKUP(VENTAS[[#This Row],[Código del producto Vendido]],STOCK[],16,FALSE)*VENTAS[[#This Row],[Cantidad]]+VLOOKUP(VENTAS[[#This Row],[Código del producto Vendido]],STOCK[],19,FALSE)*VENTAS[[#This Row],[Cantidad]],VENTAS[[#This Row],[Total]])</f>
        <v>49.18</v>
      </c>
      <c r="L630" s="12">
        <f>VENTAS[[#This Row],[Total]]-VENTAS[[#This Row],[Comisión 10%]]-VENTAS[[#This Row],[Costo SIN Comision]]</f>
        <v>6.82</v>
      </c>
      <c r="M630" s="12"/>
      <c r="N630" s="16"/>
    </row>
    <row r="631" spans="1:14" ht="20" hidden="1" customHeight="1">
      <c r="A631" s="9" t="s">
        <v>4323</v>
      </c>
      <c r="B631" s="10">
        <f>IFERROR(VLOOKUP(VENTAS[[#This Row],[Código del producto Vendido]],STOCK[],25,FALSE),"-")</f>
        <v>0</v>
      </c>
      <c r="C631" s="10"/>
      <c r="D631" s="10"/>
      <c r="E631" s="10" t="s">
        <v>1421</v>
      </c>
      <c r="F631" s="10" t="str">
        <f>IFERROR(VLOOKUP(VENTAS[[#This Row],[Código del producto Vendido]],STOCK[],5,FALSE),"-")</f>
        <v>Short de tela suave con cinturón</v>
      </c>
      <c r="G631" s="10">
        <v>1</v>
      </c>
      <c r="H631" s="12">
        <v>20</v>
      </c>
      <c r="I631" s="12">
        <f>VENTAS[[#This Row],[Cantidad]]*VENTAS[[#This Row],[Precio Venta]]</f>
        <v>20</v>
      </c>
      <c r="J631" s="12">
        <f>IF(VENTAS[[#This Row],[Nombre del Gestor]]&gt;1,VENTAS[[#This Row],[Total]]*10%,0)</f>
        <v>0</v>
      </c>
      <c r="K631" s="12">
        <f>IFERROR(VLOOKUP(VENTAS[[#This Row],[Código del producto Vendido]],STOCK[],16,FALSE)*VENTAS[[#This Row],[Cantidad]]+VLOOKUP(VENTAS[[#This Row],[Código del producto Vendido]],STOCK[],19,FALSE)*VENTAS[[#This Row],[Cantidad]],VENTAS[[#This Row],[Total]])</f>
        <v>12.99</v>
      </c>
      <c r="L631" s="12">
        <f>VENTAS[[#This Row],[Total]]-VENTAS[[#This Row],[Comisión 10%]]-VENTAS[[#This Row],[Costo SIN Comision]]</f>
        <v>7.01</v>
      </c>
      <c r="M631" s="12"/>
      <c r="N631" s="16"/>
    </row>
    <row r="632" spans="1:14" ht="20" hidden="1" customHeight="1">
      <c r="A632" s="9" t="s">
        <v>4323</v>
      </c>
      <c r="B632" s="10" t="str">
        <f>IFERROR(VLOOKUP(VENTAS[[#This Row],[Código del producto Vendido]],STOCK[],25,FALSE),"-")</f>
        <v>Yenma 19 Mayo</v>
      </c>
      <c r="C632" s="10"/>
      <c r="D632" s="10"/>
      <c r="E632" s="10" t="s">
        <v>206</v>
      </c>
      <c r="F632" s="10" t="str">
        <f>IFERROR(VLOOKUP(VENTAS[[#This Row],[Código del producto Vendido]],STOCK[],5,FALSE),"-")</f>
        <v>Vestido de satén ajustado de tirantes fruncido</v>
      </c>
      <c r="G632" s="10">
        <v>1</v>
      </c>
      <c r="H632" s="12">
        <v>25</v>
      </c>
      <c r="I632" s="12">
        <f>VENTAS[[#This Row],[Cantidad]]*VENTAS[[#This Row],[Precio Venta]]</f>
        <v>25</v>
      </c>
      <c r="J632" s="12">
        <f>IF(VENTAS[[#This Row],[Nombre del Gestor]]&gt;1,VENTAS[[#This Row],[Total]]*10%,0)</f>
        <v>0</v>
      </c>
      <c r="K632" s="12">
        <f>IFERROR(VLOOKUP(VENTAS[[#This Row],[Código del producto Vendido]],STOCK[],16,FALSE)*VENTAS[[#This Row],[Cantidad]]+VLOOKUP(VENTAS[[#This Row],[Código del producto Vendido]],STOCK[],19,FALSE)*VENTAS[[#This Row],[Cantidad]],VENTAS[[#This Row],[Total]])</f>
        <v>12.8755555555556</v>
      </c>
      <c r="L632" s="12">
        <f>VENTAS[[#This Row],[Total]]-VENTAS[[#This Row],[Comisión 10%]]-VENTAS[[#This Row],[Costo SIN Comision]]</f>
        <v>12.1244444444444</v>
      </c>
      <c r="M632" s="12"/>
      <c r="N632" s="16"/>
    </row>
    <row r="633" spans="1:14" ht="20" hidden="1" customHeight="1">
      <c r="A633" s="9" t="s">
        <v>4323</v>
      </c>
      <c r="B633" s="10">
        <f>IFERROR(VLOOKUP(VENTAS[[#This Row],[Código del producto Vendido]],STOCK[],25,FALSE),"-")</f>
        <v>0</v>
      </c>
      <c r="C633" s="10"/>
      <c r="D633" s="10"/>
      <c r="E633" s="10" t="s">
        <v>647</v>
      </c>
      <c r="F633" s="10" t="str">
        <f>IFERROR(VLOOKUP(VENTAS[[#This Row],[Código del producto Vendido]],STOCK[],5,FALSE),"-")</f>
        <v>Vestido con estampado jungla</v>
      </c>
      <c r="G633" s="10">
        <v>1</v>
      </c>
      <c r="H633" s="12">
        <v>16</v>
      </c>
      <c r="I633" s="12">
        <f>VENTAS[[#This Row],[Cantidad]]*VENTAS[[#This Row],[Precio Venta]]</f>
        <v>16</v>
      </c>
      <c r="J633" s="12">
        <f>IF(VENTAS[[#This Row],[Nombre del Gestor]]&gt;1,VENTAS[[#This Row],[Total]]*10%,0)</f>
        <v>0</v>
      </c>
      <c r="K633" s="12">
        <f>IFERROR(VLOOKUP(VENTAS[[#This Row],[Código del producto Vendido]],STOCK[],16,FALSE)*VENTAS[[#This Row],[Cantidad]]+VLOOKUP(VENTAS[[#This Row],[Código del producto Vendido]],STOCK[],19,FALSE)*VENTAS[[#This Row],[Cantidad]],VENTAS[[#This Row],[Total]])</f>
        <v>10.72222222222222</v>
      </c>
      <c r="L633" s="12">
        <f>VENTAS[[#This Row],[Total]]-VENTAS[[#This Row],[Comisión 10%]]-VENTAS[[#This Row],[Costo SIN Comision]]</f>
        <v>5.2777777777777803</v>
      </c>
      <c r="M633" s="12"/>
      <c r="N633" s="16"/>
    </row>
    <row r="634" spans="1:14" ht="20" hidden="1" customHeight="1">
      <c r="A634" s="9" t="s">
        <v>4323</v>
      </c>
      <c r="B634" s="10" t="str">
        <f>IFERROR(VLOOKUP(VENTAS[[#This Row],[Código del producto Vendido]],STOCK[],25,FALSE),"-")</f>
        <v>Compra 7/12/2023</v>
      </c>
      <c r="C634" s="10"/>
      <c r="D634" s="10"/>
      <c r="E634" s="10" t="s">
        <v>1527</v>
      </c>
      <c r="F634" s="10" t="str">
        <f>IFERROR(VLOOKUP(VENTAS[[#This Row],[Código del producto Vendido]],STOCK[],5,FALSE),"-")</f>
        <v>Top Bustier encaje</v>
      </c>
      <c r="G634" s="10">
        <v>1</v>
      </c>
      <c r="H634" s="12">
        <v>22</v>
      </c>
      <c r="I634" s="12">
        <f>VENTAS[[#This Row],[Cantidad]]*VENTAS[[#This Row],[Precio Venta]]</f>
        <v>22</v>
      </c>
      <c r="J634" s="12">
        <f>IF(VENTAS[[#This Row],[Nombre del Gestor]]&gt;1,VENTAS[[#This Row],[Total]]*10%,0)</f>
        <v>0</v>
      </c>
      <c r="K634" s="12">
        <f>IFERROR(VLOOKUP(VENTAS[[#This Row],[Código del producto Vendido]],STOCK[],16,FALSE)*VENTAS[[#This Row],[Cantidad]]+VLOOKUP(VENTAS[[#This Row],[Código del producto Vendido]],STOCK[],19,FALSE)*VENTAS[[#This Row],[Cantidad]],VENTAS[[#This Row],[Total]])</f>
        <v>14.7</v>
      </c>
      <c r="L634" s="12">
        <f>VENTAS[[#This Row],[Total]]-VENTAS[[#This Row],[Comisión 10%]]-VENTAS[[#This Row],[Costo SIN Comision]]</f>
        <v>7.3000000000000007</v>
      </c>
      <c r="M634" s="12"/>
      <c r="N634" s="16"/>
    </row>
    <row r="635" spans="1:14" ht="20" hidden="1" customHeight="1">
      <c r="A635" s="9" t="s">
        <v>4323</v>
      </c>
      <c r="B635" s="10" t="str">
        <f>IFERROR(VLOOKUP(VENTAS[[#This Row],[Código del producto Vendido]],STOCK[],25,FALSE),"-")</f>
        <v>Compra 7/12/2023</v>
      </c>
      <c r="C635" s="10"/>
      <c r="D635" s="10"/>
      <c r="E635" s="10" t="s">
        <v>1546</v>
      </c>
      <c r="F635" s="10" t="str">
        <f>IFERROR(VLOOKUP(VENTAS[[#This Row],[Código del producto Vendido]],STOCK[],5,FALSE),"-")</f>
        <v>Gafas de sol Dama</v>
      </c>
      <c r="G635" s="10">
        <v>1</v>
      </c>
      <c r="H635" s="12">
        <v>9</v>
      </c>
      <c r="I635" s="12">
        <f>VENTAS[[#This Row],[Cantidad]]*VENTAS[[#This Row],[Precio Venta]]</f>
        <v>9</v>
      </c>
      <c r="J635" s="12">
        <f>IF(VENTAS[[#This Row],[Nombre del Gestor]]&gt;1,VENTAS[[#This Row],[Total]]*10%,0)</f>
        <v>0</v>
      </c>
      <c r="K635" s="12">
        <f>IFERROR(VLOOKUP(VENTAS[[#This Row],[Código del producto Vendido]],STOCK[],16,FALSE)*VENTAS[[#This Row],[Cantidad]]+VLOOKUP(VENTAS[[#This Row],[Código del producto Vendido]],STOCK[],19,FALSE)*VENTAS[[#This Row],[Cantidad]],VENTAS[[#This Row],[Total]])</f>
        <v>6.05</v>
      </c>
      <c r="L635" s="12">
        <f>VENTAS[[#This Row],[Total]]-VENTAS[[#This Row],[Comisión 10%]]-VENTAS[[#This Row],[Costo SIN Comision]]</f>
        <v>2.95</v>
      </c>
      <c r="M635" s="12"/>
      <c r="N635" s="16"/>
    </row>
    <row r="636" spans="1:14" ht="20" hidden="1" customHeight="1">
      <c r="A636" s="9" t="s">
        <v>4323</v>
      </c>
      <c r="B636" s="10" t="str">
        <f>IFERROR(VLOOKUP(VENTAS[[#This Row],[Código del producto Vendido]],STOCK[],25,FALSE),"-")</f>
        <v>Compra 9/12/2023</v>
      </c>
      <c r="C636" s="10"/>
      <c r="D636" s="10"/>
      <c r="E636" s="10" t="s">
        <v>1681</v>
      </c>
      <c r="F636" s="10" t="str">
        <f>IFERROR(VLOOKUP(VENTAS[[#This Row],[Código del producto Vendido]],STOCK[],5,FALSE),"-")</f>
        <v>Botas negras de zíper</v>
      </c>
      <c r="G636" s="10">
        <v>1</v>
      </c>
      <c r="H636" s="12">
        <v>40</v>
      </c>
      <c r="I636" s="12">
        <f>VENTAS[[#This Row],[Cantidad]]*VENTAS[[#This Row],[Precio Venta]]</f>
        <v>40</v>
      </c>
      <c r="J636" s="12">
        <f>IF(VENTAS[[#This Row],[Nombre del Gestor]]&gt;1,VENTAS[[#This Row],[Total]]*10%,0)</f>
        <v>0</v>
      </c>
      <c r="K636" s="12">
        <f>IFERROR(VLOOKUP(VENTAS[[#This Row],[Código del producto Vendido]],STOCK[],16,FALSE)*VENTAS[[#This Row],[Cantidad]]+VLOOKUP(VENTAS[[#This Row],[Código del producto Vendido]],STOCK[],19,FALSE)*VENTAS[[#This Row],[Cantidad]],VENTAS[[#This Row],[Total]])</f>
        <v>22.42</v>
      </c>
      <c r="L636" s="12">
        <f>VENTAS[[#This Row],[Total]]-VENTAS[[#This Row],[Comisión 10%]]-VENTAS[[#This Row],[Costo SIN Comision]]</f>
        <v>17.579999999999998</v>
      </c>
      <c r="M636" s="12"/>
      <c r="N636" s="16"/>
    </row>
    <row r="637" spans="1:14" ht="20" hidden="1" customHeight="1">
      <c r="A637" s="9" t="s">
        <v>4323</v>
      </c>
      <c r="B637" s="10" t="str">
        <f>IFERROR(VLOOKUP(VENTAS[[#This Row],[Código del producto Vendido]],STOCK[],25,FALSE),"-")</f>
        <v>Compra 7/12/2023</v>
      </c>
      <c r="C637" s="10" t="s">
        <v>4325</v>
      </c>
      <c r="D637" s="10" t="s">
        <v>4326</v>
      </c>
      <c r="E637" s="10" t="s">
        <v>1523</v>
      </c>
      <c r="F637" s="10" t="str">
        <f>IFERROR(VLOOKUP(VENTAS[[#This Row],[Código del producto Vendido]],STOCK[],5,FALSE),"-")</f>
        <v>Sandalias Albaricoque</v>
      </c>
      <c r="G637" s="10">
        <v>1</v>
      </c>
      <c r="H637" s="12">
        <v>40</v>
      </c>
      <c r="I637" s="12">
        <f>VENTAS[[#This Row],[Cantidad]]*VENTAS[[#This Row],[Precio Venta]]</f>
        <v>40</v>
      </c>
      <c r="J637" s="12">
        <f>IF(VENTAS[[#This Row],[Nombre del Gestor]]&gt;1,VENTAS[[#This Row],[Total]]*10%,0)</f>
        <v>4</v>
      </c>
      <c r="K637" s="12">
        <f>IFERROR(VLOOKUP(VENTAS[[#This Row],[Código del producto Vendido]],STOCK[],16,FALSE)*VENTAS[[#This Row],[Cantidad]]+VLOOKUP(VENTAS[[#This Row],[Código del producto Vendido]],STOCK[],19,FALSE)*VENTAS[[#This Row],[Cantidad]],VENTAS[[#This Row],[Total]])</f>
        <v>23</v>
      </c>
      <c r="L637" s="12">
        <f>VENTAS[[#This Row],[Total]]-VENTAS[[#This Row],[Comisión 10%]]-VENTAS[[#This Row],[Costo SIN Comision]]</f>
        <v>13</v>
      </c>
      <c r="M637" s="12"/>
      <c r="N637" s="16"/>
    </row>
    <row r="638" spans="1:14" ht="20" hidden="1" customHeight="1">
      <c r="A638" s="9" t="s">
        <v>4323</v>
      </c>
      <c r="B638" s="10" t="str">
        <f>IFERROR(VLOOKUP(VENTAS[[#This Row],[Código del producto Vendido]],STOCK[],25,FALSE),"-")</f>
        <v>Compra 7/12/2023</v>
      </c>
      <c r="C638" s="10"/>
      <c r="D638" s="10" t="s">
        <v>4327</v>
      </c>
      <c r="E638" s="10" t="s">
        <v>1538</v>
      </c>
      <c r="F638" s="10" t="str">
        <f>IFERROR(VLOOKUP(VENTAS[[#This Row],[Código del producto Vendido]],STOCK[],5,FALSE),"-")</f>
        <v>Falda de mezclilla negra a la cintura</v>
      </c>
      <c r="G638" s="10">
        <v>1</v>
      </c>
      <c r="H638" s="12">
        <v>0</v>
      </c>
      <c r="I638" s="12">
        <f>VENTAS[[#This Row],[Cantidad]]*VENTAS[[#This Row],[Precio Venta]]</f>
        <v>0</v>
      </c>
      <c r="J638" s="12">
        <f>IF(VENTAS[[#This Row],[Nombre del Gestor]]&gt;1,VENTAS[[#This Row],[Total]]*10%,0)</f>
        <v>0</v>
      </c>
      <c r="K638" s="12">
        <f>IFERROR(VLOOKUP(VENTAS[[#This Row],[Código del producto Vendido]],STOCK[],16,FALSE)*VENTAS[[#This Row],[Cantidad]]+VLOOKUP(VENTAS[[#This Row],[Código del producto Vendido]],STOCK[],19,FALSE)*VENTAS[[#This Row],[Cantidad]],VENTAS[[#This Row],[Total]])</f>
        <v>15</v>
      </c>
      <c r="L638" s="12">
        <f>VENTAS[[#This Row],[Total]]-VENTAS[[#This Row],[Comisión 10%]]-VENTAS[[#This Row],[Costo SIN Comision]]</f>
        <v>-15</v>
      </c>
      <c r="M638" s="12"/>
      <c r="N638" s="16"/>
    </row>
    <row r="639" spans="1:14" ht="20" hidden="1" customHeight="1">
      <c r="A639" s="9" t="s">
        <v>4323</v>
      </c>
      <c r="B639" s="10" t="str">
        <f>IFERROR(VLOOKUP(VENTAS[[#This Row],[Código del producto Vendido]],STOCK[],25,FALSE),"-")</f>
        <v>Compra 7/12/2023</v>
      </c>
      <c r="C639" s="10"/>
      <c r="D639" s="10" t="s">
        <v>4328</v>
      </c>
      <c r="E639" s="10" t="s">
        <v>1506</v>
      </c>
      <c r="F639" s="10" t="str">
        <f>IFERROR(VLOOKUP(VENTAS[[#This Row],[Código del producto Vendido]],STOCK[],5,FALSE),"-")</f>
        <v>Vestido Frenchy Ajustado</v>
      </c>
      <c r="G639" s="10">
        <v>1</v>
      </c>
      <c r="H639" s="12">
        <v>25</v>
      </c>
      <c r="I639" s="12">
        <f>VENTAS[[#This Row],[Cantidad]]*VENTAS[[#This Row],[Precio Venta]]</f>
        <v>25</v>
      </c>
      <c r="J639" s="12">
        <f>IF(VENTAS[[#This Row],[Nombre del Gestor]]&gt;1,VENTAS[[#This Row],[Total]]*10%,0)</f>
        <v>2.5</v>
      </c>
      <c r="K639" s="12">
        <f>IFERROR(VLOOKUP(VENTAS[[#This Row],[Código del producto Vendido]],STOCK[],16,FALSE)*VENTAS[[#This Row],[Cantidad]]+VLOOKUP(VENTAS[[#This Row],[Código del producto Vendido]],STOCK[],19,FALSE)*VENTAS[[#This Row],[Cantidad]],VENTAS[[#This Row],[Total]])</f>
        <v>11.5</v>
      </c>
      <c r="L639" s="12">
        <f>VENTAS[[#This Row],[Total]]-VENTAS[[#This Row],[Comisión 10%]]-VENTAS[[#This Row],[Costo SIN Comision]]</f>
        <v>11</v>
      </c>
      <c r="M639" s="12"/>
      <c r="N639" s="16"/>
    </row>
    <row r="640" spans="1:14" ht="20" hidden="1" customHeight="1">
      <c r="A640" s="9" t="s">
        <v>4323</v>
      </c>
      <c r="B640" s="10" t="str">
        <f>IFERROR(VLOOKUP(VENTAS[[#This Row],[Código del producto Vendido]],STOCK[],25,FALSE),"-")</f>
        <v>Compra 7/12/2023</v>
      </c>
      <c r="C640" s="10"/>
      <c r="D640" s="10" t="s">
        <v>4324</v>
      </c>
      <c r="E640" s="10" t="s">
        <v>1512</v>
      </c>
      <c r="F640" s="10" t="str">
        <f>IFERROR(VLOOKUP(VENTAS[[#This Row],[Código del producto Vendido]],STOCK[],5,FALSE),"-")</f>
        <v>Pantalón Negro Acampanado</v>
      </c>
      <c r="G640" s="10">
        <v>1</v>
      </c>
      <c r="H640" s="12">
        <v>28</v>
      </c>
      <c r="I640" s="12">
        <f>VENTAS[[#This Row],[Cantidad]]*VENTAS[[#This Row],[Precio Venta]]</f>
        <v>28</v>
      </c>
      <c r="J640" s="12">
        <f>IF(VENTAS[[#This Row],[Nombre del Gestor]]&gt;1,VENTAS[[#This Row],[Total]]*10%,0)</f>
        <v>2.8000000000000003</v>
      </c>
      <c r="K640" s="12">
        <f>IFERROR(VLOOKUP(VENTAS[[#This Row],[Código del producto Vendido]],STOCK[],16,FALSE)*VENTAS[[#This Row],[Cantidad]]+VLOOKUP(VENTAS[[#This Row],[Código del producto Vendido]],STOCK[],19,FALSE)*VENTAS[[#This Row],[Cantidad]],VENTAS[[#This Row],[Total]])</f>
        <v>16.5</v>
      </c>
      <c r="L640" s="12">
        <f>VENTAS[[#This Row],[Total]]-VENTAS[[#This Row],[Comisión 10%]]-VENTAS[[#This Row],[Costo SIN Comision]]</f>
        <v>8.6999999999999993</v>
      </c>
      <c r="M640" s="12"/>
      <c r="N640" s="16"/>
    </row>
    <row r="641" spans="1:14" ht="20" hidden="1" customHeight="1">
      <c r="A641" s="9" t="s">
        <v>4323</v>
      </c>
      <c r="B641" s="10" t="str">
        <f>IFERROR(VLOOKUP(VENTAS[[#This Row],[Código del producto Vendido]],STOCK[],25,FALSE),"-")</f>
        <v>-</v>
      </c>
      <c r="C641" s="10"/>
      <c r="D641" s="10" t="s">
        <v>4328</v>
      </c>
      <c r="E641" s="10" t="s">
        <v>4329</v>
      </c>
      <c r="F641" s="10" t="str">
        <f>IFERROR(VLOOKUP(VENTAS[[#This Row],[Código del producto Vendido]],STOCK[],5,FALSE),"-")</f>
        <v>-</v>
      </c>
      <c r="G641" s="10">
        <v>1</v>
      </c>
      <c r="H641" s="12">
        <v>13</v>
      </c>
      <c r="I641" s="12">
        <f>VENTAS[[#This Row],[Cantidad]]*VENTAS[[#This Row],[Precio Venta]]</f>
        <v>13</v>
      </c>
      <c r="J641" s="12">
        <f>IF(VENTAS[[#This Row],[Nombre del Gestor]]&gt;1,VENTAS[[#This Row],[Total]]*10%,0)</f>
        <v>1.3</v>
      </c>
      <c r="K641" s="12">
        <f>IFERROR(VLOOKUP(VENTAS[[#This Row],[Código del producto Vendido]],STOCK[],16,FALSE)*VENTAS[[#This Row],[Cantidad]]+VLOOKUP(VENTAS[[#This Row],[Código del producto Vendido]],STOCK[],19,FALSE)*VENTAS[[#This Row],[Cantidad]],VENTAS[[#This Row],[Total]])</f>
        <v>13</v>
      </c>
      <c r="L641" s="12">
        <f>VENTAS[[#This Row],[Total]]-VENTAS[[#This Row],[Comisión 10%]]-VENTAS[[#This Row],[Costo SIN Comision]]</f>
        <v>-1.3000000000000007</v>
      </c>
      <c r="M641" s="12"/>
      <c r="N641" s="16"/>
    </row>
    <row r="642" spans="1:14" ht="20" hidden="1" customHeight="1">
      <c r="A642" s="9" t="s">
        <v>4323</v>
      </c>
      <c r="B642" s="10" t="str">
        <f>IFERROR(VLOOKUP(VENTAS[[#This Row],[Código del producto Vendido]],STOCK[],25,FALSE),"-")</f>
        <v>Compra 7/12/2023</v>
      </c>
      <c r="C642" s="10"/>
      <c r="D642" s="10" t="s">
        <v>4328</v>
      </c>
      <c r="E642" s="10" t="s">
        <v>1505</v>
      </c>
      <c r="F642" s="10" t="str">
        <f>IFERROR(VLOOKUP(VENTAS[[#This Row],[Código del producto Vendido]],STOCK[],5,FALSE),"-")</f>
        <v>Pullover Dazy cuello redondo Blanco</v>
      </c>
      <c r="G642" s="10">
        <v>1</v>
      </c>
      <c r="H642" s="12">
        <v>13</v>
      </c>
      <c r="I642" s="12">
        <f>VENTAS[[#This Row],[Cantidad]]*VENTAS[[#This Row],[Precio Venta]]</f>
        <v>13</v>
      </c>
      <c r="J642" s="12">
        <f>IF(VENTAS[[#This Row],[Nombre del Gestor]]&gt;1,VENTAS[[#This Row],[Total]]*10%,0)</f>
        <v>1.3</v>
      </c>
      <c r="K642" s="12">
        <f>IFERROR(VLOOKUP(VENTAS[[#This Row],[Código del producto Vendido]],STOCK[],16,FALSE)*VENTAS[[#This Row],[Cantidad]]+VLOOKUP(VENTAS[[#This Row],[Código del producto Vendido]],STOCK[],19,FALSE)*VENTAS[[#This Row],[Cantidad]],VENTAS[[#This Row],[Total]])</f>
        <v>7.5</v>
      </c>
      <c r="L642" s="12">
        <f>VENTAS[[#This Row],[Total]]-VENTAS[[#This Row],[Comisión 10%]]-VENTAS[[#This Row],[Costo SIN Comision]]</f>
        <v>4.1999999999999993</v>
      </c>
      <c r="M642" s="12"/>
      <c r="N642" s="16"/>
    </row>
    <row r="643" spans="1:14" ht="20" hidden="1" customHeight="1">
      <c r="A643" s="9" t="s">
        <v>4323</v>
      </c>
      <c r="B643" s="10" t="str">
        <f>IFERROR(VLOOKUP(VENTAS[[#This Row],[Código del producto Vendido]],STOCK[],25,FALSE),"-")</f>
        <v>Recibido Freddy 24Mayo</v>
      </c>
      <c r="C643" s="10"/>
      <c r="D643" s="10" t="s">
        <v>4328</v>
      </c>
      <c r="E643" s="10" t="s">
        <v>1019</v>
      </c>
      <c r="F643" s="10" t="str">
        <f>IFERROR(VLOOKUP(VENTAS[[#This Row],[Código del producto Vendido]],STOCK[],5,FALSE),"-")</f>
        <v>Top Dreamer Negro</v>
      </c>
      <c r="G643" s="10">
        <v>1</v>
      </c>
      <c r="H643" s="12">
        <v>12</v>
      </c>
      <c r="I643" s="12">
        <f>VENTAS[[#This Row],[Cantidad]]*VENTAS[[#This Row],[Precio Venta]]</f>
        <v>12</v>
      </c>
      <c r="J643" s="12">
        <f>IF(VENTAS[[#This Row],[Nombre del Gestor]]&gt;1,VENTAS[[#This Row],[Total]]*10%,0)</f>
        <v>1.2000000000000002</v>
      </c>
      <c r="K643" s="12">
        <f>IFERROR(VLOOKUP(VENTAS[[#This Row],[Código del producto Vendido]],STOCK[],16,FALSE)*VENTAS[[#This Row],[Cantidad]]+VLOOKUP(VENTAS[[#This Row],[Código del producto Vendido]],STOCK[],19,FALSE)*VENTAS[[#This Row],[Cantidad]],VENTAS[[#This Row],[Total]])</f>
        <v>7.1568181818181795</v>
      </c>
      <c r="L643" s="12">
        <f>VENTAS[[#This Row],[Total]]-VENTAS[[#This Row],[Comisión 10%]]-VENTAS[[#This Row],[Costo SIN Comision]]</f>
        <v>3.6431818181818212</v>
      </c>
      <c r="M643" s="12"/>
      <c r="N643" s="16"/>
    </row>
    <row r="644" spans="1:14" ht="20" hidden="1" customHeight="1">
      <c r="A644" s="9" t="s">
        <v>4323</v>
      </c>
      <c r="B644" s="10" t="str">
        <f>IFERROR(VLOOKUP(VENTAS[[#This Row],[Código del producto Vendido]],STOCK[],25,FALSE),"-")</f>
        <v>Viaje Agosto</v>
      </c>
      <c r="C644" s="10"/>
      <c r="D644" s="10" t="s">
        <v>4328</v>
      </c>
      <c r="E644" s="10" t="s">
        <v>1157</v>
      </c>
      <c r="F644" s="10" t="str">
        <f>IFERROR(VLOOKUP(VENTAS[[#This Row],[Código del producto Vendido]],STOCK[],5,FALSE),"-")</f>
        <v>Pullover negro cuello redondo</v>
      </c>
      <c r="G644" s="10">
        <v>1</v>
      </c>
      <c r="H644" s="12">
        <v>12</v>
      </c>
      <c r="I644" s="12">
        <f>VENTAS[[#This Row],[Cantidad]]*VENTAS[[#This Row],[Precio Venta]]</f>
        <v>12</v>
      </c>
      <c r="J644" s="12">
        <f>IF(VENTAS[[#This Row],[Nombre del Gestor]]&gt;1,VENTAS[[#This Row],[Total]]*10%,0)</f>
        <v>1.2000000000000002</v>
      </c>
      <c r="K644" s="12">
        <f>IFERROR(VLOOKUP(VENTAS[[#This Row],[Código del producto Vendido]],STOCK[],16,FALSE)*VENTAS[[#This Row],[Cantidad]]+VLOOKUP(VENTAS[[#This Row],[Código del producto Vendido]],STOCK[],19,FALSE)*VENTAS[[#This Row],[Cantidad]],VENTAS[[#This Row],[Total]])</f>
        <v>8.5300000000000011</v>
      </c>
      <c r="L644" s="12">
        <f>VENTAS[[#This Row],[Total]]-VENTAS[[#This Row],[Comisión 10%]]-VENTAS[[#This Row],[Costo SIN Comision]]</f>
        <v>2.2699999999999996</v>
      </c>
      <c r="M644" s="12"/>
      <c r="N644" s="16"/>
    </row>
    <row r="645" spans="1:14" ht="20" hidden="1" customHeight="1">
      <c r="A645" s="9" t="s">
        <v>4323</v>
      </c>
      <c r="B645" s="10" t="str">
        <f>IFERROR(VLOOKUP(VENTAS[[#This Row],[Código del producto Vendido]],STOCK[],25,FALSE),"-")</f>
        <v>Compra 7/12/2023</v>
      </c>
      <c r="C645" s="10"/>
      <c r="D645" s="10"/>
      <c r="E645" s="10" t="s">
        <v>1477</v>
      </c>
      <c r="F645" s="10" t="str">
        <f>IFERROR(VLOOKUP(VENTAS[[#This Row],[Código del producto Vendido]],STOCK[],5,FALSE),"-")</f>
        <v>Camiseta Dazy Blanco</v>
      </c>
      <c r="G645" s="10">
        <v>1</v>
      </c>
      <c r="H645" s="12">
        <v>13</v>
      </c>
      <c r="I645" s="12">
        <f>VENTAS[[#This Row],[Cantidad]]*VENTAS[[#This Row],[Precio Venta]]</f>
        <v>13</v>
      </c>
      <c r="J645" s="12">
        <f>IF(VENTAS[[#This Row],[Nombre del Gestor]]&gt;1,VENTAS[[#This Row],[Total]]*10%,0)</f>
        <v>0</v>
      </c>
      <c r="K645" s="12">
        <f>IFERROR(VLOOKUP(VENTAS[[#This Row],[Código del producto Vendido]],STOCK[],16,FALSE)*VENTAS[[#This Row],[Cantidad]]+VLOOKUP(VENTAS[[#This Row],[Código del producto Vendido]],STOCK[],19,FALSE)*VENTAS[[#This Row],[Cantidad]],VENTAS[[#This Row],[Total]])</f>
        <v>11</v>
      </c>
      <c r="L645" s="12">
        <f>VENTAS[[#This Row],[Total]]-VENTAS[[#This Row],[Comisión 10%]]-VENTAS[[#This Row],[Costo SIN Comision]]</f>
        <v>2</v>
      </c>
      <c r="M645" s="12"/>
      <c r="N645" s="16"/>
    </row>
    <row r="646" spans="1:14" ht="20" hidden="1" customHeight="1">
      <c r="A646" s="9" t="s">
        <v>4323</v>
      </c>
      <c r="B646" s="10" t="str">
        <f>IFERROR(VLOOKUP(VENTAS[[#This Row],[Código del producto Vendido]],STOCK[],25,FALSE),"-")</f>
        <v>Compra 7/12/2023</v>
      </c>
      <c r="C646" s="10"/>
      <c r="D646" s="10"/>
      <c r="E646" s="10" t="s">
        <v>1479</v>
      </c>
      <c r="F646" s="10" t="str">
        <f>IFERROR(VLOOKUP(VENTAS[[#This Row],[Código del producto Vendido]],STOCK[],5,FALSE),"-")</f>
        <v>Pantalón negro acampanado</v>
      </c>
      <c r="G646" s="10">
        <v>1</v>
      </c>
      <c r="H646" s="12">
        <v>28</v>
      </c>
      <c r="I646" s="12">
        <f>VENTAS[[#This Row],[Cantidad]]*VENTAS[[#This Row],[Precio Venta]]</f>
        <v>28</v>
      </c>
      <c r="J646" s="12">
        <f>IF(VENTAS[[#This Row],[Nombre del Gestor]]&gt;1,VENTAS[[#This Row],[Total]]*10%,0)</f>
        <v>0</v>
      </c>
      <c r="K646" s="12">
        <f>IFERROR(VLOOKUP(VENTAS[[#This Row],[Código del producto Vendido]],STOCK[],16,FALSE)*VENTAS[[#This Row],[Cantidad]]+VLOOKUP(VENTAS[[#This Row],[Código del producto Vendido]],STOCK[],19,FALSE)*VENTAS[[#This Row],[Cantidad]],VENTAS[[#This Row],[Total]])</f>
        <v>18.5</v>
      </c>
      <c r="L646" s="12">
        <f>VENTAS[[#This Row],[Total]]-VENTAS[[#This Row],[Comisión 10%]]-VENTAS[[#This Row],[Costo SIN Comision]]</f>
        <v>9.5</v>
      </c>
      <c r="M646" s="12"/>
      <c r="N646" s="16"/>
    </row>
    <row r="647" spans="1:14" ht="20" hidden="1" customHeight="1">
      <c r="A647" s="9" t="s">
        <v>4323</v>
      </c>
      <c r="B647" s="10" t="str">
        <f>IFERROR(VLOOKUP(VENTAS[[#This Row],[Código del producto Vendido]],STOCK[],25,FALSE),"-")</f>
        <v>Compra 7/12/2023</v>
      </c>
      <c r="C647" s="10"/>
      <c r="D647" s="10" t="s">
        <v>4330</v>
      </c>
      <c r="E647" s="10" t="s">
        <v>1487</v>
      </c>
      <c r="F647" s="10" t="str">
        <f>IFERROR(VLOOKUP(VENTAS[[#This Row],[Código del producto Vendido]],STOCK[],5,FALSE),"-")</f>
        <v>Vestido Camisero flores</v>
      </c>
      <c r="G647" s="10">
        <v>1</v>
      </c>
      <c r="H647" s="12">
        <v>35</v>
      </c>
      <c r="I647" s="12">
        <f>VENTAS[[#This Row],[Cantidad]]*VENTAS[[#This Row],[Precio Venta]]</f>
        <v>35</v>
      </c>
      <c r="J647" s="12">
        <f>IF(VENTAS[[#This Row],[Nombre del Gestor]]&gt;1,VENTAS[[#This Row],[Total]]*10%,0)</f>
        <v>3.5</v>
      </c>
      <c r="K647" s="12">
        <f>IFERROR(VLOOKUP(VENTAS[[#This Row],[Código del producto Vendido]],STOCK[],16,FALSE)*VENTAS[[#This Row],[Cantidad]]+VLOOKUP(VENTAS[[#This Row],[Código del producto Vendido]],STOCK[],19,FALSE)*VENTAS[[#This Row],[Cantidad]],VENTAS[[#This Row],[Total]])</f>
        <v>20.6</v>
      </c>
      <c r="L647" s="12">
        <f>VENTAS[[#This Row],[Total]]-VENTAS[[#This Row],[Comisión 10%]]-VENTAS[[#This Row],[Costo SIN Comision]]</f>
        <v>10.899999999999999</v>
      </c>
      <c r="M647" s="12"/>
      <c r="N647" s="16"/>
    </row>
    <row r="648" spans="1:14" ht="20" hidden="1" customHeight="1">
      <c r="A648" s="9" t="s">
        <v>4323</v>
      </c>
      <c r="B648" s="10" t="str">
        <f>IFERROR(VLOOKUP(VENTAS[[#This Row],[Código del producto Vendido]],STOCK[],25,FALSE),"-")</f>
        <v>Compra 7/12/2023</v>
      </c>
      <c r="C648" s="10"/>
      <c r="D648" s="10"/>
      <c r="E648" s="10" t="s">
        <v>1502</v>
      </c>
      <c r="F648" s="10" t="str">
        <f>IFERROR(VLOOKUP(VENTAS[[#This Row],[Código del producto Vendido]],STOCK[],5,FALSE),"-")</f>
        <v>Chaleco blanco botones</v>
      </c>
      <c r="G648" s="10">
        <v>1</v>
      </c>
      <c r="H648" s="12">
        <v>25</v>
      </c>
      <c r="I648" s="12">
        <f>VENTAS[[#This Row],[Cantidad]]*VENTAS[[#This Row],[Precio Venta]]</f>
        <v>25</v>
      </c>
      <c r="J648" s="12">
        <f>IF(VENTAS[[#This Row],[Nombre del Gestor]]&gt;1,VENTAS[[#This Row],[Total]]*10%,0)</f>
        <v>0</v>
      </c>
      <c r="K648" s="12">
        <f>IFERROR(VLOOKUP(VENTAS[[#This Row],[Código del producto Vendido]],STOCK[],16,FALSE)*VENTAS[[#This Row],[Cantidad]]+VLOOKUP(VENTAS[[#This Row],[Código del producto Vendido]],STOCK[],19,FALSE)*VENTAS[[#This Row],[Cantidad]],VENTAS[[#This Row],[Total]])</f>
        <v>13.5</v>
      </c>
      <c r="L648" s="12">
        <f>VENTAS[[#This Row],[Total]]-VENTAS[[#This Row],[Comisión 10%]]-VENTAS[[#This Row],[Costo SIN Comision]]</f>
        <v>11.5</v>
      </c>
      <c r="M648" s="12"/>
      <c r="N648" s="16"/>
    </row>
    <row r="649" spans="1:14" ht="20" hidden="1" customHeight="1">
      <c r="A649" s="9" t="s">
        <v>4323</v>
      </c>
      <c r="B649" s="10" t="str">
        <f>IFERROR(VLOOKUP(VENTAS[[#This Row],[Código del producto Vendido]],STOCK[],25,FALSE),"-")</f>
        <v>Compra 7/12/2023</v>
      </c>
      <c r="C649" s="10"/>
      <c r="D649" s="10"/>
      <c r="E649" s="10" t="s">
        <v>1518</v>
      </c>
      <c r="F649" s="10" t="str">
        <f>IFERROR(VLOOKUP(VENTAS[[#This Row],[Código del producto Vendido]],STOCK[],5,FALSE),"-")</f>
        <v>Chaleco de traje</v>
      </c>
      <c r="G649" s="10">
        <v>1</v>
      </c>
      <c r="H649" s="12">
        <v>25</v>
      </c>
      <c r="I649" s="12">
        <f>VENTAS[[#This Row],[Cantidad]]*VENTAS[[#This Row],[Precio Venta]]</f>
        <v>25</v>
      </c>
      <c r="J649" s="12">
        <f>IF(VENTAS[[#This Row],[Nombre del Gestor]]&gt;1,VENTAS[[#This Row],[Total]]*10%,0)</f>
        <v>0</v>
      </c>
      <c r="K649" s="12">
        <f>IFERROR(VLOOKUP(VENTAS[[#This Row],[Código del producto Vendido]],STOCK[],16,FALSE)*VENTAS[[#This Row],[Cantidad]]+VLOOKUP(VENTAS[[#This Row],[Código del producto Vendido]],STOCK[],19,FALSE)*VENTAS[[#This Row],[Cantidad]],VENTAS[[#This Row],[Total]])</f>
        <v>13.5</v>
      </c>
      <c r="L649" s="12">
        <f>VENTAS[[#This Row],[Total]]-VENTAS[[#This Row],[Comisión 10%]]-VENTAS[[#This Row],[Costo SIN Comision]]</f>
        <v>11.5</v>
      </c>
      <c r="M649" s="12"/>
      <c r="N649" s="16"/>
    </row>
    <row r="650" spans="1:14" ht="20" hidden="1" customHeight="1">
      <c r="A650" s="9" t="s">
        <v>4323</v>
      </c>
      <c r="B650" s="10" t="str">
        <f>IFERROR(VLOOKUP(VENTAS[[#This Row],[Código del producto Vendido]],STOCK[],25,FALSE),"-")</f>
        <v>Compra 7/12/2023</v>
      </c>
      <c r="C650" s="10"/>
      <c r="D650" s="10"/>
      <c r="E650" s="10" t="s">
        <v>1520</v>
      </c>
      <c r="F650" s="10" t="str">
        <f>IFERROR(VLOOKUP(VENTAS[[#This Row],[Código del producto Vendido]],STOCK[],5,FALSE),"-")</f>
        <v>Chaleco de traje</v>
      </c>
      <c r="G650" s="10">
        <v>1</v>
      </c>
      <c r="H650" s="12">
        <v>25</v>
      </c>
      <c r="I650" s="12">
        <f>VENTAS[[#This Row],[Cantidad]]*VENTAS[[#This Row],[Precio Venta]]</f>
        <v>25</v>
      </c>
      <c r="J650" s="12">
        <f>IF(VENTAS[[#This Row],[Nombre del Gestor]]&gt;1,VENTAS[[#This Row],[Total]]*10%,0)</f>
        <v>0</v>
      </c>
      <c r="K650" s="12">
        <f>IFERROR(VLOOKUP(VENTAS[[#This Row],[Código del producto Vendido]],STOCK[],16,FALSE)*VENTAS[[#This Row],[Cantidad]]+VLOOKUP(VENTAS[[#This Row],[Código del producto Vendido]],STOCK[],19,FALSE)*VENTAS[[#This Row],[Cantidad]],VENTAS[[#This Row],[Total]])</f>
        <v>13.5</v>
      </c>
      <c r="L650" s="12">
        <f>VENTAS[[#This Row],[Total]]-VENTAS[[#This Row],[Comisión 10%]]-VENTAS[[#This Row],[Costo SIN Comision]]</f>
        <v>11.5</v>
      </c>
      <c r="M650" s="12"/>
      <c r="N650" s="16"/>
    </row>
    <row r="651" spans="1:14" ht="20" hidden="1" customHeight="1">
      <c r="A651" s="9" t="s">
        <v>4323</v>
      </c>
      <c r="B651" s="10" t="str">
        <f>IFERROR(VLOOKUP(VENTAS[[#This Row],[Código del producto Vendido]],STOCK[],25,FALSE),"-")</f>
        <v>Compra 7/12/2023</v>
      </c>
      <c r="C651" s="10"/>
      <c r="D651" s="10"/>
      <c r="E651" s="10" t="s">
        <v>1535</v>
      </c>
      <c r="F651" s="10" t="str">
        <f>IFERROR(VLOOKUP(VENTAS[[#This Row],[Código del producto Vendido]],STOCK[],5,FALSE),"-")</f>
        <v>Top de encaje</v>
      </c>
      <c r="G651" s="10">
        <v>1</v>
      </c>
      <c r="H651" s="12">
        <v>22</v>
      </c>
      <c r="I651" s="12">
        <f>VENTAS[[#This Row],[Cantidad]]*VENTAS[[#This Row],[Precio Venta]]</f>
        <v>22</v>
      </c>
      <c r="J651" s="12">
        <f>IF(VENTAS[[#This Row],[Nombre del Gestor]]&gt;1,VENTAS[[#This Row],[Total]]*10%,0)</f>
        <v>0</v>
      </c>
      <c r="K651" s="12">
        <f>IFERROR(VLOOKUP(VENTAS[[#This Row],[Código del producto Vendido]],STOCK[],16,FALSE)*VENTAS[[#This Row],[Cantidad]]+VLOOKUP(VENTAS[[#This Row],[Código del producto Vendido]],STOCK[],19,FALSE)*VENTAS[[#This Row],[Cantidad]],VENTAS[[#This Row],[Total]])</f>
        <v>14.7</v>
      </c>
      <c r="L651" s="12">
        <f>VENTAS[[#This Row],[Total]]-VENTAS[[#This Row],[Comisión 10%]]-VENTAS[[#This Row],[Costo SIN Comision]]</f>
        <v>7.3000000000000007</v>
      </c>
      <c r="M651" s="12"/>
      <c r="N651" s="16"/>
    </row>
    <row r="652" spans="1:14" ht="20" hidden="1" customHeight="1">
      <c r="A652" s="9" t="s">
        <v>4323</v>
      </c>
      <c r="B652" s="10" t="str">
        <f>IFERROR(VLOOKUP(VENTAS[[#This Row],[Código del producto Vendido]],STOCK[],25,FALSE),"-")</f>
        <v>Compra 7/12/2023</v>
      </c>
      <c r="C652" s="10"/>
      <c r="D652" s="10"/>
      <c r="E652" s="10" t="s">
        <v>1473</v>
      </c>
      <c r="F652" s="10" t="str">
        <f>IFERROR(VLOOKUP(VENTAS[[#This Row],[Código del producto Vendido]],STOCK[],5,FALSE),"-")</f>
        <v>Camiseta Dazy Negro</v>
      </c>
      <c r="G652" s="10">
        <v>1</v>
      </c>
      <c r="H652" s="12">
        <v>13</v>
      </c>
      <c r="I652" s="12">
        <f>VENTAS[[#This Row],[Cantidad]]*VENTAS[[#This Row],[Precio Venta]]</f>
        <v>13</v>
      </c>
      <c r="J652" s="12">
        <f>IF(VENTAS[[#This Row],[Nombre del Gestor]]&gt;1,VENTAS[[#This Row],[Total]]*10%,0)</f>
        <v>0</v>
      </c>
      <c r="K652" s="12">
        <f>IFERROR(VLOOKUP(VENTAS[[#This Row],[Código del producto Vendido]],STOCK[],16,FALSE)*VENTAS[[#This Row],[Cantidad]]+VLOOKUP(VENTAS[[#This Row],[Código del producto Vendido]],STOCK[],19,FALSE)*VENTAS[[#This Row],[Cantidad]],VENTAS[[#This Row],[Total]])</f>
        <v>11</v>
      </c>
      <c r="L652" s="12">
        <f>VENTAS[[#This Row],[Total]]-VENTAS[[#This Row],[Comisión 10%]]-VENTAS[[#This Row],[Costo SIN Comision]]</f>
        <v>2</v>
      </c>
      <c r="M652" s="12"/>
      <c r="N652" s="16"/>
    </row>
    <row r="653" spans="1:14" ht="20" hidden="1" customHeight="1">
      <c r="A653" s="9" t="s">
        <v>4323</v>
      </c>
      <c r="B653" s="10" t="str">
        <f>IFERROR(VLOOKUP(VENTAS[[#This Row],[Código del producto Vendido]],STOCK[],25,FALSE),"-")</f>
        <v>Compra 7/12/2023</v>
      </c>
      <c r="C653" s="10"/>
      <c r="D653" s="10" t="s">
        <v>4328</v>
      </c>
      <c r="E653" s="10" t="s">
        <v>1508</v>
      </c>
      <c r="F653" s="10" t="str">
        <f>IFERROR(VLOOKUP(VENTAS[[#This Row],[Código del producto Vendido]],STOCK[],5,FALSE),"-")</f>
        <v>Camiseta Dazy Blanco</v>
      </c>
      <c r="G653" s="10">
        <v>1</v>
      </c>
      <c r="H653" s="12">
        <v>13</v>
      </c>
      <c r="I653" s="12">
        <f>VENTAS[[#This Row],[Cantidad]]*VENTAS[[#This Row],[Precio Venta]]</f>
        <v>13</v>
      </c>
      <c r="J653" s="12">
        <f>IF(VENTAS[[#This Row],[Nombre del Gestor]]&gt;1,VENTAS[[#This Row],[Total]]*10%,0)</f>
        <v>1.3</v>
      </c>
      <c r="K653" s="12">
        <f>IFERROR(VLOOKUP(VENTAS[[#This Row],[Código del producto Vendido]],STOCK[],16,FALSE)*VENTAS[[#This Row],[Cantidad]]+VLOOKUP(VENTAS[[#This Row],[Código del producto Vendido]],STOCK[],19,FALSE)*VENTAS[[#This Row],[Cantidad]],VENTAS[[#This Row],[Total]])</f>
        <v>1.5</v>
      </c>
      <c r="L653" s="12">
        <f>VENTAS[[#This Row],[Total]]-VENTAS[[#This Row],[Comisión 10%]]-VENTAS[[#This Row],[Costo SIN Comision]]</f>
        <v>10.199999999999999</v>
      </c>
      <c r="M653" s="12"/>
      <c r="N653" s="16"/>
    </row>
    <row r="654" spans="1:14" ht="20" hidden="1" customHeight="1">
      <c r="A654" s="9" t="s">
        <v>4323</v>
      </c>
      <c r="B654" s="10" t="str">
        <f>IFERROR(VLOOKUP(VENTAS[[#This Row],[Código del producto Vendido]],STOCK[],25,FALSE),"-")</f>
        <v>COMPRA F21</v>
      </c>
      <c r="C654" s="10"/>
      <c r="D654" s="10"/>
      <c r="E654" s="10" t="s">
        <v>1452</v>
      </c>
      <c r="F654" s="10" t="str">
        <f>IFERROR(VLOOKUP(VENTAS[[#This Row],[Código del producto Vendido]],STOCK[],5,FALSE),"-")</f>
        <v>Sandalias minimalistas de plataforma</v>
      </c>
      <c r="G654" s="10">
        <v>1</v>
      </c>
      <c r="H654" s="12">
        <v>30</v>
      </c>
      <c r="I654" s="12">
        <f>VENTAS[[#This Row],[Cantidad]]*VENTAS[[#This Row],[Precio Venta]]</f>
        <v>30</v>
      </c>
      <c r="J654" s="12">
        <f>IF(VENTAS[[#This Row],[Nombre del Gestor]]&gt;1,VENTAS[[#This Row],[Total]]*10%,0)</f>
        <v>0</v>
      </c>
      <c r="K654" s="12">
        <f>IFERROR(VLOOKUP(VENTAS[[#This Row],[Código del producto Vendido]],STOCK[],16,FALSE)*VENTAS[[#This Row],[Cantidad]]+VLOOKUP(VENTAS[[#This Row],[Código del producto Vendido]],STOCK[],19,FALSE)*VENTAS[[#This Row],[Cantidad]],VENTAS[[#This Row],[Total]])</f>
        <v>22.490000000000002</v>
      </c>
      <c r="L654" s="12">
        <f>VENTAS[[#This Row],[Total]]-VENTAS[[#This Row],[Comisión 10%]]-VENTAS[[#This Row],[Costo SIN Comision]]</f>
        <v>7.509999999999998</v>
      </c>
      <c r="M654" s="12"/>
      <c r="N654" s="16"/>
    </row>
    <row r="655" spans="1:14" ht="20" hidden="1" customHeight="1">
      <c r="A655" s="9" t="s">
        <v>4323</v>
      </c>
      <c r="B655" s="10" t="str">
        <f>IFERROR(VLOOKUP(VENTAS[[#This Row],[Código del producto Vendido]],STOCK[],25,FALSE),"-")</f>
        <v>COMPRA F21</v>
      </c>
      <c r="C655" s="10"/>
      <c r="D655" s="10"/>
      <c r="E655" s="10" t="s">
        <v>1454</v>
      </c>
      <c r="F655" s="10" t="str">
        <f>IFERROR(VLOOKUP(VENTAS[[#This Row],[Código del producto Vendido]],STOCK[],5,FALSE),"-")</f>
        <v>Sandalias minimalistas de plataforma</v>
      </c>
      <c r="G655" s="10">
        <v>1</v>
      </c>
      <c r="H655" s="12">
        <v>35</v>
      </c>
      <c r="I655" s="12">
        <f>VENTAS[[#This Row],[Cantidad]]*VENTAS[[#This Row],[Precio Venta]]</f>
        <v>35</v>
      </c>
      <c r="J655" s="12">
        <f>IF(VENTAS[[#This Row],[Nombre del Gestor]]&gt;1,VENTAS[[#This Row],[Total]]*10%,0)</f>
        <v>0</v>
      </c>
      <c r="K655" s="12">
        <f>IFERROR(VLOOKUP(VENTAS[[#This Row],[Código del producto Vendido]],STOCK[],16,FALSE)*VENTAS[[#This Row],[Cantidad]]+VLOOKUP(VENTAS[[#This Row],[Código del producto Vendido]],STOCK[],19,FALSE)*VENTAS[[#This Row],[Cantidad]],VENTAS[[#This Row],[Total]])</f>
        <v>22.490000000000002</v>
      </c>
      <c r="L655" s="12">
        <f>VENTAS[[#This Row],[Total]]-VENTAS[[#This Row],[Comisión 10%]]-VENTAS[[#This Row],[Costo SIN Comision]]</f>
        <v>12.509999999999998</v>
      </c>
      <c r="M655" s="12"/>
      <c r="N655" s="16"/>
    </row>
    <row r="656" spans="1:14" ht="20" hidden="1" customHeight="1">
      <c r="A656" s="9" t="s">
        <v>4323</v>
      </c>
      <c r="B656" s="10">
        <f>IFERROR(VLOOKUP(VENTAS[[#This Row],[Código del producto Vendido]],STOCK[],25,FALSE),"-")</f>
        <v>0</v>
      </c>
      <c r="C656" s="10"/>
      <c r="D656" s="10"/>
      <c r="E656" s="10" t="s">
        <v>1461</v>
      </c>
      <c r="F656" s="10" t="str">
        <f>IFERROR(VLOOKUP(VENTAS[[#This Row],[Código del producto Vendido]],STOCK[],5,FALSE),"-")</f>
        <v>Pantalón alto de bajo elegante</v>
      </c>
      <c r="G656" s="10">
        <v>1</v>
      </c>
      <c r="H656" s="12">
        <v>32</v>
      </c>
      <c r="I656" s="12">
        <f>VENTAS[[#This Row],[Cantidad]]*VENTAS[[#This Row],[Precio Venta]]</f>
        <v>32</v>
      </c>
      <c r="J656" s="12">
        <f>IF(VENTAS[[#This Row],[Nombre del Gestor]]&gt;1,VENTAS[[#This Row],[Total]]*10%,0)</f>
        <v>0</v>
      </c>
      <c r="K656" s="12">
        <f>IFERROR(VLOOKUP(VENTAS[[#This Row],[Código del producto Vendido]],STOCK[],16,FALSE)*VENTAS[[#This Row],[Cantidad]]+VLOOKUP(VENTAS[[#This Row],[Código del producto Vendido]],STOCK[],19,FALSE)*VENTAS[[#This Row],[Cantidad]],VENTAS[[#This Row],[Total]])</f>
        <v>16.189999999999998</v>
      </c>
      <c r="L656" s="12">
        <f>VENTAS[[#This Row],[Total]]-VENTAS[[#This Row],[Comisión 10%]]-VENTAS[[#This Row],[Costo SIN Comision]]</f>
        <v>15.810000000000002</v>
      </c>
      <c r="M656" s="12"/>
      <c r="N656" s="16"/>
    </row>
    <row r="657" spans="1:14" ht="20" hidden="1" customHeight="1">
      <c r="A657" s="9" t="s">
        <v>4323</v>
      </c>
      <c r="B657" s="10" t="str">
        <f>IFERROR(VLOOKUP(VENTAS[[#This Row],[Código del producto Vendido]],STOCK[],25,FALSE),"-")</f>
        <v>Compra 7/12/2023</v>
      </c>
      <c r="C657" s="10"/>
      <c r="D657" s="10"/>
      <c r="E657" s="10" t="s">
        <v>1491</v>
      </c>
      <c r="F657" s="10" t="str">
        <f>IFERROR(VLOOKUP(VENTAS[[#This Row],[Código del producto Vendido]],STOCK[],5,FALSE),"-")</f>
        <v>Pullover cuello redondo</v>
      </c>
      <c r="G657" s="10">
        <v>1</v>
      </c>
      <c r="H657" s="12">
        <v>13</v>
      </c>
      <c r="I657" s="12">
        <f>VENTAS[[#This Row],[Cantidad]]*VENTAS[[#This Row],[Precio Venta]]</f>
        <v>13</v>
      </c>
      <c r="J657" s="12">
        <f>IF(VENTAS[[#This Row],[Nombre del Gestor]]&gt;1,VENTAS[[#This Row],[Total]]*10%,0)</f>
        <v>0</v>
      </c>
      <c r="K657" s="12">
        <f>IFERROR(VLOOKUP(VENTAS[[#This Row],[Código del producto Vendido]],STOCK[],16,FALSE)*VENTAS[[#This Row],[Cantidad]]+VLOOKUP(VENTAS[[#This Row],[Código del producto Vendido]],STOCK[],19,FALSE)*VENTAS[[#This Row],[Cantidad]],VENTAS[[#This Row],[Total]])</f>
        <v>7.5</v>
      </c>
      <c r="L657" s="12">
        <f>VENTAS[[#This Row],[Total]]-VENTAS[[#This Row],[Comisión 10%]]-VENTAS[[#This Row],[Costo SIN Comision]]</f>
        <v>5.5</v>
      </c>
      <c r="M657" s="12"/>
      <c r="N657" s="16"/>
    </row>
    <row r="658" spans="1:14" ht="20" hidden="1" customHeight="1">
      <c r="A658" s="9" t="s">
        <v>4323</v>
      </c>
      <c r="B658" s="10">
        <f>IFERROR(VLOOKUP(VENTAS[[#This Row],[Código del producto Vendido]],STOCK[],25,FALSE),"-")</f>
        <v>0</v>
      </c>
      <c r="C658" s="10"/>
      <c r="D658" s="10"/>
      <c r="E658" s="10" t="s">
        <v>151</v>
      </c>
      <c r="F658" s="10" t="str">
        <f>IFERROR(VLOOKUP(VENTAS[[#This Row],[Código del producto Vendido]],STOCK[],5,FALSE),"-")</f>
        <v>Jean Boyfriend con rotos</v>
      </c>
      <c r="G658" s="10">
        <v>1</v>
      </c>
      <c r="H658" s="12">
        <v>30</v>
      </c>
      <c r="I658" s="12">
        <f>VENTAS[[#This Row],[Cantidad]]*VENTAS[[#This Row],[Precio Venta]]</f>
        <v>30</v>
      </c>
      <c r="J658" s="12">
        <f>IF(VENTAS[[#This Row],[Nombre del Gestor]]&gt;1,VENTAS[[#This Row],[Total]]*10%,0)</f>
        <v>0</v>
      </c>
      <c r="K658" s="12">
        <f>IFERROR(VLOOKUP(VENTAS[[#This Row],[Código del producto Vendido]],STOCK[],16,FALSE)*VENTAS[[#This Row],[Cantidad]]+VLOOKUP(VENTAS[[#This Row],[Código del producto Vendido]],STOCK[],19,FALSE)*VENTAS[[#This Row],[Cantidad]],VENTAS[[#This Row],[Total]])</f>
        <v>18.686666666666667</v>
      </c>
      <c r="L658" s="12">
        <f>VENTAS[[#This Row],[Total]]-VENTAS[[#This Row],[Comisión 10%]]-VENTAS[[#This Row],[Costo SIN Comision]]</f>
        <v>11.313333333333333</v>
      </c>
      <c r="M658" s="12"/>
      <c r="N658" s="16"/>
    </row>
    <row r="659" spans="1:14" ht="20" hidden="1" customHeight="1">
      <c r="A659" s="9" t="s">
        <v>4323</v>
      </c>
      <c r="B659" s="10">
        <f>IFERROR(VLOOKUP(VENTAS[[#This Row],[Código del producto Vendido]],STOCK[],25,FALSE),"-")</f>
        <v>0</v>
      </c>
      <c r="C659" s="10"/>
      <c r="D659" s="10" t="s">
        <v>4324</v>
      </c>
      <c r="E659" s="10" t="s">
        <v>151</v>
      </c>
      <c r="F659" s="10" t="str">
        <f>IFERROR(VLOOKUP(VENTAS[[#This Row],[Código del producto Vendido]],STOCK[],5,FALSE),"-")</f>
        <v>Jean Boyfriend con rotos</v>
      </c>
      <c r="G659" s="10">
        <v>1</v>
      </c>
      <c r="H659" s="12">
        <v>30</v>
      </c>
      <c r="I659" s="12">
        <f>VENTAS[[#This Row],[Cantidad]]*VENTAS[[#This Row],[Precio Venta]]</f>
        <v>30</v>
      </c>
      <c r="J659" s="12">
        <f>IF(VENTAS[[#This Row],[Nombre del Gestor]]&gt;1,VENTAS[[#This Row],[Total]]*10%,0)</f>
        <v>3</v>
      </c>
      <c r="K659" s="12">
        <f>IFERROR(VLOOKUP(VENTAS[[#This Row],[Código del producto Vendido]],STOCK[],16,FALSE)*VENTAS[[#This Row],[Cantidad]]+VLOOKUP(VENTAS[[#This Row],[Código del producto Vendido]],STOCK[],19,FALSE)*VENTAS[[#This Row],[Cantidad]],VENTAS[[#This Row],[Total]])</f>
        <v>18.686666666666667</v>
      </c>
      <c r="L659" s="12">
        <f>VENTAS[[#This Row],[Total]]-VENTAS[[#This Row],[Comisión 10%]]-VENTAS[[#This Row],[Costo SIN Comision]]</f>
        <v>8.3133333333333326</v>
      </c>
      <c r="M659" s="12"/>
      <c r="N659" s="16"/>
    </row>
    <row r="660" spans="1:14" ht="20" hidden="1" customHeight="1">
      <c r="A660" s="9" t="s">
        <v>4323</v>
      </c>
      <c r="B660" s="10" t="str">
        <f>IFERROR(VLOOKUP(VENTAS[[#This Row],[Código del producto Vendido]],STOCK[],25,FALSE),"-")</f>
        <v>Compra 7/12/2023</v>
      </c>
      <c r="C660" s="10"/>
      <c r="D660" s="10"/>
      <c r="E660" s="10" t="s">
        <v>1518</v>
      </c>
      <c r="F660" s="10" t="str">
        <f>IFERROR(VLOOKUP(VENTAS[[#This Row],[Código del producto Vendido]],STOCK[],5,FALSE),"-")</f>
        <v>Chaleco de traje</v>
      </c>
      <c r="G660" s="10">
        <v>1</v>
      </c>
      <c r="H660" s="12">
        <v>25</v>
      </c>
      <c r="I660" s="12">
        <f>VENTAS[[#This Row],[Cantidad]]*VENTAS[[#This Row],[Precio Venta]]</f>
        <v>25</v>
      </c>
      <c r="J660" s="12">
        <f>IF(VENTAS[[#This Row],[Nombre del Gestor]]&gt;1,VENTAS[[#This Row],[Total]]*10%,0)</f>
        <v>0</v>
      </c>
      <c r="K660" s="12">
        <f>IFERROR(VLOOKUP(VENTAS[[#This Row],[Código del producto Vendido]],STOCK[],16,FALSE)*VENTAS[[#This Row],[Cantidad]]+VLOOKUP(VENTAS[[#This Row],[Código del producto Vendido]],STOCK[],19,FALSE)*VENTAS[[#This Row],[Cantidad]],VENTAS[[#This Row],[Total]])</f>
        <v>13.5</v>
      </c>
      <c r="L660" s="12">
        <f>VENTAS[[#This Row],[Total]]-VENTAS[[#This Row],[Comisión 10%]]-VENTAS[[#This Row],[Costo SIN Comision]]</f>
        <v>11.5</v>
      </c>
      <c r="M660" s="12"/>
      <c r="N660" s="16"/>
    </row>
    <row r="661" spans="1:14" ht="20" hidden="1" customHeight="1">
      <c r="A661" s="9"/>
      <c r="B661" s="10" t="str">
        <f>IFERROR(VLOOKUP(VENTAS[[#This Row],[Código del producto Vendido]],STOCK[],25,FALSE),"-")</f>
        <v>Compra 9/12/2023</v>
      </c>
      <c r="C661" s="10"/>
      <c r="D661" s="10"/>
      <c r="E661" s="10" t="s">
        <v>1617</v>
      </c>
      <c r="F661" s="10" t="str">
        <f>IFERROR(VLOOKUP(VENTAS[[#This Row],[Código del producto Vendido]],STOCK[],5,FALSE),"-")</f>
        <v>Camisa Modely</v>
      </c>
      <c r="G661" s="10">
        <v>1</v>
      </c>
      <c r="H661" s="12">
        <v>22</v>
      </c>
      <c r="I661" s="12">
        <f>VENTAS[[#This Row],[Cantidad]]*VENTAS[[#This Row],[Precio Venta]]</f>
        <v>22</v>
      </c>
      <c r="J661" s="12">
        <f>IF(VENTAS[[#This Row],[Nombre del Gestor]]&gt;1,VENTAS[[#This Row],[Total]]*10%,0)</f>
        <v>0</v>
      </c>
      <c r="K661" s="12">
        <f>IFERROR(VLOOKUP(VENTAS[[#This Row],[Código del producto Vendido]],STOCK[],16,FALSE)*VENTAS[[#This Row],[Cantidad]]+VLOOKUP(VENTAS[[#This Row],[Código del producto Vendido]],STOCK[],19,FALSE)*VENTAS[[#This Row],[Cantidad]],VENTAS[[#This Row],[Total]])</f>
        <v>9.74</v>
      </c>
      <c r="L661" s="12">
        <f>VENTAS[[#This Row],[Total]]-VENTAS[[#This Row],[Comisión 10%]]-VENTAS[[#This Row],[Costo SIN Comision]]</f>
        <v>12.26</v>
      </c>
      <c r="M661" s="12"/>
      <c r="N661" s="16"/>
    </row>
    <row r="662" spans="1:14" ht="20" hidden="1" customHeight="1">
      <c r="A662" s="9"/>
      <c r="B662" s="10" t="str">
        <f>IFERROR(VLOOKUP(VENTAS[[#This Row],[Código del producto Vendido]],STOCK[],25,FALSE),"-")</f>
        <v>Compra 9/12/2023</v>
      </c>
      <c r="C662" s="10"/>
      <c r="D662" s="10"/>
      <c r="E662" s="10" t="s">
        <v>1629</v>
      </c>
      <c r="F662" s="10" t="str">
        <f>IFERROR(VLOOKUP(VENTAS[[#This Row],[Código del producto Vendido]],STOCK[],5,FALSE),"-")</f>
        <v>Vestido Tarsha</v>
      </c>
      <c r="G662" s="10">
        <v>1</v>
      </c>
      <c r="H662" s="12">
        <v>27</v>
      </c>
      <c r="I662" s="12">
        <f>VENTAS[[#This Row],[Cantidad]]*VENTAS[[#This Row],[Precio Venta]]</f>
        <v>27</v>
      </c>
      <c r="J662" s="12">
        <f>IF(VENTAS[[#This Row],[Nombre del Gestor]]&gt;1,VENTAS[[#This Row],[Total]]*10%,0)</f>
        <v>0</v>
      </c>
      <c r="K662" s="12">
        <f>IFERROR(VLOOKUP(VENTAS[[#This Row],[Código del producto Vendido]],STOCK[],16,FALSE)*VENTAS[[#This Row],[Cantidad]]+VLOOKUP(VENTAS[[#This Row],[Código del producto Vendido]],STOCK[],19,FALSE)*VENTAS[[#This Row],[Cantidad]],VENTAS[[#This Row],[Total]])</f>
        <v>13.97</v>
      </c>
      <c r="L662" s="12">
        <f>VENTAS[[#This Row],[Total]]-VENTAS[[#This Row],[Comisión 10%]]-VENTAS[[#This Row],[Costo SIN Comision]]</f>
        <v>13.03</v>
      </c>
      <c r="M662" s="12"/>
      <c r="N662" s="16"/>
    </row>
    <row r="663" spans="1:14" ht="20" hidden="1" customHeight="1">
      <c r="A663" s="9"/>
      <c r="B663" s="10" t="str">
        <f>IFERROR(VLOOKUP(VENTAS[[#This Row],[Código del producto Vendido]],STOCK[],25,FALSE),"-")</f>
        <v>Compra 9/12/2023</v>
      </c>
      <c r="C663" s="10"/>
      <c r="D663" s="10" t="s">
        <v>4302</v>
      </c>
      <c r="E663" s="10" t="s">
        <v>1642</v>
      </c>
      <c r="F663" s="10" t="str">
        <f>IFERROR(VLOOKUP(VENTAS[[#This Row],[Código del producto Vendido]],STOCK[],5,FALSE),"-")</f>
        <v>Top Asimétrico Acanalado</v>
      </c>
      <c r="G663" s="10">
        <v>1</v>
      </c>
      <c r="H663" s="12">
        <v>12</v>
      </c>
      <c r="I663" s="12">
        <f>VENTAS[[#This Row],[Cantidad]]*VENTAS[[#This Row],[Precio Venta]]</f>
        <v>12</v>
      </c>
      <c r="J663" s="12">
        <f>IF(VENTAS[[#This Row],[Nombre del Gestor]]&gt;1,VENTAS[[#This Row],[Total]]*10%,0)</f>
        <v>1.2000000000000002</v>
      </c>
      <c r="K663" s="12">
        <f>IFERROR(VLOOKUP(VENTAS[[#This Row],[Código del producto Vendido]],STOCK[],16,FALSE)*VENTAS[[#This Row],[Cantidad]]+VLOOKUP(VENTAS[[#This Row],[Código del producto Vendido]],STOCK[],19,FALSE)*VENTAS[[#This Row],[Cantidad]],VENTAS[[#This Row],[Total]])</f>
        <v>5.7</v>
      </c>
      <c r="L663" s="12">
        <f>VENTAS[[#This Row],[Total]]-VENTAS[[#This Row],[Comisión 10%]]-VENTAS[[#This Row],[Costo SIN Comision]]</f>
        <v>5.1000000000000005</v>
      </c>
      <c r="M663" s="12"/>
      <c r="N663" s="16"/>
    </row>
    <row r="664" spans="1:14" ht="20" hidden="1" customHeight="1">
      <c r="A664" s="9"/>
      <c r="B664" s="10" t="str">
        <f>IFERROR(VLOOKUP(VENTAS[[#This Row],[Código del producto Vendido]],STOCK[],25,FALSE),"-")</f>
        <v>Compra 9/12/2023</v>
      </c>
      <c r="C664" s="10"/>
      <c r="D664" s="10" t="s">
        <v>4328</v>
      </c>
      <c r="E664" s="10" t="s">
        <v>1656</v>
      </c>
      <c r="F664" s="10" t="str">
        <f>IFERROR(VLOOKUP(VENTAS[[#This Row],[Código del producto Vendido]],STOCK[],5,FALSE),"-")</f>
        <v>Vestido Margarita</v>
      </c>
      <c r="G664" s="10">
        <v>1</v>
      </c>
      <c r="H664" s="12">
        <v>28</v>
      </c>
      <c r="I664" s="12">
        <f>VENTAS[[#This Row],[Cantidad]]*VENTAS[[#This Row],[Precio Venta]]</f>
        <v>28</v>
      </c>
      <c r="J664" s="12">
        <f>IF(VENTAS[[#This Row],[Nombre del Gestor]]&gt;1,VENTAS[[#This Row],[Total]]*10%,0)</f>
        <v>2.8000000000000003</v>
      </c>
      <c r="K664" s="12">
        <f>IFERROR(VLOOKUP(VENTAS[[#This Row],[Código del producto Vendido]],STOCK[],16,FALSE)*VENTAS[[#This Row],[Cantidad]]+VLOOKUP(VENTAS[[#This Row],[Código del producto Vendido]],STOCK[],19,FALSE)*VENTAS[[#This Row],[Cantidad]],VENTAS[[#This Row],[Total]])</f>
        <v>15.05</v>
      </c>
      <c r="L664" s="12">
        <f>VENTAS[[#This Row],[Total]]-VENTAS[[#This Row],[Comisión 10%]]-VENTAS[[#This Row],[Costo SIN Comision]]</f>
        <v>10.149999999999999</v>
      </c>
      <c r="M664" s="12"/>
      <c r="N664" s="16"/>
    </row>
    <row r="665" spans="1:14" ht="20" hidden="1" customHeight="1">
      <c r="A665" s="9">
        <v>45326</v>
      </c>
      <c r="B665" s="10" t="str">
        <f>IFERROR(VLOOKUP(VENTAS[[#This Row],[Código del producto Vendido]],STOCK[],25,FALSE),"-")</f>
        <v>Compra 9/12/2023</v>
      </c>
      <c r="C665" s="10"/>
      <c r="D665" s="10" t="s">
        <v>4237</v>
      </c>
      <c r="E665" s="10" t="s">
        <v>1662</v>
      </c>
      <c r="F665" s="10" t="str">
        <f>IFERROR(VLOOKUP(VENTAS[[#This Row],[Código del producto Vendido]],STOCK[],5,FALSE),"-")</f>
        <v>Suéter cuello de Cisne</v>
      </c>
      <c r="G665" s="10">
        <v>1</v>
      </c>
      <c r="H665" s="12">
        <v>15</v>
      </c>
      <c r="I665" s="12">
        <f>VENTAS[[#This Row],[Cantidad]]*VENTAS[[#This Row],[Precio Venta]]</f>
        <v>15</v>
      </c>
      <c r="J665" s="12">
        <f>IF(VENTAS[[#This Row],[Nombre del Gestor]]&gt;1,VENTAS[[#This Row],[Total]]*10%,0)</f>
        <v>1.5</v>
      </c>
      <c r="K665" s="12">
        <f>IFERROR(VLOOKUP(VENTAS[[#This Row],[Código del producto Vendido]],STOCK[],16,FALSE)*VENTAS[[#This Row],[Cantidad]]+VLOOKUP(VENTAS[[#This Row],[Código del producto Vendido]],STOCK[],19,FALSE)*VENTAS[[#This Row],[Cantidad]],VENTAS[[#This Row],[Total]])</f>
        <v>5.78</v>
      </c>
      <c r="L665" s="12">
        <f>VENTAS[[#This Row],[Total]]-VENTAS[[#This Row],[Comisión 10%]]-VENTAS[[#This Row],[Costo SIN Comision]]</f>
        <v>7.72</v>
      </c>
      <c r="M665" s="12"/>
      <c r="N665" s="16"/>
    </row>
    <row r="666" spans="1:14" ht="20" hidden="1" customHeight="1">
      <c r="A666" s="9">
        <v>45326</v>
      </c>
      <c r="B666" s="10" t="str">
        <f>IFERROR(VLOOKUP(VENTAS[[#This Row],[Código del producto Vendido]],STOCK[],25,FALSE),"-")</f>
        <v>Compra 9/12/2023</v>
      </c>
      <c r="C666" s="10"/>
      <c r="D666" s="10" t="s">
        <v>4237</v>
      </c>
      <c r="E666" s="10" t="s">
        <v>1644</v>
      </c>
      <c r="F666" s="10" t="str">
        <f>IFERROR(VLOOKUP(VENTAS[[#This Row],[Código del producto Vendido]],STOCK[],5,FALSE),"-")</f>
        <v>Top Asimétrico Acanalado</v>
      </c>
      <c r="G666" s="10">
        <v>1</v>
      </c>
      <c r="H666" s="12">
        <v>12</v>
      </c>
      <c r="I666" s="12">
        <f>VENTAS[[#This Row],[Cantidad]]*VENTAS[[#This Row],[Precio Venta]]</f>
        <v>12</v>
      </c>
      <c r="J666" s="12">
        <f>IF(VENTAS[[#This Row],[Nombre del Gestor]]&gt;1,VENTAS[[#This Row],[Total]]*10%,0)</f>
        <v>1.2000000000000002</v>
      </c>
      <c r="K666" s="12">
        <f>IFERROR(VLOOKUP(VENTAS[[#This Row],[Código del producto Vendido]],STOCK[],16,FALSE)*VENTAS[[#This Row],[Cantidad]]+VLOOKUP(VENTAS[[#This Row],[Código del producto Vendido]],STOCK[],19,FALSE)*VENTAS[[#This Row],[Cantidad]],VENTAS[[#This Row],[Total]])</f>
        <v>5.7</v>
      </c>
      <c r="L666" s="12">
        <f>VENTAS[[#This Row],[Total]]-VENTAS[[#This Row],[Comisión 10%]]-VENTAS[[#This Row],[Costo SIN Comision]]</f>
        <v>5.1000000000000005</v>
      </c>
      <c r="M666" s="12"/>
      <c r="N666" s="16"/>
    </row>
    <row r="667" spans="1:14" ht="20" hidden="1" customHeight="1">
      <c r="A667" s="9">
        <v>45326</v>
      </c>
      <c r="B667" s="10" t="str">
        <f>IFERROR(VLOOKUP(VENTAS[[#This Row],[Código del producto Vendido]],STOCK[],25,FALSE),"-")</f>
        <v>Compra 9/12/2023</v>
      </c>
      <c r="C667" s="10"/>
      <c r="D667" s="10" t="s">
        <v>4237</v>
      </c>
      <c r="E667" s="10" t="s">
        <v>1668</v>
      </c>
      <c r="F667" s="10" t="str">
        <f>IFERROR(VLOOKUP(VENTAS[[#This Row],[Código del producto Vendido]],STOCK[],5,FALSE),"-")</f>
        <v>Mono Con Botón Delantero</v>
      </c>
      <c r="G667" s="10">
        <v>1</v>
      </c>
      <c r="H667" s="12">
        <v>28</v>
      </c>
      <c r="I667" s="12">
        <f>VENTAS[[#This Row],[Cantidad]]*VENTAS[[#This Row],[Precio Venta]]</f>
        <v>28</v>
      </c>
      <c r="J667" s="12">
        <f>IF(VENTAS[[#This Row],[Nombre del Gestor]]&gt;1,VENTAS[[#This Row],[Total]]*10%,0)</f>
        <v>2.8000000000000003</v>
      </c>
      <c r="K667" s="12">
        <f>IFERROR(VLOOKUP(VENTAS[[#This Row],[Código del producto Vendido]],STOCK[],16,FALSE)*VENTAS[[#This Row],[Cantidad]]+VLOOKUP(VENTAS[[#This Row],[Código del producto Vendido]],STOCK[],19,FALSE)*VENTAS[[#This Row],[Cantidad]],VENTAS[[#This Row],[Total]])</f>
        <v>18.7</v>
      </c>
      <c r="L667" s="12">
        <f>VENTAS[[#This Row],[Total]]-VENTAS[[#This Row],[Comisión 10%]]-VENTAS[[#This Row],[Costo SIN Comision]]</f>
        <v>6.5</v>
      </c>
      <c r="M667" s="12"/>
      <c r="N667" s="16"/>
    </row>
    <row r="668" spans="1:14" ht="20" hidden="1" customHeight="1">
      <c r="A668" s="9">
        <v>45326</v>
      </c>
      <c r="B668" s="10">
        <f>IFERROR(VLOOKUP(VENTAS[[#This Row],[Código del producto Vendido]],STOCK[],25,FALSE),"-")</f>
        <v>0</v>
      </c>
      <c r="C668" s="10"/>
      <c r="D668" s="10" t="s">
        <v>4237</v>
      </c>
      <c r="E668" s="10" t="s">
        <v>549</v>
      </c>
      <c r="F668" s="10" t="str">
        <f>IFERROR(VLOOKUP(VENTAS[[#This Row],[Código del producto Vendido]],STOCK[],5,FALSE),"-")</f>
        <v xml:space="preserve">Shorts bajo de doblez de cintura </v>
      </c>
      <c r="G668" s="10">
        <v>1</v>
      </c>
      <c r="H668" s="12">
        <v>19</v>
      </c>
      <c r="I668" s="12">
        <f>VENTAS[[#This Row],[Cantidad]]*VENTAS[[#This Row],[Precio Venta]]</f>
        <v>19</v>
      </c>
      <c r="J668" s="12">
        <f>IF(VENTAS[[#This Row],[Nombre del Gestor]]&gt;1,VENTAS[[#This Row],[Total]]*10%,0)</f>
        <v>1.9000000000000001</v>
      </c>
      <c r="K668" s="12">
        <f>IFERROR(VLOOKUP(VENTAS[[#This Row],[Código del producto Vendido]],STOCK[],16,FALSE)*VENTAS[[#This Row],[Cantidad]]+VLOOKUP(VENTAS[[#This Row],[Código del producto Vendido]],STOCK[],19,FALSE)*VENTAS[[#This Row],[Cantidad]],VENTAS[[#This Row],[Total]])</f>
        <v>8.1761111111111102</v>
      </c>
      <c r="L668" s="12">
        <f>VENTAS[[#This Row],[Total]]-VENTAS[[#This Row],[Comisión 10%]]-VENTAS[[#This Row],[Costo SIN Comision]]</f>
        <v>8.9238888888888912</v>
      </c>
      <c r="M668" s="12"/>
      <c r="N668" s="16"/>
    </row>
    <row r="669" spans="1:14" ht="20" hidden="1" customHeight="1">
      <c r="A669" s="9">
        <v>45326</v>
      </c>
      <c r="B669" s="10">
        <f>IFERROR(VLOOKUP(VENTAS[[#This Row],[Código del producto Vendido]],STOCK[],25,FALSE),"-")</f>
        <v>0</v>
      </c>
      <c r="C669" s="10"/>
      <c r="D669" s="10" t="s">
        <v>4237</v>
      </c>
      <c r="E669" s="10" t="s">
        <v>1306</v>
      </c>
      <c r="F669" s="10" t="str">
        <f>IFERROR(VLOOKUP(VENTAS[[#This Row],[Código del producto Vendido]],STOCK[],5,FALSE),"-")</f>
        <v>Jean ajustado claro</v>
      </c>
      <c r="G669" s="10">
        <v>1</v>
      </c>
      <c r="H669" s="12">
        <v>30</v>
      </c>
      <c r="I669" s="12">
        <f>VENTAS[[#This Row],[Cantidad]]*VENTAS[[#This Row],[Precio Venta]]</f>
        <v>30</v>
      </c>
      <c r="J669" s="12">
        <f>IF(VENTAS[[#This Row],[Nombre del Gestor]]&gt;1,VENTAS[[#This Row],[Total]]*10%,0)</f>
        <v>3</v>
      </c>
      <c r="K669" s="12">
        <f>IFERROR(VLOOKUP(VENTAS[[#This Row],[Código del producto Vendido]],STOCK[],16,FALSE)*VENTAS[[#This Row],[Cantidad]]+VLOOKUP(VENTAS[[#This Row],[Código del producto Vendido]],STOCK[],19,FALSE)*VENTAS[[#This Row],[Cantidad]],VENTAS[[#This Row],[Total]])</f>
        <v>23.79</v>
      </c>
      <c r="L669" s="12">
        <f>VENTAS[[#This Row],[Total]]-VENTAS[[#This Row],[Comisión 10%]]-VENTAS[[#This Row],[Costo SIN Comision]]</f>
        <v>3.2100000000000009</v>
      </c>
      <c r="M669" s="12"/>
      <c r="N669" s="16"/>
    </row>
    <row r="670" spans="1:14" ht="20" hidden="1" customHeight="1">
      <c r="A670" s="9"/>
      <c r="B670" s="10" t="str">
        <f>IFERROR(VLOOKUP(VENTAS[[#This Row],[Código del producto Vendido]],STOCK[],25,FALSE),"-")</f>
        <v>Compra 9/12/2023</v>
      </c>
      <c r="C670" s="10"/>
      <c r="D670" s="10"/>
      <c r="E670" s="10" t="s">
        <v>1614</v>
      </c>
      <c r="F670" s="10" t="str">
        <f>IFERROR(VLOOKUP(VENTAS[[#This Row],[Código del producto Vendido]],STOCK[],5,FALSE),"-")</f>
        <v>Camisa Modely</v>
      </c>
      <c r="G670" s="10">
        <v>1</v>
      </c>
      <c r="H670" s="12">
        <v>22</v>
      </c>
      <c r="I670" s="12">
        <f>VENTAS[[#This Row],[Cantidad]]*VENTAS[[#This Row],[Precio Venta]]</f>
        <v>22</v>
      </c>
      <c r="J670" s="12">
        <f>IF(VENTAS[[#This Row],[Nombre del Gestor]]&gt;1,VENTAS[[#This Row],[Total]]*10%,0)</f>
        <v>0</v>
      </c>
      <c r="K670" s="12">
        <f>IFERROR(VLOOKUP(VENTAS[[#This Row],[Código del producto Vendido]],STOCK[],16,FALSE)*VENTAS[[#This Row],[Cantidad]]+VLOOKUP(VENTAS[[#This Row],[Código del producto Vendido]],STOCK[],19,FALSE)*VENTAS[[#This Row],[Cantidad]],VENTAS[[#This Row],[Total]])</f>
        <v>9.74</v>
      </c>
      <c r="L670" s="12">
        <f>VENTAS[[#This Row],[Total]]-VENTAS[[#This Row],[Comisión 10%]]-VENTAS[[#This Row],[Costo SIN Comision]]</f>
        <v>12.26</v>
      </c>
      <c r="M670" s="12"/>
      <c r="N670" s="16"/>
    </row>
    <row r="671" spans="1:14" ht="20" hidden="1" customHeight="1">
      <c r="A671" s="9"/>
      <c r="B671" s="10" t="str">
        <f>IFERROR(VLOOKUP(VENTAS[[#This Row],[Código del producto Vendido]],STOCK[],25,FALSE),"-")</f>
        <v>Compra 7/12/2023</v>
      </c>
      <c r="C671" s="10"/>
      <c r="D671" s="10"/>
      <c r="E671" s="10" t="s">
        <v>1521</v>
      </c>
      <c r="F671" s="10" t="str">
        <f>IFERROR(VLOOKUP(VENTAS[[#This Row],[Código del producto Vendido]],STOCK[],5,FALSE),"-")</f>
        <v>Saya de Mezclilla a la Cintura</v>
      </c>
      <c r="G671" s="10">
        <v>1</v>
      </c>
      <c r="H671" s="12">
        <v>35</v>
      </c>
      <c r="I671" s="12">
        <f>VENTAS[[#This Row],[Cantidad]]*VENTAS[[#This Row],[Precio Venta]]</f>
        <v>35</v>
      </c>
      <c r="J671" s="12">
        <f>IF(VENTAS[[#This Row],[Nombre del Gestor]]&gt;1,VENTAS[[#This Row],[Total]]*10%,0)</f>
        <v>0</v>
      </c>
      <c r="K671" s="12">
        <f>IFERROR(VLOOKUP(VENTAS[[#This Row],[Código del producto Vendido]],STOCK[],16,FALSE)*VENTAS[[#This Row],[Cantidad]]+VLOOKUP(VENTAS[[#This Row],[Código del producto Vendido]],STOCK[],19,FALSE)*VENTAS[[#This Row],[Cantidad]],VENTAS[[#This Row],[Total]])</f>
        <v>18.5</v>
      </c>
      <c r="L671" s="12">
        <f>VENTAS[[#This Row],[Total]]-VENTAS[[#This Row],[Comisión 10%]]-VENTAS[[#This Row],[Costo SIN Comision]]</f>
        <v>16.5</v>
      </c>
      <c r="M671" s="12"/>
      <c r="N671" s="16"/>
    </row>
    <row r="672" spans="1:14" ht="20" hidden="1" customHeight="1">
      <c r="A672" s="9" t="s">
        <v>4323</v>
      </c>
      <c r="B672" s="10">
        <f>IFERROR(VLOOKUP(VENTAS[[#This Row],[Código del producto Vendido]],STOCK[],25,FALSE),"-")</f>
        <v>0</v>
      </c>
      <c r="C672" s="10" t="s">
        <v>4331</v>
      </c>
      <c r="D672" s="10"/>
      <c r="E672" s="10" t="s">
        <v>755</v>
      </c>
      <c r="F672" s="10" t="str">
        <f>IFERROR(VLOOKUP(VENTAS[[#This Row],[Código del producto Vendido]],STOCK[],5,FALSE),"-")</f>
        <v>Sandalias Rojas</v>
      </c>
      <c r="G672" s="10">
        <v>1</v>
      </c>
      <c r="H672" s="12">
        <v>40</v>
      </c>
      <c r="I672" s="12">
        <f>VENTAS[[#This Row],[Cantidad]]*VENTAS[[#This Row],[Precio Venta]]</f>
        <v>40</v>
      </c>
      <c r="J672" s="12">
        <f>IF(VENTAS[[#This Row],[Nombre del Gestor]]&gt;1,VENTAS[[#This Row],[Total]]*10%,0)</f>
        <v>0</v>
      </c>
      <c r="K672" s="12">
        <f>IFERROR(VLOOKUP(VENTAS[[#This Row],[Código del producto Vendido]],STOCK[],16,FALSE)*VENTAS[[#This Row],[Cantidad]]+VLOOKUP(VENTAS[[#This Row],[Código del producto Vendido]],STOCK[],19,FALSE)*VENTAS[[#This Row],[Cantidad]],VENTAS[[#This Row],[Total]])</f>
        <v>25.7222222222222</v>
      </c>
      <c r="L672" s="12">
        <f>VENTAS[[#This Row],[Total]]-VENTAS[[#This Row],[Comisión 10%]]-VENTAS[[#This Row],[Costo SIN Comision]]</f>
        <v>14.2777777777778</v>
      </c>
      <c r="M672" s="12"/>
      <c r="N672" s="16"/>
    </row>
    <row r="673" spans="1:14" ht="20" hidden="1" customHeight="1">
      <c r="A673" s="9"/>
      <c r="B673" s="10">
        <f>IFERROR(VLOOKUP(VENTAS[[#This Row],[Código del producto Vendido]],STOCK[],25,FALSE),"-")</f>
        <v>0</v>
      </c>
      <c r="C673" s="10" t="s">
        <v>4332</v>
      </c>
      <c r="D673" s="10"/>
      <c r="E673" s="10" t="s">
        <v>872</v>
      </c>
      <c r="F673" s="10" t="str">
        <f>IFERROR(VLOOKUP(VENTAS[[#This Row],[Código del producto Vendido]],STOCK[],5,FALSE),"-")</f>
        <v>Calzado hombre dos tonos</v>
      </c>
      <c r="G673" s="10">
        <v>1</v>
      </c>
      <c r="H673" s="12">
        <v>0</v>
      </c>
      <c r="I673" s="12">
        <f>VENTAS[[#This Row],[Cantidad]]*VENTAS[[#This Row],[Precio Venta]]</f>
        <v>0</v>
      </c>
      <c r="J673" s="12">
        <f>IF(VENTAS[[#This Row],[Nombre del Gestor]]&gt;1,VENTAS[[#This Row],[Total]]*10%,0)</f>
        <v>0</v>
      </c>
      <c r="K673" s="12">
        <f>IFERROR(VLOOKUP(VENTAS[[#This Row],[Código del producto Vendido]],STOCK[],16,FALSE)*VENTAS[[#This Row],[Cantidad]]+VLOOKUP(VENTAS[[#This Row],[Código del producto Vendido]],STOCK[],19,FALSE)*VENTAS[[#This Row],[Cantidad]],VENTAS[[#This Row],[Total]])</f>
        <v>33.9444444444444</v>
      </c>
      <c r="L673" s="12">
        <f>VENTAS[[#This Row],[Total]]-VENTAS[[#This Row],[Comisión 10%]]-VENTAS[[#This Row],[Costo SIN Comision]]</f>
        <v>-33.9444444444444</v>
      </c>
      <c r="M673" s="12"/>
      <c r="N673" s="16"/>
    </row>
    <row r="674" spans="1:14" ht="20" hidden="1" customHeight="1">
      <c r="A674" s="9" t="s">
        <v>4333</v>
      </c>
      <c r="B674" s="10">
        <f>IFERROR(VLOOKUP(VENTAS[[#This Row],[Código del producto Vendido]],STOCK[],25,FALSE),"-")</f>
        <v>0</v>
      </c>
      <c r="C674" s="10"/>
      <c r="D674" s="10"/>
      <c r="E674" s="10" t="s">
        <v>1331</v>
      </c>
      <c r="F674" s="10" t="str">
        <f>IFERROR(VLOOKUP(VENTAS[[#This Row],[Código del producto Vendido]],STOCK[],5,FALSE),"-")</f>
        <v>Blusa de manga acampanada blanca</v>
      </c>
      <c r="G674" s="10">
        <v>1</v>
      </c>
      <c r="H674" s="12">
        <v>22</v>
      </c>
      <c r="I674" s="12">
        <f>VENTAS[[#This Row],[Cantidad]]*VENTAS[[#This Row],[Precio Venta]]</f>
        <v>22</v>
      </c>
      <c r="J674" s="12">
        <f>IF(VENTAS[[#This Row],[Nombre del Gestor]]&gt;1,VENTAS[[#This Row],[Total]]*10%,0)</f>
        <v>0</v>
      </c>
      <c r="K674" s="12">
        <f>IFERROR(VLOOKUP(VENTAS[[#This Row],[Código del producto Vendido]],STOCK[],16,FALSE)*VENTAS[[#This Row],[Cantidad]]+VLOOKUP(VENTAS[[#This Row],[Código del producto Vendido]],STOCK[],19,FALSE)*VENTAS[[#This Row],[Cantidad]],VENTAS[[#This Row],[Total]])</f>
        <v>13.239999999999998</v>
      </c>
      <c r="L674" s="12">
        <f>VENTAS[[#This Row],[Total]]-VENTAS[[#This Row],[Comisión 10%]]-VENTAS[[#This Row],[Costo SIN Comision]]</f>
        <v>8.7600000000000016</v>
      </c>
      <c r="M674" s="12"/>
      <c r="N674" s="16"/>
    </row>
    <row r="675" spans="1:14" ht="20" hidden="1" customHeight="1">
      <c r="A675" s="9" t="s">
        <v>4333</v>
      </c>
      <c r="B675" s="10">
        <f>IFERROR(VLOOKUP(VENTAS[[#This Row],[Código del producto Vendido]],STOCK[],25,FALSE),"-")</f>
        <v>0</v>
      </c>
      <c r="C675" s="10"/>
      <c r="D675" s="10"/>
      <c r="E675" s="10" t="s">
        <v>1333</v>
      </c>
      <c r="F675" s="10" t="str">
        <f>IFERROR(VLOOKUP(VENTAS[[#This Row],[Código del producto Vendido]],STOCK[],5,FALSE),"-")</f>
        <v>Blusa de manga acampanada negra</v>
      </c>
      <c r="G675" s="10">
        <v>1</v>
      </c>
      <c r="H675" s="12">
        <v>22</v>
      </c>
      <c r="I675" s="12">
        <f>VENTAS[[#This Row],[Cantidad]]*VENTAS[[#This Row],[Precio Venta]]</f>
        <v>22</v>
      </c>
      <c r="J675" s="12">
        <f>IF(VENTAS[[#This Row],[Nombre del Gestor]]&gt;1,VENTAS[[#This Row],[Total]]*10%,0)</f>
        <v>0</v>
      </c>
      <c r="K675" s="12">
        <f>IFERROR(VLOOKUP(VENTAS[[#This Row],[Código del producto Vendido]],STOCK[],16,FALSE)*VENTAS[[#This Row],[Cantidad]]+VLOOKUP(VENTAS[[#This Row],[Código del producto Vendido]],STOCK[],19,FALSE)*VENTAS[[#This Row],[Cantidad]],VENTAS[[#This Row],[Total]])</f>
        <v>14.239999999999998</v>
      </c>
      <c r="L675" s="12">
        <f>VENTAS[[#This Row],[Total]]-VENTAS[[#This Row],[Comisión 10%]]-VENTAS[[#This Row],[Costo SIN Comision]]</f>
        <v>7.7600000000000016</v>
      </c>
      <c r="M675" s="12"/>
      <c r="N675" s="16"/>
    </row>
    <row r="676" spans="1:14" ht="20" hidden="1" customHeight="1">
      <c r="A676" s="9" t="s">
        <v>4333</v>
      </c>
      <c r="B676" s="10" t="str">
        <f>IFERROR(VLOOKUP(VENTAS[[#This Row],[Código del producto Vendido]],STOCK[],25,FALSE),"-")</f>
        <v>-</v>
      </c>
      <c r="C676" s="10"/>
      <c r="D676" s="10"/>
      <c r="E676" s="10" t="s">
        <v>4334</v>
      </c>
      <c r="F676" s="10" t="str">
        <f>IFERROR(VLOOKUP(VENTAS[[#This Row],[Código del producto Vendido]],STOCK[],5,FALSE),"-")</f>
        <v>-</v>
      </c>
      <c r="G676" s="10">
        <v>1</v>
      </c>
      <c r="H676" s="12">
        <v>13</v>
      </c>
      <c r="I676" s="12">
        <f>VENTAS[[#This Row],[Cantidad]]*VENTAS[[#This Row],[Precio Venta]]</f>
        <v>13</v>
      </c>
      <c r="J676" s="12">
        <f>IF(VENTAS[[#This Row],[Nombre del Gestor]]&gt;1,VENTAS[[#This Row],[Total]]*10%,0)</f>
        <v>0</v>
      </c>
      <c r="K676" s="12">
        <f>IFERROR(VLOOKUP(VENTAS[[#This Row],[Código del producto Vendido]],STOCK[],16,FALSE)*VENTAS[[#This Row],[Cantidad]]+VLOOKUP(VENTAS[[#This Row],[Código del producto Vendido]],STOCK[],19,FALSE)*VENTAS[[#This Row],[Cantidad]],VENTAS[[#This Row],[Total]])</f>
        <v>13</v>
      </c>
      <c r="L676" s="12">
        <f>VENTAS[[#This Row],[Total]]-VENTAS[[#This Row],[Comisión 10%]]-VENTAS[[#This Row],[Costo SIN Comision]]</f>
        <v>0</v>
      </c>
      <c r="M676" s="12"/>
      <c r="N676" s="16"/>
    </row>
    <row r="677" spans="1:14" ht="20" hidden="1" customHeight="1">
      <c r="A677" s="9">
        <v>45324</v>
      </c>
      <c r="B677" s="10" t="str">
        <f>IFERROR(VLOOKUP(VENTAS[[#This Row],[Código del producto Vendido]],STOCK[],25,FALSE),"-")</f>
        <v>Compra 9/12/2023</v>
      </c>
      <c r="C677" s="10"/>
      <c r="D677" s="10" t="s">
        <v>4328</v>
      </c>
      <c r="E677" s="10" t="s">
        <v>1601</v>
      </c>
      <c r="F677" s="10" t="str">
        <f>IFERROR(VLOOKUP(VENTAS[[#This Row],[Código del producto Vendido]],STOCK[],5,FALSE),"-")</f>
        <v>Cardigan classy</v>
      </c>
      <c r="G677" s="10">
        <v>1</v>
      </c>
      <c r="H677" s="12">
        <v>20</v>
      </c>
      <c r="I677" s="12">
        <f>VENTAS[[#This Row],[Cantidad]]*VENTAS[[#This Row],[Precio Venta]]</f>
        <v>20</v>
      </c>
      <c r="J677" s="12">
        <f>IF(VENTAS[[#This Row],[Nombre del Gestor]]&gt;1,VENTAS[[#This Row],[Total]]*10%,0)</f>
        <v>2</v>
      </c>
      <c r="K677" s="12">
        <f>IFERROR(VLOOKUP(VENTAS[[#This Row],[Código del producto Vendido]],STOCK[],16,FALSE)*VENTAS[[#This Row],[Cantidad]]+VLOOKUP(VENTAS[[#This Row],[Código del producto Vendido]],STOCK[],19,FALSE)*VENTAS[[#This Row],[Cantidad]],VENTAS[[#This Row],[Total]])</f>
        <v>11.8</v>
      </c>
      <c r="L677" s="12">
        <f>VENTAS[[#This Row],[Total]]-VENTAS[[#This Row],[Comisión 10%]]-VENTAS[[#This Row],[Costo SIN Comision]]</f>
        <v>6.1999999999999993</v>
      </c>
      <c r="M677" s="12"/>
      <c r="N677" s="16"/>
    </row>
    <row r="678" spans="1:14" ht="20" hidden="1" customHeight="1">
      <c r="A678" s="9">
        <v>45325</v>
      </c>
      <c r="B678" s="10">
        <f>IFERROR(VLOOKUP(VENTAS[[#This Row],[Código del producto Vendido]],STOCK[],25,FALSE),"-")</f>
        <v>0</v>
      </c>
      <c r="C678" s="10" t="s">
        <v>4335</v>
      </c>
      <c r="D678" s="10"/>
      <c r="E678" s="10" t="s">
        <v>1359</v>
      </c>
      <c r="F678" s="10" t="str">
        <f>IFERROR(VLOOKUP(VENTAS[[#This Row],[Código del producto Vendido]],STOCK[],5,FALSE),"-")</f>
        <v>Sweater de Lana naranja quemada</v>
      </c>
      <c r="G678" s="10">
        <v>1</v>
      </c>
      <c r="H678" s="12">
        <v>18</v>
      </c>
      <c r="I678" s="12">
        <f>VENTAS[[#This Row],[Cantidad]]*VENTAS[[#This Row],[Precio Venta]]</f>
        <v>18</v>
      </c>
      <c r="J678" s="12">
        <f>IF(VENTAS[[#This Row],[Nombre del Gestor]]&gt;1,VENTAS[[#This Row],[Total]]*10%,0)</f>
        <v>0</v>
      </c>
      <c r="K678" s="12">
        <f>IFERROR(VLOOKUP(VENTAS[[#This Row],[Código del producto Vendido]],STOCK[],16,FALSE)*VENTAS[[#This Row],[Cantidad]]+VLOOKUP(VENTAS[[#This Row],[Código del producto Vendido]],STOCK[],19,FALSE)*VENTAS[[#This Row],[Cantidad]],VENTAS[[#This Row],[Total]])</f>
        <v>15.45</v>
      </c>
      <c r="L678" s="12">
        <f>VENTAS[[#This Row],[Total]]-VENTAS[[#This Row],[Comisión 10%]]-VENTAS[[#This Row],[Costo SIN Comision]]</f>
        <v>2.5500000000000007</v>
      </c>
      <c r="M678" s="12"/>
      <c r="N678" s="16"/>
    </row>
    <row r="679" spans="1:14" ht="20" hidden="1" customHeight="1">
      <c r="A679" s="9">
        <v>45324</v>
      </c>
      <c r="B679" s="10" t="str">
        <f>IFERROR(VLOOKUP(VENTAS[[#This Row],[Código del producto Vendido]],STOCK[],25,FALSE),"-")</f>
        <v>-</v>
      </c>
      <c r="C679" s="10"/>
      <c r="D679" s="10"/>
      <c r="E679" s="10"/>
      <c r="F679" s="10" t="str">
        <f>IFERROR(VLOOKUP(VENTAS[[#This Row],[Código del producto Vendido]],STOCK[],5,FALSE),"-")</f>
        <v>-</v>
      </c>
      <c r="G679" s="10">
        <v>1</v>
      </c>
      <c r="H679" s="12">
        <v>28</v>
      </c>
      <c r="I679" s="12">
        <f>VENTAS[[#This Row],[Cantidad]]*VENTAS[[#This Row],[Precio Venta]]</f>
        <v>28</v>
      </c>
      <c r="J679" s="12">
        <f>IF(VENTAS[[#This Row],[Nombre del Gestor]]&gt;1,VENTAS[[#This Row],[Total]]*10%,0)</f>
        <v>0</v>
      </c>
      <c r="K679" s="12">
        <f>IFERROR(VLOOKUP(VENTAS[[#This Row],[Código del producto Vendido]],STOCK[],16,FALSE)*VENTAS[[#This Row],[Cantidad]]+VLOOKUP(VENTAS[[#This Row],[Código del producto Vendido]],STOCK[],19,FALSE)*VENTAS[[#This Row],[Cantidad]],VENTAS[[#This Row],[Total]])</f>
        <v>28</v>
      </c>
      <c r="L679" s="12">
        <f>VENTAS[[#This Row],[Total]]-VENTAS[[#This Row],[Comisión 10%]]-VENTAS[[#This Row],[Costo SIN Comision]]</f>
        <v>0</v>
      </c>
      <c r="M679" s="12"/>
      <c r="N679" s="16"/>
    </row>
    <row r="680" spans="1:14" ht="20" hidden="1" customHeight="1">
      <c r="A680" s="9"/>
      <c r="B680" s="10" t="str">
        <f>IFERROR(VLOOKUP(VENTAS[[#This Row],[Código del producto Vendido]],STOCK[],25,FALSE),"-")</f>
        <v>Compra 7/12/2023</v>
      </c>
      <c r="C680" s="10"/>
      <c r="D680" s="10"/>
      <c r="E680" s="10" t="s">
        <v>1540</v>
      </c>
      <c r="F680" s="10" t="str">
        <f>IFERROR(VLOOKUP(VENTAS[[#This Row],[Código del producto Vendido]],STOCK[],5,FALSE),"-")</f>
        <v>Gafas de sol Dama</v>
      </c>
      <c r="G680" s="10">
        <v>1</v>
      </c>
      <c r="H680" s="12">
        <v>9</v>
      </c>
      <c r="I680" s="12">
        <f>VENTAS[[#This Row],[Cantidad]]*VENTAS[[#This Row],[Precio Venta]]</f>
        <v>9</v>
      </c>
      <c r="J680" s="12">
        <f>IF(VENTAS[[#This Row],[Nombre del Gestor]]&gt;1,VENTAS[[#This Row],[Total]]*10%,0)</f>
        <v>0</v>
      </c>
      <c r="K680" s="12">
        <f>IFERROR(VLOOKUP(VENTAS[[#This Row],[Código del producto Vendido]],STOCK[],16,FALSE)*VENTAS[[#This Row],[Cantidad]]+VLOOKUP(VENTAS[[#This Row],[Código del producto Vendido]],STOCK[],19,FALSE)*VENTAS[[#This Row],[Cantidad]],VENTAS[[#This Row],[Total]])</f>
        <v>4.4000000000000004</v>
      </c>
      <c r="L680" s="12">
        <f>VENTAS[[#This Row],[Total]]-VENTAS[[#This Row],[Comisión 10%]]-VENTAS[[#This Row],[Costo SIN Comision]]</f>
        <v>4.5999999999999996</v>
      </c>
      <c r="M680" s="12"/>
      <c r="N680" s="16"/>
    </row>
    <row r="681" spans="1:14" ht="20" hidden="1" customHeight="1">
      <c r="A681" s="9"/>
      <c r="B681" s="10">
        <f>IFERROR(VLOOKUP(VENTAS[[#This Row],[Código del producto Vendido]],STOCK[],25,FALSE),"-")</f>
        <v>0</v>
      </c>
      <c r="C681" s="10"/>
      <c r="D681" s="10"/>
      <c r="E681" s="10" t="s">
        <v>1418</v>
      </c>
      <c r="F681" s="10" t="str">
        <f>IFERROR(VLOOKUP(VENTAS[[#This Row],[Código del producto Vendido]],STOCK[],5,FALSE),"-")</f>
        <v>Vestido acanalado cruzado color crema</v>
      </c>
      <c r="G681" s="10">
        <v>1</v>
      </c>
      <c r="H681" s="12">
        <v>28</v>
      </c>
      <c r="I681" s="12">
        <f>VENTAS[[#This Row],[Cantidad]]*VENTAS[[#This Row],[Precio Venta]]</f>
        <v>28</v>
      </c>
      <c r="J681" s="12">
        <f>IF(VENTAS[[#This Row],[Nombre del Gestor]]&gt;1,VENTAS[[#This Row],[Total]]*10%,0)</f>
        <v>0</v>
      </c>
      <c r="K681" s="12">
        <f>IFERROR(VLOOKUP(VENTAS[[#This Row],[Código del producto Vendido]],STOCK[],16,FALSE)*VENTAS[[#This Row],[Cantidad]]+VLOOKUP(VENTAS[[#This Row],[Código del producto Vendido]],STOCK[],19,FALSE)*VENTAS[[#This Row],[Cantidad]],VENTAS[[#This Row],[Total]])</f>
        <v>24.59</v>
      </c>
      <c r="L681" s="12">
        <f>VENTAS[[#This Row],[Total]]-VENTAS[[#This Row],[Comisión 10%]]-VENTAS[[#This Row],[Costo SIN Comision]]</f>
        <v>3.41</v>
      </c>
      <c r="M681" s="12"/>
      <c r="N681" s="16"/>
    </row>
    <row r="682" spans="1:14" ht="20" hidden="1" customHeight="1">
      <c r="A682" s="9" t="s">
        <v>4318</v>
      </c>
      <c r="B682" s="10">
        <f>IFERROR(VLOOKUP(VENTAS[[#This Row],[Código del producto Vendido]],STOCK[],25,FALSE),"-")</f>
        <v>0</v>
      </c>
      <c r="C682" s="10"/>
      <c r="D682" s="10"/>
      <c r="E682" s="10" t="s">
        <v>1044</v>
      </c>
      <c r="F682" s="10" t="str">
        <f>IFERROR(VLOOKUP(VENTAS[[#This Row],[Código del producto Vendido]],STOCK[],5,FALSE),"-")</f>
        <v>Jeans Ajustados Claro</v>
      </c>
      <c r="G682" s="10">
        <v>1</v>
      </c>
      <c r="H682" s="12">
        <v>30</v>
      </c>
      <c r="I682" s="12">
        <f>VENTAS[[#This Row],[Cantidad]]*VENTAS[[#This Row],[Precio Venta]]</f>
        <v>30</v>
      </c>
      <c r="J682" s="12">
        <f>IF(VENTAS[[#This Row],[Nombre del Gestor]]&gt;1,VENTAS[[#This Row],[Total]]*10%,0)</f>
        <v>0</v>
      </c>
      <c r="K682" s="12">
        <f>IFERROR(VLOOKUP(VENTAS[[#This Row],[Código del producto Vendido]],STOCK[],16,FALSE)*VENTAS[[#This Row],[Cantidad]]+VLOOKUP(VENTAS[[#This Row],[Código del producto Vendido]],STOCK[],19,FALSE)*VENTAS[[#This Row],[Cantidad]],VENTAS[[#This Row],[Total]])</f>
        <v>25.818181818181799</v>
      </c>
      <c r="L682" s="12">
        <f>VENTAS[[#This Row],[Total]]-VENTAS[[#This Row],[Comisión 10%]]-VENTAS[[#This Row],[Costo SIN Comision]]</f>
        <v>4.1818181818182012</v>
      </c>
      <c r="M682" s="12"/>
      <c r="N682" s="16"/>
    </row>
    <row r="683" spans="1:14" ht="20" hidden="1" customHeight="1">
      <c r="A683" s="9" t="s">
        <v>4333</v>
      </c>
      <c r="B683" s="10">
        <f>IFERROR(VLOOKUP(VENTAS[[#This Row],[Código del producto Vendido]],STOCK[],25,FALSE),"-")</f>
        <v>0</v>
      </c>
      <c r="C683" s="10"/>
      <c r="D683" s="10"/>
      <c r="E683" s="10" t="s">
        <v>962</v>
      </c>
      <c r="F683" s="10" t="str">
        <f>IFERROR(VLOOKUP(VENTAS[[#This Row],[Código del producto Vendido]],STOCK[],5,FALSE),"-")</f>
        <v>Pantalón Business Básico</v>
      </c>
      <c r="G683" s="10">
        <v>1</v>
      </c>
      <c r="H683" s="12">
        <v>28</v>
      </c>
      <c r="I683" s="12">
        <f>VENTAS[[#This Row],[Cantidad]]*VENTAS[[#This Row],[Precio Venta]]</f>
        <v>28</v>
      </c>
      <c r="J683" s="12">
        <f>IF(VENTAS[[#This Row],[Nombre del Gestor]]&gt;1,VENTAS[[#This Row],[Total]]*10%,0)</f>
        <v>0</v>
      </c>
      <c r="K683" s="12">
        <f>IFERROR(VLOOKUP(VENTAS[[#This Row],[Código del producto Vendido]],STOCK[],16,FALSE)*VENTAS[[#This Row],[Cantidad]]+VLOOKUP(VENTAS[[#This Row],[Código del producto Vendido]],STOCK[],19,FALSE)*VENTAS[[#This Row],[Cantidad]],VENTAS[[#This Row],[Total]])</f>
        <v>21.372272727272701</v>
      </c>
      <c r="L683" s="12">
        <f>VENTAS[[#This Row],[Total]]-VENTAS[[#This Row],[Comisión 10%]]-VENTAS[[#This Row],[Costo SIN Comision]]</f>
        <v>6.6277272727272987</v>
      </c>
      <c r="M683" s="12"/>
      <c r="N683" s="16"/>
    </row>
    <row r="684" spans="1:14" ht="20" hidden="1" customHeight="1">
      <c r="A684" s="9"/>
      <c r="B684" s="10">
        <f>IFERROR(VLOOKUP(VENTAS[[#This Row],[Código del producto Vendido]],STOCK[],25,FALSE),"-")</f>
        <v>0</v>
      </c>
      <c r="C684" s="10"/>
      <c r="D684" s="10"/>
      <c r="E684" s="10" t="s">
        <v>1418</v>
      </c>
      <c r="F684" s="10" t="str">
        <f>IFERROR(VLOOKUP(VENTAS[[#This Row],[Código del producto Vendido]],STOCK[],5,FALSE),"-")</f>
        <v>Vestido acanalado cruzado color crema</v>
      </c>
      <c r="G684" s="10">
        <v>1</v>
      </c>
      <c r="H684" s="12">
        <v>28</v>
      </c>
      <c r="I684" s="12">
        <f>VENTAS[[#This Row],[Cantidad]]*VENTAS[[#This Row],[Precio Venta]]</f>
        <v>28</v>
      </c>
      <c r="J684" s="12">
        <f>IF(VENTAS[[#This Row],[Nombre del Gestor]]&gt;1,VENTAS[[#This Row],[Total]]*10%,0)</f>
        <v>0</v>
      </c>
      <c r="K684" s="12">
        <f>IFERROR(VLOOKUP(VENTAS[[#This Row],[Código del producto Vendido]],STOCK[],16,FALSE)*VENTAS[[#This Row],[Cantidad]]+VLOOKUP(VENTAS[[#This Row],[Código del producto Vendido]],STOCK[],19,FALSE)*VENTAS[[#This Row],[Cantidad]],VENTAS[[#This Row],[Total]])</f>
        <v>24.59</v>
      </c>
      <c r="L684" s="12">
        <f>VENTAS[[#This Row],[Total]]-VENTAS[[#This Row],[Comisión 10%]]-VENTAS[[#This Row],[Costo SIN Comision]]</f>
        <v>3.41</v>
      </c>
      <c r="M684" s="12"/>
      <c r="N684" s="16"/>
    </row>
    <row r="685" spans="1:14" ht="20" hidden="1" customHeight="1">
      <c r="A685" s="9" t="s">
        <v>4318</v>
      </c>
      <c r="B685" s="10" t="str">
        <f>IFERROR(VLOOKUP(VENTAS[[#This Row],[Código del producto Vendido]],STOCK[],25,FALSE),"-")</f>
        <v>COMPRA F21</v>
      </c>
      <c r="C685" s="10"/>
      <c r="D685" s="10"/>
      <c r="E685" s="10" t="s">
        <v>1433</v>
      </c>
      <c r="F685" s="10" t="str">
        <f>IFERROR(VLOOKUP(VENTAS[[#This Row],[Código del producto Vendido]],STOCK[],5,FALSE),"-")</f>
        <v>Sandalias blancas cruzadas</v>
      </c>
      <c r="G685" s="10">
        <v>1</v>
      </c>
      <c r="H685" s="12">
        <v>15</v>
      </c>
      <c r="I685" s="12">
        <f>VENTAS[[#This Row],[Cantidad]]*VENTAS[[#This Row],[Precio Venta]]</f>
        <v>15</v>
      </c>
      <c r="J685" s="12">
        <f>IF(VENTAS[[#This Row],[Nombre del Gestor]]&gt;1,VENTAS[[#This Row],[Total]]*10%,0)</f>
        <v>0</v>
      </c>
      <c r="K685" s="12">
        <f>IFERROR(VLOOKUP(VENTAS[[#This Row],[Código del producto Vendido]],STOCK[],16,FALSE)*VENTAS[[#This Row],[Cantidad]]+VLOOKUP(VENTAS[[#This Row],[Código del producto Vendido]],STOCK[],19,FALSE)*VENTAS[[#This Row],[Cantidad]],VENTAS[[#This Row],[Total]])</f>
        <v>11.49</v>
      </c>
      <c r="L685" s="12">
        <f>VENTAS[[#This Row],[Total]]-VENTAS[[#This Row],[Comisión 10%]]-VENTAS[[#This Row],[Costo SIN Comision]]</f>
        <v>3.51</v>
      </c>
      <c r="M685" s="12"/>
      <c r="N685" s="16"/>
    </row>
    <row r="686" spans="1:14" ht="20" hidden="1" customHeight="1">
      <c r="A686" s="9"/>
      <c r="B686" s="10">
        <f>IFERROR(VLOOKUP(VENTAS[[#This Row],[Código del producto Vendido]],STOCK[],25,FALSE),"-")</f>
        <v>0</v>
      </c>
      <c r="C686" s="10"/>
      <c r="D686" s="10"/>
      <c r="E686" s="10" t="s">
        <v>1138</v>
      </c>
      <c r="F686" s="10" t="str">
        <f>IFERROR(VLOOKUP(VENTAS[[#This Row],[Código del producto Vendido]],STOCK[],5,FALSE),"-")</f>
        <v>Vestido rojo con aberturas H&amp;M</v>
      </c>
      <c r="G686" s="10">
        <v>1</v>
      </c>
      <c r="H686" s="12">
        <v>25</v>
      </c>
      <c r="I686" s="12">
        <f>VENTAS[[#This Row],[Cantidad]]*VENTAS[[#This Row],[Precio Venta]]</f>
        <v>25</v>
      </c>
      <c r="J686" s="12">
        <f>IF(VENTAS[[#This Row],[Nombre del Gestor]]&gt;1,VENTAS[[#This Row],[Total]]*10%,0)</f>
        <v>0</v>
      </c>
      <c r="K686" s="12">
        <f>IFERROR(VLOOKUP(VENTAS[[#This Row],[Código del producto Vendido]],STOCK[],16,FALSE)*VENTAS[[#This Row],[Cantidad]]+VLOOKUP(VENTAS[[#This Row],[Código del producto Vendido]],STOCK[],19,FALSE)*VENTAS[[#This Row],[Cantidad]],VENTAS[[#This Row],[Total]])</f>
        <v>18.117647058823501</v>
      </c>
      <c r="L686" s="12">
        <f>VENTAS[[#This Row],[Total]]-VENTAS[[#This Row],[Comisión 10%]]-VENTAS[[#This Row],[Costo SIN Comision]]</f>
        <v>6.8823529411764994</v>
      </c>
      <c r="M686" s="12"/>
      <c r="N686" s="16"/>
    </row>
    <row r="687" spans="1:14" ht="20" hidden="1" customHeight="1">
      <c r="A687" s="9"/>
      <c r="B687" s="10" t="str">
        <f>IFERROR(VLOOKUP(VENTAS[[#This Row],[Código del producto Vendido]],STOCK[],25,FALSE),"-")</f>
        <v>Viaje Agosto</v>
      </c>
      <c r="C687" s="10"/>
      <c r="D687" s="10"/>
      <c r="E687" s="10" t="s">
        <v>1235</v>
      </c>
      <c r="F687" s="10" t="str">
        <f>IFERROR(VLOOKUP(VENTAS[[#This Row],[Código del producto Vendido]],STOCK[],5,FALSE),"-")</f>
        <v>Short beich de pierna ancha </v>
      </c>
      <c r="G687" s="10">
        <v>3</v>
      </c>
      <c r="H687" s="12">
        <v>20</v>
      </c>
      <c r="I687" s="12">
        <f>VENTAS[[#This Row],[Cantidad]]*VENTAS[[#This Row],[Precio Venta]]</f>
        <v>60</v>
      </c>
      <c r="J687" s="12">
        <f>IF(VENTAS[[#This Row],[Nombre del Gestor]]&gt;1,VENTAS[[#This Row],[Total]]*10%,0)</f>
        <v>0</v>
      </c>
      <c r="K687" s="12">
        <f>IFERROR(VLOOKUP(VENTAS[[#This Row],[Código del producto Vendido]],STOCK[],16,FALSE)*VENTAS[[#This Row],[Cantidad]]+VLOOKUP(VENTAS[[#This Row],[Código del producto Vendido]],STOCK[],19,FALSE)*VENTAS[[#This Row],[Cantidad]],VENTAS[[#This Row],[Total]])</f>
        <v>43.11</v>
      </c>
      <c r="L687" s="12">
        <f>VENTAS[[#This Row],[Total]]-VENTAS[[#This Row],[Comisión 10%]]-VENTAS[[#This Row],[Costo SIN Comision]]</f>
        <v>16.89</v>
      </c>
      <c r="M687" s="12"/>
      <c r="N687" s="16"/>
    </row>
    <row r="688" spans="1:14" ht="20" hidden="1" customHeight="1">
      <c r="A688" s="9"/>
      <c r="B688" s="10" t="str">
        <f>IFERROR(VLOOKUP(VENTAS[[#This Row],[Código del producto Vendido]],STOCK[],25,FALSE),"-")</f>
        <v>Viaje Agosto</v>
      </c>
      <c r="C688" s="10"/>
      <c r="D688" s="10"/>
      <c r="E688" s="10" t="s">
        <v>1281</v>
      </c>
      <c r="F688" s="10" t="str">
        <f>IFERROR(VLOOKUP(VENTAS[[#This Row],[Código del producto Vendido]],STOCK[],5,FALSE),"-")</f>
        <v>Short beiche de pierna ancha </v>
      </c>
      <c r="G688" s="10">
        <v>3</v>
      </c>
      <c r="H688" s="12">
        <v>20</v>
      </c>
      <c r="I688" s="12">
        <f>VENTAS[[#This Row],[Cantidad]]*VENTAS[[#This Row],[Precio Venta]]</f>
        <v>60</v>
      </c>
      <c r="J688" s="12">
        <f>IF(VENTAS[[#This Row],[Nombre del Gestor]]&gt;1,VENTAS[[#This Row],[Total]]*10%,0)</f>
        <v>0</v>
      </c>
      <c r="K688" s="12">
        <f>IFERROR(VLOOKUP(VENTAS[[#This Row],[Código del producto Vendido]],STOCK[],16,FALSE)*VENTAS[[#This Row],[Cantidad]]+VLOOKUP(VENTAS[[#This Row],[Código del producto Vendido]],STOCK[],19,FALSE)*VENTAS[[#This Row],[Cantidad]],VENTAS[[#This Row],[Total]])</f>
        <v>43.11</v>
      </c>
      <c r="L688" s="12">
        <f>VENTAS[[#This Row],[Total]]-VENTAS[[#This Row],[Comisión 10%]]-VENTAS[[#This Row],[Costo SIN Comision]]</f>
        <v>16.89</v>
      </c>
      <c r="M688" s="12"/>
      <c r="N688" s="16"/>
    </row>
    <row r="689" spans="1:14" ht="20" hidden="1" customHeight="1">
      <c r="A689" s="9" t="s">
        <v>4333</v>
      </c>
      <c r="B689" s="10">
        <f>IFERROR(VLOOKUP(VENTAS[[#This Row],[Código del producto Vendido]],STOCK[],25,FALSE),"-")</f>
        <v>0</v>
      </c>
      <c r="C689" s="10"/>
      <c r="D689" s="10"/>
      <c r="E689" s="10" t="s">
        <v>1428</v>
      </c>
      <c r="F689" s="10" t="str">
        <f>IFERROR(VLOOKUP(VENTAS[[#This Row],[Código del producto Vendido]],STOCK[],5,FALSE),"-")</f>
        <v>Vestido espalda escotada</v>
      </c>
      <c r="G689" s="10">
        <v>2</v>
      </c>
      <c r="H689" s="12">
        <v>28</v>
      </c>
      <c r="I689" s="12">
        <f>VENTAS[[#This Row],[Cantidad]]*VENTAS[[#This Row],[Precio Venta]]</f>
        <v>56</v>
      </c>
      <c r="J689" s="12">
        <f>IF(VENTAS[[#This Row],[Nombre del Gestor]]&gt;1,VENTAS[[#This Row],[Total]]*10%,0)</f>
        <v>0</v>
      </c>
      <c r="K689" s="12">
        <f>IFERROR(VLOOKUP(VENTAS[[#This Row],[Código del producto Vendido]],STOCK[],16,FALSE)*VENTAS[[#This Row],[Cantidad]]+VLOOKUP(VENTAS[[#This Row],[Código del producto Vendido]],STOCK[],19,FALSE)*VENTAS[[#This Row],[Cantidad]],VENTAS[[#This Row],[Total]])</f>
        <v>34</v>
      </c>
      <c r="L689" s="12">
        <f>VENTAS[[#This Row],[Total]]-VENTAS[[#This Row],[Comisión 10%]]-VENTAS[[#This Row],[Costo SIN Comision]]</f>
        <v>22</v>
      </c>
      <c r="M689" s="12"/>
      <c r="N689" s="16"/>
    </row>
    <row r="690" spans="1:14" ht="20" hidden="1" customHeight="1">
      <c r="A690" s="9" t="s">
        <v>4333</v>
      </c>
      <c r="B690" s="10" t="str">
        <f>IFERROR(VLOOKUP(VENTAS[[#This Row],[Código del producto Vendido]],STOCK[],25,FALSE),"-")</f>
        <v>-</v>
      </c>
      <c r="C690" s="10"/>
      <c r="D690" s="10"/>
      <c r="E690" s="10" t="s">
        <v>4322</v>
      </c>
      <c r="F690" s="10" t="str">
        <f>IFERROR(VLOOKUP(VENTAS[[#This Row],[Código del producto Vendido]],STOCK[],5,FALSE),"-")</f>
        <v>-</v>
      </c>
      <c r="G690" s="10">
        <v>2</v>
      </c>
      <c r="H690" s="12">
        <v>23</v>
      </c>
      <c r="I690" s="12">
        <f>VENTAS[[#This Row],[Cantidad]]*VENTAS[[#This Row],[Precio Venta]]</f>
        <v>46</v>
      </c>
      <c r="J690" s="12">
        <f>IF(VENTAS[[#This Row],[Nombre del Gestor]]&gt;1,VENTAS[[#This Row],[Total]]*10%,0)</f>
        <v>0</v>
      </c>
      <c r="K690" s="12">
        <f>IFERROR(VLOOKUP(VENTAS[[#This Row],[Código del producto Vendido]],STOCK[],16,FALSE)*VENTAS[[#This Row],[Cantidad]]+VLOOKUP(VENTAS[[#This Row],[Código del producto Vendido]],STOCK[],19,FALSE)*VENTAS[[#This Row],[Cantidad]],VENTAS[[#This Row],[Total]])</f>
        <v>46</v>
      </c>
      <c r="L690" s="12">
        <f>VENTAS[[#This Row],[Total]]-VENTAS[[#This Row],[Comisión 10%]]-VENTAS[[#This Row],[Costo SIN Comision]]</f>
        <v>0</v>
      </c>
      <c r="M690" s="12"/>
      <c r="N690" s="16"/>
    </row>
    <row r="691" spans="1:14" ht="20" hidden="1" customHeight="1">
      <c r="A691" s="9"/>
      <c r="B691" s="10" t="str">
        <f>IFERROR(VLOOKUP(VENTAS[[#This Row],[Código del producto Vendido]],STOCK[],25,FALSE),"-")</f>
        <v>-</v>
      </c>
      <c r="C691" s="10"/>
      <c r="D691" s="10"/>
      <c r="E691" s="10" t="s">
        <v>4308</v>
      </c>
      <c r="F691" s="10" t="str">
        <f>IFERROR(VLOOKUP(VENTAS[[#This Row],[Código del producto Vendido]],STOCK[],5,FALSE),"-")</f>
        <v>-</v>
      </c>
      <c r="G691" s="10">
        <v>1</v>
      </c>
      <c r="H691" s="12">
        <v>23</v>
      </c>
      <c r="I691" s="12">
        <f>VENTAS[[#This Row],[Cantidad]]*VENTAS[[#This Row],[Precio Venta]]</f>
        <v>23</v>
      </c>
      <c r="J691" s="12">
        <f>IF(VENTAS[[#This Row],[Nombre del Gestor]]&gt;1,VENTAS[[#This Row],[Total]]*10%,0)</f>
        <v>0</v>
      </c>
      <c r="K691" s="12">
        <f>IFERROR(VLOOKUP(VENTAS[[#This Row],[Código del producto Vendido]],STOCK[],16,FALSE)*VENTAS[[#This Row],[Cantidad]]+VLOOKUP(VENTAS[[#This Row],[Código del producto Vendido]],STOCK[],19,FALSE)*VENTAS[[#This Row],[Cantidad]],VENTAS[[#This Row],[Total]])</f>
        <v>23</v>
      </c>
      <c r="L691" s="12">
        <f>VENTAS[[#This Row],[Total]]-VENTAS[[#This Row],[Comisión 10%]]-VENTAS[[#This Row],[Costo SIN Comision]]</f>
        <v>0</v>
      </c>
      <c r="M691" s="12"/>
      <c r="N691" s="16"/>
    </row>
    <row r="692" spans="1:14" ht="20" hidden="1" customHeight="1">
      <c r="A692" s="9" t="s">
        <v>4333</v>
      </c>
      <c r="B692" s="10" t="str">
        <f>IFERROR(VLOOKUP(VENTAS[[#This Row],[Código del producto Vendido]],STOCK[],25,FALSE),"-")</f>
        <v>COMPRA F21</v>
      </c>
      <c r="C692" s="10"/>
      <c r="D692" s="10"/>
      <c r="E692" s="10" t="s">
        <v>1445</v>
      </c>
      <c r="F692" s="10" t="str">
        <f>IFERROR(VLOOKUP(VENTAS[[#This Row],[Código del producto Vendido]],STOCK[],5,FALSE),"-")</f>
        <v>Sandalias negras acolchadas</v>
      </c>
      <c r="G692" s="10">
        <v>1</v>
      </c>
      <c r="H692" s="12">
        <v>27</v>
      </c>
      <c r="I692" s="12">
        <f>VENTAS[[#This Row],[Cantidad]]*VENTAS[[#This Row],[Precio Venta]]</f>
        <v>27</v>
      </c>
      <c r="J692" s="12">
        <f>IF(VENTAS[[#This Row],[Nombre del Gestor]]&gt;1,VENTAS[[#This Row],[Total]]*10%,0)</f>
        <v>0</v>
      </c>
      <c r="K692" s="12">
        <f>IFERROR(VLOOKUP(VENTAS[[#This Row],[Código del producto Vendido]],STOCK[],16,FALSE)*VENTAS[[#This Row],[Cantidad]]+VLOOKUP(VENTAS[[#This Row],[Código del producto Vendido]],STOCK[],19,FALSE)*VENTAS[[#This Row],[Cantidad]],VENTAS[[#This Row],[Total]])</f>
        <v>12.49</v>
      </c>
      <c r="L692" s="12">
        <f>VENTAS[[#This Row],[Total]]-VENTAS[[#This Row],[Comisión 10%]]-VENTAS[[#This Row],[Costo SIN Comision]]</f>
        <v>14.51</v>
      </c>
      <c r="M692" s="12"/>
      <c r="N692" s="16"/>
    </row>
    <row r="693" spans="1:14" ht="20" hidden="1" customHeight="1">
      <c r="A693" s="9" t="s">
        <v>4333</v>
      </c>
      <c r="B693" s="10">
        <f>IFERROR(VLOOKUP(VENTAS[[#This Row],[Código del producto Vendido]],STOCK[],25,FALSE),"-")</f>
        <v>0</v>
      </c>
      <c r="C693" s="10"/>
      <c r="D693" s="10"/>
      <c r="E693" s="10" t="s">
        <v>1703</v>
      </c>
      <c r="F693" s="10" t="str">
        <f>IFERROR(VLOOKUP(VENTAS[[#This Row],[Código del producto Vendido]],STOCK[],5,FALSE),"-")</f>
        <v>Vestido Frente Drapeado Negro y Blanco</v>
      </c>
      <c r="G693" s="10">
        <v>1</v>
      </c>
      <c r="H693" s="12">
        <v>25</v>
      </c>
      <c r="I693" s="12">
        <f>VENTAS[[#This Row],[Cantidad]]*VENTAS[[#This Row],[Precio Venta]]</f>
        <v>25</v>
      </c>
      <c r="J693" s="12">
        <f>IF(VENTAS[[#This Row],[Nombre del Gestor]]&gt;1,VENTAS[[#This Row],[Total]]*10%,0)</f>
        <v>0</v>
      </c>
      <c r="K693" s="12">
        <f>IFERROR(VLOOKUP(VENTAS[[#This Row],[Código del producto Vendido]],STOCK[],16,FALSE)*VENTAS[[#This Row],[Cantidad]]+VLOOKUP(VENTAS[[#This Row],[Código del producto Vendido]],STOCK[],19,FALSE)*VENTAS[[#This Row],[Cantidad]],VENTAS[[#This Row],[Total]])</f>
        <v>11.4</v>
      </c>
      <c r="L693" s="12">
        <f>VENTAS[[#This Row],[Total]]-VENTAS[[#This Row],[Comisión 10%]]-VENTAS[[#This Row],[Costo SIN Comision]]</f>
        <v>13.6</v>
      </c>
      <c r="M693" s="12"/>
      <c r="N693" s="16"/>
    </row>
    <row r="694" spans="1:14" ht="20" hidden="1" customHeight="1">
      <c r="A694" s="9"/>
      <c r="B694" s="10" t="str">
        <f>IFERROR(VLOOKUP(VENTAS[[#This Row],[Código del producto Vendido]],STOCK[],25,FALSE),"-")</f>
        <v>Compra 7/12/2023</v>
      </c>
      <c r="C694" s="10"/>
      <c r="D694" s="10"/>
      <c r="E694" s="10" t="s">
        <v>1548</v>
      </c>
      <c r="F694" s="10" t="str">
        <f>IFERROR(VLOOKUP(VENTAS[[#This Row],[Código del producto Vendido]],STOCK[],5,FALSE),"-")</f>
        <v>Limpia botellas</v>
      </c>
      <c r="G694" s="10">
        <v>1</v>
      </c>
      <c r="H694" s="12">
        <v>4</v>
      </c>
      <c r="I694" s="12">
        <f>VENTAS[[#This Row],[Cantidad]]*VENTAS[[#This Row],[Precio Venta]]</f>
        <v>4</v>
      </c>
      <c r="J694" s="12">
        <f>IF(VENTAS[[#This Row],[Nombre del Gestor]]&gt;1,VENTAS[[#This Row],[Total]]*10%,0)</f>
        <v>0</v>
      </c>
      <c r="K694" s="12">
        <f>IFERROR(VLOOKUP(VENTAS[[#This Row],[Código del producto Vendido]],STOCK[],16,FALSE)*VENTAS[[#This Row],[Cantidad]]+VLOOKUP(VENTAS[[#This Row],[Código del producto Vendido]],STOCK[],19,FALSE)*VENTAS[[#This Row],[Cantidad]],VENTAS[[#This Row],[Total]])</f>
        <v>3.25</v>
      </c>
      <c r="L694" s="12">
        <f>VENTAS[[#This Row],[Total]]-VENTAS[[#This Row],[Comisión 10%]]-VENTAS[[#This Row],[Costo SIN Comision]]</f>
        <v>0.75</v>
      </c>
      <c r="M694" s="12"/>
      <c r="N694" s="16"/>
    </row>
    <row r="695" spans="1:14" ht="20" hidden="1" customHeight="1">
      <c r="A695" s="9"/>
      <c r="B695" s="10" t="str">
        <f>IFERROR(VLOOKUP(VENTAS[[#This Row],[Código del producto Vendido]],STOCK[],25,FALSE),"-")</f>
        <v>Compra 7/12/2023</v>
      </c>
      <c r="C695" s="10"/>
      <c r="D695" s="10"/>
      <c r="E695" s="10" t="s">
        <v>1551</v>
      </c>
      <c r="F695" s="10" t="str">
        <f>IFERROR(VLOOKUP(VENTAS[[#This Row],[Código del producto Vendido]],STOCK[],5,FALSE),"-")</f>
        <v>Batidor</v>
      </c>
      <c r="G695" s="10">
        <v>1</v>
      </c>
      <c r="H695" s="12">
        <v>3</v>
      </c>
      <c r="I695" s="12">
        <f>VENTAS[[#This Row],[Cantidad]]*VENTAS[[#This Row],[Precio Venta]]</f>
        <v>3</v>
      </c>
      <c r="J695" s="12">
        <f>IF(VENTAS[[#This Row],[Nombre del Gestor]]&gt;1,VENTAS[[#This Row],[Total]]*10%,0)</f>
        <v>0</v>
      </c>
      <c r="K695" s="12">
        <f>IFERROR(VLOOKUP(VENTAS[[#This Row],[Código del producto Vendido]],STOCK[],16,FALSE)*VENTAS[[#This Row],[Cantidad]]+VLOOKUP(VENTAS[[#This Row],[Código del producto Vendido]],STOCK[],19,FALSE)*VENTAS[[#This Row],[Cantidad]],VENTAS[[#This Row],[Total]])</f>
        <v>3.5</v>
      </c>
      <c r="L695" s="12">
        <f>VENTAS[[#This Row],[Total]]-VENTAS[[#This Row],[Comisión 10%]]-VENTAS[[#This Row],[Costo SIN Comision]]</f>
        <v>-0.5</v>
      </c>
      <c r="M695" s="12"/>
      <c r="N695" s="16"/>
    </row>
    <row r="696" spans="1:14" ht="20" hidden="1" customHeight="1">
      <c r="A696" s="9"/>
      <c r="B696" s="10" t="str">
        <f>IFERROR(VLOOKUP(VENTAS[[#This Row],[Código del producto Vendido]],STOCK[],25,FALSE),"-")</f>
        <v>Compra 7/12/2023</v>
      </c>
      <c r="C696" s="10"/>
      <c r="D696" s="10"/>
      <c r="E696" s="10" t="s">
        <v>1527</v>
      </c>
      <c r="F696" s="10" t="str">
        <f>IFERROR(VLOOKUP(VENTAS[[#This Row],[Código del producto Vendido]],STOCK[],5,FALSE),"-")</f>
        <v>Top Bustier encaje</v>
      </c>
      <c r="G696" s="10">
        <v>1</v>
      </c>
      <c r="H696" s="12">
        <v>22</v>
      </c>
      <c r="I696" s="12">
        <f>VENTAS[[#This Row],[Cantidad]]*VENTAS[[#This Row],[Precio Venta]]</f>
        <v>22</v>
      </c>
      <c r="J696" s="12">
        <f>IF(VENTAS[[#This Row],[Nombre del Gestor]]&gt;1,VENTAS[[#This Row],[Total]]*10%,0)</f>
        <v>0</v>
      </c>
      <c r="K696" s="12">
        <f>IFERROR(VLOOKUP(VENTAS[[#This Row],[Código del producto Vendido]],STOCK[],16,FALSE)*VENTAS[[#This Row],[Cantidad]]+VLOOKUP(VENTAS[[#This Row],[Código del producto Vendido]],STOCK[],19,FALSE)*VENTAS[[#This Row],[Cantidad]],VENTAS[[#This Row],[Total]])</f>
        <v>14.7</v>
      </c>
      <c r="L696" s="12">
        <f>VENTAS[[#This Row],[Total]]-VENTAS[[#This Row],[Comisión 10%]]-VENTAS[[#This Row],[Costo SIN Comision]]</f>
        <v>7.3000000000000007</v>
      </c>
      <c r="M696" s="12"/>
      <c r="N696" s="16"/>
    </row>
    <row r="697" spans="1:14" ht="20" hidden="1" customHeight="1">
      <c r="A697" s="9"/>
      <c r="B697" s="10" t="str">
        <f>IFERROR(VLOOKUP(VENTAS[[#This Row],[Código del producto Vendido]],STOCK[],25,FALSE),"-")</f>
        <v>Compra 7/12/2023</v>
      </c>
      <c r="C697" s="10"/>
      <c r="D697" s="10"/>
      <c r="E697" s="10" t="s">
        <v>1544</v>
      </c>
      <c r="F697" s="10" t="str">
        <f>IFERROR(VLOOKUP(VENTAS[[#This Row],[Código del producto Vendido]],STOCK[],5,FALSE),"-")</f>
        <v>Lentes de Sol</v>
      </c>
      <c r="G697" s="10">
        <v>1</v>
      </c>
      <c r="H697" s="12">
        <v>5</v>
      </c>
      <c r="I697" s="12">
        <f>VENTAS[[#This Row],[Cantidad]]*VENTAS[[#This Row],[Precio Venta]]</f>
        <v>5</v>
      </c>
      <c r="J697" s="12">
        <f>IF(VENTAS[[#This Row],[Nombre del Gestor]]&gt;1,VENTAS[[#This Row],[Total]]*10%,0)</f>
        <v>0</v>
      </c>
      <c r="K697" s="12">
        <f>IFERROR(VLOOKUP(VENTAS[[#This Row],[Código del producto Vendido]],STOCK[],16,FALSE)*VENTAS[[#This Row],[Cantidad]]+VLOOKUP(VENTAS[[#This Row],[Código del producto Vendido]],STOCK[],19,FALSE)*VENTAS[[#This Row],[Cantidad]],VENTAS[[#This Row],[Total]])</f>
        <v>4.2200000000000006</v>
      </c>
      <c r="L697" s="12">
        <f>VENTAS[[#This Row],[Total]]-VENTAS[[#This Row],[Comisión 10%]]-VENTAS[[#This Row],[Costo SIN Comision]]</f>
        <v>0.77999999999999936</v>
      </c>
      <c r="M697" s="12"/>
      <c r="N697" s="16"/>
    </row>
    <row r="698" spans="1:14" ht="20" hidden="1" customHeight="1">
      <c r="A698" s="9"/>
      <c r="B698" s="10" t="str">
        <f>IFERROR(VLOOKUP(VENTAS[[#This Row],[Código del producto Vendido]],STOCK[],25,FALSE),"-")</f>
        <v>Compra 7/12/2023</v>
      </c>
      <c r="C698" s="10"/>
      <c r="D698" s="10"/>
      <c r="E698" s="10" t="s">
        <v>1542</v>
      </c>
      <c r="F698" s="10" t="str">
        <f>IFERROR(VLOOKUP(VENTAS[[#This Row],[Código del producto Vendido]],STOCK[],5,FALSE),"-")</f>
        <v xml:space="preserve">Gafas de Sol </v>
      </c>
      <c r="G698" s="10">
        <v>1</v>
      </c>
      <c r="H698" s="12">
        <v>5</v>
      </c>
      <c r="I698" s="12">
        <f>VENTAS[[#This Row],[Cantidad]]*VENTAS[[#This Row],[Precio Venta]]</f>
        <v>5</v>
      </c>
      <c r="J698" s="12">
        <f>IF(VENTAS[[#This Row],[Nombre del Gestor]]&gt;1,VENTAS[[#This Row],[Total]]*10%,0)</f>
        <v>0</v>
      </c>
      <c r="K698" s="12">
        <f>IFERROR(VLOOKUP(VENTAS[[#This Row],[Código del producto Vendido]],STOCK[],16,FALSE)*VENTAS[[#This Row],[Cantidad]]+VLOOKUP(VENTAS[[#This Row],[Código del producto Vendido]],STOCK[],19,FALSE)*VENTAS[[#This Row],[Cantidad]],VENTAS[[#This Row],[Total]])</f>
        <v>6.2</v>
      </c>
      <c r="L698" s="12">
        <f>VENTAS[[#This Row],[Total]]-VENTAS[[#This Row],[Comisión 10%]]-VENTAS[[#This Row],[Costo SIN Comision]]</f>
        <v>-1.2000000000000002</v>
      </c>
      <c r="M698" s="12"/>
      <c r="N698" s="16"/>
    </row>
    <row r="699" spans="1:14" ht="20" hidden="1" customHeight="1">
      <c r="A699" s="9"/>
      <c r="B699" s="10" t="str">
        <f>IFERROR(VLOOKUP(VENTAS[[#This Row],[Código del producto Vendido]],STOCK[],25,FALSE),"-")</f>
        <v>COMPRA F21</v>
      </c>
      <c r="C699" s="10"/>
      <c r="D699" s="10"/>
      <c r="E699" s="10" t="s">
        <v>1448</v>
      </c>
      <c r="F699" s="10" t="str">
        <f>IFERROR(VLOOKUP(VENTAS[[#This Row],[Código del producto Vendido]],STOCK[],5,FALSE),"-")</f>
        <v>Mocasín con herrajes</v>
      </c>
      <c r="G699" s="10">
        <v>1</v>
      </c>
      <c r="H699" s="12">
        <v>43</v>
      </c>
      <c r="I699" s="12">
        <f>VENTAS[[#This Row],[Cantidad]]*VENTAS[[#This Row],[Precio Venta]]</f>
        <v>43</v>
      </c>
      <c r="J699" s="12">
        <f>IF(VENTAS[[#This Row],[Nombre del Gestor]]&gt;1,VENTAS[[#This Row],[Total]]*10%,0)</f>
        <v>0</v>
      </c>
      <c r="K699" s="12">
        <f>IFERROR(VLOOKUP(VENTAS[[#This Row],[Código del producto Vendido]],STOCK[],16,FALSE)*VENTAS[[#This Row],[Cantidad]]+VLOOKUP(VENTAS[[#This Row],[Código del producto Vendido]],STOCK[],19,FALSE)*VENTAS[[#This Row],[Cantidad]],VENTAS[[#This Row],[Total]])</f>
        <v>27.49</v>
      </c>
      <c r="L699" s="12">
        <f>VENTAS[[#This Row],[Total]]-VENTAS[[#This Row],[Comisión 10%]]-VENTAS[[#This Row],[Costo SIN Comision]]</f>
        <v>15.510000000000002</v>
      </c>
      <c r="M699" s="12"/>
      <c r="N699" s="16"/>
    </row>
    <row r="700" spans="1:14" ht="20" hidden="1" customHeight="1">
      <c r="A700" s="9"/>
      <c r="B700" s="10">
        <f>IFERROR(VLOOKUP(VENTAS[[#This Row],[Código del producto Vendido]],STOCK[],25,FALSE),"-")</f>
        <v>0</v>
      </c>
      <c r="C700" s="10"/>
      <c r="D700" s="10"/>
      <c r="E700" s="10" t="s">
        <v>532</v>
      </c>
      <c r="F700" s="10" t="str">
        <f>IFERROR(VLOOKUP(VENTAS[[#This Row],[Código del producto Vendido]],STOCK[],5,FALSE),"-")</f>
        <v>Rizador de pelo de color al azar 10 piezas</v>
      </c>
      <c r="G700" s="10">
        <v>1</v>
      </c>
      <c r="H700" s="12"/>
      <c r="I700" s="12">
        <f>VENTAS[[#This Row],[Cantidad]]*VENTAS[[#This Row],[Precio Venta]]</f>
        <v>0</v>
      </c>
      <c r="J700" s="12">
        <f>IF(VENTAS[[#This Row],[Nombre del Gestor]]&gt;1,VENTAS[[#This Row],[Total]]*10%,0)</f>
        <v>0</v>
      </c>
      <c r="K700" s="12">
        <f>IFERROR(VLOOKUP(VENTAS[[#This Row],[Código del producto Vendido]],STOCK[],16,FALSE)*VENTAS[[#This Row],[Cantidad]]+VLOOKUP(VENTAS[[#This Row],[Código del producto Vendido]],STOCK[],19,FALSE)*VENTAS[[#This Row],[Cantidad]],VENTAS[[#This Row],[Total]])</f>
        <v>2.0477777777777799</v>
      </c>
      <c r="L700" s="12">
        <f>VENTAS[[#This Row],[Total]]-VENTAS[[#This Row],[Comisión 10%]]-VENTAS[[#This Row],[Costo SIN Comision]]</f>
        <v>-2.0477777777777799</v>
      </c>
      <c r="M700" s="12"/>
      <c r="N700" s="16"/>
    </row>
    <row r="701" spans="1:14" ht="20" hidden="1" customHeight="1">
      <c r="A701" s="9"/>
      <c r="B701" s="10">
        <f>IFERROR(VLOOKUP(VENTAS[[#This Row],[Código del producto Vendido]],STOCK[],25,FALSE),"-")</f>
        <v>0</v>
      </c>
      <c r="C701" s="10"/>
      <c r="D701" s="10"/>
      <c r="E701" s="10" t="s">
        <v>520</v>
      </c>
      <c r="F701" s="10" t="str">
        <f>IFERROR(VLOOKUP(VENTAS[[#This Row],[Código del producto Vendido]],STOCK[],5,FALSE),"-")</f>
        <v xml:space="preserve"> Mocasines con puntada</v>
      </c>
      <c r="G701" s="10">
        <v>1</v>
      </c>
      <c r="H701" s="12"/>
      <c r="I701" s="12">
        <f>VENTAS[[#This Row],[Cantidad]]*VENTAS[[#This Row],[Precio Venta]]</f>
        <v>0</v>
      </c>
      <c r="J701" s="12">
        <f>IF(VENTAS[[#This Row],[Nombre del Gestor]]&gt;1,VENTAS[[#This Row],[Total]]*10%,0)</f>
        <v>0</v>
      </c>
      <c r="K701" s="12">
        <f>IFERROR(VLOOKUP(VENTAS[[#This Row],[Código del producto Vendido]],STOCK[],16,FALSE)*VENTAS[[#This Row],[Cantidad]]+VLOOKUP(VENTAS[[#This Row],[Código del producto Vendido]],STOCK[],19,FALSE)*VENTAS[[#This Row],[Cantidad]],VENTAS[[#This Row],[Total]])</f>
        <v>16.926111111111098</v>
      </c>
      <c r="L701" s="12">
        <f>VENTAS[[#This Row],[Total]]-VENTAS[[#This Row],[Comisión 10%]]-VENTAS[[#This Row],[Costo SIN Comision]]</f>
        <v>-16.926111111111098</v>
      </c>
      <c r="M701" s="12"/>
      <c r="N701" s="16"/>
    </row>
    <row r="702" spans="1:14" ht="20" hidden="1" customHeight="1">
      <c r="A702" s="9"/>
      <c r="B702" s="10">
        <f>IFERROR(VLOOKUP(VENTAS[[#This Row],[Código del producto Vendido]],STOCK[],25,FALSE),"-")</f>
        <v>0</v>
      </c>
      <c r="C702" s="10"/>
      <c r="D702" s="10"/>
      <c r="E702" s="10" t="s">
        <v>479</v>
      </c>
      <c r="F702" s="10" t="str">
        <f>IFERROR(VLOOKUP(VENTAS[[#This Row],[Código del producto Vendido]],STOCK[],5,FALSE),"-")</f>
        <v xml:space="preserve">Bolsa cuadrada mini geométrico </v>
      </c>
      <c r="G702" s="10">
        <v>1</v>
      </c>
      <c r="H702" s="12"/>
      <c r="I702" s="12">
        <f>VENTAS[[#This Row],[Cantidad]]*VENTAS[[#This Row],[Precio Venta]]</f>
        <v>0</v>
      </c>
      <c r="J702" s="12">
        <f>IF(VENTAS[[#This Row],[Nombre del Gestor]]&gt;1,VENTAS[[#This Row],[Total]]*10%,0)</f>
        <v>0</v>
      </c>
      <c r="K702" s="12">
        <f>IFERROR(VLOOKUP(VENTAS[[#This Row],[Código del producto Vendido]],STOCK[],16,FALSE)*VENTAS[[#This Row],[Cantidad]]+VLOOKUP(VENTAS[[#This Row],[Código del producto Vendido]],STOCK[],19,FALSE)*VENTAS[[#This Row],[Cantidad]],VENTAS[[#This Row],[Total]])</f>
        <v>6.3377777777777808</v>
      </c>
      <c r="L702" s="12">
        <f>VENTAS[[#This Row],[Total]]-VENTAS[[#This Row],[Comisión 10%]]-VENTAS[[#This Row],[Costo SIN Comision]]</f>
        <v>-6.3377777777777808</v>
      </c>
      <c r="M702" s="12"/>
      <c r="N702" s="16"/>
    </row>
    <row r="703" spans="1:14" ht="20" hidden="1" customHeight="1">
      <c r="A703" s="9">
        <v>45328</v>
      </c>
      <c r="B703" s="10">
        <f>IFERROR(VLOOKUP(VENTAS[[#This Row],[Código del producto Vendido]],STOCK[],25,FALSE),"-")</f>
        <v>0</v>
      </c>
      <c r="C703" s="10"/>
      <c r="D703" s="10" t="s">
        <v>4336</v>
      </c>
      <c r="E703" s="10" t="s">
        <v>619</v>
      </c>
      <c r="F703" s="10" t="str">
        <f>IFERROR(VLOOKUP(VENTAS[[#This Row],[Código del producto Vendido]],STOCK[],5,FALSE),"-")</f>
        <v xml:space="preserve">Vestido pecho con fruncido </v>
      </c>
      <c r="G703" s="10">
        <v>1</v>
      </c>
      <c r="H703" s="12">
        <v>15</v>
      </c>
      <c r="I703" s="12">
        <f>VENTAS[[#This Row],[Cantidad]]*VENTAS[[#This Row],[Precio Venta]]</f>
        <v>15</v>
      </c>
      <c r="J703" s="12">
        <f>IF(VENTAS[[#This Row],[Nombre del Gestor]]&gt;1,VENTAS[[#This Row],[Total]]*10%,0)</f>
        <v>1.5</v>
      </c>
      <c r="K703" s="12">
        <f>IFERROR(VLOOKUP(VENTAS[[#This Row],[Código del producto Vendido]],STOCK[],16,FALSE)*VENTAS[[#This Row],[Cantidad]]+VLOOKUP(VENTAS[[#This Row],[Código del producto Vendido]],STOCK[],19,FALSE)*VENTAS[[#This Row],[Cantidad]],VENTAS[[#This Row],[Total]])</f>
        <v>10.72222222222222</v>
      </c>
      <c r="L703" s="12">
        <f>VENTAS[[#This Row],[Total]]-VENTAS[[#This Row],[Comisión 10%]]-VENTAS[[#This Row],[Costo SIN Comision]]</f>
        <v>2.7777777777777803</v>
      </c>
      <c r="M703" s="12"/>
      <c r="N703" s="16"/>
    </row>
    <row r="704" spans="1:14" ht="20" hidden="1" customHeight="1">
      <c r="A704" s="9">
        <v>45328</v>
      </c>
      <c r="B704" s="10" t="str">
        <f>IFERROR(VLOOKUP(VENTAS[[#This Row],[Código del producto Vendido]],STOCK[],25,FALSE),"-")</f>
        <v>Viaje Agosto</v>
      </c>
      <c r="C704" s="10"/>
      <c r="D704" s="10" t="s">
        <v>4330</v>
      </c>
      <c r="E704" s="10" t="s">
        <v>1200</v>
      </c>
      <c r="F704" s="10" t="str">
        <f>IFERROR(VLOOKUP(VENTAS[[#This Row],[Código del producto Vendido]],STOCK[],5,FALSE),"-")</f>
        <v>Sujetador adhesivo de silicona</v>
      </c>
      <c r="G704" s="10">
        <v>1</v>
      </c>
      <c r="H704" s="12">
        <v>12</v>
      </c>
      <c r="I704" s="12">
        <f>VENTAS[[#This Row],[Cantidad]]*VENTAS[[#This Row],[Precio Venta]]</f>
        <v>12</v>
      </c>
      <c r="J704" s="12">
        <f>IF(VENTAS[[#This Row],[Nombre del Gestor]]&gt;1,VENTAS[[#This Row],[Total]]*10%,0)</f>
        <v>1.2000000000000002</v>
      </c>
      <c r="K704" s="12">
        <f>IFERROR(VLOOKUP(VENTAS[[#This Row],[Código del producto Vendido]],STOCK[],16,FALSE)*VENTAS[[#This Row],[Cantidad]]+VLOOKUP(VENTAS[[#This Row],[Código del producto Vendido]],STOCK[],19,FALSE)*VENTAS[[#This Row],[Cantidad]],VENTAS[[#This Row],[Total]])</f>
        <v>5.87</v>
      </c>
      <c r="L704" s="12">
        <f>VENTAS[[#This Row],[Total]]-VENTAS[[#This Row],[Comisión 10%]]-VENTAS[[#This Row],[Costo SIN Comision]]</f>
        <v>4.9300000000000006</v>
      </c>
      <c r="M704" s="12"/>
      <c r="N704" s="16"/>
    </row>
    <row r="705" spans="1:14" ht="20" hidden="1" customHeight="1">
      <c r="A705" s="9">
        <v>45328</v>
      </c>
      <c r="B705" s="10" t="str">
        <f>IFERROR(VLOOKUP(VENTAS[[#This Row],[Código del producto Vendido]],STOCK[],25,FALSE),"-")</f>
        <v>COMPRA F21</v>
      </c>
      <c r="C705" s="10"/>
      <c r="D705" s="10" t="s">
        <v>4302</v>
      </c>
      <c r="E705" s="10" t="s">
        <v>1439</v>
      </c>
      <c r="F705" s="10" t="str">
        <f>IFERROR(VLOOKUP(VENTAS[[#This Row],[Código del producto Vendido]],STOCK[],5,FALSE),"-")</f>
        <v>Sandalias de velcro</v>
      </c>
      <c r="G705" s="10">
        <v>1</v>
      </c>
      <c r="H705" s="12">
        <v>30</v>
      </c>
      <c r="I705" s="12">
        <f>VENTAS[[#This Row],[Cantidad]]*VENTAS[[#This Row],[Precio Venta]]</f>
        <v>30</v>
      </c>
      <c r="J705" s="12">
        <f>IF(VENTAS[[#This Row],[Nombre del Gestor]]&gt;1,VENTAS[[#This Row],[Total]]*10%,0)</f>
        <v>3</v>
      </c>
      <c r="K705" s="12">
        <f>IFERROR(VLOOKUP(VENTAS[[#This Row],[Código del producto Vendido]],STOCK[],16,FALSE)*VENTAS[[#This Row],[Cantidad]]+VLOOKUP(VENTAS[[#This Row],[Código del producto Vendido]],STOCK[],19,FALSE)*VENTAS[[#This Row],[Cantidad]],VENTAS[[#This Row],[Total]])</f>
        <v>17</v>
      </c>
      <c r="L705" s="12">
        <f>VENTAS[[#This Row],[Total]]-VENTAS[[#This Row],[Comisión 10%]]-VENTAS[[#This Row],[Costo SIN Comision]]</f>
        <v>10</v>
      </c>
      <c r="M705" s="12"/>
      <c r="N705" s="16"/>
    </row>
    <row r="706" spans="1:14" ht="20" hidden="1" customHeight="1">
      <c r="A706" s="9"/>
      <c r="B706" s="10" t="str">
        <f>IFERROR(VLOOKUP(VENTAS[[#This Row],[Código del producto Vendido]],STOCK[],25,FALSE),"-")</f>
        <v>Compra 9/12/2023</v>
      </c>
      <c r="C706" s="10"/>
      <c r="D706" s="10"/>
      <c r="E706" s="10" t="s">
        <v>1610</v>
      </c>
      <c r="F706" s="10" t="str">
        <f>IFERROR(VLOOKUP(VENTAS[[#This Row],[Código del producto Vendido]],STOCK[],5,FALSE),"-")</f>
        <v>Vestido camisa modely</v>
      </c>
      <c r="G706" s="10">
        <v>1</v>
      </c>
      <c r="H706" s="12">
        <v>35</v>
      </c>
      <c r="I706" s="12">
        <f>VENTAS[[#This Row],[Cantidad]]*VENTAS[[#This Row],[Precio Venta]]</f>
        <v>35</v>
      </c>
      <c r="J706" s="12">
        <f>IF(VENTAS[[#This Row],[Nombre del Gestor]]&gt;1,VENTAS[[#This Row],[Total]]*10%,0)</f>
        <v>0</v>
      </c>
      <c r="K706" s="12">
        <f>IFERROR(VLOOKUP(VENTAS[[#This Row],[Código del producto Vendido]],STOCK[],16,FALSE)*VENTAS[[#This Row],[Cantidad]]+VLOOKUP(VENTAS[[#This Row],[Código del producto Vendido]],STOCK[],19,FALSE)*VENTAS[[#This Row],[Cantidad]],VENTAS[[#This Row],[Total]])</f>
        <v>14.84</v>
      </c>
      <c r="L706" s="12">
        <f>VENTAS[[#This Row],[Total]]-VENTAS[[#This Row],[Comisión 10%]]-VENTAS[[#This Row],[Costo SIN Comision]]</f>
        <v>20.16</v>
      </c>
      <c r="M706" s="12"/>
      <c r="N706" s="16"/>
    </row>
    <row r="707" spans="1:14" ht="20" hidden="1" customHeight="1">
      <c r="A707" s="9"/>
      <c r="B707" s="10" t="str">
        <f>IFERROR(VLOOKUP(VENTAS[[#This Row],[Código del producto Vendido]],STOCK[],25,FALSE),"-")</f>
        <v>Compra 9/12/2023</v>
      </c>
      <c r="C707" s="10"/>
      <c r="D707" s="10"/>
      <c r="E707" s="10" t="s">
        <v>1608</v>
      </c>
      <c r="F707" s="10" t="str">
        <f>IFERROR(VLOOKUP(VENTAS[[#This Row],[Código del producto Vendido]],STOCK[],5,FALSE),"-")</f>
        <v>Vestido camisa modely</v>
      </c>
      <c r="G707" s="10">
        <v>1</v>
      </c>
      <c r="H707" s="12">
        <v>30</v>
      </c>
      <c r="I707" s="12">
        <f>VENTAS[[#This Row],[Cantidad]]*VENTAS[[#This Row],[Precio Venta]]</f>
        <v>30</v>
      </c>
      <c r="J707" s="12">
        <f>IF(VENTAS[[#This Row],[Nombre del Gestor]]&gt;1,VENTAS[[#This Row],[Total]]*10%,0)</f>
        <v>0</v>
      </c>
      <c r="K707" s="12">
        <f>IFERROR(VLOOKUP(VENTAS[[#This Row],[Código del producto Vendido]],STOCK[],16,FALSE)*VENTAS[[#This Row],[Cantidad]]+VLOOKUP(VENTAS[[#This Row],[Código del producto Vendido]],STOCK[],19,FALSE)*VENTAS[[#This Row],[Cantidad]],VENTAS[[#This Row],[Total]])</f>
        <v>14.84</v>
      </c>
      <c r="L707" s="12">
        <f>VENTAS[[#This Row],[Total]]-VENTAS[[#This Row],[Comisión 10%]]-VENTAS[[#This Row],[Costo SIN Comision]]</f>
        <v>15.16</v>
      </c>
      <c r="M707" s="12"/>
      <c r="N707" s="16"/>
    </row>
    <row r="708" spans="1:14" ht="20" hidden="1" customHeight="1">
      <c r="A708" s="9" t="s">
        <v>4333</v>
      </c>
      <c r="B708" s="10">
        <f>IFERROR(VLOOKUP(VENTAS[[#This Row],[Código del producto Vendido]],STOCK[],25,FALSE),"-")</f>
        <v>0</v>
      </c>
      <c r="C708" s="10"/>
      <c r="D708" s="10"/>
      <c r="E708" s="10" t="s">
        <v>481</v>
      </c>
      <c r="F708" s="10" t="str">
        <f>IFERROR(VLOOKUP(VENTAS[[#This Row],[Código del producto Vendido]],STOCK[],5,FALSE),"-")</f>
        <v>Bikini estampado cebra</v>
      </c>
      <c r="G708" s="10">
        <v>1</v>
      </c>
      <c r="H708" s="12">
        <v>15</v>
      </c>
      <c r="I708" s="12">
        <f>VENTAS[[#This Row],[Cantidad]]*VENTAS[[#This Row],[Precio Venta]]</f>
        <v>15</v>
      </c>
      <c r="J708" s="12">
        <f>IF(VENTAS[[#This Row],[Nombre del Gestor]]&gt;1,VENTAS[[#This Row],[Total]]*10%,0)</f>
        <v>0</v>
      </c>
      <c r="K708" s="12">
        <f>IFERROR(VLOOKUP(VENTAS[[#This Row],[Código del producto Vendido]],STOCK[],16,FALSE)*VENTAS[[#This Row],[Cantidad]]+VLOOKUP(VENTAS[[#This Row],[Código del producto Vendido]],STOCK[],19,FALSE)*VENTAS[[#This Row],[Cantidad]],VENTAS[[#This Row],[Total]])</f>
        <v>8.7872222222222209</v>
      </c>
      <c r="L708" s="12">
        <f>VENTAS[[#This Row],[Total]]-VENTAS[[#This Row],[Comisión 10%]]-VENTAS[[#This Row],[Costo SIN Comision]]</f>
        <v>6.2127777777777791</v>
      </c>
      <c r="M708" s="12"/>
      <c r="N708" s="16"/>
    </row>
    <row r="709" spans="1:14" ht="20" hidden="1" customHeight="1">
      <c r="A709" s="9" t="s">
        <v>4333</v>
      </c>
      <c r="B709" s="10">
        <f>IFERROR(VLOOKUP(VENTAS[[#This Row],[Código del producto Vendido]],STOCK[],25,FALSE),"-")</f>
        <v>0</v>
      </c>
      <c r="C709" s="10"/>
      <c r="D709" s="10"/>
      <c r="E709" s="10" t="s">
        <v>413</v>
      </c>
      <c r="F709" s="10" t="str">
        <f>IFERROR(VLOOKUP(VENTAS[[#This Row],[Código del producto Vendido]],STOCK[],5,FALSE),"-")</f>
        <v>Bikini Floral</v>
      </c>
      <c r="G709" s="10">
        <v>1</v>
      </c>
      <c r="H709" s="12">
        <v>22</v>
      </c>
      <c r="I709" s="12">
        <f>VENTAS[[#This Row],[Cantidad]]*VENTAS[[#This Row],[Precio Venta]]</f>
        <v>22</v>
      </c>
      <c r="J709" s="12">
        <f>IF(VENTAS[[#This Row],[Nombre del Gestor]]&gt;1,VENTAS[[#This Row],[Total]]*10%,0)</f>
        <v>0</v>
      </c>
      <c r="K709" s="12">
        <f>IFERROR(VLOOKUP(VENTAS[[#This Row],[Código del producto Vendido]],STOCK[],16,FALSE)*VENTAS[[#This Row],[Cantidad]]+VLOOKUP(VENTAS[[#This Row],[Código del producto Vendido]],STOCK[],19,FALSE)*VENTAS[[#This Row],[Cantidad]],VENTAS[[#This Row],[Total]])</f>
        <v>13.9444444444444</v>
      </c>
      <c r="L709" s="12">
        <f>VENTAS[[#This Row],[Total]]-VENTAS[[#This Row],[Comisión 10%]]-VENTAS[[#This Row],[Costo SIN Comision]]</f>
        <v>8.0555555555555998</v>
      </c>
      <c r="M709" s="12"/>
      <c r="N709" s="16"/>
    </row>
    <row r="710" spans="1:14" ht="20" hidden="1" customHeight="1">
      <c r="A710" s="9" t="s">
        <v>4333</v>
      </c>
      <c r="B710" s="10">
        <f>IFERROR(VLOOKUP(VENTAS[[#This Row],[Código del producto Vendido]],STOCK[],25,FALSE),"-")</f>
        <v>0</v>
      </c>
      <c r="C710" s="10"/>
      <c r="D710" s="10"/>
      <c r="E710" s="10" t="s">
        <v>807</v>
      </c>
      <c r="F710" s="10" t="str">
        <f>IFERROR(VLOOKUP(VENTAS[[#This Row],[Código del producto Vendido]],STOCK[],5,FALSE),"-")</f>
        <v>Bañador a rayas con lazo</v>
      </c>
      <c r="G710" s="10">
        <v>1</v>
      </c>
      <c r="H710" s="12">
        <v>18</v>
      </c>
      <c r="I710" s="12">
        <f>VENTAS[[#This Row],[Cantidad]]*VENTAS[[#This Row],[Precio Venta]]</f>
        <v>18</v>
      </c>
      <c r="J710" s="12">
        <f>IF(VENTAS[[#This Row],[Nombre del Gestor]]&gt;1,VENTAS[[#This Row],[Total]]*10%,0)</f>
        <v>0</v>
      </c>
      <c r="K710" s="12">
        <f>IFERROR(VLOOKUP(VENTAS[[#This Row],[Código del producto Vendido]],STOCK[],16,FALSE)*VENTAS[[#This Row],[Cantidad]]+VLOOKUP(VENTAS[[#This Row],[Código del producto Vendido]],STOCK[],19,FALSE)*VENTAS[[#This Row],[Cantidad]],VENTAS[[#This Row],[Total]])</f>
        <v>9.5</v>
      </c>
      <c r="L710" s="12">
        <f>VENTAS[[#This Row],[Total]]-VENTAS[[#This Row],[Comisión 10%]]-VENTAS[[#This Row],[Costo SIN Comision]]</f>
        <v>8.5</v>
      </c>
      <c r="M710" s="12"/>
      <c r="N710" s="16"/>
    </row>
    <row r="711" spans="1:14" ht="20" hidden="1" customHeight="1">
      <c r="A711" s="9" t="s">
        <v>4333</v>
      </c>
      <c r="B711" s="10">
        <f>IFERROR(VLOOKUP(VENTAS[[#This Row],[Código del producto Vendido]],STOCK[],25,FALSE),"-")</f>
        <v>0</v>
      </c>
      <c r="C711" s="10"/>
      <c r="D711" s="10"/>
      <c r="E711" s="10" t="s">
        <v>936</v>
      </c>
      <c r="F711" s="10" t="str">
        <f>IFERROR(VLOOKUP(VENTAS[[#This Row],[Código del producto Vendido]],STOCK[],5,FALSE),"-")</f>
        <v>Bañador con zíper de pierna alta</v>
      </c>
      <c r="G711" s="10">
        <v>1</v>
      </c>
      <c r="H711" s="12">
        <v>25</v>
      </c>
      <c r="I711" s="12">
        <f>VENTAS[[#This Row],[Cantidad]]*VENTAS[[#This Row],[Precio Venta]]</f>
        <v>25</v>
      </c>
      <c r="J711" s="12">
        <f>IF(VENTAS[[#This Row],[Nombre del Gestor]]&gt;1,VENTAS[[#This Row],[Total]]*10%,0)</f>
        <v>0</v>
      </c>
      <c r="K711" s="12">
        <f>IFERROR(VLOOKUP(VENTAS[[#This Row],[Código del producto Vendido]],STOCK[],16,FALSE)*VENTAS[[#This Row],[Cantidad]]+VLOOKUP(VENTAS[[#This Row],[Código del producto Vendido]],STOCK[],19,FALSE)*VENTAS[[#This Row],[Cantidad]],VENTAS[[#This Row],[Total]])</f>
        <v>14.02318181818182</v>
      </c>
      <c r="L711" s="12">
        <f>VENTAS[[#This Row],[Total]]-VENTAS[[#This Row],[Comisión 10%]]-VENTAS[[#This Row],[Costo SIN Comision]]</f>
        <v>10.97681818181818</v>
      </c>
      <c r="M711" s="12"/>
      <c r="N711" s="16"/>
    </row>
    <row r="712" spans="1:14" ht="20" hidden="1" customHeight="1">
      <c r="A712" s="9" t="s">
        <v>4333</v>
      </c>
      <c r="B712" s="10">
        <f>IFERROR(VLOOKUP(VENTAS[[#This Row],[Código del producto Vendido]],STOCK[],25,FALSE),"-")</f>
        <v>0</v>
      </c>
      <c r="C712" s="10"/>
      <c r="D712" s="10"/>
      <c r="E712" s="10" t="s">
        <v>75</v>
      </c>
      <c r="F712" s="10" t="str">
        <f>IFERROR(VLOOKUP(VENTAS[[#This Row],[Código del producto Vendido]],STOCK[],5,FALSE),"-")</f>
        <v xml:space="preserve">Bañador floral </v>
      </c>
      <c r="G712" s="10">
        <v>1</v>
      </c>
      <c r="H712" s="12">
        <v>25</v>
      </c>
      <c r="I712" s="12">
        <f>VENTAS[[#This Row],[Cantidad]]*VENTAS[[#This Row],[Precio Venta]]</f>
        <v>25</v>
      </c>
      <c r="J712" s="12">
        <f>IF(VENTAS[[#This Row],[Nombre del Gestor]]&gt;1,VENTAS[[#This Row],[Total]]*10%,0)</f>
        <v>0</v>
      </c>
      <c r="K712" s="12">
        <f>IFERROR(VLOOKUP(VENTAS[[#This Row],[Código del producto Vendido]],STOCK[],16,FALSE)*VENTAS[[#This Row],[Cantidad]]+VLOOKUP(VENTAS[[#This Row],[Código del producto Vendido]],STOCK[],19,FALSE)*VENTAS[[#This Row],[Cantidad]],VENTAS[[#This Row],[Total]])</f>
        <v>18.053888888888899</v>
      </c>
      <c r="L712" s="12">
        <f>VENTAS[[#This Row],[Total]]-VENTAS[[#This Row],[Comisión 10%]]-VENTAS[[#This Row],[Costo SIN Comision]]</f>
        <v>6.9461111111111009</v>
      </c>
      <c r="M712" s="12"/>
      <c r="N712" s="16"/>
    </row>
    <row r="713" spans="1:14" ht="20" hidden="1" customHeight="1">
      <c r="A713" s="9" t="s">
        <v>4333</v>
      </c>
      <c r="B713" s="10">
        <f>IFERROR(VLOOKUP(VENTAS[[#This Row],[Código del producto Vendido]],STOCK[],25,FALSE),"-")</f>
        <v>0</v>
      </c>
      <c r="C713" s="10"/>
      <c r="D713" s="10"/>
      <c r="E713" s="10" t="s">
        <v>809</v>
      </c>
      <c r="F713" s="10" t="str">
        <f>IFERROR(VLOOKUP(VENTAS[[#This Row],[Código del producto Vendido]],STOCK[],5,FALSE),"-")</f>
        <v>Bañador estampado en contraste</v>
      </c>
      <c r="G713" s="10">
        <v>1</v>
      </c>
      <c r="H713" s="12">
        <v>18</v>
      </c>
      <c r="I713" s="12">
        <f>VENTAS[[#This Row],[Cantidad]]*VENTAS[[#This Row],[Precio Venta]]</f>
        <v>18</v>
      </c>
      <c r="J713" s="12">
        <f>IF(VENTAS[[#This Row],[Nombre del Gestor]]&gt;1,VENTAS[[#This Row],[Total]]*10%,0)</f>
        <v>0</v>
      </c>
      <c r="K713" s="12">
        <f>IFERROR(VLOOKUP(VENTAS[[#This Row],[Código del producto Vendido]],STOCK[],16,FALSE)*VENTAS[[#This Row],[Cantidad]]+VLOOKUP(VENTAS[[#This Row],[Código del producto Vendido]],STOCK[],19,FALSE)*VENTAS[[#This Row],[Cantidad]],VENTAS[[#This Row],[Total]])</f>
        <v>7.8333333333333304</v>
      </c>
      <c r="L713" s="12">
        <f>VENTAS[[#This Row],[Total]]-VENTAS[[#This Row],[Comisión 10%]]-VENTAS[[#This Row],[Costo SIN Comision]]</f>
        <v>10.16666666666667</v>
      </c>
      <c r="M713" s="12"/>
      <c r="N713" s="16"/>
    </row>
    <row r="714" spans="1:14" ht="20" hidden="1" customHeight="1">
      <c r="A714" s="9" t="s">
        <v>4333</v>
      </c>
      <c r="B714" s="10">
        <f>IFERROR(VLOOKUP(VENTAS[[#This Row],[Código del producto Vendido]],STOCK[],25,FALSE),"-")</f>
        <v>0</v>
      </c>
      <c r="C714" s="10"/>
      <c r="D714" s="10"/>
      <c r="E714" s="10" t="s">
        <v>864</v>
      </c>
      <c r="F714" s="10" t="str">
        <f>IFERROR(VLOOKUP(VENTAS[[#This Row],[Código del producto Vendido]],STOCK[],5,FALSE),"-")</f>
        <v>Bikini rosa canalé</v>
      </c>
      <c r="G714" s="10">
        <v>1</v>
      </c>
      <c r="H714" s="12">
        <v>20</v>
      </c>
      <c r="I714" s="12">
        <f>VENTAS[[#This Row],[Cantidad]]*VENTAS[[#This Row],[Precio Venta]]</f>
        <v>20</v>
      </c>
      <c r="J714" s="12">
        <f>IF(VENTAS[[#This Row],[Nombre del Gestor]]&gt;1,VENTAS[[#This Row],[Total]]*10%,0)</f>
        <v>0</v>
      </c>
      <c r="K714" s="12">
        <f>IFERROR(VLOOKUP(VENTAS[[#This Row],[Código del producto Vendido]],STOCK[],16,FALSE)*VENTAS[[#This Row],[Cantidad]]+VLOOKUP(VENTAS[[#This Row],[Código del producto Vendido]],STOCK[],19,FALSE)*VENTAS[[#This Row],[Cantidad]],VENTAS[[#This Row],[Total]])</f>
        <v>13.4444444444444</v>
      </c>
      <c r="L714" s="12">
        <f>VENTAS[[#This Row],[Total]]-VENTAS[[#This Row],[Comisión 10%]]-VENTAS[[#This Row],[Costo SIN Comision]]</f>
        <v>6.5555555555555998</v>
      </c>
      <c r="M714" s="12"/>
      <c r="N714" s="16"/>
    </row>
    <row r="715" spans="1:14" ht="20" hidden="1" customHeight="1">
      <c r="A715" s="9" t="s">
        <v>4333</v>
      </c>
      <c r="B715" s="10">
        <f>IFERROR(VLOOKUP(VENTAS[[#This Row],[Código del producto Vendido]],STOCK[],25,FALSE),"-")</f>
        <v>0</v>
      </c>
      <c r="C715" s="10"/>
      <c r="D715" s="10"/>
      <c r="E715" s="10" t="s">
        <v>164</v>
      </c>
      <c r="F715" s="10" t="str">
        <f>IFERROR(VLOOKUP(VENTAS[[#This Row],[Código del producto Vendido]],STOCK[],5,FALSE),"-")</f>
        <v>Traje de baño niñitas malla protectora</v>
      </c>
      <c r="G715" s="10">
        <v>1</v>
      </c>
      <c r="H715" s="12">
        <v>20</v>
      </c>
      <c r="I715" s="12">
        <f>VENTAS[[#This Row],[Cantidad]]*VENTAS[[#This Row],[Precio Venta]]</f>
        <v>20</v>
      </c>
      <c r="J715" s="12">
        <f>IF(VENTAS[[#This Row],[Nombre del Gestor]]&gt;1,VENTAS[[#This Row],[Total]]*10%,0)</f>
        <v>0</v>
      </c>
      <c r="K715" s="12">
        <f>IFERROR(VLOOKUP(VENTAS[[#This Row],[Código del producto Vendido]],STOCK[],16,FALSE)*VENTAS[[#This Row],[Cantidad]]+VLOOKUP(VENTAS[[#This Row],[Código del producto Vendido]],STOCK[],19,FALSE)*VENTAS[[#This Row],[Cantidad]],VENTAS[[#This Row],[Total]])</f>
        <v>12.44222222222222</v>
      </c>
      <c r="L715" s="12">
        <f>VENTAS[[#This Row],[Total]]-VENTAS[[#This Row],[Comisión 10%]]-VENTAS[[#This Row],[Costo SIN Comision]]</f>
        <v>7.5577777777777797</v>
      </c>
      <c r="M715" s="12"/>
      <c r="N715" s="16"/>
    </row>
    <row r="716" spans="1:14" ht="20" hidden="1" customHeight="1">
      <c r="A716" s="9">
        <v>45330</v>
      </c>
      <c r="B716" s="10">
        <f>IFERROR(VLOOKUP(VENTAS[[#This Row],[Código del producto Vendido]],STOCK[],25,FALSE),"-")</f>
        <v>0</v>
      </c>
      <c r="C716" s="10"/>
      <c r="D716" s="10" t="s">
        <v>4336</v>
      </c>
      <c r="E716" s="10" t="s">
        <v>43</v>
      </c>
      <c r="F716" s="10" t="str">
        <f>IFERROR(VLOOKUP(VENTAS[[#This Row],[Código del producto Vendido]],STOCK[],5,FALSE),"-")</f>
        <v>Vestido camisero elegante</v>
      </c>
      <c r="G716" s="10">
        <v>1</v>
      </c>
      <c r="H716" s="12">
        <v>30</v>
      </c>
      <c r="I716" s="12">
        <f>VENTAS[[#This Row],[Cantidad]]*VENTAS[[#This Row],[Precio Venta]]</f>
        <v>30</v>
      </c>
      <c r="J716" s="12">
        <f>IF(VENTAS[[#This Row],[Nombre del Gestor]]&gt;1,VENTAS[[#This Row],[Total]]*10%,0)</f>
        <v>3</v>
      </c>
      <c r="K716" s="12">
        <f>IFERROR(VLOOKUP(VENTAS[[#This Row],[Código del producto Vendido]],STOCK[],16,FALSE)*VENTAS[[#This Row],[Cantidad]]+VLOOKUP(VENTAS[[#This Row],[Código del producto Vendido]],STOCK[],19,FALSE)*VENTAS[[#This Row],[Cantidad]],VENTAS[[#This Row],[Total]])</f>
        <v>19.002222222222201</v>
      </c>
      <c r="L716" s="12">
        <f>VENTAS[[#This Row],[Total]]-VENTAS[[#This Row],[Comisión 10%]]-VENTAS[[#This Row],[Costo SIN Comision]]</f>
        <v>7.9977777777777987</v>
      </c>
      <c r="M716" s="12"/>
      <c r="N716" s="16"/>
    </row>
    <row r="717" spans="1:14" ht="20" hidden="1" customHeight="1">
      <c r="A717" s="9">
        <v>45331</v>
      </c>
      <c r="B717" s="10">
        <f>IFERROR(VLOOKUP(VENTAS[[#This Row],[Código del producto Vendido]],STOCK[],25,FALSE),"-")</f>
        <v>0</v>
      </c>
      <c r="C717" s="10" t="s">
        <v>4337</v>
      </c>
      <c r="D717" s="10"/>
      <c r="E717" s="10" t="s">
        <v>1421</v>
      </c>
      <c r="F717" s="10" t="str">
        <f>IFERROR(VLOOKUP(VENTAS[[#This Row],[Código del producto Vendido]],STOCK[],5,FALSE),"-")</f>
        <v>Short de tela suave con cinturón</v>
      </c>
      <c r="G717" s="10">
        <v>1</v>
      </c>
      <c r="H717" s="12">
        <v>20</v>
      </c>
      <c r="I717" s="12">
        <f>VENTAS[[#This Row],[Cantidad]]*VENTAS[[#This Row],[Precio Venta]]</f>
        <v>20</v>
      </c>
      <c r="J717" s="12">
        <f>IF(VENTAS[[#This Row],[Nombre del Gestor]]&gt;1,VENTAS[[#This Row],[Total]]*10%,0)</f>
        <v>0</v>
      </c>
      <c r="K717" s="12">
        <f>IFERROR(VLOOKUP(VENTAS[[#This Row],[Código del producto Vendido]],STOCK[],16,FALSE)*VENTAS[[#This Row],[Cantidad]]+VLOOKUP(VENTAS[[#This Row],[Código del producto Vendido]],STOCK[],19,FALSE)*VENTAS[[#This Row],[Cantidad]],VENTAS[[#This Row],[Total]])</f>
        <v>12.99</v>
      </c>
      <c r="L717" s="12">
        <f>VENTAS[[#This Row],[Total]]-VENTAS[[#This Row],[Comisión 10%]]-VENTAS[[#This Row],[Costo SIN Comision]]</f>
        <v>7.01</v>
      </c>
      <c r="M717" s="12"/>
      <c r="N717" s="16"/>
    </row>
    <row r="718" spans="1:14" ht="20" hidden="1" customHeight="1">
      <c r="A718" s="9">
        <v>45330</v>
      </c>
      <c r="B718" s="10" t="str">
        <f>IFERROR(VLOOKUP(VENTAS[[#This Row],[Código del producto Vendido]],STOCK[],25,FALSE),"-")</f>
        <v>Compra 9/12/2023</v>
      </c>
      <c r="C718" s="10"/>
      <c r="D718" s="10" t="s">
        <v>4336</v>
      </c>
      <c r="E718" s="10" t="s">
        <v>1633</v>
      </c>
      <c r="F718" s="10" t="str">
        <f>IFERROR(VLOOKUP(VENTAS[[#This Row],[Código del producto Vendido]],STOCK[],5,FALSE),"-")</f>
        <v>Vestidos Burdeos</v>
      </c>
      <c r="G718" s="10">
        <v>1</v>
      </c>
      <c r="H718" s="12">
        <v>25</v>
      </c>
      <c r="I718" s="12">
        <f>VENTAS[[#This Row],[Cantidad]]*VENTAS[[#This Row],[Precio Venta]]</f>
        <v>25</v>
      </c>
      <c r="J718" s="12">
        <f>IF(VENTAS[[#This Row],[Nombre del Gestor]]&gt;1,VENTAS[[#This Row],[Total]]*10%,0)</f>
        <v>2.5</v>
      </c>
      <c r="K718" s="12">
        <f>IFERROR(VLOOKUP(VENTAS[[#This Row],[Código del producto Vendido]],STOCK[],16,FALSE)*VENTAS[[#This Row],[Cantidad]]+VLOOKUP(VENTAS[[#This Row],[Código del producto Vendido]],STOCK[],19,FALSE)*VENTAS[[#This Row],[Cantidad]],VENTAS[[#This Row],[Total]])</f>
        <v>14.33</v>
      </c>
      <c r="L718" s="12">
        <f>VENTAS[[#This Row],[Total]]-VENTAS[[#This Row],[Comisión 10%]]-VENTAS[[#This Row],[Costo SIN Comision]]</f>
        <v>8.17</v>
      </c>
      <c r="M718" s="12"/>
      <c r="N718" s="16"/>
    </row>
    <row r="719" spans="1:14" ht="20" hidden="1" customHeight="1">
      <c r="A719" s="9">
        <v>45324</v>
      </c>
      <c r="B719" s="10" t="str">
        <f>IFERROR(VLOOKUP(VENTAS[[#This Row],[Código del producto Vendido]],STOCK[],25,FALSE),"-")</f>
        <v>Compra 9/12/2023</v>
      </c>
      <c r="C719" s="10"/>
      <c r="D719" s="10" t="s">
        <v>4330</v>
      </c>
      <c r="E719" s="10" t="s">
        <v>1651</v>
      </c>
      <c r="F719" s="10" t="str">
        <f>IFERROR(VLOOKUP(VENTAS[[#This Row],[Código del producto Vendido]],STOCK[],5,FALSE),"-")</f>
        <v>Mono palazzo</v>
      </c>
      <c r="G719" s="10">
        <v>1</v>
      </c>
      <c r="H719" s="12">
        <v>30</v>
      </c>
      <c r="I719" s="12">
        <f>VENTAS[[#This Row],[Cantidad]]*VENTAS[[#This Row],[Precio Venta]]</f>
        <v>30</v>
      </c>
      <c r="J719" s="12">
        <f>IF(VENTAS[[#This Row],[Nombre del Gestor]]&gt;1,VENTAS[[#This Row],[Total]]*10%,0)</f>
        <v>3</v>
      </c>
      <c r="K719" s="12">
        <f>IFERROR(VLOOKUP(VENTAS[[#This Row],[Código del producto Vendido]],STOCK[],16,FALSE)*VENTAS[[#This Row],[Cantidad]]+VLOOKUP(VENTAS[[#This Row],[Código del producto Vendido]],STOCK[],19,FALSE)*VENTAS[[#This Row],[Cantidad]],VENTAS[[#This Row],[Total]])</f>
        <v>17.87</v>
      </c>
      <c r="L719" s="12">
        <f>VENTAS[[#This Row],[Total]]-VENTAS[[#This Row],[Comisión 10%]]-VENTAS[[#This Row],[Costo SIN Comision]]</f>
        <v>9.129999999999999</v>
      </c>
      <c r="M719" s="12"/>
      <c r="N719" s="16"/>
    </row>
    <row r="720" spans="1:14" ht="20" hidden="1" customHeight="1">
      <c r="A720" s="9">
        <v>45330</v>
      </c>
      <c r="B720" s="10">
        <f>IFERROR(VLOOKUP(VENTAS[[#This Row],[Código del producto Vendido]],STOCK[],25,FALSE),"-")</f>
        <v>0</v>
      </c>
      <c r="C720" s="10"/>
      <c r="D720" s="10" t="s">
        <v>4336</v>
      </c>
      <c r="E720" s="10" t="s">
        <v>1688</v>
      </c>
      <c r="F720" s="10" t="str">
        <f>IFERROR(VLOOKUP(VENTAS[[#This Row],[Código del producto Vendido]],STOCK[],5,FALSE),"-")</f>
        <v>Mono con cinturón</v>
      </c>
      <c r="G720" s="10">
        <v>1</v>
      </c>
      <c r="H720" s="12">
        <v>30</v>
      </c>
      <c r="I720" s="12">
        <f>VENTAS[[#This Row],[Cantidad]]*VENTAS[[#This Row],[Precio Venta]]</f>
        <v>30</v>
      </c>
      <c r="J720" s="12">
        <f>IF(VENTAS[[#This Row],[Nombre del Gestor]]&gt;1,VENTAS[[#This Row],[Total]]*10%,0)</f>
        <v>3</v>
      </c>
      <c r="K720" s="12">
        <f>IFERROR(VLOOKUP(VENTAS[[#This Row],[Código del producto Vendido]],STOCK[],16,FALSE)*VENTAS[[#This Row],[Cantidad]]+VLOOKUP(VENTAS[[#This Row],[Código del producto Vendido]],STOCK[],19,FALSE)*VENTAS[[#This Row],[Cantidad]],VENTAS[[#This Row],[Total]])</f>
        <v>17.8</v>
      </c>
      <c r="L720" s="12">
        <f>VENTAS[[#This Row],[Total]]-VENTAS[[#This Row],[Comisión 10%]]-VENTAS[[#This Row],[Costo SIN Comision]]</f>
        <v>9.1999999999999993</v>
      </c>
      <c r="M720" s="12"/>
      <c r="N720" s="16"/>
    </row>
    <row r="721" spans="1:14" ht="20" hidden="1" customHeight="1">
      <c r="A721" s="9">
        <v>45324</v>
      </c>
      <c r="B721" s="10" t="str">
        <f>IFERROR(VLOOKUP(VENTAS[[#This Row],[Código del producto Vendido]],STOCK[],25,FALSE),"-")</f>
        <v>Viaje Agosto</v>
      </c>
      <c r="C721" s="10"/>
      <c r="D721" s="10" t="s">
        <v>4302</v>
      </c>
      <c r="E721" s="10" t="s">
        <v>1269</v>
      </c>
      <c r="F721" s="10" t="str">
        <f>IFERROR(VLOOKUP(VENTAS[[#This Row],[Código del producto Vendido]],STOCK[],5,FALSE),"-")</f>
        <v xml:space="preserve">Top corto asimétrico </v>
      </c>
      <c r="G721" s="10">
        <v>1</v>
      </c>
      <c r="H721" s="12">
        <v>10</v>
      </c>
      <c r="I721" s="12">
        <f>VENTAS[[#This Row],[Cantidad]]*VENTAS[[#This Row],[Precio Venta]]</f>
        <v>10</v>
      </c>
      <c r="J721" s="12">
        <f>IF(VENTAS[[#This Row],[Nombre del Gestor]]&gt;1,VENTAS[[#This Row],[Total]]*10%,0)</f>
        <v>1</v>
      </c>
      <c r="K721" s="12">
        <f>IFERROR(VLOOKUP(VENTAS[[#This Row],[Código del producto Vendido]],STOCK[],16,FALSE)*VENTAS[[#This Row],[Cantidad]]+VLOOKUP(VENTAS[[#This Row],[Código del producto Vendido]],STOCK[],19,FALSE)*VENTAS[[#This Row],[Cantidad]],VENTAS[[#This Row],[Total]])</f>
        <v>5.77</v>
      </c>
      <c r="L721" s="12">
        <f>VENTAS[[#This Row],[Total]]-VENTAS[[#This Row],[Comisión 10%]]-VENTAS[[#This Row],[Costo SIN Comision]]</f>
        <v>3.2300000000000004</v>
      </c>
      <c r="M721" s="12"/>
      <c r="N721" s="16"/>
    </row>
    <row r="722" spans="1:14" ht="20" hidden="1" customHeight="1">
      <c r="A722" s="9">
        <v>45331</v>
      </c>
      <c r="B722" s="10" t="str">
        <f>IFERROR(VLOOKUP(VENTAS[[#This Row],[Código del producto Vendido]],STOCK[],25,FALSE),"-")</f>
        <v>Compra 9/12/2023</v>
      </c>
      <c r="C722" s="10" t="s">
        <v>4337</v>
      </c>
      <c r="D722" s="10"/>
      <c r="E722" s="10" t="s">
        <v>1635</v>
      </c>
      <c r="F722" s="10" t="str">
        <f>IFERROR(VLOOKUP(VENTAS[[#This Row],[Código del producto Vendido]],STOCK[],5,FALSE),"-")</f>
        <v xml:space="preserve">Vestido Privé </v>
      </c>
      <c r="G722" s="10">
        <v>1</v>
      </c>
      <c r="H722" s="12">
        <v>25</v>
      </c>
      <c r="I722" s="12">
        <f>VENTAS[[#This Row],[Cantidad]]*VENTAS[[#This Row],[Precio Venta]]</f>
        <v>25</v>
      </c>
      <c r="J722" s="12">
        <f>IF(VENTAS[[#This Row],[Nombre del Gestor]]&gt;1,VENTAS[[#This Row],[Total]]*10%,0)</f>
        <v>0</v>
      </c>
      <c r="K722" s="12">
        <f>IFERROR(VLOOKUP(VENTAS[[#This Row],[Código del producto Vendido]],STOCK[],16,FALSE)*VENTAS[[#This Row],[Cantidad]]+VLOOKUP(VENTAS[[#This Row],[Código del producto Vendido]],STOCK[],19,FALSE)*VENTAS[[#This Row],[Cantidad]],VENTAS[[#This Row],[Total]])</f>
        <v>11.1</v>
      </c>
      <c r="L722" s="12">
        <f>VENTAS[[#This Row],[Total]]-VENTAS[[#This Row],[Comisión 10%]]-VENTAS[[#This Row],[Costo SIN Comision]]</f>
        <v>13.9</v>
      </c>
      <c r="M722" s="12"/>
      <c r="N722" s="16"/>
    </row>
    <row r="723" spans="1:14" ht="20" hidden="1" customHeight="1">
      <c r="A723" s="9">
        <v>45332</v>
      </c>
      <c r="B723" s="10" t="str">
        <f>IFERROR(VLOOKUP(VENTAS[[#This Row],[Código del producto Vendido]],STOCK[],25,FALSE),"-")</f>
        <v>-</v>
      </c>
      <c r="C723" s="10"/>
      <c r="D723" s="10"/>
      <c r="E723" s="10"/>
      <c r="F723" s="10" t="str">
        <f>IFERROR(VLOOKUP(VENTAS[[#This Row],[Código del producto Vendido]],STOCK[],5,FALSE),"-")</f>
        <v>-</v>
      </c>
      <c r="G723" s="10">
        <v>1</v>
      </c>
      <c r="H723" s="12">
        <v>28</v>
      </c>
      <c r="I723" s="12">
        <f>VENTAS[[#This Row],[Cantidad]]*VENTAS[[#This Row],[Precio Venta]]</f>
        <v>28</v>
      </c>
      <c r="J723" s="12">
        <f>IF(VENTAS[[#This Row],[Nombre del Gestor]]&gt;1,VENTAS[[#This Row],[Total]]*10%,0)</f>
        <v>0</v>
      </c>
      <c r="K723" s="12">
        <f>IFERROR(VLOOKUP(VENTAS[[#This Row],[Código del producto Vendido]],STOCK[],16,FALSE)*VENTAS[[#This Row],[Cantidad]]+VLOOKUP(VENTAS[[#This Row],[Código del producto Vendido]],STOCK[],19,FALSE)*VENTAS[[#This Row],[Cantidad]],VENTAS[[#This Row],[Total]])</f>
        <v>28</v>
      </c>
      <c r="L723" s="12">
        <f>VENTAS[[#This Row],[Total]]-VENTAS[[#This Row],[Comisión 10%]]-VENTAS[[#This Row],[Costo SIN Comision]]</f>
        <v>0</v>
      </c>
      <c r="M723" s="12"/>
      <c r="N723" s="16"/>
    </row>
    <row r="724" spans="1:14" ht="20" hidden="1" customHeight="1">
      <c r="A724" s="9">
        <v>45333</v>
      </c>
      <c r="B724" s="10" t="str">
        <f>IFERROR(VLOOKUP(VENTAS[[#This Row],[Código del producto Vendido]],STOCK[],25,FALSE),"-")</f>
        <v>Compra 9/12/2023</v>
      </c>
      <c r="C724" s="10" t="s">
        <v>4338</v>
      </c>
      <c r="D724" s="10"/>
      <c r="E724" s="10" t="s">
        <v>1624</v>
      </c>
      <c r="F724" s="10" t="str">
        <f>IFERROR(VLOOKUP(VENTAS[[#This Row],[Código del producto Vendido]],STOCK[],5,FALSE),"-")</f>
        <v>Vestido Becka</v>
      </c>
      <c r="G724" s="10">
        <v>1</v>
      </c>
      <c r="H724" s="12">
        <v>25</v>
      </c>
      <c r="I724" s="12">
        <f>VENTAS[[#This Row],[Cantidad]]*VENTAS[[#This Row],[Precio Venta]]</f>
        <v>25</v>
      </c>
      <c r="J724" s="12">
        <f>IF(VENTAS[[#This Row],[Nombre del Gestor]]&gt;1,VENTAS[[#This Row],[Total]]*10%,0)</f>
        <v>0</v>
      </c>
      <c r="K724" s="12">
        <f>IFERROR(VLOOKUP(VENTAS[[#This Row],[Código del producto Vendido]],STOCK[],16,FALSE)*VENTAS[[#This Row],[Cantidad]]+VLOOKUP(VENTAS[[#This Row],[Código del producto Vendido]],STOCK[],19,FALSE)*VENTAS[[#This Row],[Cantidad]],VENTAS[[#This Row],[Total]])</f>
        <v>12.4</v>
      </c>
      <c r="L724" s="12">
        <f>VENTAS[[#This Row],[Total]]-VENTAS[[#This Row],[Comisión 10%]]-VENTAS[[#This Row],[Costo SIN Comision]]</f>
        <v>12.6</v>
      </c>
      <c r="M724" s="12"/>
      <c r="N724" s="16"/>
    </row>
    <row r="725" spans="1:14" ht="20" hidden="1" customHeight="1">
      <c r="A725" s="9">
        <v>45333</v>
      </c>
      <c r="B725" s="10" t="str">
        <f>IFERROR(VLOOKUP(VENTAS[[#This Row],[Código del producto Vendido]],STOCK[],25,FALSE),"-")</f>
        <v>Compra 9/12/2023</v>
      </c>
      <c r="C725" s="10"/>
      <c r="D725" s="10"/>
      <c r="E725" s="10" t="s">
        <v>1626</v>
      </c>
      <c r="F725" s="10" t="str">
        <f>IFERROR(VLOOKUP(VENTAS[[#This Row],[Código del producto Vendido]],STOCK[],5,FALSE),"-")</f>
        <v>Vestido Tarsha</v>
      </c>
      <c r="G725" s="10">
        <v>1</v>
      </c>
      <c r="H725" s="12">
        <v>27</v>
      </c>
      <c r="I725" s="12">
        <f>VENTAS[[#This Row],[Cantidad]]*VENTAS[[#This Row],[Precio Venta]]</f>
        <v>27</v>
      </c>
      <c r="J725" s="12">
        <f>IF(VENTAS[[#This Row],[Nombre del Gestor]]&gt;1,VENTAS[[#This Row],[Total]]*10%,0)</f>
        <v>0</v>
      </c>
      <c r="K725" s="12">
        <f>IFERROR(VLOOKUP(VENTAS[[#This Row],[Código del producto Vendido]],STOCK[],16,FALSE)*VENTAS[[#This Row],[Cantidad]]+VLOOKUP(VENTAS[[#This Row],[Código del producto Vendido]],STOCK[],19,FALSE)*VENTAS[[#This Row],[Cantidad]],VENTAS[[#This Row],[Total]])</f>
        <v>13.97</v>
      </c>
      <c r="L725" s="12">
        <f>VENTAS[[#This Row],[Total]]-VENTAS[[#This Row],[Comisión 10%]]-VENTAS[[#This Row],[Costo SIN Comision]]</f>
        <v>13.03</v>
      </c>
      <c r="M725" s="12"/>
      <c r="N725" s="16"/>
    </row>
    <row r="726" spans="1:14" ht="20" hidden="1" customHeight="1">
      <c r="A726" s="9">
        <v>45324</v>
      </c>
      <c r="B726" s="10">
        <f>IFERROR(VLOOKUP(VENTAS[[#This Row],[Código del producto Vendido]],STOCK[],25,FALSE),"-")</f>
        <v>0</v>
      </c>
      <c r="C726" s="10"/>
      <c r="D726" s="10" t="s">
        <v>4336</v>
      </c>
      <c r="E726" s="10" t="s">
        <v>1293</v>
      </c>
      <c r="F726" s="10" t="str">
        <f>IFERROR(VLOOKUP(VENTAS[[#This Row],[Código del producto Vendido]],STOCK[],5,FALSE),"-")</f>
        <v xml:space="preserve">Jean skinny oscuro </v>
      </c>
      <c r="G726" s="10">
        <v>1</v>
      </c>
      <c r="H726" s="12">
        <v>30</v>
      </c>
      <c r="I726" s="12">
        <f>VENTAS[[#This Row],[Cantidad]]*VENTAS[[#This Row],[Precio Venta]]</f>
        <v>30</v>
      </c>
      <c r="J726" s="12">
        <f>IF(VENTAS[[#This Row],[Nombre del Gestor]]&gt;1,VENTAS[[#This Row],[Total]]*10%,0)</f>
        <v>3</v>
      </c>
      <c r="K726" s="12">
        <f>IFERROR(VLOOKUP(VENTAS[[#This Row],[Código del producto Vendido]],STOCK[],16,FALSE)*VENTAS[[#This Row],[Cantidad]]+VLOOKUP(VENTAS[[#This Row],[Código del producto Vendido]],STOCK[],19,FALSE)*VENTAS[[#This Row],[Cantidad]],VENTAS[[#This Row],[Total]])</f>
        <v>20.79</v>
      </c>
      <c r="L726" s="12">
        <f>VENTAS[[#This Row],[Total]]-VENTAS[[#This Row],[Comisión 10%]]-VENTAS[[#This Row],[Costo SIN Comision]]</f>
        <v>6.2100000000000009</v>
      </c>
      <c r="M726" s="12"/>
      <c r="N726" s="16"/>
    </row>
    <row r="727" spans="1:14" ht="20" hidden="1" customHeight="1">
      <c r="A727" s="9">
        <v>45324</v>
      </c>
      <c r="B727" s="10" t="str">
        <f>IFERROR(VLOOKUP(VENTAS[[#This Row],[Código del producto Vendido]],STOCK[],25,FALSE),"-")</f>
        <v>Compra 9/12/2023</v>
      </c>
      <c r="C727" s="10"/>
      <c r="D727" s="10" t="s">
        <v>4328</v>
      </c>
      <c r="E727" s="10" t="s">
        <v>1614</v>
      </c>
      <c r="F727" s="10" t="str">
        <f>IFERROR(VLOOKUP(VENTAS[[#This Row],[Código del producto Vendido]],STOCK[],5,FALSE),"-")</f>
        <v>Camisa Modely</v>
      </c>
      <c r="G727" s="10">
        <v>1</v>
      </c>
      <c r="H727" s="12">
        <v>22</v>
      </c>
      <c r="I727" s="12">
        <f>VENTAS[[#This Row],[Cantidad]]*VENTAS[[#This Row],[Precio Venta]]</f>
        <v>22</v>
      </c>
      <c r="J727" s="12">
        <f>IF(VENTAS[[#This Row],[Nombre del Gestor]]&gt;1,VENTAS[[#This Row],[Total]]*10%,0)</f>
        <v>2.2000000000000002</v>
      </c>
      <c r="K727" s="12">
        <f>IFERROR(VLOOKUP(VENTAS[[#This Row],[Código del producto Vendido]],STOCK[],16,FALSE)*VENTAS[[#This Row],[Cantidad]]+VLOOKUP(VENTAS[[#This Row],[Código del producto Vendido]],STOCK[],19,FALSE)*VENTAS[[#This Row],[Cantidad]],VENTAS[[#This Row],[Total]])</f>
        <v>9.74</v>
      </c>
      <c r="L727" s="12">
        <f>VENTAS[[#This Row],[Total]]-VENTAS[[#This Row],[Comisión 10%]]-VENTAS[[#This Row],[Costo SIN Comision]]</f>
        <v>10.06</v>
      </c>
      <c r="M727" s="12"/>
      <c r="N727" s="16"/>
    </row>
    <row r="728" spans="1:14" ht="20" hidden="1" customHeight="1">
      <c r="A728" s="9">
        <v>45330</v>
      </c>
      <c r="B728" s="10" t="str">
        <f>IFERROR(VLOOKUP(VENTAS[[#This Row],[Código del producto Vendido]],STOCK[],25,FALSE),"-")</f>
        <v>Compra 9/12/2023</v>
      </c>
      <c r="C728" s="10" t="s">
        <v>4339</v>
      </c>
      <c r="D728" s="10"/>
      <c r="E728" s="10" t="s">
        <v>1663</v>
      </c>
      <c r="F728" s="10" t="str">
        <f>IFERROR(VLOOKUP(VENTAS[[#This Row],[Código del producto Vendido]],STOCK[],5,FALSE),"-")</f>
        <v>Suéter cuello de Cisne</v>
      </c>
      <c r="G728" s="10">
        <v>1</v>
      </c>
      <c r="H728" s="12">
        <v>15</v>
      </c>
      <c r="I728" s="12">
        <f>VENTAS[[#This Row],[Cantidad]]*VENTAS[[#This Row],[Precio Venta]]</f>
        <v>15</v>
      </c>
      <c r="J728" s="12">
        <f>IF(VENTAS[[#This Row],[Nombre del Gestor]]&gt;1,VENTAS[[#This Row],[Total]]*10%,0)</f>
        <v>0</v>
      </c>
      <c r="K728" s="12">
        <f>IFERROR(VLOOKUP(VENTAS[[#This Row],[Código del producto Vendido]],STOCK[],16,FALSE)*VENTAS[[#This Row],[Cantidad]]+VLOOKUP(VENTAS[[#This Row],[Código del producto Vendido]],STOCK[],19,FALSE)*VENTAS[[#This Row],[Cantidad]],VENTAS[[#This Row],[Total]])</f>
        <v>5.78</v>
      </c>
      <c r="L728" s="12">
        <f>VENTAS[[#This Row],[Total]]-VENTAS[[#This Row],[Comisión 10%]]-VENTAS[[#This Row],[Costo SIN Comision]]</f>
        <v>9.2199999999999989</v>
      </c>
      <c r="M728" s="12"/>
      <c r="N728" s="16"/>
    </row>
    <row r="729" spans="1:14" ht="20" hidden="1" customHeight="1">
      <c r="A729" s="9">
        <v>45330</v>
      </c>
      <c r="B729" s="10" t="str">
        <f>IFERROR(VLOOKUP(VENTAS[[#This Row],[Código del producto Vendido]],STOCK[],25,FALSE),"-")</f>
        <v>Compra 9/12/2023</v>
      </c>
      <c r="C729" s="10" t="s">
        <v>4339</v>
      </c>
      <c r="D729" s="10"/>
      <c r="E729" s="10" t="s">
        <v>1666</v>
      </c>
      <c r="F729" s="10" t="str">
        <f>IFERROR(VLOOKUP(VENTAS[[#This Row],[Código del producto Vendido]],STOCK[],5,FALSE),"-")</f>
        <v>Top Healter negro</v>
      </c>
      <c r="G729" s="10">
        <v>1</v>
      </c>
      <c r="H729" s="12">
        <v>12</v>
      </c>
      <c r="I729" s="12">
        <f>VENTAS[[#This Row],[Cantidad]]*VENTAS[[#This Row],[Precio Venta]]</f>
        <v>12</v>
      </c>
      <c r="J729" s="12">
        <f>IF(VENTAS[[#This Row],[Nombre del Gestor]]&gt;1,VENTAS[[#This Row],[Total]]*10%,0)</f>
        <v>0</v>
      </c>
      <c r="K729" s="12">
        <f>IFERROR(VLOOKUP(VENTAS[[#This Row],[Código del producto Vendido]],STOCK[],16,FALSE)*VENTAS[[#This Row],[Cantidad]]+VLOOKUP(VENTAS[[#This Row],[Código del producto Vendido]],STOCK[],19,FALSE)*VENTAS[[#This Row],[Cantidad]],VENTAS[[#This Row],[Total]])</f>
        <v>6.37</v>
      </c>
      <c r="L729" s="12">
        <f>VENTAS[[#This Row],[Total]]-VENTAS[[#This Row],[Comisión 10%]]-VENTAS[[#This Row],[Costo SIN Comision]]</f>
        <v>5.63</v>
      </c>
      <c r="M729" s="12"/>
      <c r="N729" s="16"/>
    </row>
    <row r="730" spans="1:14" ht="20" hidden="1" customHeight="1">
      <c r="A730" s="9"/>
      <c r="B730" s="10" t="str">
        <f>IFERROR(VLOOKUP(VENTAS[[#This Row],[Código del producto Vendido]],STOCK[],25,FALSE),"-")</f>
        <v>Compra 9/12/2023</v>
      </c>
      <c r="C730" s="10" t="s">
        <v>4337</v>
      </c>
      <c r="D730" s="10"/>
      <c r="E730" s="10" t="s">
        <v>1664</v>
      </c>
      <c r="F730" s="10" t="str">
        <f>IFERROR(VLOOKUP(VENTAS[[#This Row],[Código del producto Vendido]],STOCK[],5,FALSE),"-")</f>
        <v>Top healter negro</v>
      </c>
      <c r="G730" s="10">
        <v>1</v>
      </c>
      <c r="H730" s="12">
        <v>12</v>
      </c>
      <c r="I730" s="12">
        <f>VENTAS[[#This Row],[Cantidad]]*VENTAS[[#This Row],[Precio Venta]]</f>
        <v>12</v>
      </c>
      <c r="J730" s="12">
        <f>IF(VENTAS[[#This Row],[Nombre del Gestor]]&gt;1,VENTAS[[#This Row],[Total]]*10%,0)</f>
        <v>0</v>
      </c>
      <c r="K730" s="12">
        <f>IFERROR(VLOOKUP(VENTAS[[#This Row],[Código del producto Vendido]],STOCK[],16,FALSE)*VENTAS[[#This Row],[Cantidad]]+VLOOKUP(VENTAS[[#This Row],[Código del producto Vendido]],STOCK[],19,FALSE)*VENTAS[[#This Row],[Cantidad]],VENTAS[[#This Row],[Total]])</f>
        <v>6.37</v>
      </c>
      <c r="L730" s="12">
        <f>VENTAS[[#This Row],[Total]]-VENTAS[[#This Row],[Comisión 10%]]-VENTAS[[#This Row],[Costo SIN Comision]]</f>
        <v>5.63</v>
      </c>
      <c r="M730" s="12"/>
      <c r="N730" s="16"/>
    </row>
    <row r="731" spans="1:14" ht="20" hidden="1" customHeight="1">
      <c r="A731" s="9">
        <v>45324</v>
      </c>
      <c r="B731" s="10" t="str">
        <f>IFERROR(VLOOKUP(VENTAS[[#This Row],[Código del producto Vendido]],STOCK[],25,FALSE),"-")</f>
        <v>Compra 9/12/2023</v>
      </c>
      <c r="C731" s="10"/>
      <c r="D731" s="10"/>
      <c r="E731" s="10" t="s">
        <v>1686</v>
      </c>
      <c r="F731" s="10" t="str">
        <f>IFERROR(VLOOKUP(VENTAS[[#This Row],[Código del producto Vendido]],STOCK[],5,FALSE),"-")</f>
        <v>Vestido de mangas en contraste</v>
      </c>
      <c r="G731" s="10">
        <v>1</v>
      </c>
      <c r="H731" s="12">
        <v>28</v>
      </c>
      <c r="I731" s="12">
        <f>VENTAS[[#This Row],[Cantidad]]*VENTAS[[#This Row],[Precio Venta]]</f>
        <v>28</v>
      </c>
      <c r="J731" s="12">
        <f>IF(VENTAS[[#This Row],[Nombre del Gestor]]&gt;1,VENTAS[[#This Row],[Total]]*10%,0)</f>
        <v>0</v>
      </c>
      <c r="K731" s="12">
        <f>IFERROR(VLOOKUP(VENTAS[[#This Row],[Código del producto Vendido]],STOCK[],16,FALSE)*VENTAS[[#This Row],[Cantidad]]+VLOOKUP(VENTAS[[#This Row],[Código del producto Vendido]],STOCK[],19,FALSE)*VENTAS[[#This Row],[Cantidad]],VENTAS[[#This Row],[Total]])</f>
        <v>17.25</v>
      </c>
      <c r="L731" s="12">
        <f>VENTAS[[#This Row],[Total]]-VENTAS[[#This Row],[Comisión 10%]]-VENTAS[[#This Row],[Costo SIN Comision]]</f>
        <v>10.75</v>
      </c>
      <c r="M731" s="12"/>
      <c r="N731" s="16"/>
    </row>
    <row r="732" spans="1:14" ht="20" hidden="1" customHeight="1">
      <c r="A732" s="9" t="s">
        <v>4333</v>
      </c>
      <c r="B732" s="10">
        <f>IFERROR(VLOOKUP(VENTAS[[#This Row],[Código del producto Vendido]],STOCK[],25,FALSE),"-")</f>
        <v>0</v>
      </c>
      <c r="C732" s="10"/>
      <c r="D732" s="10"/>
      <c r="E732" s="10" t="s">
        <v>1696</v>
      </c>
      <c r="F732" s="10" t="str">
        <f>IFERROR(VLOOKUP(VENTAS[[#This Row],[Código del producto Vendido]],STOCK[],5,FALSE),"-")</f>
        <v>Chaleco corto de traje cuadros</v>
      </c>
      <c r="G732" s="10">
        <v>1</v>
      </c>
      <c r="H732" s="12">
        <v>36</v>
      </c>
      <c r="I732" s="12">
        <f>VENTAS[[#This Row],[Cantidad]]*VENTAS[[#This Row],[Precio Venta]]</f>
        <v>36</v>
      </c>
      <c r="J732" s="12">
        <f>IF(VENTAS[[#This Row],[Nombre del Gestor]]&gt;1,VENTAS[[#This Row],[Total]]*10%,0)</f>
        <v>0</v>
      </c>
      <c r="K732" s="12">
        <f>IFERROR(VLOOKUP(VENTAS[[#This Row],[Código del producto Vendido]],STOCK[],16,FALSE)*VENTAS[[#This Row],[Cantidad]]+VLOOKUP(VENTAS[[#This Row],[Código del producto Vendido]],STOCK[],19,FALSE)*VENTAS[[#This Row],[Cantidad]],VENTAS[[#This Row],[Total]])</f>
        <v>24</v>
      </c>
      <c r="L732" s="12">
        <f>VENTAS[[#This Row],[Total]]-VENTAS[[#This Row],[Comisión 10%]]-VENTAS[[#This Row],[Costo SIN Comision]]</f>
        <v>12</v>
      </c>
      <c r="M732" s="12"/>
      <c r="N732" s="16"/>
    </row>
    <row r="733" spans="1:14" ht="20" hidden="1" customHeight="1">
      <c r="A733" s="9"/>
      <c r="B733" s="10" t="str">
        <f>IFERROR(VLOOKUP(VENTAS[[#This Row],[Código del producto Vendido]],STOCK[],25,FALSE),"-")</f>
        <v>Compra Shein22012024</v>
      </c>
      <c r="C733" s="10" t="s">
        <v>4340</v>
      </c>
      <c r="D733" s="10"/>
      <c r="E733" s="10" t="s">
        <v>1739</v>
      </c>
      <c r="F733" s="10" t="str">
        <f>IFERROR(VLOOKUP(VENTAS[[#This Row],[Código del producto Vendido]],STOCK[],5,FALSE),"-")</f>
        <v>Chaleco de traje Negro</v>
      </c>
      <c r="G733" s="10">
        <v>1</v>
      </c>
      <c r="H733" s="12">
        <v>25</v>
      </c>
      <c r="I733" s="12">
        <f>VENTAS[[#This Row],[Cantidad]]*VENTAS[[#This Row],[Precio Venta]]</f>
        <v>25</v>
      </c>
      <c r="J733" s="12">
        <f>IF(VENTAS[[#This Row],[Nombre del Gestor]]&gt;1,VENTAS[[#This Row],[Total]]*10%,0)</f>
        <v>0</v>
      </c>
      <c r="K733" s="12">
        <f>IFERROR(VLOOKUP(VENTAS[[#This Row],[Código del producto Vendido]],STOCK[],16,FALSE)*VENTAS[[#This Row],[Cantidad]]+VLOOKUP(VENTAS[[#This Row],[Código del producto Vendido]],STOCK[],19,FALSE)*VENTAS[[#This Row],[Cantidad]],VENTAS[[#This Row],[Total]])</f>
        <v>17.9411764705882</v>
      </c>
      <c r="L733" s="12">
        <f>VENTAS[[#This Row],[Total]]-VENTAS[[#This Row],[Comisión 10%]]-VENTAS[[#This Row],[Costo SIN Comision]]</f>
        <v>7.0588235294118</v>
      </c>
      <c r="M733" s="12"/>
      <c r="N733" s="16"/>
    </row>
    <row r="734" spans="1:14" ht="20" hidden="1" customHeight="1">
      <c r="A734" s="9">
        <v>45335</v>
      </c>
      <c r="B734" s="10"/>
      <c r="C734" s="10" t="s">
        <v>4190</v>
      </c>
      <c r="D734" s="10"/>
      <c r="E734" s="10" t="s">
        <v>1764</v>
      </c>
      <c r="F734" s="10" t="str">
        <f>IFERROR(VLOOKUP(VENTAS[[#This Row],[Código del producto Vendido]],STOCK[],5,FALSE),"-")</f>
        <v>Zapatillas blanco casual</v>
      </c>
      <c r="G734" s="10">
        <v>1</v>
      </c>
      <c r="H734" s="12">
        <v>39</v>
      </c>
      <c r="I734" s="12">
        <f>VENTAS[[#This Row],[Cantidad]]*VENTAS[[#This Row],[Precio Venta]]</f>
        <v>39</v>
      </c>
      <c r="J734" s="12">
        <f>IF(VENTAS[[#This Row],[Nombre del Gestor]]&gt;1,VENTAS[[#This Row],[Total]]*10%,0)</f>
        <v>0</v>
      </c>
      <c r="K734" s="12">
        <f>IFERROR(VLOOKUP(VENTAS[[#This Row],[Código del producto Vendido]],STOCK[],16,FALSE)*VENTAS[[#This Row],[Cantidad]]+VLOOKUP(VENTAS[[#This Row],[Código del producto Vendido]],STOCK[],19,FALSE)*VENTAS[[#This Row],[Cantidad]],VENTAS[[#This Row],[Total]])</f>
        <v>25.470588235294102</v>
      </c>
      <c r="L734" s="12">
        <f>VENTAS[[#This Row],[Total]]-VENTAS[[#This Row],[Comisión 10%]]-VENTAS[[#This Row],[Costo SIN Comision]]</f>
        <v>13.529411764705898</v>
      </c>
      <c r="M734" s="12"/>
      <c r="N734" s="16"/>
    </row>
    <row r="735" spans="1:14" ht="20" hidden="1" customHeight="1">
      <c r="A735" s="9"/>
      <c r="B735" s="10"/>
      <c r="C735" s="10"/>
      <c r="D735" s="10"/>
      <c r="E735" s="10" t="s">
        <v>1808</v>
      </c>
      <c r="F735" s="10" t="str">
        <f>IFERROR(VLOOKUP(VENTAS[[#This Row],[Código del producto Vendido]],STOCK[],5,FALSE),"-")</f>
        <v>Pasador de cabello en forma de lazo</v>
      </c>
      <c r="G735" s="10">
        <v>1</v>
      </c>
      <c r="H735" s="12">
        <v>2.5</v>
      </c>
      <c r="I735" s="12">
        <f>VENTAS[[#This Row],[Cantidad]]*VENTAS[[#This Row],[Precio Venta]]</f>
        <v>2.5</v>
      </c>
      <c r="J735" s="12">
        <f>IF(VENTAS[[#This Row],[Nombre del Gestor]]&gt;1,VENTAS[[#This Row],[Total]]*10%,0)</f>
        <v>0</v>
      </c>
      <c r="K735" s="12">
        <f>IFERROR(VLOOKUP(VENTAS[[#This Row],[Código del producto Vendido]],STOCK[],16,FALSE)*VENTAS[[#This Row],[Cantidad]]+VLOOKUP(VENTAS[[#This Row],[Código del producto Vendido]],STOCK[],19,FALSE)*VENTAS[[#This Row],[Cantidad]],VENTAS[[#This Row],[Total]])</f>
        <v>1.73529411764706</v>
      </c>
      <c r="L735" s="12">
        <f>VENTAS[[#This Row],[Total]]-VENTAS[[#This Row],[Comisión 10%]]-VENTAS[[#This Row],[Costo SIN Comision]]</f>
        <v>0.76470588235294001</v>
      </c>
      <c r="M735" s="12"/>
      <c r="N735" s="16"/>
    </row>
    <row r="736" spans="1:14" ht="20" hidden="1" customHeight="1">
      <c r="A736" s="9">
        <v>45327</v>
      </c>
      <c r="B736" s="10"/>
      <c r="C736" s="10" t="s">
        <v>4337</v>
      </c>
      <c r="D736" s="10"/>
      <c r="E736" s="10" t="s">
        <v>354</v>
      </c>
      <c r="F736" s="10" t="str">
        <f>IFERROR(VLOOKUP(VENTAS[[#This Row],[Código del producto Vendido]],STOCK[],5,FALSE),"-")</f>
        <v>Vestido de espalda cruzada</v>
      </c>
      <c r="G736" s="10">
        <v>1</v>
      </c>
      <c r="H736" s="12">
        <v>20</v>
      </c>
      <c r="I736" s="12">
        <f>VENTAS[[#This Row],[Cantidad]]*VENTAS[[#This Row],[Precio Venta]]</f>
        <v>20</v>
      </c>
      <c r="J736" s="12">
        <f>IF(VENTAS[[#This Row],[Nombre del Gestor]]&gt;1,VENTAS[[#This Row],[Total]]*10%,0)</f>
        <v>0</v>
      </c>
      <c r="K736" s="12">
        <f>IFERROR(VLOOKUP(VENTAS[[#This Row],[Código del producto Vendido]],STOCK[],16,FALSE)*VENTAS[[#This Row],[Cantidad]]+VLOOKUP(VENTAS[[#This Row],[Código del producto Vendido]],STOCK[],19,FALSE)*VENTAS[[#This Row],[Cantidad]],VENTAS[[#This Row],[Total]])</f>
        <v>14.66611111111111</v>
      </c>
      <c r="L736" s="12">
        <f>VENTAS[[#This Row],[Total]]-VENTAS[[#This Row],[Comisión 10%]]-VENTAS[[#This Row],[Costo SIN Comision]]</f>
        <v>5.3338888888888896</v>
      </c>
      <c r="M736" s="12"/>
      <c r="N736" s="16"/>
    </row>
    <row r="737" spans="1:14" ht="20" hidden="1" customHeight="1">
      <c r="A737" s="9">
        <v>45327</v>
      </c>
      <c r="B737" s="10"/>
      <c r="C737" s="10" t="s">
        <v>4337</v>
      </c>
      <c r="D737" s="10"/>
      <c r="E737" s="10" t="s">
        <v>1436</v>
      </c>
      <c r="F737" s="10" t="str">
        <f>IFERROR(VLOOKUP(VENTAS[[#This Row],[Código del producto Vendido]],STOCK[],5,FALSE),"-")</f>
        <v>Sandalias de velcro</v>
      </c>
      <c r="G737" s="10">
        <v>1</v>
      </c>
      <c r="H737" s="12">
        <v>30</v>
      </c>
      <c r="I737" s="12">
        <f>VENTAS[[#This Row],[Cantidad]]*VENTAS[[#This Row],[Precio Venta]]</f>
        <v>30</v>
      </c>
      <c r="J737" s="12">
        <f>IF(VENTAS[[#This Row],[Nombre del Gestor]]&gt;1,VENTAS[[#This Row],[Total]]*10%,0)</f>
        <v>0</v>
      </c>
      <c r="K737" s="12">
        <f>IFERROR(VLOOKUP(VENTAS[[#This Row],[Código del producto Vendido]],STOCK[],16,FALSE)*VENTAS[[#This Row],[Cantidad]]+VLOOKUP(VENTAS[[#This Row],[Código del producto Vendido]],STOCK[],19,FALSE)*VENTAS[[#This Row],[Cantidad]],VENTAS[[#This Row],[Total]])</f>
        <v>17</v>
      </c>
      <c r="L737" s="12">
        <f>VENTAS[[#This Row],[Total]]-VENTAS[[#This Row],[Comisión 10%]]-VENTAS[[#This Row],[Costo SIN Comision]]</f>
        <v>13</v>
      </c>
      <c r="M737" s="12"/>
      <c r="N737" s="16"/>
    </row>
    <row r="738" spans="1:14" ht="20" hidden="1" customHeight="1">
      <c r="A738" s="9">
        <v>45329</v>
      </c>
      <c r="B738" s="10"/>
      <c r="C738" s="10"/>
      <c r="D738" s="10" t="s">
        <v>4330</v>
      </c>
      <c r="E738" s="10" t="s">
        <v>1303</v>
      </c>
      <c r="F738" s="10" t="str">
        <f>IFERROR(VLOOKUP(VENTAS[[#This Row],[Código del producto Vendido]],STOCK[],5,FALSE),"-")</f>
        <v>Jean ajustado Claro</v>
      </c>
      <c r="G738" s="10">
        <v>1</v>
      </c>
      <c r="H738" s="12">
        <v>30</v>
      </c>
      <c r="I738" s="12">
        <f>VENTAS[[#This Row],[Cantidad]]*VENTAS[[#This Row],[Precio Venta]]</f>
        <v>30</v>
      </c>
      <c r="J738" s="12">
        <f>IF(VENTAS[[#This Row],[Nombre del Gestor]]&gt;1,VENTAS[[#This Row],[Total]]*10%,0)</f>
        <v>3</v>
      </c>
      <c r="K738" s="12">
        <f>IFERROR(VLOOKUP(VENTAS[[#This Row],[Código del producto Vendido]],STOCK[],16,FALSE)*VENTAS[[#This Row],[Cantidad]]+VLOOKUP(VENTAS[[#This Row],[Código del producto Vendido]],STOCK[],19,FALSE)*VENTAS[[#This Row],[Cantidad]],VENTAS[[#This Row],[Total]])</f>
        <v>23.79</v>
      </c>
      <c r="L738" s="12">
        <f>VENTAS[[#This Row],[Total]]-VENTAS[[#This Row],[Comisión 10%]]-VENTAS[[#This Row],[Costo SIN Comision]]</f>
        <v>3.2100000000000009</v>
      </c>
      <c r="M738" s="12"/>
      <c r="N738" s="16"/>
    </row>
    <row r="739" spans="1:14" ht="20" hidden="1" customHeight="1">
      <c r="A739" s="9" t="s">
        <v>4333</v>
      </c>
      <c r="B739" s="10"/>
      <c r="C739" s="10"/>
      <c r="D739" s="10"/>
      <c r="E739" s="10" t="s">
        <v>522</v>
      </c>
      <c r="F739" s="10" t="str">
        <f>IFERROR(VLOOKUP(VENTAS[[#This Row],[Código del producto Vendido]],STOCK[],5,FALSE),"-")</f>
        <v xml:space="preserve">Almohadilla de maquillaje </v>
      </c>
      <c r="G739" s="10">
        <v>1</v>
      </c>
      <c r="H739" s="12">
        <v>1</v>
      </c>
      <c r="I739" s="12">
        <f>VENTAS[[#This Row],[Cantidad]]*VENTAS[[#This Row],[Precio Venta]]</f>
        <v>1</v>
      </c>
      <c r="J739" s="12">
        <f>IF(VENTAS[[#This Row],[Nombre del Gestor]]&gt;1,VENTAS[[#This Row],[Total]]*10%,0)</f>
        <v>0</v>
      </c>
      <c r="K739" s="12">
        <f>IFERROR(VLOOKUP(VENTAS[[#This Row],[Código del producto Vendido]],STOCK[],16,FALSE)*VENTAS[[#This Row],[Cantidad]]+VLOOKUP(VENTAS[[#This Row],[Código del producto Vendido]],STOCK[],19,FALSE)*VENTAS[[#This Row],[Cantidad]],VENTAS[[#This Row],[Total]])</f>
        <v>0.24138888888888888</v>
      </c>
      <c r="L739" s="12">
        <f>VENTAS[[#This Row],[Total]]-VENTAS[[#This Row],[Comisión 10%]]-VENTAS[[#This Row],[Costo SIN Comision]]</f>
        <v>0.75861111111111112</v>
      </c>
      <c r="M739" s="12"/>
      <c r="N739" s="16"/>
    </row>
    <row r="740" spans="1:14" ht="20" hidden="1" customHeight="1">
      <c r="A740" s="9">
        <v>45329</v>
      </c>
      <c r="B740" s="10"/>
      <c r="C740" s="10"/>
      <c r="D740" s="10"/>
      <c r="E740" s="10" t="s">
        <v>1595</v>
      </c>
      <c r="F740" s="10" t="str">
        <f>IFERROR(VLOOKUP(VENTAS[[#This Row],[Código del producto Vendido]],STOCK[],5,FALSE),"-")</f>
        <v>Sandalias flip de plataforma Naranja Marca F21</v>
      </c>
      <c r="G740" s="10">
        <v>3</v>
      </c>
      <c r="H740" s="12">
        <v>2.5</v>
      </c>
      <c r="I740" s="12">
        <f>VENTAS[[#This Row],[Cantidad]]*VENTAS[[#This Row],[Precio Venta]]</f>
        <v>7.5</v>
      </c>
      <c r="J740" s="12">
        <f>IF(VENTAS[[#This Row],[Nombre del Gestor]]&gt;1,VENTAS[[#This Row],[Total]]*10%,0)</f>
        <v>0</v>
      </c>
      <c r="K740" s="12">
        <f>IFERROR(VLOOKUP(VENTAS[[#This Row],[Código del producto Vendido]],STOCK[],16,FALSE)*VENTAS[[#This Row],[Cantidad]]+VLOOKUP(VENTAS[[#This Row],[Código del producto Vendido]],STOCK[],19,FALSE)*VENTAS[[#This Row],[Cantidad]],VENTAS[[#This Row],[Total]])</f>
        <v>0</v>
      </c>
      <c r="L740" s="12">
        <f>VENTAS[[#This Row],[Total]]-VENTAS[[#This Row],[Comisión 10%]]-VENTAS[[#This Row],[Costo SIN Comision]]</f>
        <v>7.5</v>
      </c>
      <c r="M740" s="12"/>
      <c r="N740" s="16"/>
    </row>
    <row r="741" spans="1:14" ht="20" hidden="1" customHeight="1">
      <c r="A741" s="9">
        <v>45329</v>
      </c>
      <c r="B741" s="10"/>
      <c r="C741" s="10"/>
      <c r="D741" s="10"/>
      <c r="E741" s="10" t="s">
        <v>1799</v>
      </c>
      <c r="F741" s="10" t="str">
        <f>IFERROR(VLOOKUP(VENTAS[[#This Row],[Código del producto Vendido]],STOCK[],5,FALSE),"-")</f>
        <v>Horquillas en forma de lazo</v>
      </c>
      <c r="G741" s="10">
        <v>1</v>
      </c>
      <c r="H741" s="12">
        <v>2.5</v>
      </c>
      <c r="I741" s="12">
        <f>VENTAS[[#This Row],[Cantidad]]*VENTAS[[#This Row],[Precio Venta]]</f>
        <v>2.5</v>
      </c>
      <c r="J741" s="12">
        <f>IF(VENTAS[[#This Row],[Nombre del Gestor]]&gt;1,VENTAS[[#This Row],[Total]]*10%,0)</f>
        <v>0</v>
      </c>
      <c r="K741" s="12">
        <f>IFERROR(VLOOKUP(VENTAS[[#This Row],[Código del producto Vendido]],STOCK[],16,FALSE)*VENTAS[[#This Row],[Cantidad]]+VLOOKUP(VENTAS[[#This Row],[Código del producto Vendido]],STOCK[],19,FALSE)*VENTAS[[#This Row],[Cantidad]],VENTAS[[#This Row],[Total]])</f>
        <v>1.391176470588235</v>
      </c>
      <c r="L741" s="12">
        <f>VENTAS[[#This Row],[Total]]-VENTAS[[#This Row],[Comisión 10%]]-VENTAS[[#This Row],[Costo SIN Comision]]</f>
        <v>1.108823529411765</v>
      </c>
      <c r="M741" s="12"/>
      <c r="N741" s="16"/>
    </row>
    <row r="742" spans="1:14" ht="20" hidden="1" customHeight="1">
      <c r="A742" s="9">
        <v>45329</v>
      </c>
      <c r="B742" s="10"/>
      <c r="C742" s="10"/>
      <c r="D742" s="10"/>
      <c r="E742" s="10" t="s">
        <v>1801</v>
      </c>
      <c r="F742" s="10" t="str">
        <f>IFERROR(VLOOKUP(VENTAS[[#This Row],[Código del producto Vendido]],STOCK[],5,FALSE),"-")</f>
        <v>Horquillas en forma de lazo</v>
      </c>
      <c r="G742" s="10">
        <v>2</v>
      </c>
      <c r="H742" s="12">
        <v>2.5</v>
      </c>
      <c r="I742" s="12">
        <f>VENTAS[[#This Row],[Cantidad]]*VENTAS[[#This Row],[Precio Venta]]</f>
        <v>5</v>
      </c>
      <c r="J742" s="12">
        <f>IF(VENTAS[[#This Row],[Nombre del Gestor]]&gt;1,VENTAS[[#This Row],[Total]]*10%,0)</f>
        <v>0</v>
      </c>
      <c r="K742" s="12">
        <f>IFERROR(VLOOKUP(VENTAS[[#This Row],[Código del producto Vendido]],STOCK[],16,FALSE)*VENTAS[[#This Row],[Cantidad]]+VLOOKUP(VENTAS[[#This Row],[Código del producto Vendido]],STOCK[],19,FALSE)*VENTAS[[#This Row],[Cantidad]],VENTAS[[#This Row],[Total]])</f>
        <v>2.78235294117647</v>
      </c>
      <c r="L742" s="12">
        <f>VENTAS[[#This Row],[Total]]-VENTAS[[#This Row],[Comisión 10%]]-VENTAS[[#This Row],[Costo SIN Comision]]</f>
        <v>2.21764705882353</v>
      </c>
      <c r="M742" s="12"/>
      <c r="N742" s="16"/>
    </row>
    <row r="743" spans="1:14" ht="20" hidden="1" customHeight="1">
      <c r="A743" s="9"/>
      <c r="B743" s="10"/>
      <c r="C743" s="10"/>
      <c r="D743" s="10"/>
      <c r="E743" s="10" t="s">
        <v>1808</v>
      </c>
      <c r="F743" s="10" t="str">
        <f>IFERROR(VLOOKUP(VENTAS[[#This Row],[Código del producto Vendido]],STOCK[],5,FALSE),"-")</f>
        <v>Pasador de cabello en forma de lazo</v>
      </c>
      <c r="G743" s="10">
        <v>1</v>
      </c>
      <c r="H743" s="12">
        <v>2.5</v>
      </c>
      <c r="I743" s="12">
        <f>VENTAS[[#This Row],[Cantidad]]*VENTAS[[#This Row],[Precio Venta]]</f>
        <v>2.5</v>
      </c>
      <c r="J743" s="12">
        <f>IF(VENTAS[[#This Row],[Nombre del Gestor]]&gt;1,VENTAS[[#This Row],[Total]]*10%,0)</f>
        <v>0</v>
      </c>
      <c r="K743" s="12">
        <f>IFERROR(VLOOKUP(VENTAS[[#This Row],[Código del producto Vendido]],STOCK[],16,FALSE)*VENTAS[[#This Row],[Cantidad]]+VLOOKUP(VENTAS[[#This Row],[Código del producto Vendido]],STOCK[],19,FALSE)*VENTAS[[#This Row],[Cantidad]],VENTAS[[#This Row],[Total]])</f>
        <v>1.73529411764706</v>
      </c>
      <c r="L743" s="12">
        <f>VENTAS[[#This Row],[Total]]-VENTAS[[#This Row],[Comisión 10%]]-VENTAS[[#This Row],[Costo SIN Comision]]</f>
        <v>0.76470588235294001</v>
      </c>
      <c r="M743" s="12"/>
      <c r="N743" s="16"/>
    </row>
    <row r="744" spans="1:14" ht="20" hidden="1" customHeight="1">
      <c r="A744" s="9">
        <v>45337</v>
      </c>
      <c r="B744" s="10"/>
      <c r="C744" s="10"/>
      <c r="D744" s="10" t="s">
        <v>4237</v>
      </c>
      <c r="E744" s="10" t="s">
        <v>1801</v>
      </c>
      <c r="F744" s="10" t="str">
        <f>IFERROR(VLOOKUP(VENTAS[[#This Row],[Código del producto Vendido]],STOCK[],5,FALSE),"-")</f>
        <v>Horquillas en forma de lazo</v>
      </c>
      <c r="G744" s="10">
        <v>1</v>
      </c>
      <c r="H744" s="12">
        <v>2.5</v>
      </c>
      <c r="I744" s="12">
        <f>VENTAS[[#This Row],[Cantidad]]*VENTAS[[#This Row],[Precio Venta]]</f>
        <v>2.5</v>
      </c>
      <c r="J744" s="12">
        <f>IF(VENTAS[[#This Row],[Nombre del Gestor]]&gt;1,VENTAS[[#This Row],[Total]]*10%,0)</f>
        <v>0.25</v>
      </c>
      <c r="K744" s="12">
        <f>IFERROR(VLOOKUP(VENTAS[[#This Row],[Código del producto Vendido]],STOCK[],16,FALSE)*VENTAS[[#This Row],[Cantidad]]+VLOOKUP(VENTAS[[#This Row],[Código del producto Vendido]],STOCK[],19,FALSE)*VENTAS[[#This Row],[Cantidad]],VENTAS[[#This Row],[Total]])</f>
        <v>1.391176470588235</v>
      </c>
      <c r="L744" s="12">
        <f>VENTAS[[#This Row],[Total]]-VENTAS[[#This Row],[Comisión 10%]]-VENTAS[[#This Row],[Costo SIN Comision]]</f>
        <v>0.85882352941176499</v>
      </c>
      <c r="M744" s="12"/>
      <c r="N744" s="16"/>
    </row>
    <row r="745" spans="1:14" ht="20" hidden="1" customHeight="1">
      <c r="A745" s="9">
        <v>45337</v>
      </c>
      <c r="B745" s="10"/>
      <c r="C745" s="10"/>
      <c r="D745" s="10" t="s">
        <v>4237</v>
      </c>
      <c r="E745" s="10" t="s">
        <v>1811</v>
      </c>
      <c r="F745" s="10" t="str">
        <f>IFERROR(VLOOKUP(VENTAS[[#This Row],[Código del producto Vendido]],STOCK[],5,FALSE),"-")</f>
        <v>Lazo para coletas</v>
      </c>
      <c r="G745" s="10">
        <v>1</v>
      </c>
      <c r="H745" s="12">
        <v>2</v>
      </c>
      <c r="I745" s="12">
        <f>VENTAS[[#This Row],[Cantidad]]*VENTAS[[#This Row],[Precio Venta]]</f>
        <v>2</v>
      </c>
      <c r="J745" s="12">
        <f>IF(VENTAS[[#This Row],[Nombre del Gestor]]&gt;1,VENTAS[[#This Row],[Total]]*10%,0)</f>
        <v>0.2</v>
      </c>
      <c r="K745" s="12">
        <f>IFERROR(VLOOKUP(VENTAS[[#This Row],[Código del producto Vendido]],STOCK[],16,FALSE)*VENTAS[[#This Row],[Cantidad]]+VLOOKUP(VENTAS[[#This Row],[Código del producto Vendido]],STOCK[],19,FALSE)*VENTAS[[#This Row],[Cantidad]],VENTAS[[#This Row],[Total]])</f>
        <v>1.9117647058823499</v>
      </c>
      <c r="L745" s="12">
        <f>VENTAS[[#This Row],[Total]]-VENTAS[[#This Row],[Comisión 10%]]-VENTAS[[#This Row],[Costo SIN Comision]]</f>
        <v>-0.11176470588234988</v>
      </c>
      <c r="M745" s="12"/>
      <c r="N745" s="16"/>
    </row>
    <row r="746" spans="1:14" ht="20" hidden="1" customHeight="1">
      <c r="A746" s="9">
        <v>45337</v>
      </c>
      <c r="B746" s="10"/>
      <c r="C746" s="10" t="s">
        <v>4209</v>
      </c>
      <c r="D746" s="10"/>
      <c r="E746" s="10" t="s">
        <v>151</v>
      </c>
      <c r="F746" s="10" t="str">
        <f>IFERROR(VLOOKUP(VENTAS[[#This Row],[Código del producto Vendido]],STOCK[],5,FALSE),"-")</f>
        <v>Jean Boyfriend con rotos</v>
      </c>
      <c r="G746" s="10">
        <v>1</v>
      </c>
      <c r="H746" s="12">
        <v>30</v>
      </c>
      <c r="I746" s="12">
        <f>VENTAS[[#This Row],[Cantidad]]*VENTAS[[#This Row],[Precio Venta]]</f>
        <v>30</v>
      </c>
      <c r="J746" s="12">
        <f>IF(VENTAS[[#This Row],[Nombre del Gestor]]&gt;1,VENTAS[[#This Row],[Total]]*10%,0)</f>
        <v>0</v>
      </c>
      <c r="K746" s="12">
        <f>IFERROR(VLOOKUP(VENTAS[[#This Row],[Código del producto Vendido]],STOCK[],16,FALSE)*VENTAS[[#This Row],[Cantidad]]+VLOOKUP(VENTAS[[#This Row],[Código del producto Vendido]],STOCK[],19,FALSE)*VENTAS[[#This Row],[Cantidad]],VENTAS[[#This Row],[Total]])</f>
        <v>18.686666666666667</v>
      </c>
      <c r="L746" s="12">
        <f>VENTAS[[#This Row],[Total]]-VENTAS[[#This Row],[Comisión 10%]]-VENTAS[[#This Row],[Costo SIN Comision]]</f>
        <v>11.313333333333333</v>
      </c>
      <c r="M746" s="12"/>
      <c r="N746" s="16"/>
    </row>
    <row r="747" spans="1:14" ht="20" hidden="1" customHeight="1">
      <c r="A747" s="9" t="s">
        <v>4333</v>
      </c>
      <c r="B747" s="10"/>
      <c r="C747" s="10"/>
      <c r="D747" s="10"/>
      <c r="E747" s="10" t="s">
        <v>1123</v>
      </c>
      <c r="F747" s="10" t="str">
        <f>IFERROR(VLOOKUP(VENTAS[[#This Row],[Código del producto Vendido]],STOCK[],5,FALSE),"-")</f>
        <v>Set de lencería de encaje</v>
      </c>
      <c r="G747" s="10">
        <v>1</v>
      </c>
      <c r="H747" s="12">
        <v>15</v>
      </c>
      <c r="I747" s="12">
        <f>VENTAS[[#This Row],[Cantidad]]*VENTAS[[#This Row],[Precio Venta]]</f>
        <v>15</v>
      </c>
      <c r="J747" s="12">
        <f>IF(VENTAS[[#This Row],[Nombre del Gestor]]&gt;1,VENTAS[[#This Row],[Total]]*10%,0)</f>
        <v>0</v>
      </c>
      <c r="K747" s="12">
        <f>IFERROR(VLOOKUP(VENTAS[[#This Row],[Código del producto Vendido]],STOCK[],16,FALSE)*VENTAS[[#This Row],[Cantidad]]+VLOOKUP(VENTAS[[#This Row],[Código del producto Vendido]],STOCK[],19,FALSE)*VENTAS[[#This Row],[Cantidad]],VENTAS[[#This Row],[Total]])</f>
        <v>7.1088235294117599</v>
      </c>
      <c r="L747" s="12">
        <f>VENTAS[[#This Row],[Total]]-VENTAS[[#This Row],[Comisión 10%]]-VENTAS[[#This Row],[Costo SIN Comision]]</f>
        <v>7.8911764705882401</v>
      </c>
      <c r="M747" s="12"/>
      <c r="N747" s="16"/>
    </row>
    <row r="748" spans="1:14" ht="20" hidden="1" customHeight="1">
      <c r="A748" s="9">
        <v>45329</v>
      </c>
      <c r="B748" s="10"/>
      <c r="C748" s="10" t="s">
        <v>4341</v>
      </c>
      <c r="D748" s="10"/>
      <c r="E748" s="10" t="s">
        <v>397</v>
      </c>
      <c r="F748" s="10" t="str">
        <f>IFERROR(VLOOKUP(VENTAS[[#This Row],[Código del producto Vendido]],STOCK[],5,FALSE),"-")</f>
        <v>Cinturones Casual</v>
      </c>
      <c r="G748" s="10">
        <v>1</v>
      </c>
      <c r="H748" s="12">
        <v>10</v>
      </c>
      <c r="I748" s="12">
        <f>VENTAS[[#This Row],[Cantidad]]*VENTAS[[#This Row],[Precio Venta]]</f>
        <v>10</v>
      </c>
      <c r="J748" s="12">
        <f>IF(VENTAS[[#This Row],[Nombre del Gestor]]&gt;1,VENTAS[[#This Row],[Total]]*10%,0)</f>
        <v>0</v>
      </c>
      <c r="K748" s="12">
        <f>IFERROR(VLOOKUP(VENTAS[[#This Row],[Código del producto Vendido]],STOCK[],16,FALSE)*VENTAS[[#This Row],[Cantidad]]+VLOOKUP(VENTAS[[#This Row],[Código del producto Vendido]],STOCK[],19,FALSE)*VENTAS[[#This Row],[Cantidad]],VENTAS[[#This Row],[Total]])</f>
        <v>4.3816666666666704</v>
      </c>
      <c r="L748" s="12">
        <f>VENTAS[[#This Row],[Total]]-VENTAS[[#This Row],[Comisión 10%]]-VENTAS[[#This Row],[Costo SIN Comision]]</f>
        <v>5.6183333333333296</v>
      </c>
      <c r="M748" s="12"/>
      <c r="N748" s="16"/>
    </row>
    <row r="749" spans="1:14" ht="20" hidden="1" customHeight="1">
      <c r="A749" s="9">
        <v>45337</v>
      </c>
      <c r="B749" s="10"/>
      <c r="C749" s="10" t="s">
        <v>4342</v>
      </c>
      <c r="D749" s="10"/>
      <c r="E749" s="10" t="s">
        <v>1601</v>
      </c>
      <c r="F749" s="10" t="str">
        <f>IFERROR(VLOOKUP(VENTAS[[#This Row],[Código del producto Vendido]],STOCK[],5,FALSE),"-")</f>
        <v>Cardigan classy</v>
      </c>
      <c r="G749" s="10">
        <v>1</v>
      </c>
      <c r="H749" s="12">
        <v>22</v>
      </c>
      <c r="I749" s="12">
        <f>VENTAS[[#This Row],[Cantidad]]*VENTAS[[#This Row],[Precio Venta]]</f>
        <v>22</v>
      </c>
      <c r="J749" s="12">
        <f>IF(VENTAS[[#This Row],[Nombre del Gestor]]&gt;1,VENTAS[[#This Row],[Total]]*10%,0)</f>
        <v>0</v>
      </c>
      <c r="K749" s="12">
        <f>IFERROR(VLOOKUP(VENTAS[[#This Row],[Código del producto Vendido]],STOCK[],16,FALSE)*VENTAS[[#This Row],[Cantidad]]+VLOOKUP(VENTAS[[#This Row],[Código del producto Vendido]],STOCK[],19,FALSE)*VENTAS[[#This Row],[Cantidad]],VENTAS[[#This Row],[Total]])</f>
        <v>11.8</v>
      </c>
      <c r="L749" s="12">
        <f>VENTAS[[#This Row],[Total]]-VENTAS[[#This Row],[Comisión 10%]]-VENTAS[[#This Row],[Costo SIN Comision]]</f>
        <v>10.199999999999999</v>
      </c>
      <c r="M749" s="12"/>
      <c r="N749" s="16"/>
    </row>
    <row r="750" spans="1:14" ht="20" hidden="1" customHeight="1">
      <c r="A750" s="9">
        <v>45337</v>
      </c>
      <c r="B750" s="10"/>
      <c r="C750" s="10" t="s">
        <v>4342</v>
      </c>
      <c r="D750" s="10"/>
      <c r="E750" s="10" t="s">
        <v>1608</v>
      </c>
      <c r="F750" s="10" t="str">
        <f>IFERROR(VLOOKUP(VENTAS[[#This Row],[Código del producto Vendido]],STOCK[],5,FALSE),"-")</f>
        <v>Vestido camisa modely</v>
      </c>
      <c r="G750" s="10">
        <v>1</v>
      </c>
      <c r="H750" s="12">
        <v>35</v>
      </c>
      <c r="I750" s="12">
        <f>VENTAS[[#This Row],[Cantidad]]*VENTAS[[#This Row],[Precio Venta]]</f>
        <v>35</v>
      </c>
      <c r="J750" s="12">
        <f>IF(VENTAS[[#This Row],[Nombre del Gestor]]&gt;1,VENTAS[[#This Row],[Total]]*10%,0)</f>
        <v>0</v>
      </c>
      <c r="K750" s="12">
        <f>IFERROR(VLOOKUP(VENTAS[[#This Row],[Código del producto Vendido]],STOCK[],16,FALSE)*VENTAS[[#This Row],[Cantidad]]+VLOOKUP(VENTAS[[#This Row],[Código del producto Vendido]],STOCK[],19,FALSE)*VENTAS[[#This Row],[Cantidad]],VENTAS[[#This Row],[Total]])</f>
        <v>14.84</v>
      </c>
      <c r="L750" s="12">
        <f>VENTAS[[#This Row],[Total]]-VENTAS[[#This Row],[Comisión 10%]]-VENTAS[[#This Row],[Costo SIN Comision]]</f>
        <v>20.16</v>
      </c>
      <c r="M750" s="12"/>
      <c r="N750" s="16"/>
    </row>
    <row r="751" spans="1:14" ht="20" hidden="1" customHeight="1">
      <c r="A751" s="9">
        <v>45337</v>
      </c>
      <c r="B751" s="10"/>
      <c r="C751" s="10" t="s">
        <v>4342</v>
      </c>
      <c r="D751" s="10"/>
      <c r="E751" s="10" t="s">
        <v>1790</v>
      </c>
      <c r="F751" s="10" t="str">
        <f>IFERROR(VLOOKUP(VENTAS[[#This Row],[Código del producto Vendido]],STOCK[],5,FALSE),"-")</f>
        <v>Cinturón básico grueso Negro</v>
      </c>
      <c r="G751" s="10">
        <v>1</v>
      </c>
      <c r="H751" s="12">
        <v>8</v>
      </c>
      <c r="I751" s="12">
        <f>VENTAS[[#This Row],[Cantidad]]*VENTAS[[#This Row],[Precio Venta]]</f>
        <v>8</v>
      </c>
      <c r="J751" s="12">
        <f>IF(VENTAS[[#This Row],[Nombre del Gestor]]&gt;1,VENTAS[[#This Row],[Total]]*10%,0)</f>
        <v>0</v>
      </c>
      <c r="K751" s="12">
        <f>IFERROR(VLOOKUP(VENTAS[[#This Row],[Código del producto Vendido]],STOCK[],16,FALSE)*VENTAS[[#This Row],[Cantidad]]+VLOOKUP(VENTAS[[#This Row],[Código del producto Vendido]],STOCK[],19,FALSE)*VENTAS[[#This Row],[Cantidad]],VENTAS[[#This Row],[Total]])</f>
        <v>4.2352941176470598</v>
      </c>
      <c r="L751" s="12">
        <f>VENTAS[[#This Row],[Total]]-VENTAS[[#This Row],[Comisión 10%]]-VENTAS[[#This Row],[Costo SIN Comision]]</f>
        <v>3.7647058823529402</v>
      </c>
      <c r="M751" s="12"/>
      <c r="N751" s="16"/>
    </row>
    <row r="752" spans="1:14" ht="20" hidden="1" customHeight="1">
      <c r="A752" s="9">
        <v>45337</v>
      </c>
      <c r="B752" s="10"/>
      <c r="C752" s="10" t="s">
        <v>4337</v>
      </c>
      <c r="D752" s="10"/>
      <c r="E752" s="10" t="s">
        <v>360</v>
      </c>
      <c r="F752" s="10" t="str">
        <f>IFERROR(VLOOKUP(VENTAS[[#This Row],[Código del producto Vendido]],STOCK[],5,FALSE),"-")</f>
        <v xml:space="preserve">Pantalón tejido de rayas </v>
      </c>
      <c r="G752" s="10">
        <v>1</v>
      </c>
      <c r="H752" s="12">
        <v>20</v>
      </c>
      <c r="I752" s="12">
        <f>VENTAS[[#This Row],[Cantidad]]*VENTAS[[#This Row],[Precio Venta]]</f>
        <v>20</v>
      </c>
      <c r="J752" s="12">
        <f>IF(VENTAS[[#This Row],[Nombre del Gestor]]&gt;1,VENTAS[[#This Row],[Total]]*10%,0)</f>
        <v>0</v>
      </c>
      <c r="K752" s="12">
        <f>IFERROR(VLOOKUP(VENTAS[[#This Row],[Código del producto Vendido]],STOCK[],16,FALSE)*VENTAS[[#This Row],[Cantidad]]+VLOOKUP(VENTAS[[#This Row],[Código del producto Vendido]],STOCK[],19,FALSE)*VENTAS[[#This Row],[Cantidad]],VENTAS[[#This Row],[Total]])</f>
        <v>12.883333333333301</v>
      </c>
      <c r="L752" s="12">
        <f>VENTAS[[#This Row],[Total]]-VENTAS[[#This Row],[Comisión 10%]]-VENTAS[[#This Row],[Costo SIN Comision]]</f>
        <v>7.1166666666666991</v>
      </c>
      <c r="M752" s="12"/>
      <c r="N752" s="16"/>
    </row>
    <row r="753" spans="1:14" ht="20" hidden="1" customHeight="1">
      <c r="A753" s="9">
        <v>45337</v>
      </c>
      <c r="B753" s="10"/>
      <c r="C753" s="10" t="s">
        <v>4327</v>
      </c>
      <c r="D753" s="10"/>
      <c r="E753" s="10" t="s">
        <v>1485</v>
      </c>
      <c r="F753" s="10" t="str">
        <f>IFERROR(VLOOKUP(VENTAS[[#This Row],[Código del producto Vendido]],STOCK[],5,FALSE),"-")</f>
        <v>Sandalias de tacón fino</v>
      </c>
      <c r="G753" s="10">
        <v>1</v>
      </c>
      <c r="H753" s="12">
        <v>35</v>
      </c>
      <c r="I753" s="12">
        <f>VENTAS[[#This Row],[Cantidad]]*VENTAS[[#This Row],[Precio Venta]]</f>
        <v>35</v>
      </c>
      <c r="J753" s="12">
        <f>IF(VENTAS[[#This Row],[Nombre del Gestor]]&gt;1,VENTAS[[#This Row],[Total]]*10%,0)</f>
        <v>0</v>
      </c>
      <c r="K753" s="12">
        <f>IFERROR(VLOOKUP(VENTAS[[#This Row],[Código del producto Vendido]],STOCK[],16,FALSE)*VENTAS[[#This Row],[Cantidad]]+VLOOKUP(VENTAS[[#This Row],[Código del producto Vendido]],STOCK[],19,FALSE)*VENTAS[[#This Row],[Cantidad]],VENTAS[[#This Row],[Total]])</f>
        <v>23.5</v>
      </c>
      <c r="L753" s="12">
        <f>VENTAS[[#This Row],[Total]]-VENTAS[[#This Row],[Comisión 10%]]-VENTAS[[#This Row],[Costo SIN Comision]]</f>
        <v>11.5</v>
      </c>
      <c r="M753" s="12"/>
      <c r="N753" s="16"/>
    </row>
    <row r="754" spans="1:14" ht="20" hidden="1" customHeight="1">
      <c r="A754" s="9">
        <v>45337</v>
      </c>
      <c r="B754" s="10"/>
      <c r="C754" s="10"/>
      <c r="D754" s="10"/>
      <c r="E754" s="10" t="s">
        <v>1799</v>
      </c>
      <c r="F754" s="10" t="str">
        <f>IFERROR(VLOOKUP(VENTAS[[#This Row],[Código del producto Vendido]],STOCK[],5,FALSE),"-")</f>
        <v>Horquillas en forma de lazo</v>
      </c>
      <c r="G754" s="10">
        <v>1</v>
      </c>
      <c r="H754" s="12">
        <v>2.5</v>
      </c>
      <c r="I754" s="12">
        <f>VENTAS[[#This Row],[Cantidad]]*VENTAS[[#This Row],[Precio Venta]]</f>
        <v>2.5</v>
      </c>
      <c r="J754" s="12">
        <f>IF(VENTAS[[#This Row],[Nombre del Gestor]]&gt;1,VENTAS[[#This Row],[Total]]*10%,0)</f>
        <v>0</v>
      </c>
      <c r="K754" s="12">
        <f>IFERROR(VLOOKUP(VENTAS[[#This Row],[Código del producto Vendido]],STOCK[],16,FALSE)*VENTAS[[#This Row],[Cantidad]]+VLOOKUP(VENTAS[[#This Row],[Código del producto Vendido]],STOCK[],19,FALSE)*VENTAS[[#This Row],[Cantidad]],VENTAS[[#This Row],[Total]])</f>
        <v>1.391176470588235</v>
      </c>
      <c r="L754" s="12">
        <f>VENTAS[[#This Row],[Total]]-VENTAS[[#This Row],[Comisión 10%]]-VENTAS[[#This Row],[Costo SIN Comision]]</f>
        <v>1.108823529411765</v>
      </c>
      <c r="M754" s="12"/>
      <c r="N754" s="16"/>
    </row>
    <row r="755" spans="1:14" ht="20" hidden="1" customHeight="1">
      <c r="A755" s="9">
        <v>45343</v>
      </c>
      <c r="B755" s="10"/>
      <c r="C755" s="10" t="s">
        <v>4343</v>
      </c>
      <c r="D755" s="10"/>
      <c r="E755" s="10" t="s">
        <v>1726</v>
      </c>
      <c r="F755" s="10" t="str">
        <f>IFERROR(VLOOKUP(VENTAS[[#This Row],[Código del producto Vendido]],STOCK[],5,FALSE),"-")</f>
        <v>Vestido negro corte A</v>
      </c>
      <c r="G755" s="10">
        <v>1</v>
      </c>
      <c r="H755" s="12">
        <v>20</v>
      </c>
      <c r="I755" s="12">
        <f>VENTAS[[#This Row],[Cantidad]]*VENTAS[[#This Row],[Precio Venta]]</f>
        <v>20</v>
      </c>
      <c r="J755" s="12">
        <f>IF(VENTAS[[#This Row],[Nombre del Gestor]]&gt;1,VENTAS[[#This Row],[Total]]*10%,0)</f>
        <v>0</v>
      </c>
      <c r="K755" s="12">
        <f>IFERROR(VLOOKUP(VENTAS[[#This Row],[Código del producto Vendido]],STOCK[],16,FALSE)*VENTAS[[#This Row],[Cantidad]]+VLOOKUP(VENTAS[[#This Row],[Código del producto Vendido]],STOCK[],19,FALSE)*VENTAS[[#This Row],[Cantidad]],VENTAS[[#This Row],[Total]])</f>
        <v>11</v>
      </c>
      <c r="L755" s="12">
        <f>VENTAS[[#This Row],[Total]]-VENTAS[[#This Row],[Comisión 10%]]-VENTAS[[#This Row],[Costo SIN Comision]]</f>
        <v>9</v>
      </c>
      <c r="M755" s="12"/>
      <c r="N755" s="16"/>
    </row>
    <row r="756" spans="1:14" ht="20" hidden="1" customHeight="1">
      <c r="A756" s="9">
        <v>45324</v>
      </c>
      <c r="B756" s="10"/>
      <c r="C756" s="10"/>
      <c r="D756" s="10"/>
      <c r="E756" s="10"/>
      <c r="F756" s="10" t="str">
        <f>IFERROR(VLOOKUP(VENTAS[[#This Row],[Código del producto Vendido]],STOCK[],5,FALSE),"-")</f>
        <v>-</v>
      </c>
      <c r="G756" s="10">
        <v>1</v>
      </c>
      <c r="H756" s="12">
        <v>28</v>
      </c>
      <c r="I756" s="12">
        <f>VENTAS[[#This Row],[Cantidad]]*VENTAS[[#This Row],[Precio Venta]]</f>
        <v>28</v>
      </c>
      <c r="J756" s="12">
        <f>IF(VENTAS[[#This Row],[Nombre del Gestor]]&gt;1,VENTAS[[#This Row],[Total]]*10%,0)</f>
        <v>0</v>
      </c>
      <c r="K756" s="12">
        <f>IFERROR(VLOOKUP(VENTAS[[#This Row],[Código del producto Vendido]],STOCK[],16,FALSE)*VENTAS[[#This Row],[Cantidad]]+VLOOKUP(VENTAS[[#This Row],[Código del producto Vendido]],STOCK[],19,FALSE)*VENTAS[[#This Row],[Cantidad]],VENTAS[[#This Row],[Total]])</f>
        <v>28</v>
      </c>
      <c r="L756" s="12">
        <f>VENTAS[[#This Row],[Total]]-VENTAS[[#This Row],[Comisión 10%]]-VENTAS[[#This Row],[Costo SIN Comision]]</f>
        <v>0</v>
      </c>
      <c r="M756" s="12"/>
      <c r="N756" s="16"/>
    </row>
    <row r="757" spans="1:14" ht="20" hidden="1" customHeight="1">
      <c r="A757" s="9">
        <v>45324</v>
      </c>
      <c r="B757" s="10"/>
      <c r="C757" s="10"/>
      <c r="D757" s="10"/>
      <c r="E757" s="10" t="s">
        <v>1674</v>
      </c>
      <c r="F757" s="10" t="str">
        <f>IFERROR(VLOOKUP(VENTAS[[#This Row],[Código del producto Vendido]],STOCK[],5,FALSE),"-")</f>
        <v>Conjunto Albaricoque</v>
      </c>
      <c r="G757" s="10">
        <v>1</v>
      </c>
      <c r="H757" s="12">
        <v>28</v>
      </c>
      <c r="I757" s="12">
        <f>VENTAS[[#This Row],[Cantidad]]*VENTAS[[#This Row],[Precio Venta]]</f>
        <v>28</v>
      </c>
      <c r="J757" s="12">
        <f>IF(VENTAS[[#This Row],[Nombre del Gestor]]&gt;1,VENTAS[[#This Row],[Total]]*10%,0)</f>
        <v>0</v>
      </c>
      <c r="K757" s="12">
        <f>IFERROR(VLOOKUP(VENTAS[[#This Row],[Código del producto Vendido]],STOCK[],16,FALSE)*VENTAS[[#This Row],[Cantidad]]+VLOOKUP(VENTAS[[#This Row],[Código del producto Vendido]],STOCK[],19,FALSE)*VENTAS[[#This Row],[Cantidad]],VENTAS[[#This Row],[Total]])</f>
        <v>13.97</v>
      </c>
      <c r="L757" s="12">
        <f>VENTAS[[#This Row],[Total]]-VENTAS[[#This Row],[Comisión 10%]]-VENTAS[[#This Row],[Costo SIN Comision]]</f>
        <v>14.03</v>
      </c>
      <c r="M757" s="12"/>
      <c r="N757" s="16"/>
    </row>
    <row r="758" spans="1:14" ht="20" hidden="1" customHeight="1">
      <c r="A758" s="9">
        <v>45324</v>
      </c>
      <c r="B758" s="10"/>
      <c r="C758" s="10"/>
      <c r="D758" s="10"/>
      <c r="E758" s="10" t="s">
        <v>1614</v>
      </c>
      <c r="F758" s="10" t="str">
        <f>IFERROR(VLOOKUP(VENTAS[[#This Row],[Código del producto Vendido]],STOCK[],5,FALSE),"-")</f>
        <v>Camisa Modely</v>
      </c>
      <c r="G758" s="10">
        <v>1</v>
      </c>
      <c r="H758" s="12">
        <v>22</v>
      </c>
      <c r="I758" s="12">
        <f>VENTAS[[#This Row],[Cantidad]]*VENTAS[[#This Row],[Precio Venta]]</f>
        <v>22</v>
      </c>
      <c r="J758" s="12">
        <f>IF(VENTAS[[#This Row],[Nombre del Gestor]]&gt;1,VENTAS[[#This Row],[Total]]*10%,0)</f>
        <v>0</v>
      </c>
      <c r="K758" s="12">
        <f>IFERROR(VLOOKUP(VENTAS[[#This Row],[Código del producto Vendido]],STOCK[],16,FALSE)*VENTAS[[#This Row],[Cantidad]]+VLOOKUP(VENTAS[[#This Row],[Código del producto Vendido]],STOCK[],19,FALSE)*VENTAS[[#This Row],[Cantidad]],VENTAS[[#This Row],[Total]])</f>
        <v>9.74</v>
      </c>
      <c r="L758" s="12">
        <f>VENTAS[[#This Row],[Total]]-VENTAS[[#This Row],[Comisión 10%]]-VENTAS[[#This Row],[Costo SIN Comision]]</f>
        <v>12.26</v>
      </c>
      <c r="M758" s="12"/>
      <c r="N758" s="16"/>
    </row>
    <row r="759" spans="1:14" ht="20" hidden="1" customHeight="1">
      <c r="A759" s="9">
        <v>45347</v>
      </c>
      <c r="B759" s="10"/>
      <c r="C759" s="10"/>
      <c r="D759" s="10"/>
      <c r="E759" s="10" t="s">
        <v>1601</v>
      </c>
      <c r="F759" s="10" t="str">
        <f>IFERROR(VLOOKUP(VENTAS[[#This Row],[Código del producto Vendido]],STOCK[],5,FALSE),"-")</f>
        <v>Cardigan classy</v>
      </c>
      <c r="G759" s="10">
        <v>1</v>
      </c>
      <c r="H759" s="12">
        <v>22</v>
      </c>
      <c r="I759" s="12">
        <f>VENTAS[[#This Row],[Cantidad]]*VENTAS[[#This Row],[Precio Venta]]</f>
        <v>22</v>
      </c>
      <c r="J759" s="12">
        <f>IF(VENTAS[[#This Row],[Nombre del Gestor]]&gt;1,VENTAS[[#This Row],[Total]]*10%,0)</f>
        <v>0</v>
      </c>
      <c r="K759" s="12">
        <f>IFERROR(VLOOKUP(VENTAS[[#This Row],[Código del producto Vendido]],STOCK[],16,FALSE)*VENTAS[[#This Row],[Cantidad]]+VLOOKUP(VENTAS[[#This Row],[Código del producto Vendido]],STOCK[],19,FALSE)*VENTAS[[#This Row],[Cantidad]],VENTAS[[#This Row],[Total]])</f>
        <v>11.8</v>
      </c>
      <c r="L759" s="12">
        <f>VENTAS[[#This Row],[Total]]-VENTAS[[#This Row],[Comisión 10%]]-VENTAS[[#This Row],[Costo SIN Comision]]</f>
        <v>10.199999999999999</v>
      </c>
      <c r="M759" s="12"/>
      <c r="N759" s="16"/>
    </row>
    <row r="760" spans="1:14" ht="20" hidden="1" customHeight="1">
      <c r="A760" s="9">
        <v>45339</v>
      </c>
      <c r="B760" s="10"/>
      <c r="C760" s="10"/>
      <c r="D760" s="10"/>
      <c r="E760" s="10" t="s">
        <v>1747</v>
      </c>
      <c r="F760" s="10" t="str">
        <f>IFERROR(VLOOKUP(VENTAS[[#This Row],[Código del producto Vendido]],STOCK[],5,FALSE),"-")</f>
        <v>Kimono Dazy Elegante</v>
      </c>
      <c r="G760" s="10">
        <v>1</v>
      </c>
      <c r="H760" s="12">
        <v>22</v>
      </c>
      <c r="I760" s="12">
        <f>VENTAS[[#This Row],[Cantidad]]*VENTAS[[#This Row],[Precio Venta]]</f>
        <v>22</v>
      </c>
      <c r="J760" s="12">
        <f>IF(VENTAS[[#This Row],[Nombre del Gestor]]&gt;1,VENTAS[[#This Row],[Total]]*10%,0)</f>
        <v>0</v>
      </c>
      <c r="K760" s="12">
        <f>IFERROR(VLOOKUP(VENTAS[[#This Row],[Código del producto Vendido]],STOCK[],16,FALSE)*VENTAS[[#This Row],[Cantidad]]+VLOOKUP(VENTAS[[#This Row],[Código del producto Vendido]],STOCK[],19,FALSE)*VENTAS[[#This Row],[Cantidad]],VENTAS[[#This Row],[Total]])</f>
        <v>13.352941176470591</v>
      </c>
      <c r="L760" s="12">
        <f>VENTAS[[#This Row],[Total]]-VENTAS[[#This Row],[Comisión 10%]]-VENTAS[[#This Row],[Costo SIN Comision]]</f>
        <v>8.6470588235294095</v>
      </c>
      <c r="M760" s="12"/>
      <c r="N760" s="16"/>
    </row>
    <row r="761" spans="1:14" ht="20" hidden="1" customHeight="1">
      <c r="A761" s="9">
        <v>45326</v>
      </c>
      <c r="B761" s="10"/>
      <c r="C761" s="10" t="s">
        <v>4193</v>
      </c>
      <c r="D761" s="10" t="s">
        <v>4302</v>
      </c>
      <c r="E761" s="10" t="s">
        <v>770</v>
      </c>
      <c r="F761" s="10" t="str">
        <f>IFERROR(VLOOKUP(VENTAS[[#This Row],[Código del producto Vendido]],STOCK[],5,FALSE),"-")</f>
        <v xml:space="preserve">Sandalias atadas </v>
      </c>
      <c r="G761" s="10">
        <v>1</v>
      </c>
      <c r="H761" s="12">
        <v>39</v>
      </c>
      <c r="I761" s="12">
        <f>VENTAS[[#This Row],[Cantidad]]*VENTAS[[#This Row],[Precio Venta]]</f>
        <v>39</v>
      </c>
      <c r="J761" s="12">
        <f>IF(VENTAS[[#This Row],[Nombre del Gestor]]&gt;1,VENTAS[[#This Row],[Total]]*10%,0)</f>
        <v>3.9000000000000004</v>
      </c>
      <c r="K761" s="12">
        <f>IFERROR(VLOOKUP(VENTAS[[#This Row],[Código del producto Vendido]],STOCK[],16,FALSE)*VENTAS[[#This Row],[Cantidad]]+VLOOKUP(VENTAS[[#This Row],[Código del producto Vendido]],STOCK[],19,FALSE)*VENTAS[[#This Row],[Cantidad]],VENTAS[[#This Row],[Total]])</f>
        <v>29.5</v>
      </c>
      <c r="L761" s="12">
        <f>VENTAS[[#This Row],[Total]]-VENTAS[[#This Row],[Comisión 10%]]-VENTAS[[#This Row],[Costo SIN Comision]]</f>
        <v>5.6000000000000014</v>
      </c>
      <c r="M761" s="12"/>
      <c r="N761" s="16"/>
    </row>
    <row r="762" spans="1:14" ht="20" hidden="1" customHeight="1">
      <c r="A762" s="9">
        <v>45350</v>
      </c>
      <c r="B762" s="10"/>
      <c r="C762" s="10" t="s">
        <v>4309</v>
      </c>
      <c r="D762" s="10" t="s">
        <v>4302</v>
      </c>
      <c r="E762" s="10" t="s">
        <v>1529</v>
      </c>
      <c r="F762" s="10" t="str">
        <f>IFERROR(VLOOKUP(VENTAS[[#This Row],[Código del producto Vendido]],STOCK[],5,FALSE),"-")</f>
        <v>Sandalias de tacón fino</v>
      </c>
      <c r="G762" s="10">
        <v>1</v>
      </c>
      <c r="H762" s="12">
        <v>35</v>
      </c>
      <c r="I762" s="12">
        <f>VENTAS[[#This Row],[Cantidad]]*VENTAS[[#This Row],[Precio Venta]]</f>
        <v>35</v>
      </c>
      <c r="J762" s="12">
        <f>IF(VENTAS[[#This Row],[Nombre del Gestor]]&gt;1,VENTAS[[#This Row],[Total]]*10%,0)</f>
        <v>3.5</v>
      </c>
      <c r="K762" s="12">
        <f>IFERROR(VLOOKUP(VENTAS[[#This Row],[Código del producto Vendido]],STOCK[],16,FALSE)*VENTAS[[#This Row],[Cantidad]]+VLOOKUP(VENTAS[[#This Row],[Código del producto Vendido]],STOCK[],19,FALSE)*VENTAS[[#This Row],[Cantidad]],VENTAS[[#This Row],[Total]])</f>
        <v>20</v>
      </c>
      <c r="L762" s="12">
        <f>VENTAS[[#This Row],[Total]]-VENTAS[[#This Row],[Comisión 10%]]-VENTAS[[#This Row],[Costo SIN Comision]]</f>
        <v>11.5</v>
      </c>
      <c r="M762" s="12"/>
      <c r="N762" s="16"/>
    </row>
    <row r="763" spans="1:14" ht="20" hidden="1" customHeight="1">
      <c r="A763" s="9">
        <v>45346</v>
      </c>
      <c r="B763" s="10"/>
      <c r="C763" s="10" t="s">
        <v>4340</v>
      </c>
      <c r="D763" s="10"/>
      <c r="E763" s="10" t="s">
        <v>151</v>
      </c>
      <c r="F763" s="10" t="str">
        <f>IFERROR(VLOOKUP(VENTAS[[#This Row],[Código del producto Vendido]],STOCK[],5,FALSE),"-")</f>
        <v>Jean Boyfriend con rotos</v>
      </c>
      <c r="G763" s="10">
        <v>1</v>
      </c>
      <c r="H763" s="12">
        <v>30</v>
      </c>
      <c r="I763" s="12">
        <f>VENTAS[[#This Row],[Cantidad]]*VENTAS[[#This Row],[Precio Venta]]</f>
        <v>30</v>
      </c>
      <c r="J763" s="12">
        <f>IF(VENTAS[[#This Row],[Nombre del Gestor]]&gt;1,VENTAS[[#This Row],[Total]]*10%,0)</f>
        <v>0</v>
      </c>
      <c r="K763" s="12">
        <f>IFERROR(VLOOKUP(VENTAS[[#This Row],[Código del producto Vendido]],STOCK[],16,FALSE)*VENTAS[[#This Row],[Cantidad]]+VLOOKUP(VENTAS[[#This Row],[Código del producto Vendido]],STOCK[],19,FALSE)*VENTAS[[#This Row],[Cantidad]],VENTAS[[#This Row],[Total]])</f>
        <v>18.686666666666667</v>
      </c>
      <c r="L763" s="12">
        <f>VENTAS[[#This Row],[Total]]-VENTAS[[#This Row],[Comisión 10%]]-VENTAS[[#This Row],[Costo SIN Comision]]</f>
        <v>11.313333333333333</v>
      </c>
      <c r="M763" s="12"/>
      <c r="N763" s="16"/>
    </row>
    <row r="764" spans="1:14" ht="20" hidden="1" customHeight="1">
      <c r="A764" s="9">
        <v>45346</v>
      </c>
      <c r="B764" s="10"/>
      <c r="C764" s="10" t="s">
        <v>4340</v>
      </c>
      <c r="D764" s="10"/>
      <c r="E764" s="10" t="s">
        <v>1616</v>
      </c>
      <c r="F764" s="10" t="str">
        <f>IFERROR(VLOOKUP(VENTAS[[#This Row],[Código del producto Vendido]],STOCK[],5,FALSE),"-")</f>
        <v>Camisa Modely</v>
      </c>
      <c r="G764" s="10">
        <v>1</v>
      </c>
      <c r="H764" s="12">
        <v>22</v>
      </c>
      <c r="I764" s="12">
        <f>VENTAS[[#This Row],[Cantidad]]*VENTAS[[#This Row],[Precio Venta]]</f>
        <v>22</v>
      </c>
      <c r="J764" s="12">
        <f>IF(VENTAS[[#This Row],[Nombre del Gestor]]&gt;1,VENTAS[[#This Row],[Total]]*10%,0)</f>
        <v>0</v>
      </c>
      <c r="K764" s="12">
        <f>IFERROR(VLOOKUP(VENTAS[[#This Row],[Código del producto Vendido]],STOCK[],16,FALSE)*VENTAS[[#This Row],[Cantidad]]+VLOOKUP(VENTAS[[#This Row],[Código del producto Vendido]],STOCK[],19,FALSE)*VENTAS[[#This Row],[Cantidad]],VENTAS[[#This Row],[Total]])</f>
        <v>9.74</v>
      </c>
      <c r="L764" s="12">
        <f>VENTAS[[#This Row],[Total]]-VENTAS[[#This Row],[Comisión 10%]]-VENTAS[[#This Row],[Costo SIN Comision]]</f>
        <v>12.26</v>
      </c>
      <c r="M764" s="12"/>
      <c r="N764" s="16"/>
    </row>
    <row r="765" spans="1:14" ht="20" hidden="1" customHeight="1">
      <c r="A765" s="9">
        <v>45346</v>
      </c>
      <c r="B765" s="10"/>
      <c r="C765" s="10"/>
      <c r="D765" s="10"/>
      <c r="E765" s="10" t="s">
        <v>1303</v>
      </c>
      <c r="F765" s="10" t="str">
        <f>IFERROR(VLOOKUP(VENTAS[[#This Row],[Código del producto Vendido]],STOCK[],5,FALSE),"-")</f>
        <v>Jean ajustado Claro</v>
      </c>
      <c r="G765" s="10">
        <v>1</v>
      </c>
      <c r="H765" s="12">
        <v>32</v>
      </c>
      <c r="I765" s="12">
        <f>VENTAS[[#This Row],[Cantidad]]*VENTAS[[#This Row],[Precio Venta]]</f>
        <v>32</v>
      </c>
      <c r="J765" s="12">
        <f>IF(VENTAS[[#This Row],[Nombre del Gestor]]&gt;1,VENTAS[[#This Row],[Total]]*10%,0)</f>
        <v>0</v>
      </c>
      <c r="K765" s="12">
        <f>IFERROR(VLOOKUP(VENTAS[[#This Row],[Código del producto Vendido]],STOCK[],16,FALSE)*VENTAS[[#This Row],[Cantidad]]+VLOOKUP(VENTAS[[#This Row],[Código del producto Vendido]],STOCK[],19,FALSE)*VENTAS[[#This Row],[Cantidad]],VENTAS[[#This Row],[Total]])</f>
        <v>23.79</v>
      </c>
      <c r="L765" s="12">
        <f>VENTAS[[#This Row],[Total]]-VENTAS[[#This Row],[Comisión 10%]]-VENTAS[[#This Row],[Costo SIN Comision]]</f>
        <v>8.2100000000000009</v>
      </c>
      <c r="M765" s="12"/>
      <c r="N765" s="16"/>
    </row>
    <row r="766" spans="1:14" ht="20" hidden="1" customHeight="1">
      <c r="A766" s="9">
        <v>45346</v>
      </c>
      <c r="B766" s="10"/>
      <c r="C766" s="10"/>
      <c r="D766" s="10" t="s">
        <v>4237</v>
      </c>
      <c r="E766" s="10" t="s">
        <v>938</v>
      </c>
      <c r="F766" s="10" t="str">
        <f>IFERROR(VLOOKUP(VENTAS[[#This Row],[Código del producto Vendido]],STOCK[],5,FALSE),"-")</f>
        <v>Vestido tropical</v>
      </c>
      <c r="G766" s="10">
        <v>1</v>
      </c>
      <c r="H766" s="12">
        <v>30</v>
      </c>
      <c r="I766" s="12">
        <f>VENTAS[[#This Row],[Cantidad]]*VENTAS[[#This Row],[Precio Venta]]</f>
        <v>30</v>
      </c>
      <c r="J766" s="12">
        <f>IF(VENTAS[[#This Row],[Nombre del Gestor]]&gt;1,VENTAS[[#This Row],[Total]]*10%,0)</f>
        <v>3</v>
      </c>
      <c r="K766" s="12">
        <f>IFERROR(VLOOKUP(VENTAS[[#This Row],[Código del producto Vendido]],STOCK[],16,FALSE)*VENTAS[[#This Row],[Cantidad]]+VLOOKUP(VENTAS[[#This Row],[Código del producto Vendido]],STOCK[],19,FALSE)*VENTAS[[#This Row],[Cantidad]],VENTAS[[#This Row],[Total]])</f>
        <v>19.0186363636364</v>
      </c>
      <c r="L766" s="12">
        <f>VENTAS[[#This Row],[Total]]-VENTAS[[#This Row],[Comisión 10%]]-VENTAS[[#This Row],[Costo SIN Comision]]</f>
        <v>7.9813636363636</v>
      </c>
      <c r="M766" s="12"/>
      <c r="N766" s="16"/>
    </row>
    <row r="767" spans="1:14" ht="20" hidden="1" customHeight="1">
      <c r="A767" s="9">
        <v>45346</v>
      </c>
      <c r="B767" s="10"/>
      <c r="C767" s="10" t="s">
        <v>4344</v>
      </c>
      <c r="D767" s="10"/>
      <c r="E767" s="10" t="s">
        <v>1196</v>
      </c>
      <c r="F767" s="10" t="str">
        <f>IFERROR(VLOOKUP(VENTAS[[#This Row],[Código del producto Vendido]],STOCK[],5,FALSE),"-")</f>
        <v>Conjunto de top y falda cruzada</v>
      </c>
      <c r="G767" s="10">
        <v>1</v>
      </c>
      <c r="H767" s="12">
        <v>0</v>
      </c>
      <c r="I767" s="12">
        <f>VENTAS[[#This Row],[Cantidad]]*VENTAS[[#This Row],[Precio Venta]]</f>
        <v>0</v>
      </c>
      <c r="J767" s="12">
        <f>IF(VENTAS[[#This Row],[Nombre del Gestor]]&gt;1,VENTAS[[#This Row],[Total]]*10%,0)</f>
        <v>0</v>
      </c>
      <c r="K767" s="12">
        <f>IFERROR(VLOOKUP(VENTAS[[#This Row],[Código del producto Vendido]],STOCK[],16,FALSE)*VENTAS[[#This Row],[Cantidad]]+VLOOKUP(VENTAS[[#This Row],[Código del producto Vendido]],STOCK[],19,FALSE)*VENTAS[[#This Row],[Cantidad]],VENTAS[[#This Row],[Total]])</f>
        <v>27.82</v>
      </c>
      <c r="L767" s="12">
        <f>VENTAS[[#This Row],[Total]]-VENTAS[[#This Row],[Comisión 10%]]-VENTAS[[#This Row],[Costo SIN Comision]]</f>
        <v>-27.82</v>
      </c>
      <c r="M767" s="12"/>
      <c r="N767" s="16"/>
    </row>
    <row r="768" spans="1:14" ht="20" hidden="1" customHeight="1">
      <c r="A768" s="9">
        <v>45346</v>
      </c>
      <c r="B768" s="10"/>
      <c r="C768" s="10" t="s">
        <v>4345</v>
      </c>
      <c r="D768" s="10"/>
      <c r="E768" s="10"/>
      <c r="F768" s="10" t="str">
        <f>IFERROR(VLOOKUP(VENTAS[[#This Row],[Código del producto Vendido]],STOCK[],5,FALSE),"-")</f>
        <v>-</v>
      </c>
      <c r="G768" s="10">
        <v>10</v>
      </c>
      <c r="H768" s="12">
        <v>1.8</v>
      </c>
      <c r="I768" s="12">
        <f>VENTAS[[#This Row],[Cantidad]]*VENTAS[[#This Row],[Precio Venta]]</f>
        <v>18</v>
      </c>
      <c r="J768" s="12">
        <f>IF(VENTAS[[#This Row],[Nombre del Gestor]]&gt;1,VENTAS[[#This Row],[Total]]*10%,0)</f>
        <v>0</v>
      </c>
      <c r="K768" s="12">
        <f>IFERROR(VLOOKUP(VENTAS[[#This Row],[Código del producto Vendido]],STOCK[],16,FALSE)*VENTAS[[#This Row],[Cantidad]]+VLOOKUP(VENTAS[[#This Row],[Código del producto Vendido]],STOCK[],19,FALSE)*VENTAS[[#This Row],[Cantidad]],VENTAS[[#This Row],[Total]])</f>
        <v>18</v>
      </c>
      <c r="L768" s="12">
        <f>VENTAS[[#This Row],[Total]]-VENTAS[[#This Row],[Comisión 10%]]-VENTAS[[#This Row],[Costo SIN Comision]]</f>
        <v>0</v>
      </c>
      <c r="M768" s="12"/>
      <c r="N768" s="16"/>
    </row>
    <row r="769" spans="1:14" ht="20" hidden="1" customHeight="1">
      <c r="A769" s="9">
        <v>45346</v>
      </c>
      <c r="B769" s="10"/>
      <c r="C769" s="10" t="s">
        <v>4337</v>
      </c>
      <c r="D769" s="10"/>
      <c r="E769" s="10" t="s">
        <v>226</v>
      </c>
      <c r="F769" s="10" t="str">
        <f>IFERROR(VLOOKUP(VENTAS[[#This Row],[Código del producto Vendido]],STOCK[],5,FALSE),"-")</f>
        <v xml:space="preserve"> Pantalón ancho con cinturón</v>
      </c>
      <c r="G769" s="10">
        <v>1</v>
      </c>
      <c r="H769" s="12">
        <v>23</v>
      </c>
      <c r="I769" s="12">
        <f>VENTAS[[#This Row],[Cantidad]]*VENTAS[[#This Row],[Precio Venta]]</f>
        <v>23</v>
      </c>
      <c r="J769" s="12">
        <f>IF(VENTAS[[#This Row],[Nombre del Gestor]]&gt;1,VENTAS[[#This Row],[Total]]*10%,0)</f>
        <v>0</v>
      </c>
      <c r="K769" s="12">
        <f>IFERROR(VLOOKUP(VENTAS[[#This Row],[Código del producto Vendido]],STOCK[],16,FALSE)*VENTAS[[#This Row],[Cantidad]]+VLOOKUP(VENTAS[[#This Row],[Código del producto Vendido]],STOCK[],19,FALSE)*VENTAS[[#This Row],[Cantidad]],VENTAS[[#This Row],[Total]])</f>
        <v>13.9444444444444</v>
      </c>
      <c r="L769" s="12">
        <f>VENTAS[[#This Row],[Total]]-VENTAS[[#This Row],[Comisión 10%]]-VENTAS[[#This Row],[Costo SIN Comision]]</f>
        <v>9.0555555555555998</v>
      </c>
      <c r="M769" s="12"/>
      <c r="N769" s="16"/>
    </row>
    <row r="770" spans="1:14" ht="20" hidden="1" customHeight="1">
      <c r="A770" s="9">
        <v>45346</v>
      </c>
      <c r="B770" s="10"/>
      <c r="C770" s="10" t="s">
        <v>4346</v>
      </c>
      <c r="D770" s="10"/>
      <c r="E770" s="10" t="s">
        <v>291</v>
      </c>
      <c r="F770" s="10" t="str">
        <f>IFERROR(VLOOKUP(VENTAS[[#This Row],[Código del producto Vendido]],STOCK[],5,FALSE),"-")</f>
        <v xml:space="preserve"> Conjunto elegante acanalado </v>
      </c>
      <c r="G770" s="10">
        <v>1</v>
      </c>
      <c r="H770" s="12">
        <v>30</v>
      </c>
      <c r="I770" s="12">
        <f>VENTAS[[#This Row],[Cantidad]]*VENTAS[[#This Row],[Precio Venta]]</f>
        <v>30</v>
      </c>
      <c r="J770" s="12">
        <f>IF(VENTAS[[#This Row],[Nombre del Gestor]]&gt;1,VENTAS[[#This Row],[Total]]*10%,0)</f>
        <v>0</v>
      </c>
      <c r="K770" s="12">
        <f>IFERROR(VLOOKUP(VENTAS[[#This Row],[Código del producto Vendido]],STOCK[],16,FALSE)*VENTAS[[#This Row],[Cantidad]]+VLOOKUP(VENTAS[[#This Row],[Código del producto Vendido]],STOCK[],19,FALSE)*VENTAS[[#This Row],[Cantidad]],VENTAS[[#This Row],[Total]])</f>
        <v>14.793333333333301</v>
      </c>
      <c r="L770" s="12">
        <f>VENTAS[[#This Row],[Total]]-VENTAS[[#This Row],[Comisión 10%]]-VENTAS[[#This Row],[Costo SIN Comision]]</f>
        <v>15.206666666666699</v>
      </c>
      <c r="M770" s="12"/>
      <c r="N770" s="16"/>
    </row>
    <row r="771" spans="1:14" ht="20" hidden="1" customHeight="1">
      <c r="A771" s="9">
        <v>45346</v>
      </c>
      <c r="B771" s="10"/>
      <c r="C771" s="10" t="s">
        <v>4347</v>
      </c>
      <c r="D771" s="10"/>
      <c r="E771" s="10" t="s">
        <v>640</v>
      </c>
      <c r="F771" s="10" t="str">
        <f>IFERROR(VLOOKUP(VENTAS[[#This Row],[Código del producto Vendido]],STOCK[],5,FALSE),"-")</f>
        <v>Vestido con estampado floral</v>
      </c>
      <c r="G771" s="10">
        <v>1</v>
      </c>
      <c r="H771" s="12">
        <v>0</v>
      </c>
      <c r="I771" s="12">
        <f>VENTAS[[#This Row],[Cantidad]]*VENTAS[[#This Row],[Precio Venta]]</f>
        <v>0</v>
      </c>
      <c r="J771" s="12">
        <f>IF(VENTAS[[#This Row],[Nombre del Gestor]]&gt;1,VENTAS[[#This Row],[Total]]*10%,0)</f>
        <v>0</v>
      </c>
      <c r="K771" s="12">
        <f>IFERROR(VLOOKUP(VENTAS[[#This Row],[Código del producto Vendido]],STOCK[],16,FALSE)*VENTAS[[#This Row],[Cantidad]]+VLOOKUP(VENTAS[[#This Row],[Código del producto Vendido]],STOCK[],19,FALSE)*VENTAS[[#This Row],[Cantidad]],VENTAS[[#This Row],[Total]])</f>
        <v>10.72222222222222</v>
      </c>
      <c r="L771" s="12">
        <f>VENTAS[[#This Row],[Total]]-VENTAS[[#This Row],[Comisión 10%]]-VENTAS[[#This Row],[Costo SIN Comision]]</f>
        <v>-10.72222222222222</v>
      </c>
      <c r="M771" s="12"/>
      <c r="N771" s="16"/>
    </row>
    <row r="772" spans="1:14" ht="20" hidden="1" customHeight="1">
      <c r="A772" s="9">
        <v>45346</v>
      </c>
      <c r="B772" s="10"/>
      <c r="C772" s="10" t="s">
        <v>4346</v>
      </c>
      <c r="D772" s="10"/>
      <c r="E772" s="10" t="s">
        <v>789</v>
      </c>
      <c r="F772" s="10" t="str">
        <f>IFERROR(VLOOKUP(VENTAS[[#This Row],[Código del producto Vendido]],STOCK[],5,FALSE),"-")</f>
        <v>Visera rosa</v>
      </c>
      <c r="G772" s="10">
        <v>1</v>
      </c>
      <c r="H772" s="12">
        <v>15</v>
      </c>
      <c r="I772" s="12">
        <f>VENTAS[[#This Row],[Cantidad]]*VENTAS[[#This Row],[Precio Venta]]</f>
        <v>15</v>
      </c>
      <c r="J772" s="12">
        <f>IF(VENTAS[[#This Row],[Nombre del Gestor]]&gt;1,VENTAS[[#This Row],[Total]]*10%,0)</f>
        <v>0</v>
      </c>
      <c r="K772" s="12">
        <f>IFERROR(VLOOKUP(VENTAS[[#This Row],[Código del producto Vendido]],STOCK[],16,FALSE)*VENTAS[[#This Row],[Cantidad]]+VLOOKUP(VENTAS[[#This Row],[Código del producto Vendido]],STOCK[],19,FALSE)*VENTAS[[#This Row],[Cantidad]],VENTAS[[#This Row],[Total]])</f>
        <v>11.5555555555556</v>
      </c>
      <c r="L772" s="12">
        <f>VENTAS[[#This Row],[Total]]-VENTAS[[#This Row],[Comisión 10%]]-VENTAS[[#This Row],[Costo SIN Comision]]</f>
        <v>3.4444444444444002</v>
      </c>
      <c r="M772" s="12"/>
      <c r="N772" s="16"/>
    </row>
    <row r="773" spans="1:14" ht="20" hidden="1" customHeight="1">
      <c r="A773" s="9">
        <v>45346</v>
      </c>
      <c r="B773" s="10"/>
      <c r="C773" s="10" t="s">
        <v>4346</v>
      </c>
      <c r="D773" s="10"/>
      <c r="E773" s="10" t="s">
        <v>1770</v>
      </c>
      <c r="F773" s="10" t="str">
        <f>IFERROR(VLOOKUP(VENTAS[[#This Row],[Código del producto Vendido]],STOCK[],5,FALSE),"-")</f>
        <v>Calcetines bajos</v>
      </c>
      <c r="G773" s="10">
        <v>2</v>
      </c>
      <c r="H773" s="12">
        <v>1</v>
      </c>
      <c r="I773" s="12">
        <f>VENTAS[[#This Row],[Cantidad]]*VENTAS[[#This Row],[Precio Venta]]</f>
        <v>2</v>
      </c>
      <c r="J773" s="12">
        <f>IF(VENTAS[[#This Row],[Nombre del Gestor]]&gt;1,VENTAS[[#This Row],[Total]]*10%,0)</f>
        <v>0</v>
      </c>
      <c r="K773" s="12">
        <f>IFERROR(VLOOKUP(VENTAS[[#This Row],[Código del producto Vendido]],STOCK[],16,FALSE)*VENTAS[[#This Row],[Cantidad]]+VLOOKUP(VENTAS[[#This Row],[Código del producto Vendido]],STOCK[],19,FALSE)*VENTAS[[#This Row],[Cantidad]],VENTAS[[#This Row],[Total]])</f>
        <v>0.85882352941176399</v>
      </c>
      <c r="L773" s="12">
        <f>VENTAS[[#This Row],[Total]]-VENTAS[[#This Row],[Comisión 10%]]-VENTAS[[#This Row],[Costo SIN Comision]]</f>
        <v>1.1411764705882361</v>
      </c>
      <c r="M773" s="12"/>
      <c r="N773" s="16"/>
    </row>
    <row r="774" spans="1:14" ht="20" hidden="1" customHeight="1">
      <c r="A774" s="9">
        <v>45359</v>
      </c>
      <c r="B774" s="10"/>
      <c r="C774" s="10" t="s">
        <v>4237</v>
      </c>
      <c r="D774" s="10"/>
      <c r="E774" s="10" t="s">
        <v>1787</v>
      </c>
      <c r="F774" s="10" t="str">
        <f>IFERROR(VLOOKUP(VENTAS[[#This Row],[Código del producto Vendido]],STOCK[],5,FALSE),"-")</f>
        <v xml:space="preserve">Traje de baño blanco sexy </v>
      </c>
      <c r="G774" s="10">
        <v>1</v>
      </c>
      <c r="H774" s="12">
        <v>20</v>
      </c>
      <c r="I774" s="12">
        <f>VENTAS[[#This Row],[Cantidad]]*VENTAS[[#This Row],[Precio Venta]]</f>
        <v>20</v>
      </c>
      <c r="J774" s="12">
        <f>IF(VENTAS[[#This Row],[Nombre del Gestor]]&gt;1,VENTAS[[#This Row],[Total]]*10%,0)</f>
        <v>0</v>
      </c>
      <c r="K774" s="12">
        <f>IFERROR(VLOOKUP(VENTAS[[#This Row],[Código del producto Vendido]],STOCK[],16,FALSE)*VENTAS[[#This Row],[Cantidad]]+VLOOKUP(VENTAS[[#This Row],[Código del producto Vendido]],STOCK[],19,FALSE)*VENTAS[[#This Row],[Cantidad]],VENTAS[[#This Row],[Total]])</f>
        <v>9.5882352941176503</v>
      </c>
      <c r="L774" s="12">
        <f>VENTAS[[#This Row],[Total]]-VENTAS[[#This Row],[Comisión 10%]]-VENTAS[[#This Row],[Costo SIN Comision]]</f>
        <v>10.41176470588235</v>
      </c>
      <c r="M774" s="12"/>
      <c r="N774" s="16"/>
    </row>
    <row r="775" spans="1:14" ht="20" hidden="1" customHeight="1">
      <c r="A775" s="9">
        <v>45359</v>
      </c>
      <c r="B775" s="10"/>
      <c r="C775" s="10" t="s">
        <v>4237</v>
      </c>
      <c r="D775" s="10"/>
      <c r="E775" s="10" t="s">
        <v>946</v>
      </c>
      <c r="F775" s="10" t="str">
        <f>IFERROR(VLOOKUP(VENTAS[[#This Row],[Código del producto Vendido]],STOCK[],5,FALSE),"-")</f>
        <v xml:space="preserve"> Top Básico Business </v>
      </c>
      <c r="G775" s="10">
        <v>1</v>
      </c>
      <c r="H775" s="12">
        <v>12</v>
      </c>
      <c r="I775" s="12">
        <f>VENTAS[[#This Row],[Cantidad]]*VENTAS[[#This Row],[Precio Venta]]</f>
        <v>12</v>
      </c>
      <c r="J775" s="12">
        <f>IF(VENTAS[[#This Row],[Nombre del Gestor]]&gt;1,VENTAS[[#This Row],[Total]]*10%,0)</f>
        <v>0</v>
      </c>
      <c r="K775" s="12">
        <f>IFERROR(VLOOKUP(VENTAS[[#This Row],[Código del producto Vendido]],STOCK[],16,FALSE)*VENTAS[[#This Row],[Cantidad]]+VLOOKUP(VENTAS[[#This Row],[Código del producto Vendido]],STOCK[],19,FALSE)*VENTAS[[#This Row],[Cantidad]],VENTAS[[#This Row],[Total]])</f>
        <v>7.2090909090909099</v>
      </c>
      <c r="L775" s="12">
        <f>VENTAS[[#This Row],[Total]]-VENTAS[[#This Row],[Comisión 10%]]-VENTAS[[#This Row],[Costo SIN Comision]]</f>
        <v>4.7909090909090901</v>
      </c>
      <c r="M775" s="12"/>
      <c r="N775" s="16"/>
    </row>
    <row r="776" spans="1:14" ht="20" hidden="1" customHeight="1">
      <c r="A776" s="9">
        <v>45359</v>
      </c>
      <c r="B776" s="10"/>
      <c r="C776" s="10" t="s">
        <v>4318</v>
      </c>
      <c r="D776" s="10"/>
      <c r="E776" s="10" t="s">
        <v>1674</v>
      </c>
      <c r="F776" s="10" t="str">
        <f>IFERROR(VLOOKUP(VENTAS[[#This Row],[Código del producto Vendido]],STOCK[],5,FALSE),"-")</f>
        <v>Conjunto Albaricoque</v>
      </c>
      <c r="G776" s="10">
        <v>1</v>
      </c>
      <c r="H776" s="12">
        <v>28</v>
      </c>
      <c r="I776" s="12">
        <f>VENTAS[[#This Row],[Cantidad]]*VENTAS[[#This Row],[Precio Venta]]</f>
        <v>28</v>
      </c>
      <c r="J776" s="12">
        <f>IF(VENTAS[[#This Row],[Nombre del Gestor]]&gt;1,VENTAS[[#This Row],[Total]]*10%,0)</f>
        <v>0</v>
      </c>
      <c r="K776" s="12">
        <f>IFERROR(VLOOKUP(VENTAS[[#This Row],[Código del producto Vendido]],STOCK[],16,FALSE)*VENTAS[[#This Row],[Cantidad]]+VLOOKUP(VENTAS[[#This Row],[Código del producto Vendido]],STOCK[],19,FALSE)*VENTAS[[#This Row],[Cantidad]],VENTAS[[#This Row],[Total]])</f>
        <v>13.97</v>
      </c>
      <c r="L776" s="12">
        <f>VENTAS[[#This Row],[Total]]-VENTAS[[#This Row],[Comisión 10%]]-VENTAS[[#This Row],[Costo SIN Comision]]</f>
        <v>14.03</v>
      </c>
      <c r="M776" s="12"/>
      <c r="N776" s="16"/>
    </row>
    <row r="777" spans="1:14" ht="20" hidden="1" customHeight="1">
      <c r="A777" s="9">
        <v>45361</v>
      </c>
      <c r="B777" s="10"/>
      <c r="C777" s="10" t="s">
        <v>4348</v>
      </c>
      <c r="D777" s="10"/>
      <c r="E777" s="10" t="s">
        <v>1287</v>
      </c>
      <c r="F777" s="10" t="str">
        <f>IFERROR(VLOOKUP(VENTAS[[#This Row],[Código del producto Vendido]],STOCK[],5,FALSE),"-")</f>
        <v>Pantalón de corte recto</v>
      </c>
      <c r="G777" s="10">
        <v>1</v>
      </c>
      <c r="H777" s="12">
        <v>25</v>
      </c>
      <c r="I777" s="12">
        <f>VENTAS[[#This Row],[Cantidad]]*VENTAS[[#This Row],[Precio Venta]]</f>
        <v>25</v>
      </c>
      <c r="J777" s="12">
        <f>IF(VENTAS[[#This Row],[Nombre del Gestor]]&gt;1,VENTAS[[#This Row],[Total]]*10%,0)</f>
        <v>0</v>
      </c>
      <c r="K777" s="12">
        <f>IFERROR(VLOOKUP(VENTAS[[#This Row],[Código del producto Vendido]],STOCK[],16,FALSE)*VENTAS[[#This Row],[Cantidad]]+VLOOKUP(VENTAS[[#This Row],[Código del producto Vendido]],STOCK[],19,FALSE)*VENTAS[[#This Row],[Cantidad]],VENTAS[[#This Row],[Total]])</f>
        <v>20.78</v>
      </c>
      <c r="L777" s="12">
        <f>VENTAS[[#This Row],[Total]]-VENTAS[[#This Row],[Comisión 10%]]-VENTAS[[#This Row],[Costo SIN Comision]]</f>
        <v>4.2199999999999989</v>
      </c>
      <c r="M777" s="12"/>
      <c r="N777" s="16"/>
    </row>
    <row r="778" spans="1:14" ht="20" hidden="1" customHeight="1">
      <c r="A778" s="9">
        <v>45361</v>
      </c>
      <c r="B778" s="10"/>
      <c r="C778" s="10" t="s">
        <v>4348</v>
      </c>
      <c r="D778" s="10"/>
      <c r="E778" s="10" t="s">
        <v>1409</v>
      </c>
      <c r="F778" s="10" t="str">
        <f>IFERROR(VLOOKUP(VENTAS[[#This Row],[Código del producto Vendido]],STOCK[],5,FALSE),"-")</f>
        <v>Pantaloneta con abertura y bolsillos</v>
      </c>
      <c r="G778" s="10">
        <v>1</v>
      </c>
      <c r="H778" s="12">
        <v>23</v>
      </c>
      <c r="I778" s="12">
        <f>VENTAS[[#This Row],[Cantidad]]*VENTAS[[#This Row],[Precio Venta]]</f>
        <v>23</v>
      </c>
      <c r="J778" s="12">
        <f>IF(VENTAS[[#This Row],[Nombre del Gestor]]&gt;1,VENTAS[[#This Row],[Total]]*10%,0)</f>
        <v>0</v>
      </c>
      <c r="K778" s="12">
        <f>IFERROR(VLOOKUP(VENTAS[[#This Row],[Código del producto Vendido]],STOCK[],16,FALSE)*VENTAS[[#This Row],[Cantidad]]+VLOOKUP(VENTAS[[#This Row],[Código del producto Vendido]],STOCK[],19,FALSE)*VENTAS[[#This Row],[Cantidad]],VENTAS[[#This Row],[Total]])</f>
        <v>14.22</v>
      </c>
      <c r="L778" s="12">
        <f>VENTAS[[#This Row],[Total]]-VENTAS[[#This Row],[Comisión 10%]]-VENTAS[[#This Row],[Costo SIN Comision]]</f>
        <v>8.7799999999999994</v>
      </c>
      <c r="M778" s="12"/>
      <c r="N778" s="16"/>
    </row>
    <row r="779" spans="1:14" ht="20" hidden="1" customHeight="1">
      <c r="A779" s="9">
        <v>45363</v>
      </c>
      <c r="B779" s="10"/>
      <c r="C779" s="10"/>
      <c r="D779" s="10"/>
      <c r="E779" s="10" t="s">
        <v>1463</v>
      </c>
      <c r="F779" s="10" t="str">
        <f>IFERROR(VLOOKUP(VENTAS[[#This Row],[Código del producto Vendido]],STOCK[],5,FALSE),"-")</f>
        <v>Pantalón alto de bajo elegante</v>
      </c>
      <c r="G779" s="10">
        <v>2</v>
      </c>
      <c r="H779" s="12">
        <v>32</v>
      </c>
      <c r="I779" s="12">
        <f>VENTAS[[#This Row],[Cantidad]]*VENTAS[[#This Row],[Precio Venta]]</f>
        <v>64</v>
      </c>
      <c r="J779" s="12">
        <f>IF(VENTAS[[#This Row],[Nombre del Gestor]]&gt;1,VENTAS[[#This Row],[Total]]*10%,0)</f>
        <v>0</v>
      </c>
      <c r="K779" s="12">
        <f>IFERROR(VLOOKUP(VENTAS[[#This Row],[Código del producto Vendido]],STOCK[],16,FALSE)*VENTAS[[#This Row],[Cantidad]]+VLOOKUP(VENTAS[[#This Row],[Código del producto Vendido]],STOCK[],19,FALSE)*VENTAS[[#This Row],[Cantidad]],VENTAS[[#This Row],[Total]])</f>
        <v>32.379999999999995</v>
      </c>
      <c r="L779" s="12">
        <f>VENTAS[[#This Row],[Total]]-VENTAS[[#This Row],[Comisión 10%]]-VENTAS[[#This Row],[Costo SIN Comision]]</f>
        <v>31.620000000000005</v>
      </c>
      <c r="M779" s="12"/>
      <c r="N779" s="16"/>
    </row>
    <row r="780" spans="1:14" ht="20" hidden="1" customHeight="1">
      <c r="A780" s="9">
        <v>45364</v>
      </c>
      <c r="B780" s="10"/>
      <c r="C780" s="10"/>
      <c r="D780" s="10"/>
      <c r="E780" s="10" t="s">
        <v>1700</v>
      </c>
      <c r="F780" s="10" t="str">
        <f>IFERROR(VLOOKUP(VENTAS[[#This Row],[Código del producto Vendido]],STOCK[],5,FALSE),"-")</f>
        <v>Jean Mom con bajo descosido</v>
      </c>
      <c r="G780" s="10">
        <v>1</v>
      </c>
      <c r="H780" s="12">
        <v>30</v>
      </c>
      <c r="I780" s="12">
        <f>VENTAS[[#This Row],[Cantidad]]*VENTAS[[#This Row],[Precio Venta]]</f>
        <v>30</v>
      </c>
      <c r="J780" s="12">
        <f>IF(VENTAS[[#This Row],[Nombre del Gestor]]&gt;1,VENTAS[[#This Row],[Total]]*10%,0)</f>
        <v>0</v>
      </c>
      <c r="K780" s="12">
        <f>IFERROR(VLOOKUP(VENTAS[[#This Row],[Código del producto Vendido]],STOCK[],16,FALSE)*VENTAS[[#This Row],[Cantidad]]+VLOOKUP(VENTAS[[#This Row],[Código del producto Vendido]],STOCK[],19,FALSE)*VENTAS[[#This Row],[Cantidad]],VENTAS[[#This Row],[Total]])</f>
        <v>20.5</v>
      </c>
      <c r="L780" s="12">
        <f>VENTAS[[#This Row],[Total]]-VENTAS[[#This Row],[Comisión 10%]]-VENTAS[[#This Row],[Costo SIN Comision]]</f>
        <v>9.5</v>
      </c>
      <c r="M780" s="12"/>
      <c r="N780" s="16"/>
    </row>
    <row r="781" spans="1:14" ht="20" hidden="1" customHeight="1">
      <c r="A781" s="9">
        <v>45365</v>
      </c>
      <c r="B781" s="10"/>
      <c r="C781" s="10"/>
      <c r="D781" s="10"/>
      <c r="E781" s="10" t="s">
        <v>1416</v>
      </c>
      <c r="F781" s="10" t="str">
        <f>IFERROR(VLOOKUP(VENTAS[[#This Row],[Código del producto Vendido]],STOCK[],5,FALSE),"-")</f>
        <v>Jean MOM con rotos</v>
      </c>
      <c r="G781" s="10">
        <v>1</v>
      </c>
      <c r="H781" s="12">
        <v>32</v>
      </c>
      <c r="I781" s="12">
        <f>VENTAS[[#This Row],[Cantidad]]*VENTAS[[#This Row],[Precio Venta]]</f>
        <v>32</v>
      </c>
      <c r="J781" s="12">
        <f>IF(VENTAS[[#This Row],[Nombre del Gestor]]&gt;1,VENTAS[[#This Row],[Total]]*10%,0)</f>
        <v>0</v>
      </c>
      <c r="K781" s="12">
        <f>IFERROR(VLOOKUP(VENTAS[[#This Row],[Código del producto Vendido]],STOCK[],16,FALSE)*VENTAS[[#This Row],[Cantidad]]+VLOOKUP(VENTAS[[#This Row],[Código del producto Vendido]],STOCK[],19,FALSE)*VENTAS[[#This Row],[Cantidad]],VENTAS[[#This Row],[Total]])</f>
        <v>20</v>
      </c>
      <c r="L781" s="12">
        <f>VENTAS[[#This Row],[Total]]-VENTAS[[#This Row],[Comisión 10%]]-VENTAS[[#This Row],[Costo SIN Comision]]</f>
        <v>12</v>
      </c>
      <c r="M781" s="12"/>
      <c r="N781" s="16"/>
    </row>
    <row r="782" spans="1:14" ht="20" hidden="1" customHeight="1">
      <c r="A782" s="9">
        <v>45366</v>
      </c>
      <c r="B782" s="10"/>
      <c r="C782" s="10"/>
      <c r="D782" s="10" t="s">
        <v>4349</v>
      </c>
      <c r="E782" s="10" t="s">
        <v>131</v>
      </c>
      <c r="F782" s="10" t="str">
        <f>IFERROR(VLOOKUP(VENTAS[[#This Row],[Código del producto Vendido]],STOCK[],5,FALSE),"-")</f>
        <v>Bibiki niñita Pez</v>
      </c>
      <c r="G782" s="10">
        <v>1</v>
      </c>
      <c r="H782" s="12">
        <v>18</v>
      </c>
      <c r="I782" s="12">
        <f>VENTAS[[#This Row],[Cantidad]]*VENTAS[[#This Row],[Precio Venta]]</f>
        <v>18</v>
      </c>
      <c r="J782" s="12">
        <f>IF(VENTAS[[#This Row],[Nombre del Gestor]]&gt;1,VENTAS[[#This Row],[Total]]*10%,0)</f>
        <v>1.8</v>
      </c>
      <c r="K782" s="12">
        <f>IFERROR(VLOOKUP(VENTAS[[#This Row],[Código del producto Vendido]],STOCK[],16,FALSE)*VENTAS[[#This Row],[Cantidad]]+VLOOKUP(VENTAS[[#This Row],[Código del producto Vendido]],STOCK[],19,FALSE)*VENTAS[[#This Row],[Cantidad]],VENTAS[[#This Row],[Total]])</f>
        <v>11.09888888888889</v>
      </c>
      <c r="L782" s="12">
        <f>VENTAS[[#This Row],[Total]]-VENTAS[[#This Row],[Comisión 10%]]-VENTAS[[#This Row],[Costo SIN Comision]]</f>
        <v>5.1011111111111092</v>
      </c>
      <c r="M782" s="12"/>
      <c r="N782" s="16"/>
    </row>
    <row r="783" spans="1:14" ht="20" hidden="1" customHeight="1">
      <c r="A783" s="9">
        <v>45367</v>
      </c>
      <c r="B783" s="10"/>
      <c r="C783" s="10"/>
      <c r="D783" s="10" t="s">
        <v>4349</v>
      </c>
      <c r="E783" s="10" t="s">
        <v>1416</v>
      </c>
      <c r="F783" s="10" t="str">
        <f>IFERROR(VLOOKUP(VENTAS[[#This Row],[Código del producto Vendido]],STOCK[],5,FALSE),"-")</f>
        <v>Jean MOM con rotos</v>
      </c>
      <c r="G783" s="10">
        <v>1</v>
      </c>
      <c r="H783" s="12">
        <v>32</v>
      </c>
      <c r="I783" s="12">
        <f>VENTAS[[#This Row],[Cantidad]]*VENTAS[[#This Row],[Precio Venta]]</f>
        <v>32</v>
      </c>
      <c r="J783" s="12">
        <f>IF(VENTAS[[#This Row],[Nombre del Gestor]]&gt;1,VENTAS[[#This Row],[Total]]*10%,0)</f>
        <v>3.2</v>
      </c>
      <c r="K783" s="12">
        <f>IFERROR(VLOOKUP(VENTAS[[#This Row],[Código del producto Vendido]],STOCK[],16,FALSE)*VENTAS[[#This Row],[Cantidad]]+VLOOKUP(VENTAS[[#This Row],[Código del producto Vendido]],STOCK[],19,FALSE)*VENTAS[[#This Row],[Cantidad]],VENTAS[[#This Row],[Total]])</f>
        <v>20</v>
      </c>
      <c r="L783" s="12">
        <f>VENTAS[[#This Row],[Total]]-VENTAS[[#This Row],[Comisión 10%]]-VENTAS[[#This Row],[Costo SIN Comision]]</f>
        <v>8.8000000000000007</v>
      </c>
      <c r="M783" s="12"/>
      <c r="N783" s="16"/>
    </row>
    <row r="784" spans="1:14" ht="20" hidden="1" customHeight="1">
      <c r="A784" s="9">
        <v>45368</v>
      </c>
      <c r="B784" s="10"/>
      <c r="C784" s="10"/>
      <c r="D784" s="10" t="s">
        <v>4349</v>
      </c>
      <c r="E784" s="10" t="s">
        <v>1303</v>
      </c>
      <c r="F784" s="10" t="str">
        <f>IFERROR(VLOOKUP(VENTAS[[#This Row],[Código del producto Vendido]],STOCK[],5,FALSE),"-")</f>
        <v>Jean ajustado Claro</v>
      </c>
      <c r="G784" s="10">
        <v>1</v>
      </c>
      <c r="H784" s="12">
        <v>32</v>
      </c>
      <c r="I784" s="12">
        <f>VENTAS[[#This Row],[Cantidad]]*VENTAS[[#This Row],[Precio Venta]]</f>
        <v>32</v>
      </c>
      <c r="J784" s="12">
        <f>IF(VENTAS[[#This Row],[Nombre del Gestor]]&gt;1,VENTAS[[#This Row],[Total]]*10%,0)</f>
        <v>3.2</v>
      </c>
      <c r="K784" s="12">
        <f>IFERROR(VLOOKUP(VENTAS[[#This Row],[Código del producto Vendido]],STOCK[],16,FALSE)*VENTAS[[#This Row],[Cantidad]]+VLOOKUP(VENTAS[[#This Row],[Código del producto Vendido]],STOCK[],19,FALSE)*VENTAS[[#This Row],[Cantidad]],VENTAS[[#This Row],[Total]])</f>
        <v>23.79</v>
      </c>
      <c r="L784" s="12">
        <f>VENTAS[[#This Row],[Total]]-VENTAS[[#This Row],[Comisión 10%]]-VENTAS[[#This Row],[Costo SIN Comision]]</f>
        <v>5.0100000000000016</v>
      </c>
      <c r="M784" s="12"/>
      <c r="N784" s="16"/>
    </row>
    <row r="785" spans="1:14" ht="20" hidden="1" customHeight="1">
      <c r="A785" s="9">
        <v>45366</v>
      </c>
      <c r="B785" s="10"/>
      <c r="C785" s="10"/>
      <c r="D785" s="10"/>
      <c r="E785" s="10" t="s">
        <v>1397</v>
      </c>
      <c r="F785" s="10" t="str">
        <f>IFERROR(VLOOKUP(VENTAS[[#This Row],[Código del producto Vendido]],STOCK[],5,FALSE),"-")</f>
        <v>Camiseta acanalada de bajo asimétrico blanco</v>
      </c>
      <c r="G785" s="10">
        <v>1</v>
      </c>
      <c r="H785" s="12">
        <v>12</v>
      </c>
      <c r="I785" s="12">
        <f>VENTAS[[#This Row],[Cantidad]]*VENTAS[[#This Row],[Precio Venta]]</f>
        <v>12</v>
      </c>
      <c r="J785" s="12">
        <f>IF(VENTAS[[#This Row],[Nombre del Gestor]]&gt;1,VENTAS[[#This Row],[Total]]*10%,0)</f>
        <v>0</v>
      </c>
      <c r="K785" s="12">
        <f>IFERROR(VLOOKUP(VENTAS[[#This Row],[Código del producto Vendido]],STOCK[],16,FALSE)*VENTAS[[#This Row],[Cantidad]]+VLOOKUP(VENTAS[[#This Row],[Código del producto Vendido]],STOCK[],19,FALSE)*VENTAS[[#This Row],[Cantidad]],VENTAS[[#This Row],[Total]])</f>
        <v>9</v>
      </c>
      <c r="L785" s="12">
        <f>VENTAS[[#This Row],[Total]]-VENTAS[[#This Row],[Comisión 10%]]-VENTAS[[#This Row],[Costo SIN Comision]]</f>
        <v>3</v>
      </c>
      <c r="M785" s="12"/>
      <c r="N785" s="16"/>
    </row>
    <row r="786" spans="1:14" ht="20" hidden="1" customHeight="1">
      <c r="A786" s="9">
        <v>45367</v>
      </c>
      <c r="B786" s="10"/>
      <c r="C786" s="10"/>
      <c r="D786" s="10"/>
      <c r="E786" s="10" t="s">
        <v>1311</v>
      </c>
      <c r="F786" s="10" t="str">
        <f>IFERROR(VLOOKUP(VENTAS[[#This Row],[Código del producto Vendido]],STOCK[],5,FALSE),"-")</f>
        <v>Short de mezclilla suave con cinturón</v>
      </c>
      <c r="G786" s="10">
        <v>1</v>
      </c>
      <c r="H786" s="12">
        <v>19</v>
      </c>
      <c r="I786" s="12">
        <f>VENTAS[[#This Row],[Cantidad]]*VENTAS[[#This Row],[Precio Venta]]</f>
        <v>19</v>
      </c>
      <c r="J786" s="12">
        <f>IF(VENTAS[[#This Row],[Nombre del Gestor]]&gt;1,VENTAS[[#This Row],[Total]]*10%,0)</f>
        <v>0</v>
      </c>
      <c r="K786" s="12">
        <f>IFERROR(VLOOKUP(VENTAS[[#This Row],[Código del producto Vendido]],STOCK[],16,FALSE)*VENTAS[[#This Row],[Cantidad]]+VLOOKUP(VENTAS[[#This Row],[Código del producto Vendido]],STOCK[],19,FALSE)*VENTAS[[#This Row],[Cantidad]],VENTAS[[#This Row],[Total]])</f>
        <v>11</v>
      </c>
      <c r="L786" s="12">
        <f>VENTAS[[#This Row],[Total]]-VENTAS[[#This Row],[Comisión 10%]]-VENTAS[[#This Row],[Costo SIN Comision]]</f>
        <v>8</v>
      </c>
      <c r="M786" s="12"/>
      <c r="N786" s="16"/>
    </row>
    <row r="787" spans="1:14" ht="20" hidden="1" customHeight="1">
      <c r="A787" s="9">
        <v>45368</v>
      </c>
      <c r="B787" s="10"/>
      <c r="C787" s="10"/>
      <c r="D787" s="10"/>
      <c r="E787" s="10" t="s">
        <v>1466</v>
      </c>
      <c r="F787" s="10" t="str">
        <f>IFERROR(VLOOKUP(VENTAS[[#This Row],[Código del producto Vendido]],STOCK[],5,FALSE),"-")</f>
        <v>Bermuda negra denim</v>
      </c>
      <c r="G787" s="10">
        <v>1</v>
      </c>
      <c r="H787" s="12">
        <v>20</v>
      </c>
      <c r="I787" s="12">
        <f>VENTAS[[#This Row],[Cantidad]]*VENTAS[[#This Row],[Precio Venta]]</f>
        <v>20</v>
      </c>
      <c r="J787" s="12">
        <f>IF(VENTAS[[#This Row],[Nombre del Gestor]]&gt;1,VENTAS[[#This Row],[Total]]*10%,0)</f>
        <v>0</v>
      </c>
      <c r="K787" s="12">
        <f>IFERROR(VLOOKUP(VENTAS[[#This Row],[Código del producto Vendido]],STOCK[],16,FALSE)*VENTAS[[#This Row],[Cantidad]]+VLOOKUP(VENTAS[[#This Row],[Código del producto Vendido]],STOCK[],19,FALSE)*VENTAS[[#This Row],[Cantidad]],VENTAS[[#This Row],[Total]])</f>
        <v>17</v>
      </c>
      <c r="L787" s="12">
        <f>VENTAS[[#This Row],[Total]]-VENTAS[[#This Row],[Comisión 10%]]-VENTAS[[#This Row],[Costo SIN Comision]]</f>
        <v>3</v>
      </c>
      <c r="M787" s="12"/>
      <c r="N787" s="16"/>
    </row>
    <row r="788" spans="1:14" ht="20" hidden="1" customHeight="1">
      <c r="A788" s="9">
        <v>45369</v>
      </c>
      <c r="B788" s="10"/>
      <c r="C788" s="10"/>
      <c r="D788" s="10"/>
      <c r="E788" s="10" t="s">
        <v>1511</v>
      </c>
      <c r="F788" s="10" t="str">
        <f>IFERROR(VLOOKUP(VENTAS[[#This Row],[Código del producto Vendido]],STOCK[],5,FALSE),"-")</f>
        <v>Pantalón acampanado Blanco</v>
      </c>
      <c r="G788" s="10">
        <v>1</v>
      </c>
      <c r="H788" s="12">
        <v>28</v>
      </c>
      <c r="I788" s="12">
        <f>VENTAS[[#This Row],[Cantidad]]*VENTAS[[#This Row],[Precio Venta]]</f>
        <v>28</v>
      </c>
      <c r="J788" s="12">
        <f>IF(VENTAS[[#This Row],[Nombre del Gestor]]&gt;1,VENTAS[[#This Row],[Total]]*10%,0)</f>
        <v>0</v>
      </c>
      <c r="K788" s="12">
        <f>IFERROR(VLOOKUP(VENTAS[[#This Row],[Código del producto Vendido]],STOCK[],16,FALSE)*VENTAS[[#This Row],[Cantidad]]+VLOOKUP(VENTAS[[#This Row],[Código del producto Vendido]],STOCK[],19,FALSE)*VENTAS[[#This Row],[Cantidad]],VENTAS[[#This Row],[Total]])</f>
        <v>16.5</v>
      </c>
      <c r="L788" s="12">
        <f>VENTAS[[#This Row],[Total]]-VENTAS[[#This Row],[Comisión 10%]]-VENTAS[[#This Row],[Costo SIN Comision]]</f>
        <v>11.5</v>
      </c>
      <c r="M788" s="12"/>
      <c r="N788" s="16"/>
    </row>
    <row r="789" spans="1:14" ht="20" hidden="1" customHeight="1">
      <c r="A789" s="10"/>
      <c r="B789" s="10"/>
      <c r="C789" s="10"/>
      <c r="D789" s="10"/>
      <c r="E789" s="10" t="s">
        <v>1748</v>
      </c>
      <c r="F789" s="10" t="str">
        <f>IFERROR(VLOOKUP(VENTAS[[#This Row],[Código del producto Vendido]],STOCK[],5,FALSE),"-")</f>
        <v xml:space="preserve">Traje de baño blanco sexy </v>
      </c>
      <c r="G789" s="10">
        <v>1</v>
      </c>
      <c r="H789" s="12">
        <v>20</v>
      </c>
      <c r="I789" s="12">
        <f>VENTAS[[#This Row],[Cantidad]]*VENTAS[[#This Row],[Precio Venta]]</f>
        <v>20</v>
      </c>
      <c r="J789" s="12">
        <f>IF(VENTAS[[#This Row],[Nombre del Gestor]]&gt;1,VENTAS[[#This Row],[Total]]*10%,0)</f>
        <v>0</v>
      </c>
      <c r="K789" s="12">
        <f>IFERROR(VLOOKUP(VENTAS[[#This Row],[Código del producto Vendido]],STOCK[],16,FALSE)*VENTAS[[#This Row],[Cantidad]]+VLOOKUP(VENTAS[[#This Row],[Código del producto Vendido]],STOCK[],19,FALSE)*VENTAS[[#This Row],[Cantidad]],VENTAS[[#This Row],[Total]])</f>
        <v>9.5882352941176503</v>
      </c>
      <c r="L789" s="12">
        <f>VENTAS[[#This Row],[Total]]-VENTAS[[#This Row],[Comisión 10%]]-VENTAS[[#This Row],[Costo SIN Comision]]</f>
        <v>10.41176470588235</v>
      </c>
      <c r="M789" s="12" t="s">
        <v>4350</v>
      </c>
      <c r="N789" s="16"/>
    </row>
    <row r="790" spans="1:14" ht="20" hidden="1" customHeight="1">
      <c r="A790" s="10"/>
      <c r="B790" s="10"/>
      <c r="C790" s="10" t="s">
        <v>4190</v>
      </c>
      <c r="D790" s="10"/>
      <c r="E790" s="10" t="s">
        <v>1742</v>
      </c>
      <c r="F790" s="10" t="str">
        <f>IFERROR(VLOOKUP(VENTAS[[#This Row],[Código del producto Vendido]],STOCK[],5,FALSE),"-")</f>
        <v>Chaleco de traje Blanco</v>
      </c>
      <c r="G790" s="10">
        <v>1</v>
      </c>
      <c r="H790" s="12">
        <v>25</v>
      </c>
      <c r="I790" s="12">
        <f>VENTAS[[#This Row],[Cantidad]]*VENTAS[[#This Row],[Precio Venta]]</f>
        <v>25</v>
      </c>
      <c r="J790" s="12">
        <f>IF(VENTAS[[#This Row],[Nombre del Gestor]]&gt;1,VENTAS[[#This Row],[Total]]*10%,0)</f>
        <v>0</v>
      </c>
      <c r="K790" s="12">
        <f>IFERROR(VLOOKUP(VENTAS[[#This Row],[Código del producto Vendido]],STOCK[],16,FALSE)*VENTAS[[#This Row],[Cantidad]]+VLOOKUP(VENTAS[[#This Row],[Código del producto Vendido]],STOCK[],19,FALSE)*VENTAS[[#This Row],[Cantidad]],VENTAS[[#This Row],[Total]])</f>
        <v>17.9411764705882</v>
      </c>
      <c r="L790" s="12">
        <f>VENTAS[[#This Row],[Total]]-VENTAS[[#This Row],[Comisión 10%]]-VENTAS[[#This Row],[Costo SIN Comision]]</f>
        <v>7.0588235294118</v>
      </c>
      <c r="M790" s="12"/>
      <c r="N790" s="16"/>
    </row>
    <row r="791" spans="1:14" ht="20" hidden="1" customHeight="1">
      <c r="A791" s="10"/>
      <c r="B791" s="10"/>
      <c r="C791" s="10"/>
      <c r="D791" s="10"/>
      <c r="E791" s="10" t="s">
        <v>1677</v>
      </c>
      <c r="F791" s="10" t="str">
        <f>IFERROR(VLOOKUP(VENTAS[[#This Row],[Código del producto Vendido]],STOCK[],5,FALSE),"-")</f>
        <v>Conjunto Beis</v>
      </c>
      <c r="G791" s="10">
        <v>1</v>
      </c>
      <c r="H791" s="12">
        <v>28</v>
      </c>
      <c r="I791" s="12">
        <f>VENTAS[[#This Row],[Cantidad]]*VENTAS[[#This Row],[Precio Venta]]</f>
        <v>28</v>
      </c>
      <c r="J791" s="12">
        <f>IF(VENTAS[[#This Row],[Nombre del Gestor]]&gt;1,VENTAS[[#This Row],[Total]]*10%,0)</f>
        <v>0</v>
      </c>
      <c r="K791" s="12">
        <f>IFERROR(VLOOKUP(VENTAS[[#This Row],[Código del producto Vendido]],STOCK[],16,FALSE)*VENTAS[[#This Row],[Cantidad]]+VLOOKUP(VENTAS[[#This Row],[Código del producto Vendido]],STOCK[],19,FALSE)*VENTAS[[#This Row],[Cantidad]],VENTAS[[#This Row],[Total]])</f>
        <v>16.7</v>
      </c>
      <c r="L791" s="12">
        <f>VENTAS[[#This Row],[Total]]-VENTAS[[#This Row],[Comisión 10%]]-VENTAS[[#This Row],[Costo SIN Comision]]</f>
        <v>11.3</v>
      </c>
      <c r="M791" s="12"/>
      <c r="N791" s="16"/>
    </row>
    <row r="792" spans="1:14" ht="20" hidden="1" customHeight="1">
      <c r="A792" s="10"/>
      <c r="B792" s="10"/>
      <c r="C792" s="10"/>
      <c r="D792" s="10"/>
      <c r="E792" s="10" t="s">
        <v>1626</v>
      </c>
      <c r="F792" s="10" t="str">
        <f>IFERROR(VLOOKUP(VENTAS[[#This Row],[Código del producto Vendido]],STOCK[],5,FALSE),"-")</f>
        <v>Vestido Tarsha</v>
      </c>
      <c r="G792" s="10">
        <v>1</v>
      </c>
      <c r="H792" s="12">
        <v>27</v>
      </c>
      <c r="I792" s="12">
        <f>VENTAS[[#This Row],[Cantidad]]*VENTAS[[#This Row],[Precio Venta]]</f>
        <v>27</v>
      </c>
      <c r="J792" s="12">
        <f>IF(VENTAS[[#This Row],[Nombre del Gestor]]&gt;1,VENTAS[[#This Row],[Total]]*10%,0)</f>
        <v>0</v>
      </c>
      <c r="K792" s="12">
        <f>IFERROR(VLOOKUP(VENTAS[[#This Row],[Código del producto Vendido]],STOCK[],16,FALSE)*VENTAS[[#This Row],[Cantidad]]+VLOOKUP(VENTAS[[#This Row],[Código del producto Vendido]],STOCK[],19,FALSE)*VENTAS[[#This Row],[Cantidad]],VENTAS[[#This Row],[Total]])</f>
        <v>13.97</v>
      </c>
      <c r="L792" s="12">
        <f>VENTAS[[#This Row],[Total]]-VENTAS[[#This Row],[Comisión 10%]]-VENTAS[[#This Row],[Costo SIN Comision]]</f>
        <v>13.03</v>
      </c>
      <c r="M792" s="12"/>
      <c r="N792" s="16"/>
    </row>
    <row r="793" spans="1:14" ht="20" hidden="1" customHeight="1">
      <c r="A793" s="10"/>
      <c r="B793" s="10"/>
      <c r="C793" s="10"/>
      <c r="D793" s="10"/>
      <c r="E793" s="10" t="s">
        <v>1628</v>
      </c>
      <c r="F793" s="10" t="str">
        <f>IFERROR(VLOOKUP(VENTAS[[#This Row],[Código del producto Vendido]],STOCK[],5,FALSE),"-")</f>
        <v>Vestido Tarsha</v>
      </c>
      <c r="G793" s="10">
        <v>1</v>
      </c>
      <c r="H793" s="12">
        <v>27</v>
      </c>
      <c r="I793" s="12">
        <f>VENTAS[[#This Row],[Cantidad]]*VENTAS[[#This Row],[Precio Venta]]</f>
        <v>27</v>
      </c>
      <c r="J793" s="12">
        <f>IF(VENTAS[[#This Row],[Nombre del Gestor]]&gt;1,VENTAS[[#This Row],[Total]]*10%,0)</f>
        <v>0</v>
      </c>
      <c r="K793" s="12">
        <f>IFERROR(VLOOKUP(VENTAS[[#This Row],[Código del producto Vendido]],STOCK[],16,FALSE)*VENTAS[[#This Row],[Cantidad]]+VLOOKUP(VENTAS[[#This Row],[Código del producto Vendido]],STOCK[],19,FALSE)*VENTAS[[#This Row],[Cantidad]],VENTAS[[#This Row],[Total]])</f>
        <v>13.97</v>
      </c>
      <c r="L793" s="12">
        <f>VENTAS[[#This Row],[Total]]-VENTAS[[#This Row],[Comisión 10%]]-VENTAS[[#This Row],[Costo SIN Comision]]</f>
        <v>13.03</v>
      </c>
      <c r="M793" s="12"/>
      <c r="N793" s="16"/>
    </row>
    <row r="794" spans="1:14" ht="20" hidden="1" customHeight="1">
      <c r="A794" s="9">
        <v>45363</v>
      </c>
      <c r="B794" s="10"/>
      <c r="C794" s="10"/>
      <c r="D794" s="10" t="s">
        <v>4349</v>
      </c>
      <c r="E794" s="10" t="s">
        <v>1808</v>
      </c>
      <c r="F794" s="10" t="str">
        <f>IFERROR(VLOOKUP(VENTAS[[#This Row],[Código del producto Vendido]],STOCK[],5,FALSE),"-")</f>
        <v>Pasador de cabello en forma de lazo</v>
      </c>
      <c r="G794" s="10">
        <v>1</v>
      </c>
      <c r="H794" s="12">
        <v>3</v>
      </c>
      <c r="I794" s="12">
        <f>VENTAS[[#This Row],[Cantidad]]*VENTAS[[#This Row],[Precio Venta]]</f>
        <v>3</v>
      </c>
      <c r="J794" s="12">
        <f>IF(VENTAS[[#This Row],[Nombre del Gestor]]&gt;1,VENTAS[[#This Row],[Total]]*10%,0)</f>
        <v>0.30000000000000004</v>
      </c>
      <c r="K794" s="12">
        <f>IFERROR(VLOOKUP(VENTAS[[#This Row],[Código del producto Vendido]],STOCK[],16,FALSE)*VENTAS[[#This Row],[Cantidad]]+VLOOKUP(VENTAS[[#This Row],[Código del producto Vendido]],STOCK[],19,FALSE)*VENTAS[[#This Row],[Cantidad]],VENTAS[[#This Row],[Total]])</f>
        <v>1.73529411764706</v>
      </c>
      <c r="L794" s="12">
        <f>VENTAS[[#This Row],[Total]]-VENTAS[[#This Row],[Comisión 10%]]-VENTAS[[#This Row],[Costo SIN Comision]]</f>
        <v>0.96470588235294019</v>
      </c>
      <c r="M794" s="12"/>
      <c r="N794" s="16"/>
    </row>
    <row r="795" spans="1:14" ht="20" hidden="1" customHeight="1">
      <c r="A795" s="9">
        <v>45363</v>
      </c>
      <c r="B795" s="10"/>
      <c r="C795" s="10"/>
      <c r="D795" s="10" t="s">
        <v>4349</v>
      </c>
      <c r="E795" s="10" t="s">
        <v>1161</v>
      </c>
      <c r="F795" s="10" t="str">
        <f>IFERROR(VLOOKUP(VENTAS[[#This Row],[Código del producto Vendido]],STOCK[],5,FALSE),"-")</f>
        <v>Pezoneras de silicona</v>
      </c>
      <c r="G795" s="10">
        <v>1</v>
      </c>
      <c r="H795" s="12">
        <v>5</v>
      </c>
      <c r="I795" s="12">
        <f>VENTAS[[#This Row],[Cantidad]]*VENTAS[[#This Row],[Precio Venta]]</f>
        <v>5</v>
      </c>
      <c r="J795" s="12">
        <f>IF(VENTAS[[#This Row],[Nombre del Gestor]]&gt;1,VENTAS[[#This Row],[Total]]*10%,0)</f>
        <v>0.5</v>
      </c>
      <c r="K795" s="12">
        <f>IFERROR(VLOOKUP(VENTAS[[#This Row],[Código del producto Vendido]],STOCK[],16,FALSE)*VENTAS[[#This Row],[Cantidad]]+VLOOKUP(VENTAS[[#This Row],[Código del producto Vendido]],STOCK[],19,FALSE)*VENTAS[[#This Row],[Cantidad]],VENTAS[[#This Row],[Total]])</f>
        <v>2.0300000000000002</v>
      </c>
      <c r="L795" s="12">
        <f>VENTAS[[#This Row],[Total]]-VENTAS[[#This Row],[Comisión 10%]]-VENTAS[[#This Row],[Costo SIN Comision]]</f>
        <v>2.4699999999999998</v>
      </c>
      <c r="M795" s="12"/>
      <c r="N795" s="16"/>
    </row>
    <row r="796" spans="1:14" ht="20" hidden="1" customHeight="1">
      <c r="A796" s="9">
        <v>45367</v>
      </c>
      <c r="B796" s="10"/>
      <c r="C796" s="10"/>
      <c r="D796" s="10"/>
      <c r="E796" s="10" t="s">
        <v>2019</v>
      </c>
      <c r="F796" s="10" t="str">
        <f>IFERROR(VLOOKUP(VENTAS[[#This Row],[Código del producto Vendido]],STOCK[],5,FALSE),"-")</f>
        <v>Jogger afelpado de talle alto (Nuevo)</v>
      </c>
      <c r="G796" s="10">
        <v>1</v>
      </c>
      <c r="H796" s="12">
        <v>22</v>
      </c>
      <c r="I796" s="12">
        <f>VENTAS[[#This Row],[Cantidad]]*VENTAS[[#This Row],[Precio Venta]]</f>
        <v>22</v>
      </c>
      <c r="J796" s="12">
        <f>IF(VENTAS[[#This Row],[Nombre del Gestor]]&gt;1,VENTAS[[#This Row],[Total]]*10%,0)</f>
        <v>0</v>
      </c>
      <c r="K796" s="12">
        <f>IFERROR(VLOOKUP(VENTAS[[#This Row],[Código del producto Vendido]],STOCK[],16,FALSE)*VENTAS[[#This Row],[Cantidad]]+VLOOKUP(VENTAS[[#This Row],[Código del producto Vendido]],STOCK[],19,FALSE)*VENTAS[[#This Row],[Cantidad]],VENTAS[[#This Row],[Total]])</f>
        <v>0</v>
      </c>
      <c r="L796" s="12">
        <f>VENTAS[[#This Row],[Total]]-VENTAS[[#This Row],[Comisión 10%]]-VENTAS[[#This Row],[Costo SIN Comision]]</f>
        <v>22</v>
      </c>
      <c r="M796" s="12" t="s">
        <v>4351</v>
      </c>
      <c r="N796" s="16"/>
    </row>
    <row r="797" spans="1:14" ht="20" hidden="1" customHeight="1">
      <c r="A797" s="9">
        <v>45367</v>
      </c>
      <c r="B797" s="10"/>
      <c r="C797" s="10"/>
      <c r="D797" s="10" t="s">
        <v>4330</v>
      </c>
      <c r="E797" s="10" t="s">
        <v>1570</v>
      </c>
      <c r="F797" s="10" t="str">
        <f>IFERROR(VLOOKUP(VENTAS[[#This Row],[Código del producto Vendido]],STOCK[],5,FALSE),"-")</f>
        <v>Sandalias de tiras</v>
      </c>
      <c r="G797" s="10">
        <v>1</v>
      </c>
      <c r="H797" s="12">
        <v>25</v>
      </c>
      <c r="I797" s="12">
        <f>VENTAS[[#This Row],[Cantidad]]*VENTAS[[#This Row],[Precio Venta]]</f>
        <v>25</v>
      </c>
      <c r="J797" s="12">
        <f>IF(VENTAS[[#This Row],[Nombre del Gestor]]&gt;1,VENTAS[[#This Row],[Total]]*10%,0)</f>
        <v>2.5</v>
      </c>
      <c r="K797" s="12">
        <f>IFERROR(VLOOKUP(VENTAS[[#This Row],[Código del producto Vendido]],STOCK[],16,FALSE)*VENTAS[[#This Row],[Cantidad]]+VLOOKUP(VENTAS[[#This Row],[Código del producto Vendido]],STOCK[],19,FALSE)*VENTAS[[#This Row],[Cantidad]],VENTAS[[#This Row],[Total]])</f>
        <v>14</v>
      </c>
      <c r="L797" s="12">
        <f>VENTAS[[#This Row],[Total]]-VENTAS[[#This Row],[Comisión 10%]]-VENTAS[[#This Row],[Costo SIN Comision]]</f>
        <v>8.5</v>
      </c>
      <c r="M797" s="12"/>
      <c r="N797" s="16"/>
    </row>
    <row r="798" spans="1:14" ht="20" hidden="1" customHeight="1">
      <c r="A798" s="9">
        <v>45371</v>
      </c>
      <c r="B798" s="10"/>
      <c r="C798" s="10" t="s">
        <v>4352</v>
      </c>
      <c r="D798" s="10" t="s">
        <v>4237</v>
      </c>
      <c r="E798" s="10" t="s">
        <v>1731</v>
      </c>
      <c r="F798" s="10" t="str">
        <f>IFERROR(VLOOKUP(VENTAS[[#This Row],[Código del producto Vendido]],STOCK[],5,FALSE),"-")</f>
        <v>Chaleco de traje Crema</v>
      </c>
      <c r="G798" s="10">
        <v>1</v>
      </c>
      <c r="H798" s="12">
        <v>25</v>
      </c>
      <c r="I798" s="12">
        <f>VENTAS[[#This Row],[Cantidad]]*VENTAS[[#This Row],[Precio Venta]]</f>
        <v>25</v>
      </c>
      <c r="J798" s="12">
        <f>IF(VENTAS[[#This Row],[Nombre del Gestor]]&gt;1,VENTAS[[#This Row],[Total]]*10%,0)</f>
        <v>2.5</v>
      </c>
      <c r="K798" s="12">
        <f>IFERROR(VLOOKUP(VENTAS[[#This Row],[Código del producto Vendido]],STOCK[],16,FALSE)*VENTAS[[#This Row],[Cantidad]]+VLOOKUP(VENTAS[[#This Row],[Código del producto Vendido]],STOCK[],19,FALSE)*VENTAS[[#This Row],[Cantidad]],VENTAS[[#This Row],[Total]])</f>
        <v>17.9411764705882</v>
      </c>
      <c r="L798" s="12">
        <f>VENTAS[[#This Row],[Total]]-VENTAS[[#This Row],[Comisión 10%]]-VENTAS[[#This Row],[Costo SIN Comision]]</f>
        <v>4.5588235294118</v>
      </c>
      <c r="M798" s="12"/>
      <c r="N798" s="16"/>
    </row>
    <row r="799" spans="1:14" ht="20" hidden="1" customHeight="1">
      <c r="A799" s="9">
        <v>45372</v>
      </c>
      <c r="B799" s="10"/>
      <c r="C799" s="10" t="s">
        <v>4353</v>
      </c>
      <c r="D799" s="10"/>
      <c r="E799" s="10" t="s">
        <v>1611</v>
      </c>
      <c r="F799" s="10" t="str">
        <f>IFERROR(VLOOKUP(VENTAS[[#This Row],[Código del producto Vendido]],STOCK[],5,FALSE),"-")</f>
        <v xml:space="preserve">Vestido camisero con estampado floral </v>
      </c>
      <c r="G799" s="10">
        <v>1</v>
      </c>
      <c r="H799" s="12">
        <v>35</v>
      </c>
      <c r="I799" s="12">
        <f>VENTAS[[#This Row],[Cantidad]]*VENTAS[[#This Row],[Precio Venta]]</f>
        <v>35</v>
      </c>
      <c r="J799" s="12">
        <f>IF(VENTAS[[#This Row],[Nombre del Gestor]]&gt;1,VENTAS[[#This Row],[Total]]*10%,0)</f>
        <v>0</v>
      </c>
      <c r="K799" s="12">
        <f>IFERROR(VLOOKUP(VENTAS[[#This Row],[Código del producto Vendido]],STOCK[],16,FALSE)*VENTAS[[#This Row],[Cantidad]]+VLOOKUP(VENTAS[[#This Row],[Código del producto Vendido]],STOCK[],19,FALSE)*VENTAS[[#This Row],[Cantidad]],VENTAS[[#This Row],[Total]])</f>
        <v>14.84</v>
      </c>
      <c r="L799" s="12">
        <f>VENTAS[[#This Row],[Total]]-VENTAS[[#This Row],[Comisión 10%]]-VENTAS[[#This Row],[Costo SIN Comision]]</f>
        <v>20.16</v>
      </c>
      <c r="M799" s="12"/>
      <c r="N799" s="16"/>
    </row>
    <row r="800" spans="1:14" ht="20" hidden="1" customHeight="1">
      <c r="A800" s="9">
        <v>45361</v>
      </c>
      <c r="B800" s="10"/>
      <c r="C800" s="10" t="s">
        <v>4348</v>
      </c>
      <c r="D800" s="10"/>
      <c r="E800" s="10" t="s">
        <v>1618</v>
      </c>
      <c r="F800" s="10" t="str">
        <f>IFERROR(VLOOKUP(VENTAS[[#This Row],[Código del producto Vendido]],STOCK[],5,FALSE),"-")</f>
        <v>Vestido largo estampado</v>
      </c>
      <c r="G800" s="10">
        <v>1</v>
      </c>
      <c r="H800" s="12">
        <v>35</v>
      </c>
      <c r="I800" s="12">
        <f>VENTAS[[#This Row],[Cantidad]]*VENTAS[[#This Row],[Precio Venta]]</f>
        <v>35</v>
      </c>
      <c r="J800" s="12">
        <f>IF(VENTAS[[#This Row],[Nombre del Gestor]]&gt;1,VENTAS[[#This Row],[Total]]*10%,0)</f>
        <v>0</v>
      </c>
      <c r="K800" s="12">
        <f>IFERROR(VLOOKUP(VENTAS[[#This Row],[Código del producto Vendido]],STOCK[],16,FALSE)*VENTAS[[#This Row],[Cantidad]]+VLOOKUP(VENTAS[[#This Row],[Código del producto Vendido]],STOCK[],19,FALSE)*VENTAS[[#This Row],[Cantidad]],VENTAS[[#This Row],[Total]])</f>
        <v>15.09</v>
      </c>
      <c r="L800" s="12">
        <f>VENTAS[[#This Row],[Total]]-VENTAS[[#This Row],[Comisión 10%]]-VENTAS[[#This Row],[Costo SIN Comision]]</f>
        <v>19.91</v>
      </c>
      <c r="M800" s="12"/>
      <c r="N800" s="16"/>
    </row>
    <row r="801" spans="1:14" ht="20" hidden="1" customHeight="1">
      <c r="A801" s="9">
        <v>45372</v>
      </c>
      <c r="B801" s="10"/>
      <c r="C801" s="10" t="s">
        <v>4353</v>
      </c>
      <c r="D801" s="10"/>
      <c r="E801" s="10" t="s">
        <v>1790</v>
      </c>
      <c r="F801" s="10" t="str">
        <f>IFERROR(VLOOKUP(VENTAS[[#This Row],[Código del producto Vendido]],STOCK[],5,FALSE),"-")</f>
        <v>Cinturón básico grueso Negro</v>
      </c>
      <c r="G801" s="10">
        <v>1</v>
      </c>
      <c r="H801" s="12">
        <v>8</v>
      </c>
      <c r="I801" s="12">
        <f>VENTAS[[#This Row],[Cantidad]]*VENTAS[[#This Row],[Precio Venta]]</f>
        <v>8</v>
      </c>
      <c r="J801" s="12">
        <f>IF(VENTAS[[#This Row],[Nombre del Gestor]]&gt;1,VENTAS[[#This Row],[Total]]*10%,0)</f>
        <v>0</v>
      </c>
      <c r="K801" s="12">
        <f>IFERROR(VLOOKUP(VENTAS[[#This Row],[Código del producto Vendido]],STOCK[],16,FALSE)*VENTAS[[#This Row],[Cantidad]]+VLOOKUP(VENTAS[[#This Row],[Código del producto Vendido]],STOCK[],19,FALSE)*VENTAS[[#This Row],[Cantidad]],VENTAS[[#This Row],[Total]])</f>
        <v>4.2352941176470598</v>
      </c>
      <c r="L801" s="12">
        <f>VENTAS[[#This Row],[Total]]-VENTAS[[#This Row],[Comisión 10%]]-VENTAS[[#This Row],[Costo SIN Comision]]</f>
        <v>3.7647058823529402</v>
      </c>
      <c r="M801" s="12"/>
      <c r="N801" s="16"/>
    </row>
    <row r="802" spans="1:14" ht="20" hidden="1" customHeight="1">
      <c r="A802" s="9">
        <v>45375</v>
      </c>
      <c r="B802" s="10"/>
      <c r="C802" s="10"/>
      <c r="D802" s="10" t="s">
        <v>4349</v>
      </c>
      <c r="E802" s="10" t="s">
        <v>1087</v>
      </c>
      <c r="F802" s="10" t="str">
        <f>IFERROR(VLOOKUP(VENTAS[[#This Row],[Código del producto Vendido]],STOCK[],5,FALSE),"-")</f>
        <v>Cobertor de traje de baño</v>
      </c>
      <c r="G802" s="10">
        <v>1</v>
      </c>
      <c r="H802" s="12">
        <v>10</v>
      </c>
      <c r="I802" s="12">
        <f>VENTAS[[#This Row],[Cantidad]]*VENTAS[[#This Row],[Precio Venta]]</f>
        <v>10</v>
      </c>
      <c r="J802" s="12">
        <f>IF(VENTAS[[#This Row],[Nombre del Gestor]]&gt;1,VENTAS[[#This Row],[Total]]*10%,0)</f>
        <v>1</v>
      </c>
      <c r="K802" s="12">
        <f>IFERROR(VLOOKUP(VENTAS[[#This Row],[Código del producto Vendido]],STOCK[],16,FALSE)*VENTAS[[#This Row],[Cantidad]]+VLOOKUP(VENTAS[[#This Row],[Código del producto Vendido]],STOCK[],19,FALSE)*VENTAS[[#This Row],[Cantidad]],VENTAS[[#This Row],[Total]])</f>
        <v>4.5220588235294095</v>
      </c>
      <c r="L802" s="12">
        <f>VENTAS[[#This Row],[Total]]-VENTAS[[#This Row],[Comisión 10%]]-VENTAS[[#This Row],[Costo SIN Comision]]</f>
        <v>4.4779411764705905</v>
      </c>
      <c r="M802" s="12"/>
      <c r="N802" s="16"/>
    </row>
    <row r="803" spans="1:14" ht="20" hidden="1" customHeight="1">
      <c r="A803" s="9">
        <v>45375</v>
      </c>
      <c r="B803" s="10"/>
      <c r="C803" s="10"/>
      <c r="D803" s="10" t="s">
        <v>4349</v>
      </c>
      <c r="E803" s="10" t="s">
        <v>829</v>
      </c>
      <c r="F803" s="10" t="str">
        <f>IFERROR(VLOOKUP(VENTAS[[#This Row],[Código del producto Vendido]],STOCK[],5,FALSE),"-")</f>
        <v>Set de bikini malva</v>
      </c>
      <c r="G803" s="10">
        <v>1</v>
      </c>
      <c r="H803" s="12">
        <v>15</v>
      </c>
      <c r="I803" s="12">
        <f>VENTAS[[#This Row],[Cantidad]]*VENTAS[[#This Row],[Precio Venta]]</f>
        <v>15</v>
      </c>
      <c r="J803" s="12">
        <f>IF(VENTAS[[#This Row],[Nombre del Gestor]]&gt;1,VENTAS[[#This Row],[Total]]*10%,0)</f>
        <v>1.5</v>
      </c>
      <c r="K803" s="12">
        <f>IFERROR(VLOOKUP(VENTAS[[#This Row],[Código del producto Vendido]],STOCK[],16,FALSE)*VENTAS[[#This Row],[Cantidad]]+VLOOKUP(VENTAS[[#This Row],[Código del producto Vendido]],STOCK[],19,FALSE)*VENTAS[[#This Row],[Cantidad]],VENTAS[[#This Row],[Total]])</f>
        <v>9.2222222222222197</v>
      </c>
      <c r="L803" s="12">
        <f>VENTAS[[#This Row],[Total]]-VENTAS[[#This Row],[Comisión 10%]]-VENTAS[[#This Row],[Costo SIN Comision]]</f>
        <v>4.2777777777777803</v>
      </c>
      <c r="M803" s="12"/>
      <c r="N803" s="16"/>
    </row>
    <row r="804" spans="1:14" ht="20" hidden="1" customHeight="1">
      <c r="A804" s="9">
        <v>45361</v>
      </c>
      <c r="B804" s="10"/>
      <c r="C804" s="10" t="s">
        <v>4348</v>
      </c>
      <c r="D804" s="10"/>
      <c r="E804" s="10" t="s">
        <v>819</v>
      </c>
      <c r="F804" s="10" t="str">
        <f>IFERROR(VLOOKUP(VENTAS[[#This Row],[Código del producto Vendido]],STOCK[],5,FALSE),"-")</f>
        <v>Blusa atada bohemia</v>
      </c>
      <c r="G804" s="10">
        <v>1</v>
      </c>
      <c r="H804" s="12">
        <v>10</v>
      </c>
      <c r="I804" s="12">
        <f>VENTAS[[#This Row],[Cantidad]]*VENTAS[[#This Row],[Precio Venta]]</f>
        <v>10</v>
      </c>
      <c r="J804" s="12">
        <f>IF(VENTAS[[#This Row],[Nombre del Gestor]]&gt;1,VENTAS[[#This Row],[Total]]*10%,0)</f>
        <v>0</v>
      </c>
      <c r="K804" s="12">
        <f>IFERROR(VLOOKUP(VENTAS[[#This Row],[Código del producto Vendido]],STOCK[],16,FALSE)*VENTAS[[#This Row],[Cantidad]]+VLOOKUP(VENTAS[[#This Row],[Código del producto Vendido]],STOCK[],19,FALSE)*VENTAS[[#This Row],[Cantidad]],VENTAS[[#This Row],[Total]])</f>
        <v>8</v>
      </c>
      <c r="L804" s="12">
        <f>VENTAS[[#This Row],[Total]]-VENTAS[[#This Row],[Comisión 10%]]-VENTAS[[#This Row],[Costo SIN Comision]]</f>
        <v>2</v>
      </c>
      <c r="M804" s="12"/>
      <c r="N804" s="16"/>
    </row>
    <row r="805" spans="1:14" ht="20" hidden="1" customHeight="1">
      <c r="A805" s="9">
        <v>45376</v>
      </c>
      <c r="B805" s="10"/>
      <c r="C805" s="10"/>
      <c r="D805" s="10" t="s">
        <v>4349</v>
      </c>
      <c r="E805" s="10" t="s">
        <v>405</v>
      </c>
      <c r="F805" s="10" t="str">
        <f>IFERROR(VLOOKUP(VENTAS[[#This Row],[Código del producto Vendido]],STOCK[],5,FALSE),"-")</f>
        <v>Vestido Bohemio</v>
      </c>
      <c r="G805" s="10">
        <v>1</v>
      </c>
      <c r="H805" s="12">
        <v>20</v>
      </c>
      <c r="I805" s="12">
        <f>VENTAS[[#This Row],[Cantidad]]*VENTAS[[#This Row],[Precio Venta]]</f>
        <v>20</v>
      </c>
      <c r="J805" s="12">
        <f>IF(VENTAS[[#This Row],[Nombre del Gestor]]&gt;1,VENTAS[[#This Row],[Total]]*10%,0)</f>
        <v>2</v>
      </c>
      <c r="K805" s="12">
        <f>IFERROR(VLOOKUP(VENTAS[[#This Row],[Código del producto Vendido]],STOCK[],16,FALSE)*VENTAS[[#This Row],[Cantidad]]+VLOOKUP(VENTAS[[#This Row],[Código del producto Vendido]],STOCK[],19,FALSE)*VENTAS[[#This Row],[Cantidad]],VENTAS[[#This Row],[Total]])</f>
        <v>12.570555555555559</v>
      </c>
      <c r="L805" s="12">
        <f>VENTAS[[#This Row],[Total]]-VENTAS[[#This Row],[Comisión 10%]]-VENTAS[[#This Row],[Costo SIN Comision]]</f>
        <v>5.4294444444444405</v>
      </c>
      <c r="M805" s="12"/>
      <c r="N805" s="16"/>
    </row>
    <row r="806" spans="1:14" ht="20" hidden="1" customHeight="1">
      <c r="A806" s="9">
        <v>45376</v>
      </c>
      <c r="B806" s="10"/>
      <c r="C806" s="10"/>
      <c r="D806" s="10"/>
      <c r="E806" s="10" t="s">
        <v>1590</v>
      </c>
      <c r="F806" s="10" t="str">
        <f>IFERROR(VLOOKUP(VENTAS[[#This Row],[Código del producto Vendido]],STOCK[],5,FALSE),"-")</f>
        <v>Sandalias flip de plataforma Naranja Marca F21</v>
      </c>
      <c r="G806" s="10">
        <v>1</v>
      </c>
      <c r="H806" s="12">
        <v>15</v>
      </c>
      <c r="I806" s="12">
        <f>VENTAS[[#This Row],[Cantidad]]*VENTAS[[#This Row],[Precio Venta]]</f>
        <v>15</v>
      </c>
      <c r="J806" s="12">
        <f>IF(VENTAS[[#This Row],[Nombre del Gestor]]&gt;1,VENTAS[[#This Row],[Total]]*10%,0)</f>
        <v>0</v>
      </c>
      <c r="K806" s="12">
        <f>IFERROR(VLOOKUP(VENTAS[[#This Row],[Código del producto Vendido]],STOCK[],16,FALSE)*VENTAS[[#This Row],[Cantidad]]+VLOOKUP(VENTAS[[#This Row],[Código del producto Vendido]],STOCK[],19,FALSE)*VENTAS[[#This Row],[Cantidad]],VENTAS[[#This Row],[Total]])</f>
        <v>9.49</v>
      </c>
      <c r="L806" s="12">
        <f>VENTAS[[#This Row],[Total]]-VENTAS[[#This Row],[Comisión 10%]]-VENTAS[[#This Row],[Costo SIN Comision]]</f>
        <v>5.51</v>
      </c>
      <c r="M806" s="12"/>
      <c r="N806" s="16"/>
    </row>
    <row r="807" spans="1:14" ht="20" hidden="1" customHeight="1">
      <c r="A807" s="9">
        <v>45376</v>
      </c>
      <c r="B807" s="10"/>
      <c r="C807" s="10"/>
      <c r="D807" s="10"/>
      <c r="E807" s="10" t="s">
        <v>77</v>
      </c>
      <c r="F807" s="10" t="str">
        <f>IFERROR(VLOOKUP(VENTAS[[#This Row],[Código del producto Vendido]],STOCK[],5,FALSE),"-")</f>
        <v>Pareo pantalón de malla</v>
      </c>
      <c r="G807" s="10">
        <v>1</v>
      </c>
      <c r="H807" s="12">
        <v>15</v>
      </c>
      <c r="I807" s="12">
        <f>VENTAS[[#This Row],[Cantidad]]*VENTAS[[#This Row],[Precio Venta]]</f>
        <v>15</v>
      </c>
      <c r="J807" s="12">
        <f>IF(VENTAS[[#This Row],[Nombre del Gestor]]&gt;1,VENTAS[[#This Row],[Total]]*10%,0)</f>
        <v>0</v>
      </c>
      <c r="K807" s="12">
        <f>IFERROR(VLOOKUP(VENTAS[[#This Row],[Código del producto Vendido]],STOCK[],16,FALSE)*VENTAS[[#This Row],[Cantidad]]+VLOOKUP(VENTAS[[#This Row],[Código del producto Vendido]],STOCK[],19,FALSE)*VENTAS[[#This Row],[Cantidad]],VENTAS[[#This Row],[Total]])</f>
        <v>9.3605555555555604</v>
      </c>
      <c r="L807" s="12">
        <f>VENTAS[[#This Row],[Total]]-VENTAS[[#This Row],[Comisión 10%]]-VENTAS[[#This Row],[Costo SIN Comision]]</f>
        <v>5.6394444444444396</v>
      </c>
      <c r="M807" s="12"/>
      <c r="N807" s="16"/>
    </row>
    <row r="808" spans="1:14" ht="20" hidden="1" customHeight="1">
      <c r="A808" s="9">
        <v>45376</v>
      </c>
      <c r="B808" s="10"/>
      <c r="C808" s="10"/>
      <c r="D808" s="10"/>
      <c r="E808" s="10" t="s">
        <v>483</v>
      </c>
      <c r="F808" s="10" t="str">
        <f>IFERROR(VLOOKUP(VENTAS[[#This Row],[Código del producto Vendido]],STOCK[],5,FALSE),"-")</f>
        <v>Bikini estampado cebra</v>
      </c>
      <c r="G808" s="10">
        <v>1</v>
      </c>
      <c r="H808" s="12">
        <v>15</v>
      </c>
      <c r="I808" s="12">
        <f>VENTAS[[#This Row],[Cantidad]]*VENTAS[[#This Row],[Precio Venta]]</f>
        <v>15</v>
      </c>
      <c r="J808" s="12">
        <f>IF(VENTAS[[#This Row],[Nombre del Gestor]]&gt;1,VENTAS[[#This Row],[Total]]*10%,0)</f>
        <v>0</v>
      </c>
      <c r="K808" s="12">
        <f>IFERROR(VLOOKUP(VENTAS[[#This Row],[Código del producto Vendido]],STOCK[],16,FALSE)*VENTAS[[#This Row],[Cantidad]]+VLOOKUP(VENTAS[[#This Row],[Código del producto Vendido]],STOCK[],19,FALSE)*VENTAS[[#This Row],[Cantidad]],VENTAS[[#This Row],[Total]])</f>
        <v>8.7872222222222209</v>
      </c>
      <c r="L808" s="12">
        <f>VENTAS[[#This Row],[Total]]-VENTAS[[#This Row],[Comisión 10%]]-VENTAS[[#This Row],[Costo SIN Comision]]</f>
        <v>6.2127777777777791</v>
      </c>
      <c r="M808" s="12"/>
      <c r="N808" s="16"/>
    </row>
    <row r="809" spans="1:14" ht="20" hidden="1" customHeight="1">
      <c r="A809" s="9">
        <v>45376</v>
      </c>
      <c r="B809" s="10"/>
      <c r="C809" s="10"/>
      <c r="D809" s="10"/>
      <c r="E809" s="10" t="s">
        <v>499</v>
      </c>
      <c r="F809" s="10" t="str">
        <f>IFERROR(VLOOKUP(VENTAS[[#This Row],[Código del producto Vendido]],STOCK[],5,FALSE),"-")</f>
        <v>Vestido Bohemio</v>
      </c>
      <c r="G809" s="10">
        <v>1</v>
      </c>
      <c r="H809" s="12">
        <v>25</v>
      </c>
      <c r="I809" s="12">
        <f>VENTAS[[#This Row],[Cantidad]]*VENTAS[[#This Row],[Precio Venta]]</f>
        <v>25</v>
      </c>
      <c r="J809" s="12">
        <f>IF(VENTAS[[#This Row],[Nombre del Gestor]]&gt;1,VENTAS[[#This Row],[Total]]*10%,0)</f>
        <v>0</v>
      </c>
      <c r="K809" s="12">
        <f>IFERROR(VLOOKUP(VENTAS[[#This Row],[Código del producto Vendido]],STOCK[],16,FALSE)*VENTAS[[#This Row],[Cantidad]]+VLOOKUP(VENTAS[[#This Row],[Código del producto Vendido]],STOCK[],19,FALSE)*VENTAS[[#This Row],[Cantidad]],VENTAS[[#This Row],[Total]])</f>
        <v>10.189444444444449</v>
      </c>
      <c r="L809" s="12">
        <f>VENTAS[[#This Row],[Total]]-VENTAS[[#This Row],[Comisión 10%]]-VENTAS[[#This Row],[Costo SIN Comision]]</f>
        <v>14.810555555555551</v>
      </c>
      <c r="M809" s="12"/>
      <c r="N809" s="16"/>
    </row>
    <row r="810" spans="1:14" ht="20" hidden="1" customHeight="1">
      <c r="A810" s="9">
        <v>45376</v>
      </c>
      <c r="B810" s="10"/>
      <c r="C810" s="10"/>
      <c r="D810" s="10"/>
      <c r="E810" s="10" t="s">
        <v>1399</v>
      </c>
      <c r="F810" s="10" t="str">
        <f>IFERROR(VLOOKUP(VENTAS[[#This Row],[Código del producto Vendido]],STOCK[],5,FALSE),"-")</f>
        <v>Camiseta acanalada de bajo asimétrico blanco</v>
      </c>
      <c r="G810" s="10">
        <v>1</v>
      </c>
      <c r="H810" s="12">
        <v>12</v>
      </c>
      <c r="I810" s="12">
        <f>VENTAS[[#This Row],[Cantidad]]*VENTAS[[#This Row],[Precio Venta]]</f>
        <v>12</v>
      </c>
      <c r="J810" s="12">
        <f>IF(VENTAS[[#This Row],[Nombre del Gestor]]&gt;1,VENTAS[[#This Row],[Total]]*10%,0)</f>
        <v>0</v>
      </c>
      <c r="K810" s="12">
        <f>IFERROR(VLOOKUP(VENTAS[[#This Row],[Código del producto Vendido]],STOCK[],16,FALSE)*VENTAS[[#This Row],[Cantidad]]+VLOOKUP(VENTAS[[#This Row],[Código del producto Vendido]],STOCK[],19,FALSE)*VENTAS[[#This Row],[Cantidad]],VENTAS[[#This Row],[Total]])</f>
        <v>9</v>
      </c>
      <c r="L810" s="12">
        <f>VENTAS[[#This Row],[Total]]-VENTAS[[#This Row],[Comisión 10%]]-VENTAS[[#This Row],[Costo SIN Comision]]</f>
        <v>3</v>
      </c>
      <c r="M810" s="12"/>
      <c r="N810" s="16"/>
    </row>
    <row r="811" spans="1:14" ht="20" hidden="1" customHeight="1">
      <c r="A811" s="9">
        <v>45378</v>
      </c>
      <c r="B811" s="10"/>
      <c r="C811" s="10"/>
      <c r="D811" s="10"/>
      <c r="E811" s="10" t="s">
        <v>1531</v>
      </c>
      <c r="F811" s="10" t="str">
        <f>IFERROR(VLOOKUP(VENTAS[[#This Row],[Código del producto Vendido]],STOCK[],5,FALSE),"-")</f>
        <v>Bolso de Mimbre</v>
      </c>
      <c r="G811" s="10">
        <v>1</v>
      </c>
      <c r="H811" s="12">
        <v>22</v>
      </c>
      <c r="I811" s="12">
        <f>VENTAS[[#This Row],[Cantidad]]*VENTAS[[#This Row],[Precio Venta]]</f>
        <v>22</v>
      </c>
      <c r="J811" s="12">
        <f>IF(VENTAS[[#This Row],[Nombre del Gestor]]&gt;1,VENTAS[[#This Row],[Total]]*10%,0)</f>
        <v>0</v>
      </c>
      <c r="K811" s="12">
        <f>IFERROR(VLOOKUP(VENTAS[[#This Row],[Código del producto Vendido]],STOCK[],16,FALSE)*VENTAS[[#This Row],[Cantidad]]+VLOOKUP(VENTAS[[#This Row],[Código del producto Vendido]],STOCK[],19,FALSE)*VENTAS[[#This Row],[Cantidad]],VENTAS[[#This Row],[Total]])</f>
        <v>14.5</v>
      </c>
      <c r="L811" s="12">
        <f>VENTAS[[#This Row],[Total]]-VENTAS[[#This Row],[Comisión 10%]]-VENTAS[[#This Row],[Costo SIN Comision]]</f>
        <v>7.5</v>
      </c>
      <c r="M811" s="12"/>
      <c r="N811" s="16"/>
    </row>
    <row r="812" spans="1:14" ht="20" hidden="1" customHeight="1">
      <c r="A812" s="9">
        <v>45378</v>
      </c>
      <c r="B812" s="10"/>
      <c r="C812" s="10"/>
      <c r="D812" s="10" t="s">
        <v>4349</v>
      </c>
      <c r="E812" s="10" t="s">
        <v>1531</v>
      </c>
      <c r="F812" s="10" t="str">
        <f>IFERROR(VLOOKUP(VENTAS[[#This Row],[Código del producto Vendido]],STOCK[],5,FALSE),"-")</f>
        <v>Bolso de Mimbre</v>
      </c>
      <c r="G812" s="10">
        <v>1</v>
      </c>
      <c r="H812" s="12">
        <v>22</v>
      </c>
      <c r="I812" s="12">
        <f>VENTAS[[#This Row],[Cantidad]]*VENTAS[[#This Row],[Precio Venta]]</f>
        <v>22</v>
      </c>
      <c r="J812" s="12">
        <f>IF(VENTAS[[#This Row],[Nombre del Gestor]]&gt;1,VENTAS[[#This Row],[Total]]*10%,0)</f>
        <v>2.2000000000000002</v>
      </c>
      <c r="K812" s="12">
        <f>IFERROR(VLOOKUP(VENTAS[[#This Row],[Código del producto Vendido]],STOCK[],16,FALSE)*VENTAS[[#This Row],[Cantidad]]+VLOOKUP(VENTAS[[#This Row],[Código del producto Vendido]],STOCK[],19,FALSE)*VENTAS[[#This Row],[Cantidad]],VENTAS[[#This Row],[Total]])</f>
        <v>14.5</v>
      </c>
      <c r="L812" s="12">
        <f>VENTAS[[#This Row],[Total]]-VENTAS[[#This Row],[Comisión 10%]]-VENTAS[[#This Row],[Costo SIN Comision]]</f>
        <v>5.3000000000000007</v>
      </c>
      <c r="M812" s="12"/>
      <c r="N812" s="16"/>
    </row>
    <row r="813" spans="1:14" ht="20" hidden="1" customHeight="1">
      <c r="A813" s="9">
        <v>45378</v>
      </c>
      <c r="B813" s="10"/>
      <c r="C813" s="10"/>
      <c r="D813" s="10"/>
      <c r="E813" s="10" t="s">
        <v>1011</v>
      </c>
      <c r="F813" s="10" t="str">
        <f>IFERROR(VLOOKUP(VENTAS[[#This Row],[Código del producto Vendido]],STOCK[],5,FALSE),"-")</f>
        <v>Maxi Vestido con Bolsillo</v>
      </c>
      <c r="G813" s="10">
        <v>1</v>
      </c>
      <c r="H813" s="12">
        <v>35</v>
      </c>
      <c r="I813" s="12">
        <f>VENTAS[[#This Row],[Cantidad]]*VENTAS[[#This Row],[Precio Venta]]</f>
        <v>35</v>
      </c>
      <c r="J813" s="12">
        <f>IF(VENTAS[[#This Row],[Nombre del Gestor]]&gt;1,VENTAS[[#This Row],[Total]]*10%,0)</f>
        <v>0</v>
      </c>
      <c r="K813" s="12">
        <f>IFERROR(VLOOKUP(VENTAS[[#This Row],[Código del producto Vendido]],STOCK[],16,FALSE)*VENTAS[[#This Row],[Cantidad]]+VLOOKUP(VENTAS[[#This Row],[Código del producto Vendido]],STOCK[],19,FALSE)*VENTAS[[#This Row],[Cantidad]],VENTAS[[#This Row],[Total]])</f>
        <v>24.204545454545499</v>
      </c>
      <c r="L813" s="12">
        <f>VENTAS[[#This Row],[Total]]-VENTAS[[#This Row],[Comisión 10%]]-VENTAS[[#This Row],[Costo SIN Comision]]</f>
        <v>10.795454545454501</v>
      </c>
      <c r="M813" s="12"/>
      <c r="N813" s="16"/>
    </row>
    <row r="814" spans="1:14" ht="20" hidden="1" customHeight="1">
      <c r="A814" s="9">
        <v>45380</v>
      </c>
      <c r="B814" s="10"/>
      <c r="C814" s="10"/>
      <c r="D814" s="10" t="s">
        <v>4237</v>
      </c>
      <c r="E814" s="10" t="s">
        <v>1761</v>
      </c>
      <c r="F814" s="10" t="str">
        <f>IFERROR(VLOOKUP(VENTAS[[#This Row],[Código del producto Vendido]],STOCK[],5,FALSE),"-")</f>
        <v>Zapatillas blanco casual</v>
      </c>
      <c r="G814" s="10">
        <v>1</v>
      </c>
      <c r="H814" s="12">
        <v>35</v>
      </c>
      <c r="I814" s="12">
        <f>VENTAS[[#This Row],[Cantidad]]*VENTAS[[#This Row],[Precio Venta]]</f>
        <v>35</v>
      </c>
      <c r="J814" s="12">
        <f>IF(VENTAS[[#This Row],[Nombre del Gestor]]&gt;1,VENTAS[[#This Row],[Total]]*10%,0)</f>
        <v>3.5</v>
      </c>
      <c r="K814" s="12">
        <f>IFERROR(VLOOKUP(VENTAS[[#This Row],[Código del producto Vendido]],STOCK[],16,FALSE)*VENTAS[[#This Row],[Cantidad]]+VLOOKUP(VENTAS[[#This Row],[Código del producto Vendido]],STOCK[],19,FALSE)*VENTAS[[#This Row],[Cantidad]],VENTAS[[#This Row],[Total]])</f>
        <v>25.470588235294102</v>
      </c>
      <c r="L814" s="12">
        <f>VENTAS[[#This Row],[Total]]-VENTAS[[#This Row],[Comisión 10%]]-VENTAS[[#This Row],[Costo SIN Comision]]</f>
        <v>6.0294117647058982</v>
      </c>
      <c r="M814" s="12"/>
      <c r="N814" s="16"/>
    </row>
    <row r="815" spans="1:14" ht="20" hidden="1" customHeight="1">
      <c r="A815" s="9">
        <v>45381</v>
      </c>
      <c r="B815" s="10"/>
      <c r="C815" s="10"/>
      <c r="D815" s="10" t="s">
        <v>4349</v>
      </c>
      <c r="E815" s="10" t="s">
        <v>1625</v>
      </c>
      <c r="F815" s="10" t="str">
        <f>IFERROR(VLOOKUP(VENTAS[[#This Row],[Código del producto Vendido]],STOCK[],5,FALSE),"-")</f>
        <v>Sandalias minimalistas de tacón</v>
      </c>
      <c r="G815" s="10">
        <v>1</v>
      </c>
      <c r="H815" s="12">
        <v>39</v>
      </c>
      <c r="I815" s="12">
        <f>VENTAS[[#This Row],[Cantidad]]*VENTAS[[#This Row],[Precio Venta]]</f>
        <v>39</v>
      </c>
      <c r="J815" s="12">
        <f>IF(VENTAS[[#This Row],[Nombre del Gestor]]&gt;1,VENTAS[[#This Row],[Total]]*10%,0)</f>
        <v>3.9000000000000004</v>
      </c>
      <c r="K815" s="12">
        <f>IFERROR(VLOOKUP(VENTAS[[#This Row],[Código del producto Vendido]],STOCK[],16,FALSE)*VENTAS[[#This Row],[Cantidad]]+VLOOKUP(VENTAS[[#This Row],[Código del producto Vendido]],STOCK[],19,FALSE)*VENTAS[[#This Row],[Cantidad]],VENTAS[[#This Row],[Total]])</f>
        <v>20.86</v>
      </c>
      <c r="L815" s="12">
        <f>VENTAS[[#This Row],[Total]]-VENTAS[[#This Row],[Comisión 10%]]-VENTAS[[#This Row],[Costo SIN Comision]]</f>
        <v>14.240000000000002</v>
      </c>
      <c r="M815" s="12"/>
      <c r="N815" s="16"/>
    </row>
    <row r="816" spans="1:14" ht="20" hidden="1" customHeight="1">
      <c r="A816" s="9">
        <v>45381</v>
      </c>
      <c r="B816" s="10"/>
      <c r="C816" s="10"/>
      <c r="D816" s="10" t="s">
        <v>4349</v>
      </c>
      <c r="E816" s="10" t="s">
        <v>1730</v>
      </c>
      <c r="F816" s="10" t="str">
        <f>IFERROR(VLOOKUP(VENTAS[[#This Row],[Código del producto Vendido]],STOCK[],5,FALSE),"-")</f>
        <v>Zapato de punta fina y Tacón Cuadrado</v>
      </c>
      <c r="G816" s="10">
        <v>1</v>
      </c>
      <c r="H816" s="12">
        <v>40</v>
      </c>
      <c r="I816" s="12">
        <f>VENTAS[[#This Row],[Cantidad]]*VENTAS[[#This Row],[Precio Venta]]</f>
        <v>40</v>
      </c>
      <c r="J816" s="12">
        <f>IF(VENTAS[[#This Row],[Nombre del Gestor]]&gt;1,VENTAS[[#This Row],[Total]]*10%,0)</f>
        <v>4</v>
      </c>
      <c r="K816" s="12">
        <f>IFERROR(VLOOKUP(VENTAS[[#This Row],[Código del producto Vendido]],STOCK[],16,FALSE)*VENTAS[[#This Row],[Cantidad]]+VLOOKUP(VENTAS[[#This Row],[Código del producto Vendido]],STOCK[],19,FALSE)*VENTAS[[#This Row],[Cantidad]],VENTAS[[#This Row],[Total]])</f>
        <v>27.5</v>
      </c>
      <c r="L816" s="12">
        <f>VENTAS[[#This Row],[Total]]-VENTAS[[#This Row],[Comisión 10%]]-VENTAS[[#This Row],[Costo SIN Comision]]</f>
        <v>8.5</v>
      </c>
      <c r="M816" s="12"/>
      <c r="N816" s="16"/>
    </row>
    <row r="817" spans="1:14" ht="20" hidden="1" customHeight="1">
      <c r="A817" s="9">
        <v>45381</v>
      </c>
      <c r="B817" s="10"/>
      <c r="C817" s="10"/>
      <c r="D817" s="10" t="s">
        <v>4349</v>
      </c>
      <c r="E817" s="10" t="s">
        <v>1686</v>
      </c>
      <c r="F817" s="10" t="str">
        <f>IFERROR(VLOOKUP(VENTAS[[#This Row],[Código del producto Vendido]],STOCK[],5,FALSE),"-")</f>
        <v>Vestido de mangas en contraste</v>
      </c>
      <c r="G817" s="10">
        <v>1</v>
      </c>
      <c r="H817" s="12">
        <v>28</v>
      </c>
      <c r="I817" s="12">
        <f>VENTAS[[#This Row],[Cantidad]]*VENTAS[[#This Row],[Precio Venta]]</f>
        <v>28</v>
      </c>
      <c r="J817" s="12">
        <f>IF(VENTAS[[#This Row],[Nombre del Gestor]]&gt;1,VENTAS[[#This Row],[Total]]*10%,0)</f>
        <v>2.8000000000000003</v>
      </c>
      <c r="K817" s="12">
        <f>IFERROR(VLOOKUP(VENTAS[[#This Row],[Código del producto Vendido]],STOCK[],16,FALSE)*VENTAS[[#This Row],[Cantidad]]+VLOOKUP(VENTAS[[#This Row],[Código del producto Vendido]],STOCK[],19,FALSE)*VENTAS[[#This Row],[Cantidad]],VENTAS[[#This Row],[Total]])</f>
        <v>17.25</v>
      </c>
      <c r="L817" s="12">
        <f>VENTAS[[#This Row],[Total]]-VENTAS[[#This Row],[Comisión 10%]]-VENTAS[[#This Row],[Costo SIN Comision]]</f>
        <v>7.9499999999999993</v>
      </c>
      <c r="M817" s="12"/>
      <c r="N817" s="16"/>
    </row>
    <row r="818" spans="1:14" ht="20" hidden="1" customHeight="1">
      <c r="A818" s="9">
        <v>45382</v>
      </c>
      <c r="B818" s="10"/>
      <c r="C818" s="10"/>
      <c r="D818" s="10"/>
      <c r="E818" s="10" t="s">
        <v>102</v>
      </c>
      <c r="F818" s="10" t="str">
        <f>IFERROR(VLOOKUP(VENTAS[[#This Row],[Código del producto Vendido]],STOCK[],5,FALSE),"-")</f>
        <v>Pareo pantalón de malla</v>
      </c>
      <c r="G818" s="10">
        <v>1</v>
      </c>
      <c r="H818" s="12">
        <v>15</v>
      </c>
      <c r="I818" s="12">
        <f>VENTAS[[#This Row],[Cantidad]]*VENTAS[[#This Row],[Precio Venta]]</f>
        <v>15</v>
      </c>
      <c r="J818" s="12">
        <f>IF(VENTAS[[#This Row],[Nombre del Gestor]]&gt;1,VENTAS[[#This Row],[Total]]*10%,0)</f>
        <v>0</v>
      </c>
      <c r="K818" s="12">
        <f>IFERROR(VLOOKUP(VENTAS[[#This Row],[Código del producto Vendido]],STOCK[],16,FALSE)*VENTAS[[#This Row],[Cantidad]]+VLOOKUP(VENTAS[[#This Row],[Código del producto Vendido]],STOCK[],19,FALSE)*VENTAS[[#This Row],[Cantidad]],VENTAS[[#This Row],[Total]])</f>
        <v>9.7855555555555593</v>
      </c>
      <c r="L818" s="12">
        <f>VENTAS[[#This Row],[Total]]-VENTAS[[#This Row],[Comisión 10%]]-VENTAS[[#This Row],[Costo SIN Comision]]</f>
        <v>5.2144444444444407</v>
      </c>
      <c r="M818" s="12"/>
      <c r="N818" s="16"/>
    </row>
    <row r="819" spans="1:14" ht="20" hidden="1" customHeight="1">
      <c r="A819" s="10"/>
      <c r="B819" s="10"/>
      <c r="C819" s="10" t="s">
        <v>4348</v>
      </c>
      <c r="D819" s="10"/>
      <c r="E819" s="10" t="s">
        <v>1742</v>
      </c>
      <c r="F819" s="10" t="str">
        <f>IFERROR(VLOOKUP(VENTAS[[#This Row],[Código del producto Vendido]],STOCK[],5,FALSE),"-")</f>
        <v>Chaleco de traje Blanco</v>
      </c>
      <c r="G819" s="10">
        <v>1</v>
      </c>
      <c r="H819" s="12">
        <v>25</v>
      </c>
      <c r="I819" s="12">
        <f>VENTAS[[#This Row],[Cantidad]]*VENTAS[[#This Row],[Precio Venta]]</f>
        <v>25</v>
      </c>
      <c r="J819" s="12">
        <f>IF(VENTAS[[#This Row],[Nombre del Gestor]]&gt;1,VENTAS[[#This Row],[Total]]*10%,0)</f>
        <v>0</v>
      </c>
      <c r="K819" s="12">
        <f>IFERROR(VLOOKUP(VENTAS[[#This Row],[Código del producto Vendido]],STOCK[],16,FALSE)*VENTAS[[#This Row],[Cantidad]]+VLOOKUP(VENTAS[[#This Row],[Código del producto Vendido]],STOCK[],19,FALSE)*VENTAS[[#This Row],[Cantidad]],VENTAS[[#This Row],[Total]])</f>
        <v>17.9411764705882</v>
      </c>
      <c r="L819" s="12">
        <f>VENTAS[[#This Row],[Total]]-VENTAS[[#This Row],[Comisión 10%]]-VENTAS[[#This Row],[Costo SIN Comision]]</f>
        <v>7.0588235294118</v>
      </c>
      <c r="M819" s="12"/>
      <c r="N819" s="16"/>
    </row>
    <row r="820" spans="1:14" ht="20" hidden="1" customHeight="1">
      <c r="A820" s="9">
        <v>45381</v>
      </c>
      <c r="B820" s="10"/>
      <c r="C820" s="10"/>
      <c r="D820" s="10"/>
      <c r="E820" s="10" t="s">
        <v>1586</v>
      </c>
      <c r="F820" s="10" t="str">
        <f>IFERROR(VLOOKUP(VENTAS[[#This Row],[Código del producto Vendido]],STOCK[],5,FALSE),"-")</f>
        <v>Sandalias de hebilla</v>
      </c>
      <c r="G820" s="10">
        <v>1</v>
      </c>
      <c r="H820" s="12">
        <v>18</v>
      </c>
      <c r="I820" s="12">
        <f>VENTAS[[#This Row],[Cantidad]]*VENTAS[[#This Row],[Precio Venta]]</f>
        <v>18</v>
      </c>
      <c r="J820" s="12">
        <f>IF(VENTAS[[#This Row],[Nombre del Gestor]]&gt;1,VENTAS[[#This Row],[Total]]*10%,0)</f>
        <v>0</v>
      </c>
      <c r="K820" s="12">
        <f>IFERROR(VLOOKUP(VENTAS[[#This Row],[Código del producto Vendido]],STOCK[],16,FALSE)*VENTAS[[#This Row],[Cantidad]]+VLOOKUP(VENTAS[[#This Row],[Código del producto Vendido]],STOCK[],19,FALSE)*VENTAS[[#This Row],[Cantidad]],VENTAS[[#This Row],[Total]])</f>
        <v>11</v>
      </c>
      <c r="L820" s="12">
        <f>VENTAS[[#This Row],[Total]]-VENTAS[[#This Row],[Comisión 10%]]-VENTAS[[#This Row],[Costo SIN Comision]]</f>
        <v>7</v>
      </c>
      <c r="M820" s="12"/>
      <c r="N820" s="16"/>
    </row>
    <row r="821" spans="1:14" ht="20" hidden="1" customHeight="1">
      <c r="A821" s="9">
        <v>45381</v>
      </c>
      <c r="B821" s="10"/>
      <c r="C821" s="10"/>
      <c r="D821" s="10"/>
      <c r="E821" s="10" t="s">
        <v>1524</v>
      </c>
      <c r="F821" s="10" t="str">
        <f>IFERROR(VLOOKUP(VENTAS[[#This Row],[Código del producto Vendido]],STOCK[],5,FALSE),"-")</f>
        <v>Zapato de punta fina y Tacón Cuadrado</v>
      </c>
      <c r="G821" s="10">
        <v>1</v>
      </c>
      <c r="H821" s="12">
        <v>45</v>
      </c>
      <c r="I821" s="12">
        <f>VENTAS[[#This Row],[Cantidad]]*VENTAS[[#This Row],[Precio Venta]]</f>
        <v>45</v>
      </c>
      <c r="J821" s="12">
        <f>IF(VENTAS[[#This Row],[Nombre del Gestor]]&gt;1,VENTAS[[#This Row],[Total]]*10%,0)</f>
        <v>0</v>
      </c>
      <c r="K821" s="12">
        <f>IFERROR(VLOOKUP(VENTAS[[#This Row],[Código del producto Vendido]],STOCK[],16,FALSE)*VENTAS[[#This Row],[Cantidad]]+VLOOKUP(VENTAS[[#This Row],[Código del producto Vendido]],STOCK[],19,FALSE)*VENTAS[[#This Row],[Cantidad]],VENTAS[[#This Row],[Total]])</f>
        <v>31</v>
      </c>
      <c r="L821" s="12">
        <f>VENTAS[[#This Row],[Total]]-VENTAS[[#This Row],[Comisión 10%]]-VENTAS[[#This Row],[Costo SIN Comision]]</f>
        <v>14</v>
      </c>
      <c r="M821" s="12"/>
      <c r="N821" s="16"/>
    </row>
    <row r="822" spans="1:14" ht="20" hidden="1" customHeight="1">
      <c r="A822" s="9">
        <v>45384</v>
      </c>
      <c r="B822" s="10"/>
      <c r="C822" s="10"/>
      <c r="D822" s="10"/>
      <c r="E822" s="10" t="s">
        <v>1764</v>
      </c>
      <c r="F822" s="10" t="str">
        <f>IFERROR(VLOOKUP(VENTAS[[#This Row],[Código del producto Vendido]],STOCK[],5,FALSE),"-")</f>
        <v>Zapatillas blanco casual</v>
      </c>
      <c r="G822" s="10">
        <v>1</v>
      </c>
      <c r="H822" s="12">
        <v>35</v>
      </c>
      <c r="I822" s="12">
        <f>VENTAS[[#This Row],[Cantidad]]*VENTAS[[#This Row],[Precio Venta]]</f>
        <v>35</v>
      </c>
      <c r="J822" s="12">
        <f>IF(VENTAS[[#This Row],[Nombre del Gestor]]&gt;1,VENTAS[[#This Row],[Total]]*10%,0)</f>
        <v>0</v>
      </c>
      <c r="K822" s="12">
        <f>IFERROR(VLOOKUP(VENTAS[[#This Row],[Código del producto Vendido]],STOCK[],16,FALSE)*VENTAS[[#This Row],[Cantidad]]+VLOOKUP(VENTAS[[#This Row],[Código del producto Vendido]],STOCK[],19,FALSE)*VENTAS[[#This Row],[Cantidad]],VENTAS[[#This Row],[Total]])</f>
        <v>25.470588235294102</v>
      </c>
      <c r="L822" s="12">
        <f>VENTAS[[#This Row],[Total]]-VENTAS[[#This Row],[Comisión 10%]]-VENTAS[[#This Row],[Costo SIN Comision]]</f>
        <v>9.5294117647058982</v>
      </c>
      <c r="M822" s="12"/>
      <c r="N822" s="16"/>
    </row>
    <row r="823" spans="1:14" ht="20" hidden="1" customHeight="1">
      <c r="A823" s="9">
        <v>45384</v>
      </c>
      <c r="B823" s="10"/>
      <c r="C823" s="10"/>
      <c r="D823" s="10" t="s">
        <v>4349</v>
      </c>
      <c r="E823" s="10" t="s">
        <v>31</v>
      </c>
      <c r="F823" s="10" t="str">
        <f>IFERROR(VLOOKUP(VENTAS[[#This Row],[Código del producto Vendido]],STOCK[],5,FALSE),"-")</f>
        <v xml:space="preserve">Pareo falda </v>
      </c>
      <c r="G823" s="10">
        <v>1</v>
      </c>
      <c r="H823" s="12">
        <v>8</v>
      </c>
      <c r="I823" s="12">
        <f>VENTAS[[#This Row],[Cantidad]]*VENTAS[[#This Row],[Precio Venta]]</f>
        <v>8</v>
      </c>
      <c r="J823" s="12">
        <f>IF(VENTAS[[#This Row],[Nombre del Gestor]]&gt;1,VENTAS[[#This Row],[Total]]*10%,0)</f>
        <v>0.8</v>
      </c>
      <c r="K823" s="12">
        <f>IFERROR(VLOOKUP(VENTAS[[#This Row],[Código del producto Vendido]],STOCK[],16,FALSE)*VENTAS[[#This Row],[Cantidad]]+VLOOKUP(VENTAS[[#This Row],[Código del producto Vendido]],STOCK[],19,FALSE)*VENTAS[[#This Row],[Cantidad]],VENTAS[[#This Row],[Total]])</f>
        <v>4.3372222222222199</v>
      </c>
      <c r="L823" s="12">
        <f>VENTAS[[#This Row],[Total]]-VENTAS[[#This Row],[Comisión 10%]]-VENTAS[[#This Row],[Costo SIN Comision]]</f>
        <v>2.8627777777777803</v>
      </c>
      <c r="M823" s="12"/>
      <c r="N823" s="16"/>
    </row>
    <row r="824" spans="1:14" ht="20" hidden="1" customHeight="1">
      <c r="A824" s="9">
        <v>45384</v>
      </c>
      <c r="B824" s="10"/>
      <c r="C824" s="10"/>
      <c r="D824" s="10" t="s">
        <v>4349</v>
      </c>
      <c r="E824" s="10" t="s">
        <v>1788</v>
      </c>
      <c r="F824" s="10" t="str">
        <f>IFERROR(VLOOKUP(VENTAS[[#This Row],[Código del producto Vendido]],STOCK[],5,FALSE),"-")</f>
        <v>Traje de baño blanco sexy</v>
      </c>
      <c r="G824" s="10">
        <v>1</v>
      </c>
      <c r="H824" s="12">
        <v>20</v>
      </c>
      <c r="I824" s="12">
        <f>VENTAS[[#This Row],[Cantidad]]*VENTAS[[#This Row],[Precio Venta]]</f>
        <v>20</v>
      </c>
      <c r="J824" s="12">
        <f>IF(VENTAS[[#This Row],[Nombre del Gestor]]&gt;1,VENTAS[[#This Row],[Total]]*10%,0)</f>
        <v>2</v>
      </c>
      <c r="K824" s="12">
        <f>IFERROR(VLOOKUP(VENTAS[[#This Row],[Código del producto Vendido]],STOCK[],16,FALSE)*VENTAS[[#This Row],[Cantidad]]+VLOOKUP(VENTAS[[#This Row],[Código del producto Vendido]],STOCK[],19,FALSE)*VENTAS[[#This Row],[Cantidad]],VENTAS[[#This Row],[Total]])</f>
        <v>9.5882352941176503</v>
      </c>
      <c r="L824" s="12">
        <f>VENTAS[[#This Row],[Total]]-VENTAS[[#This Row],[Comisión 10%]]-VENTAS[[#This Row],[Costo SIN Comision]]</f>
        <v>8.4117647058823497</v>
      </c>
      <c r="M824" s="12"/>
      <c r="N824" s="16"/>
    </row>
    <row r="825" spans="1:14" ht="20" hidden="1" customHeight="1">
      <c r="A825" s="9">
        <v>45386</v>
      </c>
      <c r="B825" s="10"/>
      <c r="C825" s="10"/>
      <c r="D825" s="10" t="s">
        <v>4349</v>
      </c>
      <c r="E825" s="10" t="s">
        <v>826</v>
      </c>
      <c r="F825" s="10" t="str">
        <f>IFERROR(VLOOKUP(VENTAS[[#This Row],[Código del producto Vendido]],STOCK[],5,FALSE),"-")</f>
        <v>Bikini cintura alta</v>
      </c>
      <c r="G825" s="10">
        <v>1</v>
      </c>
      <c r="H825" s="12">
        <v>12</v>
      </c>
      <c r="I825" s="12">
        <f>VENTAS[[#This Row],[Cantidad]]*VENTAS[[#This Row],[Precio Venta]]</f>
        <v>12</v>
      </c>
      <c r="J825" s="12">
        <f>IF(VENTAS[[#This Row],[Nombre del Gestor]]&gt;1,VENTAS[[#This Row],[Total]]*10%,0)</f>
        <v>1.2000000000000002</v>
      </c>
      <c r="K825" s="12">
        <f>IFERROR(VLOOKUP(VENTAS[[#This Row],[Código del producto Vendido]],STOCK[],16,FALSE)*VENTAS[[#This Row],[Cantidad]]+VLOOKUP(VENTAS[[#This Row],[Código del producto Vendido]],STOCK[],19,FALSE)*VENTAS[[#This Row],[Cantidad]],VENTAS[[#This Row],[Total]])</f>
        <v>7.0555555555555598</v>
      </c>
      <c r="L825" s="12">
        <f>VENTAS[[#This Row],[Total]]-VENTAS[[#This Row],[Comisión 10%]]-VENTAS[[#This Row],[Costo SIN Comision]]</f>
        <v>3.7444444444444409</v>
      </c>
      <c r="M825" s="12"/>
      <c r="N825" s="16"/>
    </row>
    <row r="826" spans="1:14" ht="20" hidden="1" customHeight="1">
      <c r="A826" s="9" t="s">
        <v>4333</v>
      </c>
      <c r="B826" s="10"/>
      <c r="C826" s="10" t="s">
        <v>4354</v>
      </c>
      <c r="D826" s="10"/>
      <c r="E826" s="10" t="s">
        <v>1744</v>
      </c>
      <c r="F826" s="10" t="str">
        <f>IFERROR(VLOOKUP(VENTAS[[#This Row],[Código del producto Vendido]],STOCK[],5,FALSE),"-")</f>
        <v>Kimono Dazy Elegante</v>
      </c>
      <c r="G826" s="10">
        <v>1</v>
      </c>
      <c r="H826" s="12">
        <v>0</v>
      </c>
      <c r="I826" s="12">
        <f>VENTAS[[#This Row],[Cantidad]]*VENTAS[[#This Row],[Precio Venta]]</f>
        <v>0</v>
      </c>
      <c r="J826" s="12">
        <f>IF(VENTAS[[#This Row],[Nombre del Gestor]]&gt;1,VENTAS[[#This Row],[Total]]*10%,0)</f>
        <v>0</v>
      </c>
      <c r="K826" s="12">
        <f>IFERROR(VLOOKUP(VENTAS[[#This Row],[Código del producto Vendido]],STOCK[],16,FALSE)*VENTAS[[#This Row],[Cantidad]]+VLOOKUP(VENTAS[[#This Row],[Código del producto Vendido]],STOCK[],19,FALSE)*VENTAS[[#This Row],[Cantidad]],VENTAS[[#This Row],[Total]])</f>
        <v>13.352941176470591</v>
      </c>
      <c r="L826" s="12">
        <f>VENTAS[[#This Row],[Total]]-VENTAS[[#This Row],[Comisión 10%]]-VENTAS[[#This Row],[Costo SIN Comision]]</f>
        <v>-13.352941176470591</v>
      </c>
      <c r="M826" s="12"/>
      <c r="N826" s="16"/>
    </row>
    <row r="827" spans="1:14" ht="20" hidden="1" customHeight="1">
      <c r="A827" s="9" t="s">
        <v>4333</v>
      </c>
      <c r="B827" s="10"/>
      <c r="C827" s="10"/>
      <c r="D827" s="10"/>
      <c r="E827" s="10" t="s">
        <v>1617</v>
      </c>
      <c r="F827" s="10" t="str">
        <f>IFERROR(VLOOKUP(VENTAS[[#This Row],[Código del producto Vendido]],STOCK[],5,FALSE),"-")</f>
        <v>Camisa Modely</v>
      </c>
      <c r="G827" s="10">
        <v>1</v>
      </c>
      <c r="H827" s="12">
        <v>22</v>
      </c>
      <c r="I827" s="12">
        <f>VENTAS[[#This Row],[Cantidad]]*VENTAS[[#This Row],[Precio Venta]]</f>
        <v>22</v>
      </c>
      <c r="J827" s="12">
        <f>IF(VENTAS[[#This Row],[Nombre del Gestor]]&gt;1,VENTAS[[#This Row],[Total]]*10%,0)</f>
        <v>0</v>
      </c>
      <c r="K827" s="12">
        <f>IFERROR(VLOOKUP(VENTAS[[#This Row],[Código del producto Vendido]],STOCK[],16,FALSE)*VENTAS[[#This Row],[Cantidad]]+VLOOKUP(VENTAS[[#This Row],[Código del producto Vendido]],STOCK[],19,FALSE)*VENTAS[[#This Row],[Cantidad]],VENTAS[[#This Row],[Total]])</f>
        <v>9.74</v>
      </c>
      <c r="L827" s="12">
        <f>VENTAS[[#This Row],[Total]]-VENTAS[[#This Row],[Comisión 10%]]-VENTAS[[#This Row],[Costo SIN Comision]]</f>
        <v>12.26</v>
      </c>
      <c r="M827" s="12"/>
      <c r="N827" s="16"/>
    </row>
    <row r="828" spans="1:14" ht="20" hidden="1" customHeight="1">
      <c r="A828" s="9" t="s">
        <v>4333</v>
      </c>
      <c r="B828" s="10"/>
      <c r="C828" s="10"/>
      <c r="D828" s="10"/>
      <c r="E828" s="10" t="s">
        <v>997</v>
      </c>
      <c r="F828" s="10" t="str">
        <f>IFERROR(VLOOKUP(VENTAS[[#This Row],[Código del producto Vendido]],STOCK[],5,FALSE),"-")</f>
        <v>Top Acanalado</v>
      </c>
      <c r="G828" s="10">
        <v>1</v>
      </c>
      <c r="H828" s="12">
        <v>13</v>
      </c>
      <c r="I828" s="12">
        <f>VENTAS[[#This Row],[Cantidad]]*VENTAS[[#This Row],[Precio Venta]]</f>
        <v>13</v>
      </c>
      <c r="J828" s="12">
        <f>IF(VENTAS[[#This Row],[Nombre del Gestor]]&gt;1,VENTAS[[#This Row],[Total]]*10%,0)</f>
        <v>0</v>
      </c>
      <c r="K828" s="12">
        <f>IFERROR(VLOOKUP(VENTAS[[#This Row],[Código del producto Vendido]],STOCK[],16,FALSE)*VENTAS[[#This Row],[Cantidad]]+VLOOKUP(VENTAS[[#This Row],[Código del producto Vendido]],STOCK[],19,FALSE)*VENTAS[[#This Row],[Cantidad]],VENTAS[[#This Row],[Total]])</f>
        <v>9.2799999999999994</v>
      </c>
      <c r="L828" s="12">
        <f>VENTAS[[#This Row],[Total]]-VENTAS[[#This Row],[Comisión 10%]]-VENTAS[[#This Row],[Costo SIN Comision]]</f>
        <v>3.7200000000000006</v>
      </c>
      <c r="M828" s="12"/>
      <c r="N828" s="16"/>
    </row>
    <row r="829" spans="1:14" ht="20" hidden="1" customHeight="1">
      <c r="A829" s="9"/>
      <c r="B829" s="10"/>
      <c r="C829" s="10"/>
      <c r="D829" s="10"/>
      <c r="E829" s="10"/>
      <c r="F829" s="10" t="str">
        <f>IFERROR(VLOOKUP(VENTAS[[#This Row],[Código del producto Vendido]],STOCK[],5,FALSE),"-")</f>
        <v>-</v>
      </c>
      <c r="G829" s="10">
        <v>1</v>
      </c>
      <c r="H829" s="12">
        <v>25</v>
      </c>
      <c r="I829" s="12">
        <f>VENTAS[[#This Row],[Cantidad]]*VENTAS[[#This Row],[Precio Venta]]</f>
        <v>25</v>
      </c>
      <c r="J829" s="12">
        <f>IF(VENTAS[[#This Row],[Nombre del Gestor]]&gt;1,VENTAS[[#This Row],[Total]]*10%,0)</f>
        <v>0</v>
      </c>
      <c r="K829" s="12">
        <f>IFERROR(VLOOKUP(VENTAS[[#This Row],[Código del producto Vendido]],STOCK[],16,FALSE)*VENTAS[[#This Row],[Cantidad]]+VLOOKUP(VENTAS[[#This Row],[Código del producto Vendido]],STOCK[],19,FALSE)*VENTAS[[#This Row],[Cantidad]],VENTAS[[#This Row],[Total]])</f>
        <v>25</v>
      </c>
      <c r="L829" s="12">
        <f>VENTAS[[#This Row],[Total]]-VENTAS[[#This Row],[Comisión 10%]]-VENTAS[[#This Row],[Costo SIN Comision]]</f>
        <v>0</v>
      </c>
      <c r="M829" s="12"/>
      <c r="N829" s="16"/>
    </row>
    <row r="830" spans="1:14" ht="20" hidden="1" customHeight="1">
      <c r="A830" s="9">
        <v>45387</v>
      </c>
      <c r="B830" s="10"/>
      <c r="C830" s="10" t="s">
        <v>4355</v>
      </c>
      <c r="D830" s="10" t="s">
        <v>4349</v>
      </c>
      <c r="E830" s="10" t="s">
        <v>64</v>
      </c>
      <c r="F830" s="10" t="str">
        <f>IFERROR(VLOOKUP(VENTAS[[#This Row],[Código del producto Vendido]],STOCK[],5,FALSE),"-")</f>
        <v>Enguatada con protección UV</v>
      </c>
      <c r="G830" s="10">
        <v>1</v>
      </c>
      <c r="H830" s="12">
        <v>17</v>
      </c>
      <c r="I830" s="12">
        <f>VENTAS[[#This Row],[Cantidad]]*VENTAS[[#This Row],[Precio Venta]]</f>
        <v>17</v>
      </c>
      <c r="J830" s="12">
        <f>IF(VENTAS[[#This Row],[Nombre del Gestor]]&gt;1,VENTAS[[#This Row],[Total]]*10%,0)</f>
        <v>1.7000000000000002</v>
      </c>
      <c r="K830" s="12">
        <f>IFERROR(VLOOKUP(VENTAS[[#This Row],[Código del producto Vendido]],STOCK[],16,FALSE)*VENTAS[[#This Row],[Cantidad]]+VLOOKUP(VENTAS[[#This Row],[Código del producto Vendido]],STOCK[],19,FALSE)*VENTAS[[#This Row],[Cantidad]],VENTAS[[#This Row],[Total]])</f>
        <v>12.39666666666667</v>
      </c>
      <c r="L830" s="12">
        <f>VENTAS[[#This Row],[Total]]-VENTAS[[#This Row],[Comisión 10%]]-VENTAS[[#This Row],[Costo SIN Comision]]</f>
        <v>2.9033333333333307</v>
      </c>
      <c r="M830" s="12"/>
      <c r="N830" s="16"/>
    </row>
    <row r="831" spans="1:14" ht="20" hidden="1" customHeight="1">
      <c r="A831" s="9" t="s">
        <v>4333</v>
      </c>
      <c r="B831" s="10"/>
      <c r="C831" s="10"/>
      <c r="D831" s="10"/>
      <c r="E831" s="10" t="s">
        <v>662</v>
      </c>
      <c r="F831" s="10" t="str">
        <f>IFERROR(VLOOKUP(VENTAS[[#This Row],[Código del producto Vendido]],STOCK[],5,FALSE),"-")</f>
        <v>Top Cruzado negro</v>
      </c>
      <c r="G831" s="10">
        <v>2</v>
      </c>
      <c r="H831" s="12">
        <v>9</v>
      </c>
      <c r="I831" s="12">
        <f>VENTAS[[#This Row],[Cantidad]]*VENTAS[[#This Row],[Precio Venta]]</f>
        <v>18</v>
      </c>
      <c r="J831" s="12">
        <f>IF(VENTAS[[#This Row],[Nombre del Gestor]]&gt;1,VENTAS[[#This Row],[Total]]*10%,0)</f>
        <v>0</v>
      </c>
      <c r="K831" s="12">
        <f>IFERROR(VLOOKUP(VENTAS[[#This Row],[Código del producto Vendido]],STOCK[],16,FALSE)*VENTAS[[#This Row],[Cantidad]]+VLOOKUP(VENTAS[[#This Row],[Código del producto Vendido]],STOCK[],19,FALSE)*VENTAS[[#This Row],[Cantidad]],VENTAS[[#This Row],[Total]])</f>
        <v>9.8033333333333399</v>
      </c>
      <c r="L831" s="12">
        <f>VENTAS[[#This Row],[Total]]-VENTAS[[#This Row],[Comisión 10%]]-VENTAS[[#This Row],[Costo SIN Comision]]</f>
        <v>8.1966666666666601</v>
      </c>
      <c r="M831" s="12"/>
      <c r="N831" s="16"/>
    </row>
    <row r="832" spans="1:14" ht="20" hidden="1" customHeight="1">
      <c r="A832" s="9" t="s">
        <v>4333</v>
      </c>
      <c r="B832" s="10"/>
      <c r="C832" s="10"/>
      <c r="D832" s="10"/>
      <c r="E832" s="10" t="s">
        <v>1672</v>
      </c>
      <c r="F832" s="10" t="str">
        <f>IFERROR(VLOOKUP(VENTAS[[#This Row],[Código del producto Vendido]],STOCK[],5,FALSE),"-")</f>
        <v>Conjunto Albaricoque</v>
      </c>
      <c r="G832" s="10">
        <v>1</v>
      </c>
      <c r="H832" s="12">
        <v>27</v>
      </c>
      <c r="I832" s="12">
        <f>VENTAS[[#This Row],[Cantidad]]*VENTAS[[#This Row],[Precio Venta]]</f>
        <v>27</v>
      </c>
      <c r="J832" s="12">
        <f>IF(VENTAS[[#This Row],[Nombre del Gestor]]&gt;1,VENTAS[[#This Row],[Total]]*10%,0)</f>
        <v>0</v>
      </c>
      <c r="K832" s="12">
        <f>IFERROR(VLOOKUP(VENTAS[[#This Row],[Código del producto Vendido]],STOCK[],16,FALSE)*VENTAS[[#This Row],[Cantidad]]+VLOOKUP(VENTAS[[#This Row],[Código del producto Vendido]],STOCK[],19,FALSE)*VENTAS[[#This Row],[Cantidad]],VENTAS[[#This Row],[Total]])</f>
        <v>13.97</v>
      </c>
      <c r="L832" s="12">
        <f>VENTAS[[#This Row],[Total]]-VENTAS[[#This Row],[Comisión 10%]]-VENTAS[[#This Row],[Costo SIN Comision]]</f>
        <v>13.03</v>
      </c>
      <c r="M832" s="12"/>
      <c r="N832" s="16"/>
    </row>
    <row r="833" spans="1:14" ht="20" hidden="1" customHeight="1">
      <c r="A833" s="9">
        <v>45386</v>
      </c>
      <c r="B833" s="10"/>
      <c r="C833" s="10" t="s">
        <v>4355</v>
      </c>
      <c r="D833" s="10" t="s">
        <v>4349</v>
      </c>
      <c r="E833" s="10" t="s">
        <v>1670</v>
      </c>
      <c r="F833" s="10" t="str">
        <f>IFERROR(VLOOKUP(VENTAS[[#This Row],[Código del producto Vendido]],STOCK[],5,FALSE),"-")</f>
        <v xml:space="preserve">Vestido cruzado </v>
      </c>
      <c r="G833" s="10">
        <v>1</v>
      </c>
      <c r="H833" s="12">
        <v>23</v>
      </c>
      <c r="I833" s="12">
        <f>VENTAS[[#This Row],[Cantidad]]*VENTAS[[#This Row],[Precio Venta]]</f>
        <v>23</v>
      </c>
      <c r="J833" s="12">
        <f>IF(VENTAS[[#This Row],[Nombre del Gestor]]&gt;1,VENTAS[[#This Row],[Total]]*10%,0)</f>
        <v>2.3000000000000003</v>
      </c>
      <c r="K833" s="12">
        <f>IFERROR(VLOOKUP(VENTAS[[#This Row],[Código del producto Vendido]],STOCK[],16,FALSE)*VENTAS[[#This Row],[Cantidad]]+VLOOKUP(VENTAS[[#This Row],[Código del producto Vendido]],STOCK[],19,FALSE)*VENTAS[[#This Row],[Cantidad]],VENTAS[[#This Row],[Total]])</f>
        <v>14.65</v>
      </c>
      <c r="L833" s="12">
        <f>VENTAS[[#This Row],[Total]]-VENTAS[[#This Row],[Comisión 10%]]-VENTAS[[#This Row],[Costo SIN Comision]]</f>
        <v>6.0499999999999989</v>
      </c>
      <c r="M833" s="12"/>
      <c r="N833" s="16"/>
    </row>
    <row r="834" spans="1:14" ht="20" hidden="1" customHeight="1">
      <c r="A834" s="9">
        <v>45387</v>
      </c>
      <c r="B834" s="10"/>
      <c r="C834" s="10" t="s">
        <v>4355</v>
      </c>
      <c r="D834" s="10" t="s">
        <v>4349</v>
      </c>
      <c r="E834" s="10" t="s">
        <v>412</v>
      </c>
      <c r="F834" s="10" t="str">
        <f>IFERROR(VLOOKUP(VENTAS[[#This Row],[Código del producto Vendido]],STOCK[],5,FALSE),"-")</f>
        <v>Bikini Floral</v>
      </c>
      <c r="G834" s="10">
        <v>1</v>
      </c>
      <c r="H834" s="12">
        <v>22</v>
      </c>
      <c r="I834" s="12">
        <f>VENTAS[[#This Row],[Cantidad]]*VENTAS[[#This Row],[Precio Venta]]</f>
        <v>22</v>
      </c>
      <c r="J834" s="12">
        <f>IF(VENTAS[[#This Row],[Nombre del Gestor]]&gt;1,VENTAS[[#This Row],[Total]]*10%,0)</f>
        <v>2.2000000000000002</v>
      </c>
      <c r="K834" s="12">
        <f>IFERROR(VLOOKUP(VENTAS[[#This Row],[Código del producto Vendido]],STOCK[],16,FALSE)*VENTAS[[#This Row],[Cantidad]]+VLOOKUP(VENTAS[[#This Row],[Código del producto Vendido]],STOCK[],19,FALSE)*VENTAS[[#This Row],[Cantidad]],VENTAS[[#This Row],[Total]])</f>
        <v>13.9444444444444</v>
      </c>
      <c r="L834" s="12">
        <f>VENTAS[[#This Row],[Total]]-VENTAS[[#This Row],[Comisión 10%]]-VENTAS[[#This Row],[Costo SIN Comision]]</f>
        <v>5.8555555555556005</v>
      </c>
      <c r="M834" s="12"/>
      <c r="N834" s="16"/>
    </row>
    <row r="835" spans="1:14" ht="20" hidden="1" customHeight="1">
      <c r="A835" s="9">
        <v>45387</v>
      </c>
      <c r="B835" s="10"/>
      <c r="C835" s="10" t="s">
        <v>4355</v>
      </c>
      <c r="D835" s="10" t="s">
        <v>4349</v>
      </c>
      <c r="E835" s="10" t="s">
        <v>407</v>
      </c>
      <c r="F835" s="10" t="str">
        <f>IFERROR(VLOOKUP(VENTAS[[#This Row],[Código del producto Vendido]],STOCK[],5,FALSE),"-")</f>
        <v xml:space="preserve">Bañador una pieza de color combinado </v>
      </c>
      <c r="G835" s="10">
        <v>1</v>
      </c>
      <c r="H835" s="12">
        <v>18</v>
      </c>
      <c r="I835" s="12">
        <f>VENTAS[[#This Row],[Cantidad]]*VENTAS[[#This Row],[Precio Venta]]</f>
        <v>18</v>
      </c>
      <c r="J835" s="12">
        <f>IF(VENTAS[[#This Row],[Nombre del Gestor]]&gt;1,VENTAS[[#This Row],[Total]]*10%,0)</f>
        <v>1.8</v>
      </c>
      <c r="K835" s="12">
        <f>IFERROR(VLOOKUP(VENTAS[[#This Row],[Código del producto Vendido]],STOCK[],16,FALSE)*VENTAS[[#This Row],[Cantidad]]+VLOOKUP(VENTAS[[#This Row],[Código del producto Vendido]],STOCK[],19,FALSE)*VENTAS[[#This Row],[Cantidad]],VENTAS[[#This Row],[Total]])</f>
        <v>9.6666666666666696</v>
      </c>
      <c r="L835" s="12">
        <f>VENTAS[[#This Row],[Total]]-VENTAS[[#This Row],[Comisión 10%]]-VENTAS[[#This Row],[Costo SIN Comision]]</f>
        <v>6.5333333333333297</v>
      </c>
      <c r="M835" s="12"/>
      <c r="N835" s="16"/>
    </row>
    <row r="836" spans="1:14" ht="20" hidden="1" customHeight="1">
      <c r="A836" s="9">
        <v>45387</v>
      </c>
      <c r="B836" s="10"/>
      <c r="C836" s="10" t="s">
        <v>4355</v>
      </c>
      <c r="D836" s="10" t="s">
        <v>4349</v>
      </c>
      <c r="E836" s="10" t="s">
        <v>493</v>
      </c>
      <c r="F836" s="10" t="str">
        <f>IFERROR(VLOOKUP(VENTAS[[#This Row],[Código del producto Vendido]],STOCK[],5,FALSE),"-")</f>
        <v>Bañador de talle alto con vuelos</v>
      </c>
      <c r="G836" s="10">
        <v>1</v>
      </c>
      <c r="H836" s="12">
        <v>22</v>
      </c>
      <c r="I836" s="12">
        <f>VENTAS[[#This Row],[Cantidad]]*VENTAS[[#This Row],[Precio Venta]]</f>
        <v>22</v>
      </c>
      <c r="J836" s="12">
        <f>IF(VENTAS[[#This Row],[Nombre del Gestor]]&gt;1,VENTAS[[#This Row],[Total]]*10%,0)</f>
        <v>2.2000000000000002</v>
      </c>
      <c r="K836" s="12">
        <f>IFERROR(VLOOKUP(VENTAS[[#This Row],[Código del producto Vendido]],STOCK[],16,FALSE)*VENTAS[[#This Row],[Cantidad]]+VLOOKUP(VENTAS[[#This Row],[Código del producto Vendido]],STOCK[],19,FALSE)*VENTAS[[#This Row],[Cantidad]],VENTAS[[#This Row],[Total]])</f>
        <v>12.4805555555556</v>
      </c>
      <c r="L836" s="12">
        <f>VENTAS[[#This Row],[Total]]-VENTAS[[#This Row],[Comisión 10%]]-VENTAS[[#This Row],[Costo SIN Comision]]</f>
        <v>7.3194444444444002</v>
      </c>
      <c r="M836" s="12"/>
      <c r="N836" s="16"/>
    </row>
    <row r="837" spans="1:14" ht="20" hidden="1" customHeight="1">
      <c r="A837" s="9">
        <v>45390</v>
      </c>
      <c r="B837" s="10"/>
      <c r="C837" s="10"/>
      <c r="D837" s="10" t="s">
        <v>4349</v>
      </c>
      <c r="E837" s="10" t="s">
        <v>1752</v>
      </c>
      <c r="F837" s="10" t="str">
        <f>IFERROR(VLOOKUP(VENTAS[[#This Row],[Código del producto Vendido]],STOCK[],5,FALSE),"-")</f>
        <v>Traje de baño de mangas estampadas</v>
      </c>
      <c r="G837" s="10">
        <v>2</v>
      </c>
      <c r="H837" s="12">
        <v>25</v>
      </c>
      <c r="I837" s="12">
        <f>VENTAS[[#This Row],[Cantidad]]*VENTAS[[#This Row],[Precio Venta]]</f>
        <v>50</v>
      </c>
      <c r="J837" s="12">
        <f>IF(VENTAS[[#This Row],[Nombre del Gestor]]&gt;1,VENTAS[[#This Row],[Total]]*10%,0)</f>
        <v>5</v>
      </c>
      <c r="K837" s="12">
        <f>IFERROR(VLOOKUP(VENTAS[[#This Row],[Código del producto Vendido]],STOCK[],16,FALSE)*VENTAS[[#This Row],[Cantidad]]+VLOOKUP(VENTAS[[#This Row],[Código del producto Vendido]],STOCK[],19,FALSE)*VENTAS[[#This Row],[Cantidad]],VENTAS[[#This Row],[Total]])</f>
        <v>24.823529411764799</v>
      </c>
      <c r="L837" s="12">
        <f>VENTAS[[#This Row],[Total]]-VENTAS[[#This Row],[Comisión 10%]]-VENTAS[[#This Row],[Costo SIN Comision]]</f>
        <v>20.176470588235201</v>
      </c>
      <c r="M837" s="12"/>
      <c r="N837" s="16"/>
    </row>
    <row r="838" spans="1:14" ht="20" hidden="1" customHeight="1">
      <c r="A838" s="9">
        <v>45389</v>
      </c>
      <c r="B838" s="10"/>
      <c r="C838" s="10"/>
      <c r="D838" s="10" t="s">
        <v>4349</v>
      </c>
      <c r="E838" s="10" t="s">
        <v>1783</v>
      </c>
      <c r="F838" s="10" t="str">
        <f>IFERROR(VLOOKUP(VENTAS[[#This Row],[Código del producto Vendido]],STOCK[],5,FALSE),"-")</f>
        <v>Conjunto de bikini moca</v>
      </c>
      <c r="G838" s="10">
        <v>1</v>
      </c>
      <c r="H838" s="12">
        <v>20</v>
      </c>
      <c r="I838" s="12">
        <f>VENTAS[[#This Row],[Cantidad]]*VENTAS[[#This Row],[Precio Venta]]</f>
        <v>20</v>
      </c>
      <c r="J838" s="12">
        <f>IF(VENTAS[[#This Row],[Nombre del Gestor]]&gt;1,VENTAS[[#This Row],[Total]]*10%,0)</f>
        <v>2</v>
      </c>
      <c r="K838" s="12">
        <f>IFERROR(VLOOKUP(VENTAS[[#This Row],[Código del producto Vendido]],STOCK[],16,FALSE)*VENTAS[[#This Row],[Cantidad]]+VLOOKUP(VENTAS[[#This Row],[Código del producto Vendido]],STOCK[],19,FALSE)*VENTAS[[#This Row],[Cantidad]],VENTAS[[#This Row],[Total]])</f>
        <v>12.352941176470591</v>
      </c>
      <c r="L838" s="12">
        <f>VENTAS[[#This Row],[Total]]-VENTAS[[#This Row],[Comisión 10%]]-VENTAS[[#This Row],[Costo SIN Comision]]</f>
        <v>5.6470588235294095</v>
      </c>
      <c r="M838" s="12"/>
      <c r="N838" s="16"/>
    </row>
    <row r="839" spans="1:14" ht="20" hidden="1" customHeight="1">
      <c r="A839" s="9" t="s">
        <v>4333</v>
      </c>
      <c r="B839" s="10"/>
      <c r="C839" s="10"/>
      <c r="D839" s="10"/>
      <c r="E839" s="10" t="s">
        <v>974</v>
      </c>
      <c r="F839" s="10" t="str">
        <f>IFERROR(VLOOKUP(VENTAS[[#This Row],[Código del producto Vendido]],STOCK[],5,FALSE),"-")</f>
        <v>Bañador despalda descubierta</v>
      </c>
      <c r="G839" s="10">
        <v>1</v>
      </c>
      <c r="H839" s="12">
        <v>25</v>
      </c>
      <c r="I839" s="12">
        <f>VENTAS[[#This Row],[Cantidad]]*VENTAS[[#This Row],[Precio Venta]]</f>
        <v>25</v>
      </c>
      <c r="J839" s="12">
        <f>IF(VENTAS[[#This Row],[Nombre del Gestor]]&gt;1,VENTAS[[#This Row],[Total]]*10%,0)</f>
        <v>0</v>
      </c>
      <c r="K839" s="12">
        <f>IFERROR(VLOOKUP(VENTAS[[#This Row],[Código del producto Vendido]],STOCK[],16,FALSE)*VENTAS[[#This Row],[Cantidad]]+VLOOKUP(VENTAS[[#This Row],[Código del producto Vendido]],STOCK[],19,FALSE)*VENTAS[[#This Row],[Cantidad]],VENTAS[[#This Row],[Total]])</f>
        <v>15.324999999999999</v>
      </c>
      <c r="L839" s="12">
        <f>VENTAS[[#This Row],[Total]]-VENTAS[[#This Row],[Comisión 10%]]-VENTAS[[#This Row],[Costo SIN Comision]]</f>
        <v>9.6750000000000007</v>
      </c>
      <c r="M839" s="12"/>
      <c r="N839" s="16"/>
    </row>
    <row r="840" spans="1:14" ht="20" hidden="1" customHeight="1">
      <c r="A840" s="9">
        <v>45386</v>
      </c>
      <c r="B840" s="10"/>
      <c r="C840" s="10"/>
      <c r="D840" s="10" t="s">
        <v>4349</v>
      </c>
      <c r="E840" s="10" t="s">
        <v>405</v>
      </c>
      <c r="F840" s="10" t="str">
        <f>IFERROR(VLOOKUP(VENTAS[[#This Row],[Código del producto Vendido]],STOCK[],5,FALSE),"-")</f>
        <v>Vestido Bohemio</v>
      </c>
      <c r="G840" s="10">
        <v>1</v>
      </c>
      <c r="H840" s="12">
        <v>20</v>
      </c>
      <c r="I840" s="12">
        <f>VENTAS[[#This Row],[Cantidad]]*VENTAS[[#This Row],[Precio Venta]]</f>
        <v>20</v>
      </c>
      <c r="J840" s="12">
        <f>IF(VENTAS[[#This Row],[Nombre del Gestor]]&gt;1,VENTAS[[#This Row],[Total]]*10%,0)</f>
        <v>2</v>
      </c>
      <c r="K840" s="12">
        <f>IFERROR(VLOOKUP(VENTAS[[#This Row],[Código del producto Vendido]],STOCK[],16,FALSE)*VENTAS[[#This Row],[Cantidad]]+VLOOKUP(VENTAS[[#This Row],[Código del producto Vendido]],STOCK[],19,FALSE)*VENTAS[[#This Row],[Cantidad]],VENTAS[[#This Row],[Total]])</f>
        <v>12.570555555555559</v>
      </c>
      <c r="L840" s="12">
        <f>VENTAS[[#This Row],[Total]]-VENTAS[[#This Row],[Comisión 10%]]-VENTAS[[#This Row],[Costo SIN Comision]]</f>
        <v>5.4294444444444405</v>
      </c>
      <c r="M840" s="12"/>
      <c r="N840" s="16"/>
    </row>
    <row r="841" spans="1:14" ht="20" hidden="1" customHeight="1">
      <c r="A841" s="9">
        <v>45383</v>
      </c>
      <c r="B841" s="10"/>
      <c r="C841" s="10"/>
      <c r="D841" s="10" t="s">
        <v>4349</v>
      </c>
      <c r="E841" s="10" t="s">
        <v>1416</v>
      </c>
      <c r="F841" s="10" t="str">
        <f>IFERROR(VLOOKUP(VENTAS[[#This Row],[Código del producto Vendido]],STOCK[],5,FALSE),"-")</f>
        <v>Jean MOM con rotos</v>
      </c>
      <c r="G841" s="10">
        <v>1</v>
      </c>
      <c r="H841" s="12">
        <v>32</v>
      </c>
      <c r="I841" s="12">
        <f>VENTAS[[#This Row],[Cantidad]]*VENTAS[[#This Row],[Precio Venta]]</f>
        <v>32</v>
      </c>
      <c r="J841" s="12">
        <f>IF(VENTAS[[#This Row],[Nombre del Gestor]]&gt;1,VENTAS[[#This Row],[Total]]*10%,0)</f>
        <v>3.2</v>
      </c>
      <c r="K841" s="12">
        <f>IFERROR(VLOOKUP(VENTAS[[#This Row],[Código del producto Vendido]],STOCK[],16,FALSE)*VENTAS[[#This Row],[Cantidad]]+VLOOKUP(VENTAS[[#This Row],[Código del producto Vendido]],STOCK[],19,FALSE)*VENTAS[[#This Row],[Cantidad]],VENTAS[[#This Row],[Total]])</f>
        <v>20</v>
      </c>
      <c r="L841" s="12">
        <f>VENTAS[[#This Row],[Total]]-VENTAS[[#This Row],[Comisión 10%]]-VENTAS[[#This Row],[Costo SIN Comision]]</f>
        <v>8.8000000000000007</v>
      </c>
      <c r="M841" s="12"/>
      <c r="N841" s="16"/>
    </row>
    <row r="842" spans="1:14" ht="20" hidden="1" customHeight="1">
      <c r="A842" s="9">
        <v>45393</v>
      </c>
      <c r="B842" s="10"/>
      <c r="C842" s="10"/>
      <c r="D842" s="10" t="s">
        <v>4349</v>
      </c>
      <c r="E842" s="10" t="s">
        <v>1303</v>
      </c>
      <c r="F842" s="10" t="str">
        <f>IFERROR(VLOOKUP(VENTAS[[#This Row],[Código del producto Vendido]],STOCK[],5,FALSE),"-")</f>
        <v>Jean ajustado Claro</v>
      </c>
      <c r="G842" s="10">
        <v>1</v>
      </c>
      <c r="H842" s="12">
        <v>32</v>
      </c>
      <c r="I842" s="12">
        <f>VENTAS[[#This Row],[Cantidad]]*VENTAS[[#This Row],[Precio Venta]]</f>
        <v>32</v>
      </c>
      <c r="J842" s="12">
        <f>IF(VENTAS[[#This Row],[Nombre del Gestor]]&gt;1,VENTAS[[#This Row],[Total]]*10%,0)</f>
        <v>3.2</v>
      </c>
      <c r="K842" s="12">
        <f>IFERROR(VLOOKUP(VENTAS[[#This Row],[Código del producto Vendido]],STOCK[],16,FALSE)*VENTAS[[#This Row],[Cantidad]]+VLOOKUP(VENTAS[[#This Row],[Código del producto Vendido]],STOCK[],19,FALSE)*VENTAS[[#This Row],[Cantidad]],VENTAS[[#This Row],[Total]])</f>
        <v>23.79</v>
      </c>
      <c r="L842" s="12">
        <f>VENTAS[[#This Row],[Total]]-VENTAS[[#This Row],[Comisión 10%]]-VENTAS[[#This Row],[Costo SIN Comision]]</f>
        <v>5.0100000000000016</v>
      </c>
      <c r="M842" s="12"/>
      <c r="N842" s="16"/>
    </row>
    <row r="843" spans="1:14" ht="20" hidden="1" customHeight="1">
      <c r="A843" s="9">
        <v>45385</v>
      </c>
      <c r="B843" s="10"/>
      <c r="C843" s="10"/>
      <c r="D843" s="10" t="s">
        <v>4349</v>
      </c>
      <c r="E843" s="10" t="s">
        <v>1573</v>
      </c>
      <c r="F843" s="10" t="str">
        <f>IFERROR(VLOOKUP(VENTAS[[#This Row],[Código del producto Vendido]],STOCK[],5,FALSE),"-")</f>
        <v>Sandalias de tiras</v>
      </c>
      <c r="G843" s="10">
        <v>2</v>
      </c>
      <c r="H843" s="12">
        <v>25</v>
      </c>
      <c r="I843" s="12">
        <f>VENTAS[[#This Row],[Cantidad]]*VENTAS[[#This Row],[Precio Venta]]</f>
        <v>50</v>
      </c>
      <c r="J843" s="12">
        <f>IF(VENTAS[[#This Row],[Nombre del Gestor]]&gt;1,VENTAS[[#This Row],[Total]]*10%,0)</f>
        <v>5</v>
      </c>
      <c r="K843" s="12">
        <f>IFERROR(VLOOKUP(VENTAS[[#This Row],[Código del producto Vendido]],STOCK[],16,FALSE)*VENTAS[[#This Row],[Cantidad]]+VLOOKUP(VENTAS[[#This Row],[Código del producto Vendido]],STOCK[],19,FALSE)*VENTAS[[#This Row],[Cantidad]],VENTAS[[#This Row],[Total]])</f>
        <v>28</v>
      </c>
      <c r="L843" s="12">
        <f>VENTAS[[#This Row],[Total]]-VENTAS[[#This Row],[Comisión 10%]]-VENTAS[[#This Row],[Costo SIN Comision]]</f>
        <v>17</v>
      </c>
      <c r="M843" s="12"/>
      <c r="N843" s="16"/>
    </row>
    <row r="844" spans="1:14" ht="20" hidden="1" customHeight="1">
      <c r="A844" s="9">
        <v>45393</v>
      </c>
      <c r="B844" s="10"/>
      <c r="C844" s="10"/>
      <c r="D844" s="10"/>
      <c r="E844" s="10" t="s">
        <v>2043</v>
      </c>
      <c r="F844" s="10" t="str">
        <f>IFERROR(VLOOKUP(VENTAS[[#This Row],[Código del producto Vendido]],STOCK[],5,FALSE),"-")</f>
        <v>Blusa estampada geométrica</v>
      </c>
      <c r="G844" s="10">
        <v>1</v>
      </c>
      <c r="H844" s="12">
        <v>3</v>
      </c>
      <c r="I844" s="12">
        <f>VENTAS[[#This Row],[Cantidad]]*VENTAS[[#This Row],[Precio Venta]]</f>
        <v>3</v>
      </c>
      <c r="J844" s="12">
        <f>IF(VENTAS[[#This Row],[Nombre del Gestor]]&gt;1,VENTAS[[#This Row],[Total]]*10%,0)</f>
        <v>0</v>
      </c>
      <c r="K844" s="12">
        <f>IFERROR(VLOOKUP(VENTAS[[#This Row],[Código del producto Vendido]],STOCK[],16,FALSE)*VENTAS[[#This Row],[Cantidad]]+VLOOKUP(VENTAS[[#This Row],[Código del producto Vendido]],STOCK[],19,FALSE)*VENTAS[[#This Row],[Cantidad]],VENTAS[[#This Row],[Total]])</f>
        <v>0</v>
      </c>
      <c r="L844" s="12">
        <f>VENTAS[[#This Row],[Total]]-VENTAS[[#This Row],[Comisión 10%]]-VENTAS[[#This Row],[Costo SIN Comision]]</f>
        <v>3</v>
      </c>
      <c r="M844" s="12" t="s">
        <v>4351</v>
      </c>
      <c r="N844" s="16"/>
    </row>
    <row r="845" spans="1:14" ht="20" hidden="1" customHeight="1">
      <c r="A845" s="9">
        <v>45391</v>
      </c>
      <c r="B845" s="10"/>
      <c r="C845" s="10" t="s">
        <v>4284</v>
      </c>
      <c r="D845" s="10"/>
      <c r="E845" s="10" t="s">
        <v>1872</v>
      </c>
      <c r="F845" s="10" t="str">
        <f>IFERROR(VLOOKUP(VENTAS[[#This Row],[Código del producto Vendido]],STOCK[],5,FALSE),"-")</f>
        <v>Blazer entallado</v>
      </c>
      <c r="G845" s="10">
        <v>1</v>
      </c>
      <c r="H845" s="12">
        <v>40</v>
      </c>
      <c r="I845" s="12">
        <f>VENTAS[[#This Row],[Cantidad]]*VENTAS[[#This Row],[Precio Venta]]</f>
        <v>40</v>
      </c>
      <c r="J845" s="12">
        <f>IF(VENTAS[[#This Row],[Nombre del Gestor]]&gt;1,VENTAS[[#This Row],[Total]]*10%,0)</f>
        <v>0</v>
      </c>
      <c r="K845" s="12">
        <f>IFERROR(VLOOKUP(VENTAS[[#This Row],[Código del producto Vendido]],STOCK[],16,FALSE)*VENTAS[[#This Row],[Cantidad]]+VLOOKUP(VENTAS[[#This Row],[Código del producto Vendido]],STOCK[],19,FALSE)*VENTAS[[#This Row],[Cantidad]],VENTAS[[#This Row],[Total]])</f>
        <v>24.29</v>
      </c>
      <c r="L845" s="12">
        <f>VENTAS[[#This Row],[Total]]-VENTAS[[#This Row],[Comisión 10%]]-VENTAS[[#This Row],[Costo SIN Comision]]</f>
        <v>15.71</v>
      </c>
      <c r="M845" s="12"/>
      <c r="N845" s="16"/>
    </row>
    <row r="846" spans="1:14" ht="20" hidden="1" customHeight="1">
      <c r="A846" s="9">
        <v>45391</v>
      </c>
      <c r="B846" s="10"/>
      <c r="C846" s="10" t="s">
        <v>4284</v>
      </c>
      <c r="D846" s="10"/>
      <c r="E846" s="10" t="s">
        <v>1605</v>
      </c>
      <c r="F846" s="10" t="str">
        <f>IFERROR(VLOOKUP(VENTAS[[#This Row],[Código del producto Vendido]],STOCK[],5,FALSE),"-")</f>
        <v>Sandalias minimalistas de tacón</v>
      </c>
      <c r="G846" s="10">
        <v>1</v>
      </c>
      <c r="H846" s="12">
        <v>45</v>
      </c>
      <c r="I846" s="12">
        <f>VENTAS[[#This Row],[Cantidad]]*VENTAS[[#This Row],[Precio Venta]]</f>
        <v>45</v>
      </c>
      <c r="J846" s="12">
        <f>IF(VENTAS[[#This Row],[Nombre del Gestor]]&gt;1,VENTAS[[#This Row],[Total]]*10%,0)</f>
        <v>0</v>
      </c>
      <c r="K846" s="12">
        <f>IFERROR(VLOOKUP(VENTAS[[#This Row],[Código del producto Vendido]],STOCK[],16,FALSE)*VENTAS[[#This Row],[Cantidad]]+VLOOKUP(VENTAS[[#This Row],[Código del producto Vendido]],STOCK[],19,FALSE)*VENTAS[[#This Row],[Cantidad]],VENTAS[[#This Row],[Total]])</f>
        <v>17.36</v>
      </c>
      <c r="L846" s="12">
        <f>VENTAS[[#This Row],[Total]]-VENTAS[[#This Row],[Comisión 10%]]-VENTAS[[#This Row],[Costo SIN Comision]]</f>
        <v>27.64</v>
      </c>
      <c r="M846" s="12"/>
      <c r="N846" s="16"/>
    </row>
    <row r="847" spans="1:14" ht="20" hidden="1" customHeight="1">
      <c r="A847" s="9">
        <v>45394</v>
      </c>
      <c r="B847" s="10"/>
      <c r="C847" s="10"/>
      <c r="D847" s="10"/>
      <c r="E847" s="10" t="s">
        <v>1901</v>
      </c>
      <c r="F847" s="10" t="str">
        <f>IFERROR(VLOOKUP(VENTAS[[#This Row],[Código del producto Vendido]],STOCK[],5,FALSE),"-")</f>
        <v>Bolso mochila Rojo</v>
      </c>
      <c r="G847" s="10">
        <v>1</v>
      </c>
      <c r="H847" s="12">
        <v>25</v>
      </c>
      <c r="I847" s="12">
        <f>VENTAS[[#This Row],[Cantidad]]*VENTAS[[#This Row],[Precio Venta]]</f>
        <v>25</v>
      </c>
      <c r="J847" s="12">
        <f>IF(VENTAS[[#This Row],[Nombre del Gestor]]&gt;1,VENTAS[[#This Row],[Total]]*10%,0)</f>
        <v>0</v>
      </c>
      <c r="K847" s="12">
        <f>IFERROR(VLOOKUP(VENTAS[[#This Row],[Código del producto Vendido]],STOCK[],16,FALSE)*VENTAS[[#This Row],[Cantidad]]+VLOOKUP(VENTAS[[#This Row],[Código del producto Vendido]],STOCK[],19,FALSE)*VENTAS[[#This Row],[Cantidad]],VENTAS[[#This Row],[Total]])</f>
        <v>11.770000000000001</v>
      </c>
      <c r="L847" s="12">
        <f>VENTAS[[#This Row],[Total]]-VENTAS[[#This Row],[Comisión 10%]]-VENTAS[[#This Row],[Costo SIN Comision]]</f>
        <v>13.229999999999999</v>
      </c>
      <c r="M847" s="12"/>
      <c r="N847" s="16"/>
    </row>
    <row r="848" spans="1:14" ht="20" hidden="1" customHeight="1">
      <c r="A848" s="9">
        <v>45394</v>
      </c>
      <c r="B848" s="10"/>
      <c r="C848" s="10" t="s">
        <v>4356</v>
      </c>
      <c r="D848" s="10"/>
      <c r="E848" s="10" t="s">
        <v>1899</v>
      </c>
      <c r="F848" s="10" t="str">
        <f>IFERROR(VLOOKUP(VENTAS[[#This Row],[Código del producto Vendido]],STOCK[],5,FALSE),"-")</f>
        <v>Bolso mochila estampado</v>
      </c>
      <c r="G848" s="10">
        <v>1</v>
      </c>
      <c r="H848" s="12">
        <v>25</v>
      </c>
      <c r="I848" s="12">
        <f>VENTAS[[#This Row],[Cantidad]]*VENTAS[[#This Row],[Precio Venta]]</f>
        <v>25</v>
      </c>
      <c r="J848" s="12">
        <f>IF(VENTAS[[#This Row],[Nombre del Gestor]]&gt;1,VENTAS[[#This Row],[Total]]*10%,0)</f>
        <v>0</v>
      </c>
      <c r="K848" s="12">
        <f>IFERROR(VLOOKUP(VENTAS[[#This Row],[Código del producto Vendido]],STOCK[],16,FALSE)*VENTAS[[#This Row],[Cantidad]]+VLOOKUP(VENTAS[[#This Row],[Código del producto Vendido]],STOCK[],19,FALSE)*VENTAS[[#This Row],[Cantidad]],VENTAS[[#This Row],[Total]])</f>
        <v>12.620000000000001</v>
      </c>
      <c r="L848" s="12">
        <f>VENTAS[[#This Row],[Total]]-VENTAS[[#This Row],[Comisión 10%]]-VENTAS[[#This Row],[Costo SIN Comision]]</f>
        <v>12.379999999999999</v>
      </c>
      <c r="M848" s="12"/>
      <c r="N848" s="16"/>
    </row>
    <row r="849" spans="1:14" ht="20" hidden="1" customHeight="1">
      <c r="A849" s="9">
        <v>45394</v>
      </c>
      <c r="B849" s="10"/>
      <c r="C849" s="10" t="s">
        <v>4337</v>
      </c>
      <c r="D849" s="10"/>
      <c r="E849" s="10" t="s">
        <v>1903</v>
      </c>
      <c r="F849" s="10" t="str">
        <f>IFERROR(VLOOKUP(VENTAS[[#This Row],[Código del producto Vendido]],STOCK[],5,FALSE),"-")</f>
        <v>Blusa estampada de Lunares</v>
      </c>
      <c r="G849" s="10">
        <v>1</v>
      </c>
      <c r="H849" s="12">
        <v>14</v>
      </c>
      <c r="I849" s="12">
        <f>VENTAS[[#This Row],[Cantidad]]*VENTAS[[#This Row],[Precio Venta]]</f>
        <v>14</v>
      </c>
      <c r="J849" s="12">
        <f>IF(VENTAS[[#This Row],[Nombre del Gestor]]&gt;1,VENTAS[[#This Row],[Total]]*10%,0)</f>
        <v>0</v>
      </c>
      <c r="K849" s="12">
        <f>IFERROR(VLOOKUP(VENTAS[[#This Row],[Código del producto Vendido]],STOCK[],16,FALSE)*VENTAS[[#This Row],[Cantidad]]+VLOOKUP(VENTAS[[#This Row],[Código del producto Vendido]],STOCK[],19,FALSE)*VENTAS[[#This Row],[Cantidad]],VENTAS[[#This Row],[Total]])</f>
        <v>9.1999999999999993</v>
      </c>
      <c r="L849" s="12">
        <f>VENTAS[[#This Row],[Total]]-VENTAS[[#This Row],[Comisión 10%]]-VENTAS[[#This Row],[Costo SIN Comision]]</f>
        <v>4.8000000000000007</v>
      </c>
      <c r="M849" s="12"/>
      <c r="N849" s="16"/>
    </row>
    <row r="850" spans="1:14" ht="20" hidden="1" customHeight="1">
      <c r="A850" s="9">
        <v>45394</v>
      </c>
      <c r="B850" s="10"/>
      <c r="C850" s="10"/>
      <c r="D850" s="10" t="s">
        <v>4349</v>
      </c>
      <c r="E850" s="10" t="s">
        <v>1861</v>
      </c>
      <c r="F850" s="10" t="str">
        <f>IFERROR(VLOOKUP(VENTAS[[#This Row],[Código del producto Vendido]],STOCK[],5,FALSE),"-")</f>
        <v>Bolso Baguette Rojo</v>
      </c>
      <c r="G850" s="10">
        <v>1</v>
      </c>
      <c r="H850" s="12">
        <v>25</v>
      </c>
      <c r="I850" s="12">
        <f>VENTAS[[#This Row],[Cantidad]]*VENTAS[[#This Row],[Precio Venta]]</f>
        <v>25</v>
      </c>
      <c r="J850" s="12">
        <f>IF(VENTAS[[#This Row],[Nombre del Gestor]]&gt;1,VENTAS[[#This Row],[Total]]*10%,0)</f>
        <v>2.5</v>
      </c>
      <c r="K850" s="12">
        <f>IFERROR(VLOOKUP(VENTAS[[#This Row],[Código del producto Vendido]],STOCK[],16,FALSE)*VENTAS[[#This Row],[Cantidad]]+VLOOKUP(VENTAS[[#This Row],[Código del producto Vendido]],STOCK[],19,FALSE)*VENTAS[[#This Row],[Cantidad]],VENTAS[[#This Row],[Total]])</f>
        <v>15.790000000000001</v>
      </c>
      <c r="L850" s="12">
        <f>VENTAS[[#This Row],[Total]]-VENTAS[[#This Row],[Comisión 10%]]-VENTAS[[#This Row],[Costo SIN Comision]]</f>
        <v>6.7099999999999991</v>
      </c>
      <c r="M850" s="12"/>
      <c r="N850" s="16"/>
    </row>
    <row r="851" spans="1:14" ht="20" hidden="1" customHeight="1">
      <c r="A851" s="9">
        <v>45394</v>
      </c>
      <c r="B851" s="10"/>
      <c r="C851" s="10"/>
      <c r="D851" s="10" t="s">
        <v>4349</v>
      </c>
      <c r="E851" s="10" t="s">
        <v>1857</v>
      </c>
      <c r="F851" s="10" t="str">
        <f>IFERROR(VLOOKUP(VENTAS[[#This Row],[Código del producto Vendido]],STOCK[],5,FALSE),"-")</f>
        <v>Crossbody Bag Blanco Lacado</v>
      </c>
      <c r="G851" s="10">
        <v>1</v>
      </c>
      <c r="H851" s="12">
        <v>20</v>
      </c>
      <c r="I851" s="12">
        <f>VENTAS[[#This Row],[Cantidad]]*VENTAS[[#This Row],[Precio Venta]]</f>
        <v>20</v>
      </c>
      <c r="J851" s="12">
        <f>IF(VENTAS[[#This Row],[Nombre del Gestor]]&gt;1,VENTAS[[#This Row],[Total]]*10%,0)</f>
        <v>2</v>
      </c>
      <c r="K851" s="12">
        <f>IFERROR(VLOOKUP(VENTAS[[#This Row],[Código del producto Vendido]],STOCK[],16,FALSE)*VENTAS[[#This Row],[Cantidad]]+VLOOKUP(VENTAS[[#This Row],[Código del producto Vendido]],STOCK[],19,FALSE)*VENTAS[[#This Row],[Cantidad]],VENTAS[[#This Row],[Total]])</f>
        <v>10.790000000000001</v>
      </c>
      <c r="L851" s="12">
        <f>VENTAS[[#This Row],[Total]]-VENTAS[[#This Row],[Comisión 10%]]-VENTAS[[#This Row],[Costo SIN Comision]]</f>
        <v>7.2099999999999991</v>
      </c>
      <c r="M851" s="12"/>
      <c r="N851" s="16"/>
    </row>
    <row r="852" spans="1:14" ht="20" hidden="1" customHeight="1">
      <c r="A852" s="9">
        <v>45394</v>
      </c>
      <c r="B852" s="10"/>
      <c r="C852" s="10"/>
      <c r="D852" s="10"/>
      <c r="E852" s="10" t="s">
        <v>1803</v>
      </c>
      <c r="F852" s="10" t="str">
        <f>IFERROR(VLOOKUP(VENTAS[[#This Row],[Código del producto Vendido]],STOCK[],5,FALSE),"-")</f>
        <v>Camisa blanca estampado de ave</v>
      </c>
      <c r="G852" s="10">
        <v>1</v>
      </c>
      <c r="H852" s="12">
        <v>25</v>
      </c>
      <c r="I852" s="12">
        <f>VENTAS[[#This Row],[Cantidad]]*VENTAS[[#This Row],[Precio Venta]]</f>
        <v>25</v>
      </c>
      <c r="J852" s="12">
        <f>IF(VENTAS[[#This Row],[Nombre del Gestor]]&gt;1,VENTAS[[#This Row],[Total]]*10%,0)</f>
        <v>0</v>
      </c>
      <c r="K852" s="12">
        <f>IFERROR(VLOOKUP(VENTAS[[#This Row],[Código del producto Vendido]],STOCK[],16,FALSE)*VENTAS[[#This Row],[Cantidad]]+VLOOKUP(VENTAS[[#This Row],[Código del producto Vendido]],STOCK[],19,FALSE)*VENTAS[[#This Row],[Cantidad]],VENTAS[[#This Row],[Total]])</f>
        <v>12.941176470588241</v>
      </c>
      <c r="L852" s="12">
        <f>VENTAS[[#This Row],[Total]]-VENTAS[[#This Row],[Comisión 10%]]-VENTAS[[#This Row],[Costo SIN Comision]]</f>
        <v>12.058823529411759</v>
      </c>
      <c r="M852" s="12"/>
      <c r="N852" s="16"/>
    </row>
    <row r="853" spans="1:14" ht="20" hidden="1" customHeight="1">
      <c r="A853" s="9" t="s">
        <v>4333</v>
      </c>
      <c r="B853" s="10"/>
      <c r="C853" s="10"/>
      <c r="D853" s="10"/>
      <c r="E853" s="10" t="s">
        <v>1505</v>
      </c>
      <c r="F853" s="10" t="str">
        <f>IFERROR(VLOOKUP(VENTAS[[#This Row],[Código del producto Vendido]],STOCK[],5,FALSE),"-")</f>
        <v>Pullover Dazy cuello redondo Blanco</v>
      </c>
      <c r="G853" s="10">
        <v>1</v>
      </c>
      <c r="H853" s="12">
        <v>13</v>
      </c>
      <c r="I853" s="12">
        <f>VENTAS[[#This Row],[Cantidad]]*VENTAS[[#This Row],[Precio Venta]]</f>
        <v>13</v>
      </c>
      <c r="J853" s="12">
        <f>IF(VENTAS[[#This Row],[Nombre del Gestor]]&gt;1,VENTAS[[#This Row],[Total]]*10%,0)</f>
        <v>0</v>
      </c>
      <c r="K853" s="12">
        <f>IFERROR(VLOOKUP(VENTAS[[#This Row],[Código del producto Vendido]],STOCK[],16,FALSE)*VENTAS[[#This Row],[Cantidad]]+VLOOKUP(VENTAS[[#This Row],[Código del producto Vendido]],STOCK[],19,FALSE)*VENTAS[[#This Row],[Cantidad]],VENTAS[[#This Row],[Total]])</f>
        <v>7.5</v>
      </c>
      <c r="L853" s="12">
        <f>VENTAS[[#This Row],[Total]]-VENTAS[[#This Row],[Comisión 10%]]-VENTAS[[#This Row],[Costo SIN Comision]]</f>
        <v>5.5</v>
      </c>
      <c r="M853" s="12"/>
      <c r="N853" s="16"/>
    </row>
    <row r="854" spans="1:14" ht="20" hidden="1" customHeight="1">
      <c r="A854" s="9" t="s">
        <v>4333</v>
      </c>
      <c r="B854" s="10"/>
      <c r="C854" s="10"/>
      <c r="D854" s="10"/>
      <c r="E854" s="10" t="s">
        <v>270</v>
      </c>
      <c r="F854" s="10" t="str">
        <f>IFERROR(VLOOKUP(VENTAS[[#This Row],[Código del producto Vendido]],STOCK[],5,FALSE),"-")</f>
        <v>Vestido playera oversize</v>
      </c>
      <c r="G854" s="10">
        <v>1</v>
      </c>
      <c r="H854" s="12">
        <v>22</v>
      </c>
      <c r="I854" s="12">
        <f>VENTAS[[#This Row],[Cantidad]]*VENTAS[[#This Row],[Precio Venta]]</f>
        <v>22</v>
      </c>
      <c r="J854" s="12">
        <f>IF(VENTAS[[#This Row],[Nombre del Gestor]]&gt;1,VENTAS[[#This Row],[Total]]*10%,0)</f>
        <v>0</v>
      </c>
      <c r="K854" s="12">
        <f>IFERROR(VLOOKUP(VENTAS[[#This Row],[Código del producto Vendido]],STOCK[],16,FALSE)*VENTAS[[#This Row],[Cantidad]]+VLOOKUP(VENTAS[[#This Row],[Código del producto Vendido]],STOCK[],19,FALSE)*VENTAS[[#This Row],[Cantidad]],VENTAS[[#This Row],[Total]])</f>
        <v>13.3888888888889</v>
      </c>
      <c r="L854" s="12">
        <f>VENTAS[[#This Row],[Total]]-VENTAS[[#This Row],[Comisión 10%]]-VENTAS[[#This Row],[Costo SIN Comision]]</f>
        <v>8.6111111111111001</v>
      </c>
      <c r="M854" s="12"/>
      <c r="N854" s="16"/>
    </row>
    <row r="855" spans="1:14" ht="20" hidden="1" customHeight="1">
      <c r="A855" s="9" t="s">
        <v>4333</v>
      </c>
      <c r="B855" s="10"/>
      <c r="C855" s="10"/>
      <c r="D855" s="10"/>
      <c r="E855" s="10" t="s">
        <v>251</v>
      </c>
      <c r="F855" s="10" t="str">
        <f>IFERROR(VLOOKUP(VENTAS[[#This Row],[Código del producto Vendido]],STOCK[],5,FALSE),"-")</f>
        <v>Vestido flor y botones</v>
      </c>
      <c r="G855" s="10">
        <v>1</v>
      </c>
      <c r="H855" s="12">
        <v>25</v>
      </c>
      <c r="I855" s="12">
        <f>VENTAS[[#This Row],[Cantidad]]*VENTAS[[#This Row],[Precio Venta]]</f>
        <v>25</v>
      </c>
      <c r="J855" s="12">
        <f>IF(VENTAS[[#This Row],[Nombre del Gestor]]&gt;1,VENTAS[[#This Row],[Total]]*10%,0)</f>
        <v>0</v>
      </c>
      <c r="K855" s="12">
        <f>IFERROR(VLOOKUP(VENTAS[[#This Row],[Código del producto Vendido]],STOCK[],16,FALSE)*VENTAS[[#This Row],[Cantidad]]+VLOOKUP(VENTAS[[#This Row],[Código del producto Vendido]],STOCK[],19,FALSE)*VENTAS[[#This Row],[Cantidad]],VENTAS[[#This Row],[Total]])</f>
        <v>16.760000000000002</v>
      </c>
      <c r="L855" s="12">
        <f>VENTAS[[#This Row],[Total]]-VENTAS[[#This Row],[Comisión 10%]]-VENTAS[[#This Row],[Costo SIN Comision]]</f>
        <v>8.2399999999999984</v>
      </c>
      <c r="M855" s="12"/>
      <c r="N855" s="16"/>
    </row>
    <row r="856" spans="1:14" ht="20" hidden="1" customHeight="1">
      <c r="A856" s="9">
        <v>45401</v>
      </c>
      <c r="B856" s="10"/>
      <c r="C856" s="10"/>
      <c r="D856" s="10" t="s">
        <v>4349</v>
      </c>
      <c r="E856" s="10" t="s">
        <v>1892</v>
      </c>
      <c r="F856" s="10" t="str">
        <f>IFERROR(VLOOKUP(VENTAS[[#This Row],[Código del producto Vendido]],STOCK[],5,FALSE),"-")</f>
        <v>Bolso estampado de Lona</v>
      </c>
      <c r="G856" s="10">
        <v>3</v>
      </c>
      <c r="H856" s="12">
        <v>12</v>
      </c>
      <c r="I856" s="12">
        <f>VENTAS[[#This Row],[Cantidad]]*VENTAS[[#This Row],[Precio Venta]]</f>
        <v>36</v>
      </c>
      <c r="J856" s="12">
        <f>IF(VENTAS[[#This Row],[Nombre del Gestor]]&gt;1,VENTAS[[#This Row],[Total]]*10%,0)</f>
        <v>3.6</v>
      </c>
      <c r="K856" s="12">
        <f>IFERROR(VLOOKUP(VENTAS[[#This Row],[Código del producto Vendido]],STOCK[],16,FALSE)*VENTAS[[#This Row],[Cantidad]]+VLOOKUP(VENTAS[[#This Row],[Código del producto Vendido]],STOCK[],19,FALSE)*VENTAS[[#This Row],[Cantidad]],VENTAS[[#This Row],[Total]])</f>
        <v>19.5</v>
      </c>
      <c r="L856" s="12">
        <f>VENTAS[[#This Row],[Total]]-VENTAS[[#This Row],[Comisión 10%]]-VENTAS[[#This Row],[Costo SIN Comision]]</f>
        <v>12.899999999999999</v>
      </c>
      <c r="M856" s="12"/>
      <c r="N856" s="16"/>
    </row>
    <row r="857" spans="1:14" ht="20" hidden="1" customHeight="1">
      <c r="A857" s="9">
        <v>45401</v>
      </c>
      <c r="B857" s="10"/>
      <c r="C857" s="10"/>
      <c r="D857" s="10"/>
      <c r="E857" s="10" t="s">
        <v>1432</v>
      </c>
      <c r="F857" s="10" t="str">
        <f>IFERROR(VLOOKUP(VENTAS[[#This Row],[Código del producto Vendido]],STOCK[],5,FALSE),"-")</f>
        <v>Sandalias blancas cruzadas</v>
      </c>
      <c r="G857" s="10">
        <v>1</v>
      </c>
      <c r="H857" s="12">
        <v>15</v>
      </c>
      <c r="I857" s="12">
        <f>VENTAS[[#This Row],[Cantidad]]*VENTAS[[#This Row],[Precio Venta]]</f>
        <v>15</v>
      </c>
      <c r="J857" s="12">
        <f>IF(VENTAS[[#This Row],[Nombre del Gestor]]&gt;1,VENTAS[[#This Row],[Total]]*10%,0)</f>
        <v>0</v>
      </c>
      <c r="K857" s="12">
        <f>IFERROR(VLOOKUP(VENTAS[[#This Row],[Código del producto Vendido]],STOCK[],16,FALSE)*VENTAS[[#This Row],[Cantidad]]+VLOOKUP(VENTAS[[#This Row],[Código del producto Vendido]],STOCK[],19,FALSE)*VENTAS[[#This Row],[Cantidad]],VENTAS[[#This Row],[Total]])</f>
        <v>11.49</v>
      </c>
      <c r="L857" s="12">
        <f>VENTAS[[#This Row],[Total]]-VENTAS[[#This Row],[Comisión 10%]]-VENTAS[[#This Row],[Costo SIN Comision]]</f>
        <v>3.51</v>
      </c>
      <c r="M857" s="12"/>
      <c r="N857" s="16"/>
    </row>
    <row r="858" spans="1:14" ht="20" hidden="1" customHeight="1">
      <c r="A858" s="9">
        <v>45401</v>
      </c>
      <c r="B858" s="10"/>
      <c r="C858" s="10"/>
      <c r="D858" s="10"/>
      <c r="E858" s="10" t="s">
        <v>1735</v>
      </c>
      <c r="F858" s="10" t="str">
        <f>IFERROR(VLOOKUP(VENTAS[[#This Row],[Código del producto Vendido]],STOCK[],5,FALSE),"-")</f>
        <v>Chaleco de traje Crema</v>
      </c>
      <c r="G858" s="10">
        <v>1</v>
      </c>
      <c r="H858" s="12">
        <v>25</v>
      </c>
      <c r="I858" s="12">
        <f>VENTAS[[#This Row],[Cantidad]]*VENTAS[[#This Row],[Precio Venta]]</f>
        <v>25</v>
      </c>
      <c r="J858" s="12">
        <f>IF(VENTAS[[#This Row],[Nombre del Gestor]]&gt;1,VENTAS[[#This Row],[Total]]*10%,0)</f>
        <v>0</v>
      </c>
      <c r="K858" s="12">
        <f>IFERROR(VLOOKUP(VENTAS[[#This Row],[Código del producto Vendido]],STOCK[],16,FALSE)*VENTAS[[#This Row],[Cantidad]]+VLOOKUP(VENTAS[[#This Row],[Código del producto Vendido]],STOCK[],19,FALSE)*VENTAS[[#This Row],[Cantidad]],VENTAS[[#This Row],[Total]])</f>
        <v>17.9411764705882</v>
      </c>
      <c r="L858" s="12">
        <f>VENTAS[[#This Row],[Total]]-VENTAS[[#This Row],[Comisión 10%]]-VENTAS[[#This Row],[Costo SIN Comision]]</f>
        <v>7.0588235294118</v>
      </c>
      <c r="M858" s="12"/>
      <c r="N858" s="16"/>
    </row>
    <row r="859" spans="1:14" ht="20" hidden="1" customHeight="1">
      <c r="A859" s="9">
        <v>45401</v>
      </c>
      <c r="B859" s="10"/>
      <c r="C859" s="10"/>
      <c r="D859" s="10"/>
      <c r="E859" s="10" t="s">
        <v>1861</v>
      </c>
      <c r="F859" s="10" t="str">
        <f>IFERROR(VLOOKUP(VENTAS[[#This Row],[Código del producto Vendido]],STOCK[],5,FALSE),"-")</f>
        <v>Bolso Baguette Rojo</v>
      </c>
      <c r="G859" s="10">
        <v>1</v>
      </c>
      <c r="H859" s="12">
        <v>25</v>
      </c>
      <c r="I859" s="12">
        <f>VENTAS[[#This Row],[Cantidad]]*VENTAS[[#This Row],[Precio Venta]]</f>
        <v>25</v>
      </c>
      <c r="J859" s="12">
        <f>IF(VENTAS[[#This Row],[Nombre del Gestor]]&gt;1,VENTAS[[#This Row],[Total]]*10%,0)</f>
        <v>0</v>
      </c>
      <c r="K859" s="12">
        <f>IFERROR(VLOOKUP(VENTAS[[#This Row],[Código del producto Vendido]],STOCK[],16,FALSE)*VENTAS[[#This Row],[Cantidad]]+VLOOKUP(VENTAS[[#This Row],[Código del producto Vendido]],STOCK[],19,FALSE)*VENTAS[[#This Row],[Cantidad]],VENTAS[[#This Row],[Total]])</f>
        <v>15.790000000000001</v>
      </c>
      <c r="L859" s="12">
        <f>VENTAS[[#This Row],[Total]]-VENTAS[[#This Row],[Comisión 10%]]-VENTAS[[#This Row],[Costo SIN Comision]]</f>
        <v>9.2099999999999991</v>
      </c>
      <c r="M859" s="12"/>
      <c r="N859" s="16"/>
    </row>
    <row r="860" spans="1:14" ht="20" hidden="1" customHeight="1">
      <c r="A860" s="9">
        <v>45404</v>
      </c>
      <c r="B860" s="10"/>
      <c r="C860" s="10"/>
      <c r="D860" s="10" t="s">
        <v>4349</v>
      </c>
      <c r="E860" s="10" t="s">
        <v>1462</v>
      </c>
      <c r="F860" s="10" t="str">
        <f>IFERROR(VLOOKUP(VENTAS[[#This Row],[Código del producto Vendido]],STOCK[],5,FALSE),"-")</f>
        <v>Pantalón alto de bajo elegante</v>
      </c>
      <c r="G860" s="10">
        <v>1</v>
      </c>
      <c r="H860" s="12">
        <v>32</v>
      </c>
      <c r="I860" s="12">
        <f>VENTAS[[#This Row],[Cantidad]]*VENTAS[[#This Row],[Precio Venta]]</f>
        <v>32</v>
      </c>
      <c r="J860" s="12">
        <f>IF(VENTAS[[#This Row],[Nombre del Gestor]]&gt;1,VENTAS[[#This Row],[Total]]*10%,0)</f>
        <v>3.2</v>
      </c>
      <c r="K860" s="12">
        <f>IFERROR(VLOOKUP(VENTAS[[#This Row],[Código del producto Vendido]],STOCK[],16,FALSE)*VENTAS[[#This Row],[Cantidad]]+VLOOKUP(VENTAS[[#This Row],[Código del producto Vendido]],STOCK[],19,FALSE)*VENTAS[[#This Row],[Cantidad]],VENTAS[[#This Row],[Total]])</f>
        <v>16.189999999999998</v>
      </c>
      <c r="L860" s="12">
        <f>VENTAS[[#This Row],[Total]]-VENTAS[[#This Row],[Comisión 10%]]-VENTAS[[#This Row],[Costo SIN Comision]]</f>
        <v>12.610000000000003</v>
      </c>
      <c r="M860" s="12"/>
      <c r="N860" s="16"/>
    </row>
    <row r="861" spans="1:14" ht="20" hidden="1" customHeight="1">
      <c r="A861" s="9">
        <v>45410</v>
      </c>
      <c r="B861" s="10"/>
      <c r="C861" s="10" t="s">
        <v>4357</v>
      </c>
      <c r="D861" s="10"/>
      <c r="E861" s="10" t="s">
        <v>774</v>
      </c>
      <c r="F861" s="10" t="str">
        <f>IFERROR(VLOOKUP(VENTAS[[#This Row],[Código del producto Vendido]],STOCK[],5,FALSE),"-")</f>
        <v>Sandalias prácticas</v>
      </c>
      <c r="G861" s="10">
        <v>1</v>
      </c>
      <c r="H861" s="12">
        <v>30</v>
      </c>
      <c r="I861" s="12">
        <f>VENTAS[[#This Row],[Cantidad]]*VENTAS[[#This Row],[Precio Venta]]</f>
        <v>30</v>
      </c>
      <c r="J861" s="12">
        <f>IF(VENTAS[[#This Row],[Nombre del Gestor]]&gt;1,VENTAS[[#This Row],[Total]]*10%,0)</f>
        <v>0</v>
      </c>
      <c r="K861" s="12">
        <f>IFERROR(VLOOKUP(VENTAS[[#This Row],[Código del producto Vendido]],STOCK[],16,FALSE)*VENTAS[[#This Row],[Cantidad]]+VLOOKUP(VENTAS[[#This Row],[Código del producto Vendido]],STOCK[],19,FALSE)*VENTAS[[#This Row],[Cantidad]],VENTAS[[#This Row],[Total]])</f>
        <v>23.2777777777778</v>
      </c>
      <c r="L861" s="12">
        <f>VENTAS[[#This Row],[Total]]-VENTAS[[#This Row],[Comisión 10%]]-VENTAS[[#This Row],[Costo SIN Comision]]</f>
        <v>6.7222222222222001</v>
      </c>
      <c r="M861" s="12"/>
      <c r="N861" s="16"/>
    </row>
    <row r="862" spans="1:14" ht="20" hidden="1" customHeight="1">
      <c r="A862" s="9">
        <v>45402</v>
      </c>
      <c r="B862" s="10"/>
      <c r="C862" s="10"/>
      <c r="D862" s="10"/>
      <c r="E862" s="10" t="s">
        <v>1599</v>
      </c>
      <c r="F862" s="10" t="str">
        <f>IFERROR(VLOOKUP(VENTAS[[#This Row],[Código del producto Vendido]],STOCK[],5,FALSE),"-")</f>
        <v>Sandalias flip de plataforma</v>
      </c>
      <c r="G862" s="10">
        <v>1</v>
      </c>
      <c r="H862" s="12">
        <v>15</v>
      </c>
      <c r="I862" s="12">
        <f>VENTAS[[#This Row],[Cantidad]]*VENTAS[[#This Row],[Precio Venta]]</f>
        <v>15</v>
      </c>
      <c r="J862" s="12">
        <f>IF(VENTAS[[#This Row],[Nombre del Gestor]]&gt;1,VENTAS[[#This Row],[Total]]*10%,0)</f>
        <v>0</v>
      </c>
      <c r="K862" s="12">
        <f>IFERROR(VLOOKUP(VENTAS[[#This Row],[Código del producto Vendido]],STOCK[],16,FALSE)*VENTAS[[#This Row],[Cantidad]]+VLOOKUP(VENTAS[[#This Row],[Código del producto Vendido]],STOCK[],19,FALSE)*VENTAS[[#This Row],[Cantidad]],VENTAS[[#This Row],[Total]])</f>
        <v>9.49</v>
      </c>
      <c r="L862" s="12">
        <f>VENTAS[[#This Row],[Total]]-VENTAS[[#This Row],[Comisión 10%]]-VENTAS[[#This Row],[Costo SIN Comision]]</f>
        <v>5.51</v>
      </c>
      <c r="M862" s="12"/>
      <c r="N862" s="16"/>
    </row>
    <row r="863" spans="1:14" ht="20" hidden="1" customHeight="1">
      <c r="A863" s="9">
        <v>45404</v>
      </c>
      <c r="B863" s="10"/>
      <c r="C863" s="10"/>
      <c r="D863" s="10" t="s">
        <v>4349</v>
      </c>
      <c r="E863" s="10" t="s">
        <v>1057</v>
      </c>
      <c r="F863" s="10" t="str">
        <f>IFERROR(VLOOKUP(VENTAS[[#This Row],[Código del producto Vendido]],STOCK[],5,FALSE),"-")</f>
        <v>Falda plisada con cadena</v>
      </c>
      <c r="G863" s="10">
        <v>1</v>
      </c>
      <c r="H863" s="12">
        <v>20</v>
      </c>
      <c r="I863" s="12">
        <f>VENTAS[[#This Row],[Cantidad]]*VENTAS[[#This Row],[Precio Venta]]</f>
        <v>20</v>
      </c>
      <c r="J863" s="12">
        <f>IF(VENTAS[[#This Row],[Nombre del Gestor]]&gt;1,VENTAS[[#This Row],[Total]]*10%,0)</f>
        <v>2</v>
      </c>
      <c r="K863" s="12">
        <f>IFERROR(VLOOKUP(VENTAS[[#This Row],[Código del producto Vendido]],STOCK[],16,FALSE)*VENTAS[[#This Row],[Cantidad]]+VLOOKUP(VENTAS[[#This Row],[Código del producto Vendido]],STOCK[],19,FALSE)*VENTAS[[#This Row],[Cantidad]],VENTAS[[#This Row],[Total]])</f>
        <v>14.863636363636401</v>
      </c>
      <c r="L863" s="12">
        <f>VENTAS[[#This Row],[Total]]-VENTAS[[#This Row],[Comisión 10%]]-VENTAS[[#This Row],[Costo SIN Comision]]</f>
        <v>3.1363636363635994</v>
      </c>
      <c r="M863" s="12"/>
      <c r="N863" s="16"/>
    </row>
    <row r="864" spans="1:14" ht="20" hidden="1" customHeight="1">
      <c r="A864" s="9">
        <v>45409</v>
      </c>
      <c r="B864" s="10"/>
      <c r="C864" s="10"/>
      <c r="D864" s="10" t="s">
        <v>4349</v>
      </c>
      <c r="E864" s="10" t="s">
        <v>752</v>
      </c>
      <c r="F864" s="10" t="str">
        <f>IFERROR(VLOOKUP(VENTAS[[#This Row],[Código del producto Vendido]],STOCK[],5,FALSE),"-")</f>
        <v>Sandalias trenzadas</v>
      </c>
      <c r="G864" s="10">
        <v>1</v>
      </c>
      <c r="H864" s="12">
        <v>35</v>
      </c>
      <c r="I864" s="12">
        <f>VENTAS[[#This Row],[Cantidad]]*VENTAS[[#This Row],[Precio Venta]]</f>
        <v>35</v>
      </c>
      <c r="J864" s="12">
        <f>IF(VENTAS[[#This Row],[Nombre del Gestor]]&gt;1,VENTAS[[#This Row],[Total]]*10%,0)</f>
        <v>3.5</v>
      </c>
      <c r="K864" s="12">
        <f>IFERROR(VLOOKUP(VENTAS[[#This Row],[Código del producto Vendido]],STOCK[],16,FALSE)*VENTAS[[#This Row],[Cantidad]]+VLOOKUP(VENTAS[[#This Row],[Código del producto Vendido]],STOCK[],19,FALSE)*VENTAS[[#This Row],[Cantidad]],VENTAS[[#This Row],[Total]])</f>
        <v>27</v>
      </c>
      <c r="L864" s="12">
        <f>VENTAS[[#This Row],[Total]]-VENTAS[[#This Row],[Comisión 10%]]-VENTAS[[#This Row],[Costo SIN Comision]]</f>
        <v>4.5</v>
      </c>
      <c r="M864" s="12"/>
      <c r="N864" s="16"/>
    </row>
    <row r="865" spans="1:14" ht="20" hidden="1" customHeight="1">
      <c r="A865" s="9">
        <v>45405</v>
      </c>
      <c r="B865" s="10"/>
      <c r="C865" s="10"/>
      <c r="D865" s="10" t="s">
        <v>4349</v>
      </c>
      <c r="E865" s="10" t="s">
        <v>1639</v>
      </c>
      <c r="F865" s="10" t="str">
        <f>IFERROR(VLOOKUP(VENTAS[[#This Row],[Código del producto Vendido]],STOCK[],5,FALSE),"-")</f>
        <v xml:space="preserve">Vestido Privé </v>
      </c>
      <c r="G865" s="10">
        <v>1</v>
      </c>
      <c r="H865" s="12">
        <v>25</v>
      </c>
      <c r="I865" s="12">
        <f>VENTAS[[#This Row],[Cantidad]]*VENTAS[[#This Row],[Precio Venta]]</f>
        <v>25</v>
      </c>
      <c r="J865" s="12">
        <f>IF(VENTAS[[#This Row],[Nombre del Gestor]]&gt;1,VENTAS[[#This Row],[Total]]*10%,0)</f>
        <v>2.5</v>
      </c>
      <c r="K865" s="12">
        <f>IFERROR(VLOOKUP(VENTAS[[#This Row],[Código del producto Vendido]],STOCK[],16,FALSE)*VENTAS[[#This Row],[Cantidad]]+VLOOKUP(VENTAS[[#This Row],[Código del producto Vendido]],STOCK[],19,FALSE)*VENTAS[[#This Row],[Cantidad]],VENTAS[[#This Row],[Total]])</f>
        <v>11.1</v>
      </c>
      <c r="L865" s="12">
        <f>VENTAS[[#This Row],[Total]]-VENTAS[[#This Row],[Comisión 10%]]-VENTAS[[#This Row],[Costo SIN Comision]]</f>
        <v>11.4</v>
      </c>
      <c r="M865" s="12"/>
      <c r="N865" s="16"/>
    </row>
    <row r="866" spans="1:14" ht="20" hidden="1" customHeight="1">
      <c r="A866" s="9">
        <v>45406</v>
      </c>
      <c r="B866" s="10"/>
      <c r="C866" s="10"/>
      <c r="D866" s="10" t="s">
        <v>4349</v>
      </c>
      <c r="E866" s="10" t="s">
        <v>254</v>
      </c>
      <c r="F866" s="10" t="str">
        <f>IFERROR(VLOOKUP(VENTAS[[#This Row],[Código del producto Vendido]],STOCK[],5,FALSE),"-")</f>
        <v>Blusa espalda cruzada blanca</v>
      </c>
      <c r="G866" s="10">
        <v>1</v>
      </c>
      <c r="H866" s="12">
        <v>12</v>
      </c>
      <c r="I866" s="12">
        <f>VENTAS[[#This Row],[Cantidad]]*VENTAS[[#This Row],[Precio Venta]]</f>
        <v>12</v>
      </c>
      <c r="J866" s="12">
        <f>IF(VENTAS[[#This Row],[Nombre del Gestor]]&gt;1,VENTAS[[#This Row],[Total]]*10%,0)</f>
        <v>1.2000000000000002</v>
      </c>
      <c r="K866" s="12">
        <f>IFERROR(VLOOKUP(VENTAS[[#This Row],[Código del producto Vendido]],STOCK[],16,FALSE)*VENTAS[[#This Row],[Cantidad]]+VLOOKUP(VENTAS[[#This Row],[Código del producto Vendido]],STOCK[],19,FALSE)*VENTAS[[#This Row],[Cantidad]],VENTAS[[#This Row],[Total]])</f>
        <v>8.3422222222222189</v>
      </c>
      <c r="L866" s="12">
        <f>VENTAS[[#This Row],[Total]]-VENTAS[[#This Row],[Comisión 10%]]-VENTAS[[#This Row],[Costo SIN Comision]]</f>
        <v>2.4577777777777818</v>
      </c>
      <c r="M866" s="12"/>
      <c r="N866" s="16"/>
    </row>
    <row r="867" spans="1:14" ht="20" hidden="1" customHeight="1">
      <c r="A867" s="9">
        <v>45408</v>
      </c>
      <c r="B867" s="10"/>
      <c r="C867" s="10"/>
      <c r="D867" s="10" t="s">
        <v>4349</v>
      </c>
      <c r="E867" s="10" t="s">
        <v>1781</v>
      </c>
      <c r="F867" s="10" t="str">
        <f>IFERROR(VLOOKUP(VENTAS[[#This Row],[Código del producto Vendido]],STOCK[],5,FALSE),"-")</f>
        <v>Conjunto de bikini moca</v>
      </c>
      <c r="G867" s="10">
        <v>1</v>
      </c>
      <c r="H867" s="12">
        <v>20</v>
      </c>
      <c r="I867" s="12">
        <f>VENTAS[[#This Row],[Cantidad]]*VENTAS[[#This Row],[Precio Venta]]</f>
        <v>20</v>
      </c>
      <c r="J867" s="12">
        <f>IF(VENTAS[[#This Row],[Nombre del Gestor]]&gt;1,VENTAS[[#This Row],[Total]]*10%,0)</f>
        <v>2</v>
      </c>
      <c r="K867" s="12">
        <f>IFERROR(VLOOKUP(VENTAS[[#This Row],[Código del producto Vendido]],STOCK[],16,FALSE)*VENTAS[[#This Row],[Cantidad]]+VLOOKUP(VENTAS[[#This Row],[Código del producto Vendido]],STOCK[],19,FALSE)*VENTAS[[#This Row],[Cantidad]],VENTAS[[#This Row],[Total]])</f>
        <v>12.352941176470591</v>
      </c>
      <c r="L867" s="12">
        <f>VENTAS[[#This Row],[Total]]-VENTAS[[#This Row],[Comisión 10%]]-VENTAS[[#This Row],[Costo SIN Comision]]</f>
        <v>5.6470588235294095</v>
      </c>
      <c r="M867" s="12"/>
      <c r="N867" s="16"/>
    </row>
    <row r="868" spans="1:14" ht="20" hidden="1" customHeight="1">
      <c r="A868" s="9">
        <v>45409</v>
      </c>
      <c r="B868" s="10"/>
      <c r="C868" s="10"/>
      <c r="D868" s="10" t="s">
        <v>4349</v>
      </c>
      <c r="E868" s="10" t="s">
        <v>1575</v>
      </c>
      <c r="F868" s="10" t="str">
        <f>IFERROR(VLOOKUP(VENTAS[[#This Row],[Código del producto Vendido]],STOCK[],5,FALSE),"-")</f>
        <v>Sandalias de nudos</v>
      </c>
      <c r="G868" s="10">
        <v>1</v>
      </c>
      <c r="H868" s="12">
        <v>18</v>
      </c>
      <c r="I868" s="12">
        <f>VENTAS[[#This Row],[Cantidad]]*VENTAS[[#This Row],[Precio Venta]]</f>
        <v>18</v>
      </c>
      <c r="J868" s="12">
        <f>IF(VENTAS[[#This Row],[Nombre del Gestor]]&gt;1,VENTAS[[#This Row],[Total]]*10%,0)</f>
        <v>1.8</v>
      </c>
      <c r="K868" s="12">
        <f>IFERROR(VLOOKUP(VENTAS[[#This Row],[Código del producto Vendido]],STOCK[],16,FALSE)*VENTAS[[#This Row],[Cantidad]]+VLOOKUP(VENTAS[[#This Row],[Código del producto Vendido]],STOCK[],19,FALSE)*VENTAS[[#This Row],[Cantidad]],VENTAS[[#This Row],[Total]])</f>
        <v>11</v>
      </c>
      <c r="L868" s="12">
        <f>VENTAS[[#This Row],[Total]]-VENTAS[[#This Row],[Comisión 10%]]-VENTAS[[#This Row],[Costo SIN Comision]]</f>
        <v>5.1999999999999993</v>
      </c>
      <c r="M868" s="12"/>
      <c r="N868" s="16"/>
    </row>
    <row r="869" spans="1:14" ht="20" hidden="1" customHeight="1">
      <c r="A869" s="9">
        <v>45410</v>
      </c>
      <c r="B869" s="10"/>
      <c r="C869" s="10"/>
      <c r="D869" s="10" t="s">
        <v>4349</v>
      </c>
      <c r="E869" s="10" t="s">
        <v>1764</v>
      </c>
      <c r="F869" s="10" t="str">
        <f>IFERROR(VLOOKUP(VENTAS[[#This Row],[Código del producto Vendido]],STOCK[],5,FALSE),"-")</f>
        <v>Zapatillas blanco casual</v>
      </c>
      <c r="G869" s="10">
        <v>1</v>
      </c>
      <c r="H869" s="12">
        <v>30</v>
      </c>
      <c r="I869" s="12">
        <f>VENTAS[[#This Row],[Cantidad]]*VENTAS[[#This Row],[Precio Venta]]</f>
        <v>30</v>
      </c>
      <c r="J869" s="12">
        <f>IF(VENTAS[[#This Row],[Nombre del Gestor]]&gt;1,VENTAS[[#This Row],[Total]]*10%,0)</f>
        <v>3</v>
      </c>
      <c r="K869" s="12">
        <f>IFERROR(VLOOKUP(VENTAS[[#This Row],[Código del producto Vendido]],STOCK[],16,FALSE)*VENTAS[[#This Row],[Cantidad]]+VLOOKUP(VENTAS[[#This Row],[Código del producto Vendido]],STOCK[],19,FALSE)*VENTAS[[#This Row],[Cantidad]],VENTAS[[#This Row],[Total]])</f>
        <v>25.470588235294102</v>
      </c>
      <c r="L869" s="12">
        <f>VENTAS[[#This Row],[Total]]-VENTAS[[#This Row],[Comisión 10%]]-VENTAS[[#This Row],[Costo SIN Comision]]</f>
        <v>1.5294117647058982</v>
      </c>
      <c r="M869" s="12"/>
      <c r="N869" s="16"/>
    </row>
    <row r="870" spans="1:14" ht="20" hidden="1" customHeight="1">
      <c r="A870" s="9">
        <v>45410</v>
      </c>
      <c r="B870" s="10"/>
      <c r="C870" s="10"/>
      <c r="D870" s="10" t="s">
        <v>4349</v>
      </c>
      <c r="E870" s="10" t="s">
        <v>1423</v>
      </c>
      <c r="F870" s="10" t="str">
        <f>IFERROR(VLOOKUP(VENTAS[[#This Row],[Código del producto Vendido]],STOCK[],5,FALSE),"-")</f>
        <v>Pantalón de traje</v>
      </c>
      <c r="G870" s="10">
        <v>1</v>
      </c>
      <c r="H870" s="12">
        <v>30</v>
      </c>
      <c r="I870" s="12">
        <f>VENTAS[[#This Row],[Cantidad]]*VENTAS[[#This Row],[Precio Venta]]</f>
        <v>30</v>
      </c>
      <c r="J870" s="12">
        <f>IF(VENTAS[[#This Row],[Nombre del Gestor]]&gt;1,VENTAS[[#This Row],[Total]]*10%,0)</f>
        <v>3</v>
      </c>
      <c r="K870" s="12">
        <f>IFERROR(VLOOKUP(VENTAS[[#This Row],[Código del producto Vendido]],STOCK[],16,FALSE)*VENTAS[[#This Row],[Cantidad]]+VLOOKUP(VENTAS[[#This Row],[Código del producto Vendido]],STOCK[],19,FALSE)*VENTAS[[#This Row],[Cantidad]],VENTAS[[#This Row],[Total]])</f>
        <v>21</v>
      </c>
      <c r="L870" s="12">
        <f>VENTAS[[#This Row],[Total]]-VENTAS[[#This Row],[Comisión 10%]]-VENTAS[[#This Row],[Costo SIN Comision]]</f>
        <v>6</v>
      </c>
      <c r="M870" s="12"/>
      <c r="N870" s="16"/>
    </row>
    <row r="871" spans="1:14" ht="20" hidden="1" customHeight="1">
      <c r="A871" s="9">
        <v>45410</v>
      </c>
      <c r="B871" s="10"/>
      <c r="C871" s="10"/>
      <c r="D871" s="10" t="s">
        <v>4349</v>
      </c>
      <c r="E871" s="10" t="s">
        <v>960</v>
      </c>
      <c r="F871" s="10" t="str">
        <f>IFERROR(VLOOKUP(VENTAS[[#This Row],[Código del producto Vendido]],STOCK[],5,FALSE),"-")</f>
        <v>Pantalón business básico</v>
      </c>
      <c r="G871" s="10">
        <v>1</v>
      </c>
      <c r="H871" s="12">
        <v>28</v>
      </c>
      <c r="I871" s="12">
        <f>VENTAS[[#This Row],[Cantidad]]*VENTAS[[#This Row],[Precio Venta]]</f>
        <v>28</v>
      </c>
      <c r="J871" s="12">
        <f>IF(VENTAS[[#This Row],[Nombre del Gestor]]&gt;1,VENTAS[[#This Row],[Total]]*10%,0)</f>
        <v>2.8000000000000003</v>
      </c>
      <c r="K871" s="12">
        <f>IFERROR(VLOOKUP(VENTAS[[#This Row],[Código del producto Vendido]],STOCK[],16,FALSE)*VENTAS[[#This Row],[Cantidad]]+VLOOKUP(VENTAS[[#This Row],[Código del producto Vendido]],STOCK[],19,FALSE)*VENTAS[[#This Row],[Cantidad]],VENTAS[[#This Row],[Total]])</f>
        <v>21.372272727272701</v>
      </c>
      <c r="L871" s="12">
        <f>VENTAS[[#This Row],[Total]]-VENTAS[[#This Row],[Comisión 10%]]-VENTAS[[#This Row],[Costo SIN Comision]]</f>
        <v>3.827727272727298</v>
      </c>
      <c r="M871" s="12"/>
      <c r="N871" s="16"/>
    </row>
    <row r="872" spans="1:14" ht="20" hidden="1" customHeight="1">
      <c r="A872" s="9">
        <v>45411</v>
      </c>
      <c r="B872" s="10"/>
      <c r="C872" s="10" t="s">
        <v>4358</v>
      </c>
      <c r="D872" s="10"/>
      <c r="E872" s="10"/>
      <c r="F872" s="10" t="str">
        <f>IFERROR(VLOOKUP(VENTAS[[#This Row],[Código del producto Vendido]],STOCK[],5,FALSE),"-")</f>
        <v>-</v>
      </c>
      <c r="G872" s="10">
        <v>1</v>
      </c>
      <c r="H872" s="12">
        <v>0</v>
      </c>
      <c r="I872" s="12">
        <f>VENTAS[[#This Row],[Cantidad]]*VENTAS[[#This Row],[Precio Venta]]</f>
        <v>0</v>
      </c>
      <c r="J872" s="12">
        <f>IF(VENTAS[[#This Row],[Nombre del Gestor]]&gt;1,VENTAS[[#This Row],[Total]]*10%,0)</f>
        <v>0</v>
      </c>
      <c r="K872" s="12">
        <f>IFERROR(VLOOKUP(VENTAS[[#This Row],[Código del producto Vendido]],STOCK[],16,FALSE)*VENTAS[[#This Row],[Cantidad]]+VLOOKUP(VENTAS[[#This Row],[Código del producto Vendido]],STOCK[],19,FALSE)*VENTAS[[#This Row],[Cantidad]],VENTAS[[#This Row],[Total]])</f>
        <v>0</v>
      </c>
      <c r="L872" s="12">
        <f>VENTAS[[#This Row],[Total]]-VENTAS[[#This Row],[Comisión 10%]]-VENTAS[[#This Row],[Costo SIN Comision]]</f>
        <v>0</v>
      </c>
      <c r="M872" s="12"/>
      <c r="N872" s="16"/>
    </row>
    <row r="873" spans="1:14" ht="20" hidden="1" customHeight="1">
      <c r="A873" s="9">
        <v>45411</v>
      </c>
      <c r="B873" s="10"/>
      <c r="C873" s="10"/>
      <c r="D873" s="10" t="s">
        <v>4349</v>
      </c>
      <c r="E873" s="10" t="s">
        <v>1681</v>
      </c>
      <c r="F873" s="10" t="str">
        <f>IFERROR(VLOOKUP(VENTAS[[#This Row],[Código del producto Vendido]],STOCK[],5,FALSE),"-")</f>
        <v>Botas negras de zíper</v>
      </c>
      <c r="G873" s="10">
        <v>1</v>
      </c>
      <c r="H873" s="12">
        <v>40</v>
      </c>
      <c r="I873" s="12">
        <f>VENTAS[[#This Row],[Cantidad]]*VENTAS[[#This Row],[Precio Venta]]</f>
        <v>40</v>
      </c>
      <c r="J873" s="12">
        <f>IF(VENTAS[[#This Row],[Nombre del Gestor]]&gt;1,VENTAS[[#This Row],[Total]]*10%,0)</f>
        <v>4</v>
      </c>
      <c r="K873" s="12">
        <f>IFERROR(VLOOKUP(VENTAS[[#This Row],[Código del producto Vendido]],STOCK[],16,FALSE)*VENTAS[[#This Row],[Cantidad]]+VLOOKUP(VENTAS[[#This Row],[Código del producto Vendido]],STOCK[],19,FALSE)*VENTAS[[#This Row],[Cantidad]],VENTAS[[#This Row],[Total]])</f>
        <v>22.42</v>
      </c>
      <c r="L873" s="12">
        <f>VENTAS[[#This Row],[Total]]-VENTAS[[#This Row],[Comisión 10%]]-VENTAS[[#This Row],[Costo SIN Comision]]</f>
        <v>13.579999999999998</v>
      </c>
      <c r="M873" s="12"/>
      <c r="N873" s="16"/>
    </row>
    <row r="874" spans="1:14" ht="20" hidden="1" customHeight="1">
      <c r="A874" s="9">
        <v>45411</v>
      </c>
      <c r="B874" s="10"/>
      <c r="C874" s="10"/>
      <c r="D874" s="10" t="s">
        <v>4349</v>
      </c>
      <c r="E874" s="10" t="s">
        <v>1368</v>
      </c>
      <c r="F874" s="10" t="str">
        <f>IFERROR(VLOOKUP(VENTAS[[#This Row],[Código del producto Vendido]],STOCK[],5,FALSE),"-")</f>
        <v>Falda plisada de cuadros</v>
      </c>
      <c r="G874" s="10">
        <v>1</v>
      </c>
      <c r="H874" s="12">
        <v>20</v>
      </c>
      <c r="I874" s="12">
        <f>VENTAS[[#This Row],[Cantidad]]*VENTAS[[#This Row],[Precio Venta]]</f>
        <v>20</v>
      </c>
      <c r="J874" s="12">
        <f>IF(VENTAS[[#This Row],[Nombre del Gestor]]&gt;1,VENTAS[[#This Row],[Total]]*10%,0)</f>
        <v>2</v>
      </c>
      <c r="K874" s="12">
        <f>IFERROR(VLOOKUP(VENTAS[[#This Row],[Código del producto Vendido]],STOCK[],16,FALSE)*VENTAS[[#This Row],[Cantidad]]+VLOOKUP(VENTAS[[#This Row],[Código del producto Vendido]],STOCK[],19,FALSE)*VENTAS[[#This Row],[Cantidad]],VENTAS[[#This Row],[Total]])</f>
        <v>12.74</v>
      </c>
      <c r="L874" s="12">
        <f>VENTAS[[#This Row],[Total]]-VENTAS[[#This Row],[Comisión 10%]]-VENTAS[[#This Row],[Costo SIN Comision]]</f>
        <v>5.26</v>
      </c>
      <c r="M874" s="12"/>
      <c r="N874" s="16"/>
    </row>
    <row r="875" spans="1:14" ht="20" hidden="1" customHeight="1">
      <c r="A875" s="9">
        <v>45411</v>
      </c>
      <c r="B875" s="10"/>
      <c r="C875" s="10"/>
      <c r="D875" s="10" t="s">
        <v>4349</v>
      </c>
      <c r="E875" s="10" t="s">
        <v>1365</v>
      </c>
      <c r="F875" s="10" t="str">
        <f>IFERROR(VLOOKUP(VENTAS[[#This Row],[Código del producto Vendido]],STOCK[],5,FALSE),"-")</f>
        <v>Vestido de flecos</v>
      </c>
      <c r="G875" s="10">
        <v>1</v>
      </c>
      <c r="H875" s="12">
        <v>25</v>
      </c>
      <c r="I875" s="12">
        <f>VENTAS[[#This Row],[Cantidad]]*VENTAS[[#This Row],[Precio Venta]]</f>
        <v>25</v>
      </c>
      <c r="J875" s="12">
        <f>IF(VENTAS[[#This Row],[Nombre del Gestor]]&gt;1,VENTAS[[#This Row],[Total]]*10%,0)</f>
        <v>2.5</v>
      </c>
      <c r="K875" s="12">
        <f>IFERROR(VLOOKUP(VENTAS[[#This Row],[Código del producto Vendido]],STOCK[],16,FALSE)*VENTAS[[#This Row],[Cantidad]]+VLOOKUP(VENTAS[[#This Row],[Código del producto Vendido]],STOCK[],19,FALSE)*VENTAS[[#This Row],[Cantidad]],VENTAS[[#This Row],[Total]])</f>
        <v>18.829999999999998</v>
      </c>
      <c r="L875" s="12">
        <f>VENTAS[[#This Row],[Total]]-VENTAS[[#This Row],[Comisión 10%]]-VENTAS[[#This Row],[Costo SIN Comision]]</f>
        <v>3.6700000000000017</v>
      </c>
      <c r="M875" s="12"/>
      <c r="N875" s="16"/>
    </row>
    <row r="876" spans="1:14" ht="20" hidden="1" customHeight="1">
      <c r="A876" s="9">
        <v>45411</v>
      </c>
      <c r="B876" s="10"/>
      <c r="C876" s="10" t="s">
        <v>4359</v>
      </c>
      <c r="D876" s="10"/>
      <c r="E876" s="10" t="s">
        <v>435</v>
      </c>
      <c r="F876" s="10" t="str">
        <f>IFERROR(VLOOKUP(VENTAS[[#This Row],[Código del producto Vendido]],STOCK[],5,FALSE),"-")</f>
        <v xml:space="preserve">Camisa amplia multicolor </v>
      </c>
      <c r="G876" s="10">
        <v>1</v>
      </c>
      <c r="H876" s="12">
        <v>25</v>
      </c>
      <c r="I876" s="12">
        <f>VENTAS[[#This Row],[Cantidad]]*VENTAS[[#This Row],[Precio Venta]]</f>
        <v>25</v>
      </c>
      <c r="J876" s="12">
        <f>IF(VENTAS[[#This Row],[Nombre del Gestor]]&gt;1,VENTAS[[#This Row],[Total]]*10%,0)</f>
        <v>0</v>
      </c>
      <c r="K876" s="12">
        <f>IFERROR(VLOOKUP(VENTAS[[#This Row],[Código del producto Vendido]],STOCK[],16,FALSE)*VENTAS[[#This Row],[Cantidad]]+VLOOKUP(VENTAS[[#This Row],[Código del producto Vendido]],STOCK[],19,FALSE)*VENTAS[[#This Row],[Cantidad]],VENTAS[[#This Row],[Total]])</f>
        <v>16.2566666666667</v>
      </c>
      <c r="L876" s="12">
        <f>VENTAS[[#This Row],[Total]]-VENTAS[[#This Row],[Comisión 10%]]-VENTAS[[#This Row],[Costo SIN Comision]]</f>
        <v>8.7433333333333003</v>
      </c>
      <c r="M876" s="12"/>
      <c r="N876" s="16"/>
    </row>
    <row r="877" spans="1:14" ht="20" hidden="1" customHeight="1">
      <c r="A877" s="9">
        <v>45411</v>
      </c>
      <c r="B877" s="10"/>
      <c r="C877" s="10" t="s">
        <v>4359</v>
      </c>
      <c r="D877" s="10"/>
      <c r="E877" s="10" t="s">
        <v>1573</v>
      </c>
      <c r="F877" s="10" t="str">
        <f>IFERROR(VLOOKUP(VENTAS[[#This Row],[Código del producto Vendido]],STOCK[],5,FALSE),"-")</f>
        <v>Sandalias de tiras</v>
      </c>
      <c r="G877" s="10">
        <v>1</v>
      </c>
      <c r="H877" s="12">
        <v>20</v>
      </c>
      <c r="I877" s="12">
        <f>VENTAS[[#This Row],[Cantidad]]*VENTAS[[#This Row],[Precio Venta]]</f>
        <v>20</v>
      </c>
      <c r="J877" s="12">
        <f>IF(VENTAS[[#This Row],[Nombre del Gestor]]&gt;1,VENTAS[[#This Row],[Total]]*10%,0)</f>
        <v>0</v>
      </c>
      <c r="K877" s="12">
        <f>IFERROR(VLOOKUP(VENTAS[[#This Row],[Código del producto Vendido]],STOCK[],16,FALSE)*VENTAS[[#This Row],[Cantidad]]+VLOOKUP(VENTAS[[#This Row],[Código del producto Vendido]],STOCK[],19,FALSE)*VENTAS[[#This Row],[Cantidad]],VENTAS[[#This Row],[Total]])</f>
        <v>14</v>
      </c>
      <c r="L877" s="12">
        <f>VENTAS[[#This Row],[Total]]-VENTAS[[#This Row],[Comisión 10%]]-VENTAS[[#This Row],[Costo SIN Comision]]</f>
        <v>6</v>
      </c>
      <c r="M877" s="12"/>
      <c r="N877" s="16"/>
    </row>
    <row r="878" spans="1:14" ht="20" hidden="1" customHeight="1">
      <c r="A878" s="9">
        <v>45413</v>
      </c>
      <c r="B878" s="10"/>
      <c r="C878" s="10"/>
      <c r="D878" s="10" t="s">
        <v>4349</v>
      </c>
      <c r="E878" s="10" t="s">
        <v>1763</v>
      </c>
      <c r="F878" s="10" t="str">
        <f>IFERROR(VLOOKUP(VENTAS[[#This Row],[Código del producto Vendido]],STOCK[],5,FALSE),"-")</f>
        <v>Zapatillas blanco casual</v>
      </c>
      <c r="G878" s="10">
        <v>1</v>
      </c>
      <c r="H878" s="12">
        <v>30</v>
      </c>
      <c r="I878" s="12">
        <f>VENTAS[[#This Row],[Cantidad]]*VENTAS[[#This Row],[Precio Venta]]</f>
        <v>30</v>
      </c>
      <c r="J878" s="12">
        <f>IF(VENTAS[[#This Row],[Nombre del Gestor]]&gt;1,VENTAS[[#This Row],[Total]]*10%,0)</f>
        <v>3</v>
      </c>
      <c r="K878" s="12">
        <f>IFERROR(VLOOKUP(VENTAS[[#This Row],[Código del producto Vendido]],STOCK[],16,FALSE)*VENTAS[[#This Row],[Cantidad]]+VLOOKUP(VENTAS[[#This Row],[Código del producto Vendido]],STOCK[],19,FALSE)*VENTAS[[#This Row],[Cantidad]],VENTAS[[#This Row],[Total]])</f>
        <v>25.470588235294102</v>
      </c>
      <c r="L878" s="12">
        <f>VENTAS[[#This Row],[Total]]-VENTAS[[#This Row],[Comisión 10%]]-VENTAS[[#This Row],[Costo SIN Comision]]</f>
        <v>1.5294117647058982</v>
      </c>
      <c r="M878" s="12"/>
      <c r="N878" s="16"/>
    </row>
    <row r="879" spans="1:14" ht="20" hidden="1" customHeight="1">
      <c r="A879" s="9">
        <v>45414</v>
      </c>
      <c r="B879" s="10"/>
      <c r="C879" s="10" t="s">
        <v>4360</v>
      </c>
      <c r="D879" s="10"/>
      <c r="E879" s="10" t="s">
        <v>1944</v>
      </c>
      <c r="F879" s="10" t="str">
        <f>IFERROR(VLOOKUP(VENTAS[[#This Row],[Código del producto Vendido]],STOCK[],5,FALSE),"-")</f>
        <v>Zapatillas blanco casual</v>
      </c>
      <c r="G879" s="10">
        <v>1</v>
      </c>
      <c r="H879" s="12">
        <v>30</v>
      </c>
      <c r="I879" s="12">
        <f>VENTAS[[#This Row],[Cantidad]]*VENTAS[[#This Row],[Precio Venta]]</f>
        <v>30</v>
      </c>
      <c r="J879" s="12">
        <f>IF(VENTAS[[#This Row],[Nombre del Gestor]]&gt;1,VENTAS[[#This Row],[Total]]*10%,0)</f>
        <v>0</v>
      </c>
      <c r="K879" s="12">
        <f>IFERROR(VLOOKUP(VENTAS[[#This Row],[Código del producto Vendido]],STOCK[],16,FALSE)*VENTAS[[#This Row],[Cantidad]]+VLOOKUP(VENTAS[[#This Row],[Código del producto Vendido]],STOCK[],19,FALSE)*VENTAS[[#This Row],[Cantidad]],VENTAS[[#This Row],[Total]])</f>
        <v>17.97</v>
      </c>
      <c r="L879" s="12">
        <f>VENTAS[[#This Row],[Total]]-VENTAS[[#This Row],[Comisión 10%]]-VENTAS[[#This Row],[Costo SIN Comision]]</f>
        <v>12.030000000000001</v>
      </c>
      <c r="M879" s="12"/>
      <c r="N879" s="16"/>
    </row>
    <row r="880" spans="1:14" ht="20" hidden="1" customHeight="1">
      <c r="A880" s="9">
        <v>45414</v>
      </c>
      <c r="B880" s="10"/>
      <c r="C880" s="10"/>
      <c r="D880" s="10" t="s">
        <v>4349</v>
      </c>
      <c r="E880" s="10" t="s">
        <v>1679</v>
      </c>
      <c r="F880" s="10" t="str">
        <f>IFERROR(VLOOKUP(VENTAS[[#This Row],[Código del producto Vendido]],STOCK[],5,FALSE),"-")</f>
        <v>Botas negras de zíper</v>
      </c>
      <c r="G880" s="10">
        <v>1</v>
      </c>
      <c r="H880" s="12">
        <v>40</v>
      </c>
      <c r="I880" s="12">
        <f>VENTAS[[#This Row],[Cantidad]]*VENTAS[[#This Row],[Precio Venta]]</f>
        <v>40</v>
      </c>
      <c r="J880" s="12">
        <f>IF(VENTAS[[#This Row],[Nombre del Gestor]]&gt;1,VENTAS[[#This Row],[Total]]*10%,0)</f>
        <v>4</v>
      </c>
      <c r="K880" s="12">
        <f>IFERROR(VLOOKUP(VENTAS[[#This Row],[Código del producto Vendido]],STOCK[],16,FALSE)*VENTAS[[#This Row],[Cantidad]]+VLOOKUP(VENTAS[[#This Row],[Código del producto Vendido]],STOCK[],19,FALSE)*VENTAS[[#This Row],[Cantidad]],VENTAS[[#This Row],[Total]])</f>
        <v>22.42</v>
      </c>
      <c r="L880" s="12">
        <f>VENTAS[[#This Row],[Total]]-VENTAS[[#This Row],[Comisión 10%]]-VENTAS[[#This Row],[Costo SIN Comision]]</f>
        <v>13.579999999999998</v>
      </c>
      <c r="M880" s="12"/>
      <c r="N880" s="16"/>
    </row>
    <row r="881" spans="1:14" ht="20" hidden="1" customHeight="1">
      <c r="A881" s="9">
        <v>45415</v>
      </c>
      <c r="B881" s="10"/>
      <c r="C881" s="10" t="s">
        <v>4361</v>
      </c>
      <c r="D881" s="10"/>
      <c r="E881" s="10" t="s">
        <v>1944</v>
      </c>
      <c r="F881" s="10" t="str">
        <f>IFERROR(VLOOKUP(VENTAS[[#This Row],[Código del producto Vendido]],STOCK[],5,FALSE),"-")</f>
        <v>Zapatillas blanco casual</v>
      </c>
      <c r="G881" s="10">
        <v>1</v>
      </c>
      <c r="H881" s="12">
        <v>0</v>
      </c>
      <c r="I881" s="12">
        <f>VENTAS[[#This Row],[Cantidad]]*VENTAS[[#This Row],[Precio Venta]]</f>
        <v>0</v>
      </c>
      <c r="J881" s="12">
        <f>IF(VENTAS[[#This Row],[Nombre del Gestor]]&gt;1,VENTAS[[#This Row],[Total]]*10%,0)</f>
        <v>0</v>
      </c>
      <c r="K881" s="12">
        <f>IFERROR(VLOOKUP(VENTAS[[#This Row],[Código del producto Vendido]],STOCK[],16,FALSE)*VENTAS[[#This Row],[Cantidad]]+VLOOKUP(VENTAS[[#This Row],[Código del producto Vendido]],STOCK[],19,FALSE)*VENTAS[[#This Row],[Cantidad]],VENTAS[[#This Row],[Total]])</f>
        <v>17.97</v>
      </c>
      <c r="L881" s="12">
        <f>VENTAS[[#This Row],[Total]]-VENTAS[[#This Row],[Comisión 10%]]-VENTAS[[#This Row],[Costo SIN Comision]]</f>
        <v>-17.97</v>
      </c>
      <c r="M881" s="12"/>
      <c r="N881" s="16"/>
    </row>
    <row r="882" spans="1:14" ht="20" hidden="1" customHeight="1">
      <c r="A882" s="9">
        <v>45416</v>
      </c>
      <c r="B882" s="10"/>
      <c r="C882" s="10"/>
      <c r="D882" s="10" t="s">
        <v>4349</v>
      </c>
      <c r="E882" s="10" t="s">
        <v>246</v>
      </c>
      <c r="F882" s="10" t="str">
        <f>IFERROR(VLOOKUP(VENTAS[[#This Row],[Código del producto Vendido]],STOCK[],5,FALSE),"-")</f>
        <v>Top de mangas anchas y lentejuelas amarillo</v>
      </c>
      <c r="G882" s="10">
        <v>1</v>
      </c>
      <c r="H882" s="12">
        <v>13</v>
      </c>
      <c r="I882" s="12">
        <f>VENTAS[[#This Row],[Cantidad]]*VENTAS[[#This Row],[Precio Venta]]</f>
        <v>13</v>
      </c>
      <c r="J882" s="12">
        <f>IF(VENTAS[[#This Row],[Nombre del Gestor]]&gt;1,VENTAS[[#This Row],[Total]]*10%,0)</f>
        <v>1.3</v>
      </c>
      <c r="K882" s="12">
        <f>IFERROR(VLOOKUP(VENTAS[[#This Row],[Código del producto Vendido]],STOCK[],16,FALSE)*VENTAS[[#This Row],[Cantidad]]+VLOOKUP(VENTAS[[#This Row],[Código del producto Vendido]],STOCK[],19,FALSE)*VENTAS[[#This Row],[Cantidad]],VENTAS[[#This Row],[Total]])</f>
        <v>8.0422222222222199</v>
      </c>
      <c r="L882" s="12">
        <f>VENTAS[[#This Row],[Total]]-VENTAS[[#This Row],[Comisión 10%]]-VENTAS[[#This Row],[Costo SIN Comision]]</f>
        <v>3.6577777777777793</v>
      </c>
      <c r="M882" s="12"/>
      <c r="N882" s="16"/>
    </row>
    <row r="883" spans="1:14" ht="20" hidden="1" customHeight="1">
      <c r="A883" s="9">
        <v>45416</v>
      </c>
      <c r="B883" s="10"/>
      <c r="C883" s="10"/>
      <c r="D883" s="10"/>
      <c r="E883" s="10" t="s">
        <v>1737</v>
      </c>
      <c r="F883" s="10" t="str">
        <f>IFERROR(VLOOKUP(VENTAS[[#This Row],[Código del producto Vendido]],STOCK[],5,FALSE),"-")</f>
        <v>Chaleco de traje Negro</v>
      </c>
      <c r="G883" s="10">
        <v>2</v>
      </c>
      <c r="H883" s="12">
        <v>25</v>
      </c>
      <c r="I883" s="12">
        <f>VENTAS[[#This Row],[Cantidad]]*VENTAS[[#This Row],[Precio Venta]]</f>
        <v>50</v>
      </c>
      <c r="J883" s="12">
        <f>IF(VENTAS[[#This Row],[Nombre del Gestor]]&gt;1,VENTAS[[#This Row],[Total]]*10%,0)</f>
        <v>0</v>
      </c>
      <c r="K883" s="12">
        <f>IFERROR(VLOOKUP(VENTAS[[#This Row],[Código del producto Vendido]],STOCK[],16,FALSE)*VENTAS[[#This Row],[Cantidad]]+VLOOKUP(VENTAS[[#This Row],[Código del producto Vendido]],STOCK[],19,FALSE)*VENTAS[[#This Row],[Cantidad]],VENTAS[[#This Row],[Total]])</f>
        <v>35.8823529411764</v>
      </c>
      <c r="L883" s="12">
        <f>VENTAS[[#This Row],[Total]]-VENTAS[[#This Row],[Comisión 10%]]-VENTAS[[#This Row],[Costo SIN Comision]]</f>
        <v>14.1176470588236</v>
      </c>
      <c r="M883" s="12"/>
      <c r="N883" s="16"/>
    </row>
    <row r="884" spans="1:14" ht="20" hidden="1" customHeight="1">
      <c r="A884" s="9">
        <v>45416</v>
      </c>
      <c r="B884" s="10"/>
      <c r="C884" s="10"/>
      <c r="D884" s="10" t="s">
        <v>4349</v>
      </c>
      <c r="E884" s="10" t="s">
        <v>1923</v>
      </c>
      <c r="F884" s="10" t="str">
        <f>IFERROR(VLOOKUP(VENTAS[[#This Row],[Código del producto Vendido]],STOCK[],5,FALSE),"-")</f>
        <v>Vestido Fresco Verano</v>
      </c>
      <c r="G884" s="10">
        <v>1</v>
      </c>
      <c r="H884" s="12">
        <v>30</v>
      </c>
      <c r="I884" s="12">
        <f>VENTAS[[#This Row],[Cantidad]]*VENTAS[[#This Row],[Precio Venta]]</f>
        <v>30</v>
      </c>
      <c r="J884" s="12">
        <f>IF(VENTAS[[#This Row],[Nombre del Gestor]]&gt;1,VENTAS[[#This Row],[Total]]*10%,0)</f>
        <v>3</v>
      </c>
      <c r="K884" s="12">
        <f>IFERROR(VLOOKUP(VENTAS[[#This Row],[Código del producto Vendido]],STOCK[],16,FALSE)*VENTAS[[#This Row],[Cantidad]]+VLOOKUP(VENTAS[[#This Row],[Código del producto Vendido]],STOCK[],19,FALSE)*VENTAS[[#This Row],[Cantidad]],VENTAS[[#This Row],[Total]])</f>
        <v>11.61</v>
      </c>
      <c r="L884" s="12">
        <f>VENTAS[[#This Row],[Total]]-VENTAS[[#This Row],[Comisión 10%]]-VENTAS[[#This Row],[Costo SIN Comision]]</f>
        <v>15.39</v>
      </c>
      <c r="M884" s="12"/>
      <c r="N884" s="16"/>
    </row>
    <row r="885" spans="1:14" ht="20" hidden="1" customHeight="1">
      <c r="A885" s="9">
        <v>45418</v>
      </c>
      <c r="B885" s="10"/>
      <c r="C885" s="10"/>
      <c r="D885" s="10" t="s">
        <v>4349</v>
      </c>
      <c r="E885" s="10" t="s">
        <v>1903</v>
      </c>
      <c r="F885" s="10" t="str">
        <f>IFERROR(VLOOKUP(VENTAS[[#This Row],[Código del producto Vendido]],STOCK[],5,FALSE),"-")</f>
        <v>Blusa estampada de Lunares</v>
      </c>
      <c r="G885" s="10">
        <v>1</v>
      </c>
      <c r="H885" s="12">
        <v>14</v>
      </c>
      <c r="I885" s="12">
        <f>VENTAS[[#This Row],[Cantidad]]*VENTAS[[#This Row],[Precio Venta]]</f>
        <v>14</v>
      </c>
      <c r="J885" s="12">
        <f>IF(VENTAS[[#This Row],[Nombre del Gestor]]&gt;1,VENTAS[[#This Row],[Total]]*10%,0)</f>
        <v>1.4000000000000001</v>
      </c>
      <c r="K885" s="12">
        <f>IFERROR(VLOOKUP(VENTAS[[#This Row],[Código del producto Vendido]],STOCK[],16,FALSE)*VENTAS[[#This Row],[Cantidad]]+VLOOKUP(VENTAS[[#This Row],[Código del producto Vendido]],STOCK[],19,FALSE)*VENTAS[[#This Row],[Cantidad]],VENTAS[[#This Row],[Total]])</f>
        <v>9.1999999999999993</v>
      </c>
      <c r="L885" s="12">
        <f>VENTAS[[#This Row],[Total]]-VENTAS[[#This Row],[Comisión 10%]]-VENTAS[[#This Row],[Costo SIN Comision]]</f>
        <v>3.4000000000000004</v>
      </c>
      <c r="M885" s="12"/>
      <c r="N885" s="16"/>
    </row>
    <row r="886" spans="1:14" ht="20" hidden="1" customHeight="1">
      <c r="A886" s="9">
        <v>45418</v>
      </c>
      <c r="B886" s="10"/>
      <c r="C886" s="10"/>
      <c r="D886" s="10" t="s">
        <v>4349</v>
      </c>
      <c r="E886" s="10" t="s">
        <v>4362</v>
      </c>
      <c r="F886" s="10" t="str">
        <f>IFERROR(VLOOKUP(VENTAS[[#This Row],[Código del producto Vendido]],STOCK[],5,FALSE),"-")</f>
        <v>Botas negras de zíper</v>
      </c>
      <c r="G886" s="10">
        <v>1</v>
      </c>
      <c r="H886" s="12">
        <v>45</v>
      </c>
      <c r="I886" s="12">
        <f>VENTAS[[#This Row],[Cantidad]]*VENTAS[[#This Row],[Precio Venta]]</f>
        <v>45</v>
      </c>
      <c r="J886" s="12">
        <f>IF(VENTAS[[#This Row],[Nombre del Gestor]]&gt;1,VENTAS[[#This Row],[Total]]*10%,0)</f>
        <v>4.5</v>
      </c>
      <c r="K886" s="12">
        <f>IFERROR(VLOOKUP(VENTAS[[#This Row],[Código del producto Vendido]],STOCK[],16,FALSE)*VENTAS[[#This Row],[Cantidad]]+VLOOKUP(VENTAS[[#This Row],[Código del producto Vendido]],STOCK[],19,FALSE)*VENTAS[[#This Row],[Cantidad]],VENTAS[[#This Row],[Total]])</f>
        <v>22.42</v>
      </c>
      <c r="L886" s="12">
        <f>VENTAS[[#This Row],[Total]]-VENTAS[[#This Row],[Comisión 10%]]-VENTAS[[#This Row],[Costo SIN Comision]]</f>
        <v>18.079999999999998</v>
      </c>
      <c r="M886" s="12"/>
      <c r="N886" s="16"/>
    </row>
    <row r="887" spans="1:14" ht="20" hidden="1" customHeight="1">
      <c r="A887" s="9">
        <v>45418</v>
      </c>
      <c r="B887" s="10"/>
      <c r="C887" s="10"/>
      <c r="D887" s="10" t="s">
        <v>4349</v>
      </c>
      <c r="E887" s="10" t="s">
        <v>4363</v>
      </c>
      <c r="F887" s="10" t="str">
        <f>IFERROR(VLOOKUP(VENTAS[[#This Row],[Código del producto Vendido]],STOCK[],5,FALSE),"-")</f>
        <v>Pantalón acampanado Blanco</v>
      </c>
      <c r="G887" s="10">
        <v>1</v>
      </c>
      <c r="H887" s="12">
        <v>30</v>
      </c>
      <c r="I887" s="12">
        <f>VENTAS[[#This Row],[Cantidad]]*VENTAS[[#This Row],[Precio Venta]]</f>
        <v>30</v>
      </c>
      <c r="J887" s="12">
        <f>IF(VENTAS[[#This Row],[Nombre del Gestor]]&gt;1,VENTAS[[#This Row],[Total]]*10%,0)</f>
        <v>3</v>
      </c>
      <c r="K887" s="12">
        <f>IFERROR(VLOOKUP(VENTAS[[#This Row],[Código del producto Vendido]],STOCK[],16,FALSE)*VENTAS[[#This Row],[Cantidad]]+VLOOKUP(VENTAS[[#This Row],[Código del producto Vendido]],STOCK[],19,FALSE)*VENTAS[[#This Row],[Cantidad]],VENTAS[[#This Row],[Total]])</f>
        <v>16.5</v>
      </c>
      <c r="L887" s="12">
        <f>VENTAS[[#This Row],[Total]]-VENTAS[[#This Row],[Comisión 10%]]-VENTAS[[#This Row],[Costo SIN Comision]]</f>
        <v>10.5</v>
      </c>
      <c r="M887" s="12"/>
      <c r="N887" s="16"/>
    </row>
    <row r="888" spans="1:14" ht="20" hidden="1" customHeight="1">
      <c r="A888" s="9">
        <v>45419</v>
      </c>
      <c r="B888" s="10"/>
      <c r="C888" s="10"/>
      <c r="D888" s="10" t="s">
        <v>4349</v>
      </c>
      <c r="E888" s="10" t="s">
        <v>4364</v>
      </c>
      <c r="F888" s="10" t="str">
        <f>IFERROR(VLOOKUP(VENTAS[[#This Row],[Código del producto Vendido]],STOCK[],5,FALSE),"-")</f>
        <v>Bikini niñita Arcoíris</v>
      </c>
      <c r="G888" s="10">
        <v>1</v>
      </c>
      <c r="H888" s="12">
        <v>18</v>
      </c>
      <c r="I888" s="12">
        <f>VENTAS[[#This Row],[Cantidad]]*VENTAS[[#This Row],[Precio Venta]]</f>
        <v>18</v>
      </c>
      <c r="J888" s="12">
        <f>IF(VENTAS[[#This Row],[Nombre del Gestor]]&gt;1,VENTAS[[#This Row],[Total]]*10%,0)</f>
        <v>1.8</v>
      </c>
      <c r="K888" s="12">
        <f>IFERROR(VLOOKUP(VENTAS[[#This Row],[Código del producto Vendido]],STOCK[],16,FALSE)*VENTAS[[#This Row],[Cantidad]]+VLOOKUP(VENTAS[[#This Row],[Código del producto Vendido]],STOCK[],19,FALSE)*VENTAS[[#This Row],[Cantidad]],VENTAS[[#This Row],[Total]])</f>
        <v>11.54666666666667</v>
      </c>
      <c r="L888" s="12">
        <f>VENTAS[[#This Row],[Total]]-VENTAS[[#This Row],[Comisión 10%]]-VENTAS[[#This Row],[Costo SIN Comision]]</f>
        <v>4.6533333333333289</v>
      </c>
      <c r="M888" s="12"/>
      <c r="N888" s="16"/>
    </row>
    <row r="889" spans="1:14" ht="20" hidden="1" customHeight="1">
      <c r="A889" s="9">
        <v>45419</v>
      </c>
      <c r="B889" s="10"/>
      <c r="C889" s="10"/>
      <c r="D889" s="10" t="s">
        <v>4349</v>
      </c>
      <c r="E889" s="10" t="s">
        <v>4365</v>
      </c>
      <c r="F889" s="10" t="str">
        <f>IFERROR(VLOOKUP(VENTAS[[#This Row],[Código del producto Vendido]],STOCK[],5,FALSE),"-")</f>
        <v>Traje de baño niñitas Pastel con diadema</v>
      </c>
      <c r="G889" s="10">
        <v>1</v>
      </c>
      <c r="H889" s="12">
        <v>18</v>
      </c>
      <c r="I889" s="12">
        <f>VENTAS[[#This Row],[Cantidad]]*VENTAS[[#This Row],[Precio Venta]]</f>
        <v>18</v>
      </c>
      <c r="J889" s="12">
        <f>IF(VENTAS[[#This Row],[Nombre del Gestor]]&gt;1,VENTAS[[#This Row],[Total]]*10%,0)</f>
        <v>1.8</v>
      </c>
      <c r="K889" s="12">
        <f>IFERROR(VLOOKUP(VENTAS[[#This Row],[Código del producto Vendido]],STOCK[],16,FALSE)*VENTAS[[#This Row],[Cantidad]]+VLOOKUP(VENTAS[[#This Row],[Código del producto Vendido]],STOCK[],19,FALSE)*VENTAS[[#This Row],[Cantidad]],VENTAS[[#This Row],[Total]])</f>
        <v>11.88666666666667</v>
      </c>
      <c r="L889" s="12">
        <f>VENTAS[[#This Row],[Total]]-VENTAS[[#This Row],[Comisión 10%]]-VENTAS[[#This Row],[Costo SIN Comision]]</f>
        <v>4.313333333333329</v>
      </c>
      <c r="M889" s="12"/>
      <c r="N889" s="16"/>
    </row>
    <row r="890" spans="1:14" ht="20" hidden="1" customHeight="1">
      <c r="A890" s="9">
        <v>45417</v>
      </c>
      <c r="B890" s="10"/>
      <c r="C890" s="10"/>
      <c r="D890" s="10" t="s">
        <v>4349</v>
      </c>
      <c r="E890" s="10" t="s">
        <v>4366</v>
      </c>
      <c r="F890" s="10" t="str">
        <f>IFERROR(VLOOKUP(VENTAS[[#This Row],[Código del producto Vendido]],STOCK[],5,FALSE),"-")</f>
        <v>Bikini niñitas unicornio con Diadema</v>
      </c>
      <c r="G890" s="10">
        <v>1</v>
      </c>
      <c r="H890" s="12">
        <v>18</v>
      </c>
      <c r="I890" s="12">
        <f>VENTAS[[#This Row],[Cantidad]]*VENTAS[[#This Row],[Precio Venta]]</f>
        <v>18</v>
      </c>
      <c r="J890" s="12">
        <f>IF(VENTAS[[#This Row],[Nombre del Gestor]]&gt;1,VENTAS[[#This Row],[Total]]*10%,0)</f>
        <v>1.8</v>
      </c>
      <c r="K890" s="12">
        <f>IFERROR(VLOOKUP(VENTAS[[#This Row],[Código del producto Vendido]],STOCK[],16,FALSE)*VENTAS[[#This Row],[Cantidad]]+VLOOKUP(VENTAS[[#This Row],[Código del producto Vendido]],STOCK[],19,FALSE)*VENTAS[[#This Row],[Cantidad]],VENTAS[[#This Row],[Total]])</f>
        <v>9.7661111111111101</v>
      </c>
      <c r="L890" s="12">
        <f>VENTAS[[#This Row],[Total]]-VENTAS[[#This Row],[Comisión 10%]]-VENTAS[[#This Row],[Costo SIN Comision]]</f>
        <v>6.4338888888888892</v>
      </c>
      <c r="M890" s="12"/>
      <c r="N890" s="16"/>
    </row>
    <row r="891" spans="1:14" ht="20" hidden="1" customHeight="1">
      <c r="A891" s="9">
        <v>45416</v>
      </c>
      <c r="B891" s="10"/>
      <c r="C891" s="10"/>
      <c r="D891" s="10" t="s">
        <v>4349</v>
      </c>
      <c r="E891" s="10" t="s">
        <v>1368</v>
      </c>
      <c r="F891" s="10" t="str">
        <f>IFERROR(VLOOKUP(VENTAS[[#This Row],[Código del producto Vendido]],STOCK[],5,FALSE),"-")</f>
        <v>Falda plisada de cuadros</v>
      </c>
      <c r="G891" s="10">
        <v>1</v>
      </c>
      <c r="H891" s="12">
        <v>20</v>
      </c>
      <c r="I891" s="12">
        <f>VENTAS[[#This Row],[Cantidad]]*VENTAS[[#This Row],[Precio Venta]]</f>
        <v>20</v>
      </c>
      <c r="J891" s="12">
        <f>IF(VENTAS[[#This Row],[Nombre del Gestor]]&gt;1,VENTAS[[#This Row],[Total]]*10%,0)</f>
        <v>2</v>
      </c>
      <c r="K891" s="12">
        <f>IFERROR(VLOOKUP(VENTAS[[#This Row],[Código del producto Vendido]],STOCK[],16,FALSE)*VENTAS[[#This Row],[Cantidad]]+VLOOKUP(VENTAS[[#This Row],[Código del producto Vendido]],STOCK[],19,FALSE)*VENTAS[[#This Row],[Cantidad]],VENTAS[[#This Row],[Total]])</f>
        <v>12.74</v>
      </c>
      <c r="L891" s="12">
        <f>VENTAS[[#This Row],[Total]]-VENTAS[[#This Row],[Comisión 10%]]-VENTAS[[#This Row],[Costo SIN Comision]]</f>
        <v>5.26</v>
      </c>
      <c r="M891" s="12"/>
      <c r="N891" s="16"/>
    </row>
    <row r="892" spans="1:14" ht="20" hidden="1" customHeight="1">
      <c r="A892" s="9">
        <v>45416</v>
      </c>
      <c r="B892" s="10"/>
      <c r="C892" s="10"/>
      <c r="D892" s="10" t="s">
        <v>4349</v>
      </c>
      <c r="E892" s="10" t="s">
        <v>246</v>
      </c>
      <c r="F892" s="10" t="str">
        <f>IFERROR(VLOOKUP(VENTAS[[#This Row],[Código del producto Vendido]],STOCK[],5,FALSE),"-")</f>
        <v>Top de mangas anchas y lentejuelas amarillo</v>
      </c>
      <c r="G892" s="10">
        <v>0</v>
      </c>
      <c r="H892" s="12">
        <v>13</v>
      </c>
      <c r="I892" s="12">
        <f>VENTAS[[#This Row],[Cantidad]]*VENTAS[[#This Row],[Precio Venta]]</f>
        <v>0</v>
      </c>
      <c r="J892" s="12">
        <f>IF(VENTAS[[#This Row],[Nombre del Gestor]]&gt;1,VENTAS[[#This Row],[Total]]*10%,0)</f>
        <v>0</v>
      </c>
      <c r="K892" s="12">
        <f>IFERROR(VLOOKUP(VENTAS[[#This Row],[Código del producto Vendido]],STOCK[],16,FALSE)*VENTAS[[#This Row],[Cantidad]]+VLOOKUP(VENTAS[[#This Row],[Código del producto Vendido]],STOCK[],19,FALSE)*VENTAS[[#This Row],[Cantidad]],VENTAS[[#This Row],[Total]])</f>
        <v>0</v>
      </c>
      <c r="L892" s="12">
        <f>VENTAS[[#This Row],[Total]]-VENTAS[[#This Row],[Comisión 10%]]-VENTAS[[#This Row],[Costo SIN Comision]]</f>
        <v>0</v>
      </c>
      <c r="M892" s="12"/>
      <c r="N892" s="16"/>
    </row>
    <row r="893" spans="1:14" ht="20" hidden="1" customHeight="1">
      <c r="A893" s="9">
        <v>45416</v>
      </c>
      <c r="B893" s="10"/>
      <c r="C893" s="10"/>
      <c r="D893" s="10" t="s">
        <v>4349</v>
      </c>
      <c r="E893" s="10" t="s">
        <v>274</v>
      </c>
      <c r="F893" s="10" t="str">
        <f>IFERROR(VLOOKUP(VENTAS[[#This Row],[Código del producto Vendido]],STOCK[],5,FALSE),"-")</f>
        <v>Vestido playera oversize</v>
      </c>
      <c r="G893" s="10">
        <v>1</v>
      </c>
      <c r="H893" s="12">
        <v>20</v>
      </c>
      <c r="I893" s="12">
        <f>VENTAS[[#This Row],[Cantidad]]*VENTAS[[#This Row],[Precio Venta]]</f>
        <v>20</v>
      </c>
      <c r="J893" s="12">
        <f>IF(VENTAS[[#This Row],[Nombre del Gestor]]&gt;1,VENTAS[[#This Row],[Total]]*10%,0)</f>
        <v>2</v>
      </c>
      <c r="K893" s="12">
        <f>IFERROR(VLOOKUP(VENTAS[[#This Row],[Código del producto Vendido]],STOCK[],16,FALSE)*VENTAS[[#This Row],[Cantidad]]+VLOOKUP(VENTAS[[#This Row],[Código del producto Vendido]],STOCK[],19,FALSE)*VENTAS[[#This Row],[Cantidad]],VENTAS[[#This Row],[Total]])</f>
        <v>13.7888888888889</v>
      </c>
      <c r="L893" s="12">
        <f>VENTAS[[#This Row],[Total]]-VENTAS[[#This Row],[Comisión 10%]]-VENTAS[[#This Row],[Costo SIN Comision]]</f>
        <v>4.2111111111110997</v>
      </c>
      <c r="M893" s="12"/>
      <c r="N893" s="16"/>
    </row>
    <row r="894" spans="1:14" ht="20" hidden="1" customHeight="1">
      <c r="A894" s="9">
        <v>45419</v>
      </c>
      <c r="B894" s="10"/>
      <c r="C894" s="10"/>
      <c r="D894" s="10"/>
      <c r="E894" s="10" t="s">
        <v>4367</v>
      </c>
      <c r="F894" s="10" t="str">
        <f>IFERROR(VLOOKUP(VENTAS[[#This Row],[Código del producto Vendido]],STOCK[],5,FALSE),"-")</f>
        <v>Sandalias negras acolchadas</v>
      </c>
      <c r="G894" s="10">
        <v>1</v>
      </c>
      <c r="H894" s="12">
        <v>27</v>
      </c>
      <c r="I894" s="12">
        <f>VENTAS[[#This Row],[Cantidad]]*VENTAS[[#This Row],[Precio Venta]]</f>
        <v>27</v>
      </c>
      <c r="J894" s="12">
        <f>IF(VENTAS[[#This Row],[Nombre del Gestor]]&gt;1,VENTAS[[#This Row],[Total]]*10%,0)</f>
        <v>0</v>
      </c>
      <c r="K894" s="12">
        <f>IFERROR(VLOOKUP(VENTAS[[#This Row],[Código del producto Vendido]],STOCK[],16,FALSE)*VENTAS[[#This Row],[Cantidad]]+VLOOKUP(VENTAS[[#This Row],[Código del producto Vendido]],STOCK[],19,FALSE)*VENTAS[[#This Row],[Cantidad]],VENTAS[[#This Row],[Total]])</f>
        <v>12.49</v>
      </c>
      <c r="L894" s="12">
        <f>VENTAS[[#This Row],[Total]]-VENTAS[[#This Row],[Comisión 10%]]-VENTAS[[#This Row],[Costo SIN Comision]]</f>
        <v>14.51</v>
      </c>
      <c r="M894" s="12"/>
      <c r="N894" s="16"/>
    </row>
    <row r="895" spans="1:14" ht="20" hidden="1" customHeight="1">
      <c r="A895" s="9">
        <v>45418</v>
      </c>
      <c r="B895" s="10"/>
      <c r="C895" s="10"/>
      <c r="D895" s="10" t="s">
        <v>4349</v>
      </c>
      <c r="E895" s="10" t="s">
        <v>1481</v>
      </c>
      <c r="F895" s="10" t="str">
        <f>IFERROR(VLOOKUP(VENTAS[[#This Row],[Código del producto Vendido]],STOCK[],5,FALSE),"-")</f>
        <v>Botas negras de zíper</v>
      </c>
      <c r="G895" s="10">
        <v>1</v>
      </c>
      <c r="H895" s="12">
        <v>45</v>
      </c>
      <c r="I895" s="12">
        <f>VENTAS[[#This Row],[Cantidad]]*VENTAS[[#This Row],[Precio Venta]]</f>
        <v>45</v>
      </c>
      <c r="J895" s="12">
        <f>IF(VENTAS[[#This Row],[Nombre del Gestor]]&gt;1,VENTAS[[#This Row],[Total]]*10%,0)</f>
        <v>4.5</v>
      </c>
      <c r="K895" s="12">
        <f>IFERROR(VLOOKUP(VENTAS[[#This Row],[Código del producto Vendido]],STOCK[],16,FALSE)*VENTAS[[#This Row],[Cantidad]]+VLOOKUP(VENTAS[[#This Row],[Código del producto Vendido]],STOCK[],19,FALSE)*VENTAS[[#This Row],[Cantidad]],VENTAS[[#This Row],[Total]])</f>
        <v>30</v>
      </c>
      <c r="L895" s="12">
        <f>VENTAS[[#This Row],[Total]]-VENTAS[[#This Row],[Comisión 10%]]-VENTAS[[#This Row],[Costo SIN Comision]]</f>
        <v>10.5</v>
      </c>
      <c r="M895" s="12"/>
      <c r="N895" s="16"/>
    </row>
    <row r="896" spans="1:14" ht="20" hidden="1" customHeight="1">
      <c r="A896" s="9">
        <v>45418</v>
      </c>
      <c r="B896" s="10"/>
      <c r="C896" s="10"/>
      <c r="D896" s="10" t="s">
        <v>4349</v>
      </c>
      <c r="E896" s="10" t="s">
        <v>31</v>
      </c>
      <c r="F896" s="10" t="str">
        <f>IFERROR(VLOOKUP(VENTAS[[#This Row],[Código del producto Vendido]],STOCK[],5,FALSE),"-")</f>
        <v xml:space="preserve">Pareo falda </v>
      </c>
      <c r="G896" s="10">
        <v>1</v>
      </c>
      <c r="H896" s="12">
        <v>8</v>
      </c>
      <c r="I896" s="12">
        <f>VENTAS[[#This Row],[Cantidad]]*VENTAS[[#This Row],[Precio Venta]]</f>
        <v>8</v>
      </c>
      <c r="J896" s="12">
        <f>IF(VENTAS[[#This Row],[Nombre del Gestor]]&gt;1,VENTAS[[#This Row],[Total]]*10%,0)</f>
        <v>0.8</v>
      </c>
      <c r="K896" s="12">
        <f>IFERROR(VLOOKUP(VENTAS[[#This Row],[Código del producto Vendido]],STOCK[],16,FALSE)*VENTAS[[#This Row],[Cantidad]]+VLOOKUP(VENTAS[[#This Row],[Código del producto Vendido]],STOCK[],19,FALSE)*VENTAS[[#This Row],[Cantidad]],VENTAS[[#This Row],[Total]])</f>
        <v>4.3372222222222199</v>
      </c>
      <c r="L896" s="12">
        <f>VENTAS[[#This Row],[Total]]-VENTAS[[#This Row],[Comisión 10%]]-VENTAS[[#This Row],[Costo SIN Comision]]</f>
        <v>2.8627777777777803</v>
      </c>
      <c r="M896" s="12"/>
      <c r="N896" s="16"/>
    </row>
    <row r="897" spans="1:14" ht="20" hidden="1" customHeight="1">
      <c r="A897" s="9">
        <v>45435</v>
      </c>
      <c r="B897" s="10"/>
      <c r="C897" s="10"/>
      <c r="D897" s="10" t="s">
        <v>4336</v>
      </c>
      <c r="E897" s="10" t="s">
        <v>81</v>
      </c>
      <c r="F897" s="10" t="str">
        <f>IFERROR(VLOOKUP(VENTAS[[#This Row],[Código del producto Vendido]],STOCK[],5,FALSE),"-")</f>
        <v>Pareo pantalón de malla</v>
      </c>
      <c r="G897" s="10">
        <v>1</v>
      </c>
      <c r="H897" s="12">
        <v>15</v>
      </c>
      <c r="I897" s="12">
        <f>VENTAS[[#This Row],[Cantidad]]*VENTAS[[#This Row],[Precio Venta]]</f>
        <v>15</v>
      </c>
      <c r="J897" s="12">
        <f>IF(VENTAS[[#This Row],[Nombre del Gestor]]&gt;1,VENTAS[[#This Row],[Total]]*10%,0)</f>
        <v>1.5</v>
      </c>
      <c r="K897" s="12">
        <f>IFERROR(VLOOKUP(VENTAS[[#This Row],[Código del producto Vendido]],STOCK[],16,FALSE)*VENTAS[[#This Row],[Cantidad]]+VLOOKUP(VENTAS[[#This Row],[Código del producto Vendido]],STOCK[],19,FALSE)*VENTAS[[#This Row],[Cantidad]],VENTAS[[#This Row],[Total]])</f>
        <v>9.9555555555555593</v>
      </c>
      <c r="L897" s="12">
        <f>VENTAS[[#This Row],[Total]]-VENTAS[[#This Row],[Comisión 10%]]-VENTAS[[#This Row],[Costo SIN Comision]]</f>
        <v>3.5444444444444407</v>
      </c>
      <c r="M897" s="12"/>
      <c r="N897" s="16"/>
    </row>
    <row r="898" spans="1:14" ht="20" hidden="1" customHeight="1">
      <c r="A898" s="9">
        <v>45418</v>
      </c>
      <c r="B898" s="10"/>
      <c r="C898" s="10"/>
      <c r="D898" s="10" t="s">
        <v>4349</v>
      </c>
      <c r="E898" s="10" t="s">
        <v>86</v>
      </c>
      <c r="F898" s="10" t="str">
        <f>IFERROR(VLOOKUP(VENTAS[[#This Row],[Código del producto Vendido]],STOCK[],5,FALSE),"-")</f>
        <v>Bikini elegante con herrajes color humo</v>
      </c>
      <c r="G898" s="10">
        <v>1</v>
      </c>
      <c r="H898" s="12">
        <v>18</v>
      </c>
      <c r="I898" s="12">
        <f>VENTAS[[#This Row],[Cantidad]]*VENTAS[[#This Row],[Precio Venta]]</f>
        <v>18</v>
      </c>
      <c r="J898" s="12">
        <f>IF(VENTAS[[#This Row],[Nombre del Gestor]]&gt;1,VENTAS[[#This Row],[Total]]*10%,0)</f>
        <v>1.8</v>
      </c>
      <c r="K898" s="12">
        <f>IFERROR(VLOOKUP(VENTAS[[#This Row],[Código del producto Vendido]],STOCK[],16,FALSE)*VENTAS[[#This Row],[Cantidad]]+VLOOKUP(VENTAS[[#This Row],[Código del producto Vendido]],STOCK[],19,FALSE)*VENTAS[[#This Row],[Cantidad]],VENTAS[[#This Row],[Total]])</f>
        <v>12.697222222222219</v>
      </c>
      <c r="L898" s="12">
        <f>VENTAS[[#This Row],[Total]]-VENTAS[[#This Row],[Comisión 10%]]-VENTAS[[#This Row],[Costo SIN Comision]]</f>
        <v>3.50277777777778</v>
      </c>
      <c r="M898" s="12"/>
      <c r="N898" s="16"/>
    </row>
    <row r="899" spans="1:14" ht="20" hidden="1" customHeight="1">
      <c r="A899" s="9">
        <v>45416</v>
      </c>
      <c r="B899" s="10"/>
      <c r="C899" s="10"/>
      <c r="D899" s="10" t="s">
        <v>4349</v>
      </c>
      <c r="E899" s="10" t="s">
        <v>510</v>
      </c>
      <c r="F899" s="10" t="str">
        <f>IFERROR(VLOOKUP(VENTAS[[#This Row],[Código del producto Vendido]],STOCK[],5,FALSE),"-")</f>
        <v>Set 3 piezas bikini</v>
      </c>
      <c r="G899" s="10">
        <v>1</v>
      </c>
      <c r="H899" s="12">
        <v>25</v>
      </c>
      <c r="I899" s="12">
        <f>VENTAS[[#This Row],[Cantidad]]*VENTAS[[#This Row],[Precio Venta]]</f>
        <v>25</v>
      </c>
      <c r="J899" s="12">
        <f>IF(VENTAS[[#This Row],[Nombre del Gestor]]&gt;1,VENTAS[[#This Row],[Total]]*10%,0)</f>
        <v>2.5</v>
      </c>
      <c r="K899" s="12">
        <f>IFERROR(VLOOKUP(VENTAS[[#This Row],[Código del producto Vendido]],STOCK[],16,FALSE)*VENTAS[[#This Row],[Cantidad]]+VLOOKUP(VENTAS[[#This Row],[Código del producto Vendido]],STOCK[],19,FALSE)*VENTAS[[#This Row],[Cantidad]],VENTAS[[#This Row],[Total]])</f>
        <v>16.044444444444402</v>
      </c>
      <c r="L899" s="12">
        <f>VENTAS[[#This Row],[Total]]-VENTAS[[#This Row],[Comisión 10%]]-VENTAS[[#This Row],[Costo SIN Comision]]</f>
        <v>6.4555555555555983</v>
      </c>
      <c r="M899" s="12"/>
      <c r="N899" s="16"/>
    </row>
    <row r="900" spans="1:14" ht="20" hidden="1" customHeight="1">
      <c r="A900" s="9">
        <v>45416</v>
      </c>
      <c r="B900" s="10"/>
      <c r="C900" s="10"/>
      <c r="D900" s="10" t="s">
        <v>4349</v>
      </c>
      <c r="E900" s="10" t="s">
        <v>752</v>
      </c>
      <c r="F900" s="10" t="str">
        <f>IFERROR(VLOOKUP(VENTAS[[#This Row],[Código del producto Vendido]],STOCK[],5,FALSE),"-")</f>
        <v>Sandalias trenzadas</v>
      </c>
      <c r="G900" s="10">
        <v>1</v>
      </c>
      <c r="H900" s="12">
        <v>35</v>
      </c>
      <c r="I900" s="12">
        <f>VENTAS[[#This Row],[Cantidad]]*VENTAS[[#This Row],[Precio Venta]]</f>
        <v>35</v>
      </c>
      <c r="J900" s="12">
        <f>IF(VENTAS[[#This Row],[Nombre del Gestor]]&gt;1,VENTAS[[#This Row],[Total]]*10%,0)</f>
        <v>3.5</v>
      </c>
      <c r="K900" s="12">
        <f>IFERROR(VLOOKUP(VENTAS[[#This Row],[Código del producto Vendido]],STOCK[],16,FALSE)*VENTAS[[#This Row],[Cantidad]]+VLOOKUP(VENTAS[[#This Row],[Código del producto Vendido]],STOCK[],19,FALSE)*VENTAS[[#This Row],[Cantidad]],VENTAS[[#This Row],[Total]])</f>
        <v>27</v>
      </c>
      <c r="L900" s="12">
        <f>VENTAS[[#This Row],[Total]]-VENTAS[[#This Row],[Comisión 10%]]-VENTAS[[#This Row],[Costo SIN Comision]]</f>
        <v>4.5</v>
      </c>
      <c r="M900" s="12"/>
      <c r="N900" s="16"/>
    </row>
    <row r="901" spans="1:14" ht="20" hidden="1" customHeight="1">
      <c r="A901" s="9">
        <v>45416</v>
      </c>
      <c r="B901" s="10"/>
      <c r="C901" s="10" t="s">
        <v>4368</v>
      </c>
      <c r="D901" s="10"/>
      <c r="E901" s="10" t="s">
        <v>768</v>
      </c>
      <c r="F901" s="10" t="str">
        <f>IFERROR(VLOOKUP(VENTAS[[#This Row],[Código del producto Vendido]],STOCK[],5,FALSE),"-")</f>
        <v>Alpargatas a cuadros</v>
      </c>
      <c r="G901" s="10">
        <v>1</v>
      </c>
      <c r="H901" s="12">
        <v>0</v>
      </c>
      <c r="I901" s="12">
        <f>VENTAS[[#This Row],[Cantidad]]*VENTAS[[#This Row],[Precio Venta]]</f>
        <v>0</v>
      </c>
      <c r="J901" s="12">
        <f>IF(VENTAS[[#This Row],[Nombre del Gestor]]&gt;1,VENTAS[[#This Row],[Total]]*10%,0)</f>
        <v>0</v>
      </c>
      <c r="K901" s="12">
        <f>IFERROR(VLOOKUP(VENTAS[[#This Row],[Código del producto Vendido]],STOCK[],16,FALSE)*VENTAS[[#This Row],[Cantidad]]+VLOOKUP(VENTAS[[#This Row],[Código del producto Vendido]],STOCK[],19,FALSE)*VENTAS[[#This Row],[Cantidad]],VENTAS[[#This Row],[Total]])</f>
        <v>11.888888888888889</v>
      </c>
      <c r="L901" s="12">
        <f>VENTAS[[#This Row],[Total]]-VENTAS[[#This Row],[Comisión 10%]]-VENTAS[[#This Row],[Costo SIN Comision]]</f>
        <v>-11.888888888888889</v>
      </c>
      <c r="M901" s="12"/>
      <c r="N901" s="16"/>
    </row>
    <row r="902" spans="1:14" ht="20" hidden="1" customHeight="1">
      <c r="A902" s="9">
        <v>45416</v>
      </c>
      <c r="B902" s="10"/>
      <c r="C902" s="10"/>
      <c r="D902" s="10" t="s">
        <v>4349</v>
      </c>
      <c r="E902" s="10" t="s">
        <v>963</v>
      </c>
      <c r="F902" s="10" t="str">
        <f>IFERROR(VLOOKUP(VENTAS[[#This Row],[Código del producto Vendido]],STOCK[],5,FALSE),"-")</f>
        <v>Pantalón business básico</v>
      </c>
      <c r="G902" s="10">
        <v>1</v>
      </c>
      <c r="H902" s="12">
        <v>30</v>
      </c>
      <c r="I902" s="12">
        <f>VENTAS[[#This Row],[Cantidad]]*VENTAS[[#This Row],[Precio Venta]]</f>
        <v>30</v>
      </c>
      <c r="J902" s="12">
        <f>IF(VENTAS[[#This Row],[Nombre del Gestor]]&gt;1,VENTAS[[#This Row],[Total]]*10%,0)</f>
        <v>3</v>
      </c>
      <c r="K902" s="12">
        <f>IFERROR(VLOOKUP(VENTAS[[#This Row],[Código del producto Vendido]],STOCK[],16,FALSE)*VENTAS[[#This Row],[Cantidad]]+VLOOKUP(VENTAS[[#This Row],[Código del producto Vendido]],STOCK[],19,FALSE)*VENTAS[[#This Row],[Cantidad]],VENTAS[[#This Row],[Total]])</f>
        <v>21.372272727272701</v>
      </c>
      <c r="L902" s="12">
        <f>VENTAS[[#This Row],[Total]]-VENTAS[[#This Row],[Comisión 10%]]-VENTAS[[#This Row],[Costo SIN Comision]]</f>
        <v>5.6277272727272987</v>
      </c>
      <c r="M902" s="12"/>
      <c r="N902" s="16"/>
    </row>
    <row r="903" spans="1:14" ht="20" hidden="1" customHeight="1">
      <c r="A903" s="9">
        <v>45435</v>
      </c>
      <c r="B903" s="10"/>
      <c r="C903" s="10"/>
      <c r="D903" s="10"/>
      <c r="E903" s="10" t="s">
        <v>967</v>
      </c>
      <c r="F903" s="10" t="str">
        <f>IFERROR(VLOOKUP(VENTAS[[#This Row],[Código del producto Vendido]],STOCK[],5,FALSE),"-")</f>
        <v xml:space="preserve"> Top Básico Business</v>
      </c>
      <c r="G903" s="10">
        <v>1</v>
      </c>
      <c r="H903" s="12">
        <v>10</v>
      </c>
      <c r="I903" s="12">
        <f>VENTAS[[#This Row],[Cantidad]]*VENTAS[[#This Row],[Precio Venta]]</f>
        <v>10</v>
      </c>
      <c r="J903" s="12">
        <f>IF(VENTAS[[#This Row],[Nombre del Gestor]]&gt;1,VENTAS[[#This Row],[Total]]*10%,0)</f>
        <v>0</v>
      </c>
      <c r="K903" s="12">
        <f>IFERROR(VLOOKUP(VENTAS[[#This Row],[Código del producto Vendido]],STOCK[],16,FALSE)*VENTAS[[#This Row],[Cantidad]]+VLOOKUP(VENTAS[[#This Row],[Código del producto Vendido]],STOCK[],19,FALSE)*VENTAS[[#This Row],[Cantidad]],VENTAS[[#This Row],[Total]])</f>
        <v>6.7840909090909101</v>
      </c>
      <c r="L903" s="12">
        <f>VENTAS[[#This Row],[Total]]-VENTAS[[#This Row],[Comisión 10%]]-VENTAS[[#This Row],[Costo SIN Comision]]</f>
        <v>3.2159090909090899</v>
      </c>
      <c r="M903" s="12"/>
      <c r="N903" s="16"/>
    </row>
    <row r="904" spans="1:14" ht="20" hidden="1" customHeight="1">
      <c r="A904" s="9">
        <v>45416</v>
      </c>
      <c r="B904" s="10"/>
      <c r="C904" s="10"/>
      <c r="D904" s="10"/>
      <c r="E904" s="10" t="s">
        <v>1206</v>
      </c>
      <c r="F904" s="10" t="str">
        <f>IFERROR(VLOOKUP(VENTAS[[#This Row],[Código del producto Vendido]],STOCK[],5,FALSE),"-")</f>
        <v>Pantaloneta de zíper</v>
      </c>
      <c r="G904" s="10">
        <v>1</v>
      </c>
      <c r="H904" s="12">
        <v>20</v>
      </c>
      <c r="I904" s="12">
        <f>VENTAS[[#This Row],[Cantidad]]*VENTAS[[#This Row],[Precio Venta]]</f>
        <v>20</v>
      </c>
      <c r="J904" s="12">
        <f>IF(VENTAS[[#This Row],[Nombre del Gestor]]&gt;1,VENTAS[[#This Row],[Total]]*10%,0)</f>
        <v>0</v>
      </c>
      <c r="K904" s="12">
        <f>IFERROR(VLOOKUP(VENTAS[[#This Row],[Código del producto Vendido]],STOCK[],16,FALSE)*VENTAS[[#This Row],[Cantidad]]+VLOOKUP(VENTAS[[#This Row],[Código del producto Vendido]],STOCK[],19,FALSE)*VENTAS[[#This Row],[Cantidad]],VENTAS[[#This Row],[Total]])</f>
        <v>13.36</v>
      </c>
      <c r="L904" s="12">
        <f>VENTAS[[#This Row],[Total]]-VENTAS[[#This Row],[Comisión 10%]]-VENTAS[[#This Row],[Costo SIN Comision]]</f>
        <v>6.6400000000000006</v>
      </c>
      <c r="M904" s="12"/>
      <c r="N904" s="16"/>
    </row>
    <row r="905" spans="1:14" ht="20" hidden="1" customHeight="1">
      <c r="A905" s="9">
        <v>45435</v>
      </c>
      <c r="B905" s="10"/>
      <c r="C905" s="10"/>
      <c r="D905" s="10" t="s">
        <v>4349</v>
      </c>
      <c r="E905" s="10" t="s">
        <v>1438</v>
      </c>
      <c r="F905" s="10" t="str">
        <f>IFERROR(VLOOKUP(VENTAS[[#This Row],[Código del producto Vendido]],STOCK[],5,FALSE),"-")</f>
        <v>Sandalias de velcro</v>
      </c>
      <c r="G905" s="10">
        <v>1</v>
      </c>
      <c r="H905" s="12">
        <v>30</v>
      </c>
      <c r="I905" s="12">
        <f>VENTAS[[#This Row],[Cantidad]]*VENTAS[[#This Row],[Precio Venta]]</f>
        <v>30</v>
      </c>
      <c r="J905" s="12">
        <f>IF(VENTAS[[#This Row],[Nombre del Gestor]]&gt;1,VENTAS[[#This Row],[Total]]*10%,0)</f>
        <v>3</v>
      </c>
      <c r="K905" s="12">
        <f>IFERROR(VLOOKUP(VENTAS[[#This Row],[Código del producto Vendido]],STOCK[],16,FALSE)*VENTAS[[#This Row],[Cantidad]]+VLOOKUP(VENTAS[[#This Row],[Código del producto Vendido]],STOCK[],19,FALSE)*VENTAS[[#This Row],[Cantidad]],VENTAS[[#This Row],[Total]])</f>
        <v>17</v>
      </c>
      <c r="L905" s="12">
        <f>VENTAS[[#This Row],[Total]]-VENTAS[[#This Row],[Comisión 10%]]-VENTAS[[#This Row],[Costo SIN Comision]]</f>
        <v>10</v>
      </c>
      <c r="M905" s="12"/>
      <c r="N905" s="16"/>
    </row>
    <row r="906" spans="1:14" ht="20" hidden="1" customHeight="1">
      <c r="A906" s="9">
        <v>45434</v>
      </c>
      <c r="B906" s="10"/>
      <c r="C906" s="10"/>
      <c r="D906" s="10" t="s">
        <v>4349</v>
      </c>
      <c r="E906" s="10" t="s">
        <v>1763</v>
      </c>
      <c r="F906" s="10" t="str">
        <f>IFERROR(VLOOKUP(VENTAS[[#This Row],[Código del producto Vendido]],STOCK[],5,FALSE),"-")</f>
        <v>Zapatillas blanco casual</v>
      </c>
      <c r="G906" s="10">
        <v>2</v>
      </c>
      <c r="H906" s="12">
        <v>30</v>
      </c>
      <c r="I906" s="12">
        <f>VENTAS[[#This Row],[Cantidad]]*VENTAS[[#This Row],[Precio Venta]]</f>
        <v>60</v>
      </c>
      <c r="J906" s="12">
        <f>IF(VENTAS[[#This Row],[Nombre del Gestor]]&gt;1,VENTAS[[#This Row],[Total]]*10%,0)</f>
        <v>6</v>
      </c>
      <c r="K906" s="12">
        <f>IFERROR(VLOOKUP(VENTAS[[#This Row],[Código del producto Vendido]],STOCK[],16,FALSE)*VENTAS[[#This Row],[Cantidad]]+VLOOKUP(VENTAS[[#This Row],[Código del producto Vendido]],STOCK[],19,FALSE)*VENTAS[[#This Row],[Cantidad]],VENTAS[[#This Row],[Total]])</f>
        <v>50.941176470588204</v>
      </c>
      <c r="L906" s="12">
        <f>VENTAS[[#This Row],[Total]]-VENTAS[[#This Row],[Comisión 10%]]-VENTAS[[#This Row],[Costo SIN Comision]]</f>
        <v>3.0588235294117965</v>
      </c>
      <c r="M906" s="12"/>
      <c r="N906" s="16"/>
    </row>
    <row r="907" spans="1:14" ht="20" hidden="1" customHeight="1">
      <c r="A907" s="9">
        <v>45422</v>
      </c>
      <c r="B907" s="10"/>
      <c r="C907" s="10"/>
      <c r="D907" s="10" t="s">
        <v>4349</v>
      </c>
      <c r="E907" s="10" t="s">
        <v>1819</v>
      </c>
      <c r="F907" s="10" t="str">
        <f>IFERROR(VLOOKUP(VENTAS[[#This Row],[Código del producto Vendido]],STOCK[],5,FALSE),"-")</f>
        <v>Vestido Midi Elegante</v>
      </c>
      <c r="G907" s="10">
        <v>1</v>
      </c>
      <c r="H907" s="12">
        <v>22</v>
      </c>
      <c r="I907" s="12">
        <f>VENTAS[[#This Row],[Cantidad]]*VENTAS[[#This Row],[Precio Venta]]</f>
        <v>22</v>
      </c>
      <c r="J907" s="12">
        <f>IF(VENTAS[[#This Row],[Nombre del Gestor]]&gt;1,VENTAS[[#This Row],[Total]]*10%,0)</f>
        <v>2.2000000000000002</v>
      </c>
      <c r="K907" s="12">
        <f>IFERROR(VLOOKUP(VENTAS[[#This Row],[Código del producto Vendido]],STOCK[],16,FALSE)*VENTAS[[#This Row],[Cantidad]]+VLOOKUP(VENTAS[[#This Row],[Código del producto Vendido]],STOCK[],19,FALSE)*VENTAS[[#This Row],[Cantidad]],VENTAS[[#This Row],[Total]])</f>
        <v>10.790000000000001</v>
      </c>
      <c r="L907" s="12">
        <f>VENTAS[[#This Row],[Total]]-VENTAS[[#This Row],[Comisión 10%]]-VENTAS[[#This Row],[Costo SIN Comision]]</f>
        <v>9.01</v>
      </c>
      <c r="M907" s="12"/>
      <c r="N907" s="16"/>
    </row>
    <row r="908" spans="1:14" ht="20" hidden="1" customHeight="1">
      <c r="A908" s="10"/>
      <c r="B908" s="10"/>
      <c r="C908" s="10" t="s">
        <v>4259</v>
      </c>
      <c r="D908" s="10"/>
      <c r="E908" s="10" t="s">
        <v>1819</v>
      </c>
      <c r="F908" s="10" t="str">
        <f>IFERROR(VLOOKUP(VENTAS[[#This Row],[Código del producto Vendido]],STOCK[],5,FALSE),"-")</f>
        <v>Vestido Midi Elegante</v>
      </c>
      <c r="G908" s="10">
        <v>1</v>
      </c>
      <c r="H908" s="12">
        <v>22</v>
      </c>
      <c r="I908" s="12">
        <f>VENTAS[[#This Row],[Cantidad]]*VENTAS[[#This Row],[Precio Venta]]</f>
        <v>22</v>
      </c>
      <c r="J908" s="12">
        <f>IF(VENTAS[[#This Row],[Nombre del Gestor]]&gt;1,VENTAS[[#This Row],[Total]]*10%,0)</f>
        <v>0</v>
      </c>
      <c r="K908" s="12">
        <f>IFERROR(VLOOKUP(VENTAS[[#This Row],[Código del producto Vendido]],STOCK[],16,FALSE)*VENTAS[[#This Row],[Cantidad]]+VLOOKUP(VENTAS[[#This Row],[Código del producto Vendido]],STOCK[],19,FALSE)*VENTAS[[#This Row],[Cantidad]],VENTAS[[#This Row],[Total]])</f>
        <v>10.790000000000001</v>
      </c>
      <c r="L908" s="12">
        <f>VENTAS[[#This Row],[Total]]-VENTAS[[#This Row],[Comisión 10%]]-VENTAS[[#This Row],[Costo SIN Comision]]</f>
        <v>11.209999999999999</v>
      </c>
      <c r="M908" s="12"/>
      <c r="N908" s="16"/>
    </row>
    <row r="909" spans="1:14" ht="20" hidden="1" customHeight="1">
      <c r="A909" s="10"/>
      <c r="B909" s="10"/>
      <c r="C909" s="10" t="s">
        <v>4369</v>
      </c>
      <c r="D909" s="10"/>
      <c r="E909" s="10" t="s">
        <v>1824</v>
      </c>
      <c r="F909" s="10" t="str">
        <f>IFERROR(VLOOKUP(VENTAS[[#This Row],[Código del producto Vendido]],STOCK[],5,FALSE),"-")</f>
        <v>Vestido Midi Elegante</v>
      </c>
      <c r="G909" s="10">
        <v>1</v>
      </c>
      <c r="H909" s="12">
        <v>22</v>
      </c>
      <c r="I909" s="12">
        <f>VENTAS[[#This Row],[Cantidad]]*VENTAS[[#This Row],[Precio Venta]]</f>
        <v>22</v>
      </c>
      <c r="J909" s="12">
        <f>IF(VENTAS[[#This Row],[Nombre del Gestor]]&gt;1,VENTAS[[#This Row],[Total]]*10%,0)</f>
        <v>0</v>
      </c>
      <c r="K909" s="12">
        <f>IFERROR(VLOOKUP(VENTAS[[#This Row],[Código del producto Vendido]],STOCK[],16,FALSE)*VENTAS[[#This Row],[Cantidad]]+VLOOKUP(VENTAS[[#This Row],[Código del producto Vendido]],STOCK[],19,FALSE)*VENTAS[[#This Row],[Cantidad]],VENTAS[[#This Row],[Total]])</f>
        <v>10.790000000000001</v>
      </c>
      <c r="L909" s="12">
        <f>VENTAS[[#This Row],[Total]]-VENTAS[[#This Row],[Comisión 10%]]-VENTAS[[#This Row],[Costo SIN Comision]]</f>
        <v>11.209999999999999</v>
      </c>
      <c r="M909" s="12"/>
      <c r="N909" s="16"/>
    </row>
    <row r="910" spans="1:14" ht="20" hidden="1" customHeight="1">
      <c r="A910" s="9">
        <v>45421</v>
      </c>
      <c r="B910" s="10"/>
      <c r="C910" s="10"/>
      <c r="D910" s="10" t="s">
        <v>4349</v>
      </c>
      <c r="E910" s="10" t="s">
        <v>1895</v>
      </c>
      <c r="F910" s="10" t="str">
        <f>IFERROR(VLOOKUP(VENTAS[[#This Row],[Código del producto Vendido]],STOCK[],5,FALSE),"-")</f>
        <v>Set de bolso minimalista negro</v>
      </c>
      <c r="G910" s="10">
        <v>1</v>
      </c>
      <c r="H910" s="12">
        <v>25</v>
      </c>
      <c r="I910" s="12">
        <f>VENTAS[[#This Row],[Cantidad]]*VENTAS[[#This Row],[Precio Venta]]</f>
        <v>25</v>
      </c>
      <c r="J910" s="12">
        <f>IF(VENTAS[[#This Row],[Nombre del Gestor]]&gt;1,VENTAS[[#This Row],[Total]]*10%,0)</f>
        <v>2.5</v>
      </c>
      <c r="K910" s="12">
        <f>IFERROR(VLOOKUP(VENTAS[[#This Row],[Código del producto Vendido]],STOCK[],16,FALSE)*VENTAS[[#This Row],[Cantidad]]+VLOOKUP(VENTAS[[#This Row],[Código del producto Vendido]],STOCK[],19,FALSE)*VENTAS[[#This Row],[Cantidad]],VENTAS[[#This Row],[Total]])</f>
        <v>12.75</v>
      </c>
      <c r="L910" s="12">
        <f>VENTAS[[#This Row],[Total]]-VENTAS[[#This Row],[Comisión 10%]]-VENTAS[[#This Row],[Costo SIN Comision]]</f>
        <v>9.75</v>
      </c>
      <c r="M910" s="12"/>
      <c r="N910" s="16"/>
    </row>
    <row r="911" spans="1:14" ht="20" hidden="1" customHeight="1">
      <c r="A911" s="9">
        <v>45428</v>
      </c>
      <c r="B911" s="10"/>
      <c r="C911" s="10"/>
      <c r="D911" s="10" t="s">
        <v>4349</v>
      </c>
      <c r="E911" s="10" t="s">
        <v>1897</v>
      </c>
      <c r="F911" s="10" t="str">
        <f>IFERROR(VLOOKUP(VENTAS[[#This Row],[Código del producto Vendido]],STOCK[],5,FALSE),"-")</f>
        <v>Set de bolso minimalista amarillo</v>
      </c>
      <c r="G911" s="10">
        <v>1</v>
      </c>
      <c r="H911" s="12">
        <v>25</v>
      </c>
      <c r="I911" s="12">
        <f>VENTAS[[#This Row],[Cantidad]]*VENTAS[[#This Row],[Precio Venta]]</f>
        <v>25</v>
      </c>
      <c r="J911" s="12">
        <f>IF(VENTAS[[#This Row],[Nombre del Gestor]]&gt;1,VENTAS[[#This Row],[Total]]*10%,0)</f>
        <v>2.5</v>
      </c>
      <c r="K911" s="12">
        <f>IFERROR(VLOOKUP(VENTAS[[#This Row],[Código del producto Vendido]],STOCK[],16,FALSE)*VENTAS[[#This Row],[Cantidad]]+VLOOKUP(VENTAS[[#This Row],[Código del producto Vendido]],STOCK[],19,FALSE)*VENTAS[[#This Row],[Cantidad]],VENTAS[[#This Row],[Total]])</f>
        <v>12.75</v>
      </c>
      <c r="L911" s="12">
        <f>VENTAS[[#This Row],[Total]]-VENTAS[[#This Row],[Comisión 10%]]-VENTAS[[#This Row],[Costo SIN Comision]]</f>
        <v>9.75</v>
      </c>
      <c r="M911" s="12"/>
      <c r="N911" s="16"/>
    </row>
    <row r="912" spans="1:14" ht="20" hidden="1" customHeight="1">
      <c r="A912" s="9">
        <v>45428</v>
      </c>
      <c r="B912" s="10"/>
      <c r="C912" s="10"/>
      <c r="D912" s="10" t="s">
        <v>4349</v>
      </c>
      <c r="E912" s="10" t="s">
        <v>1303</v>
      </c>
      <c r="F912" s="10" t="str">
        <f>IFERROR(VLOOKUP(VENTAS[[#This Row],[Código del producto Vendido]],STOCK[],5,FALSE),"-")</f>
        <v>Jean ajustado Claro</v>
      </c>
      <c r="G912" s="10">
        <v>1</v>
      </c>
      <c r="H912" s="12">
        <v>30</v>
      </c>
      <c r="I912" s="12">
        <f>VENTAS[[#This Row],[Cantidad]]*VENTAS[[#This Row],[Precio Venta]]</f>
        <v>30</v>
      </c>
      <c r="J912" s="12">
        <f>IF(VENTAS[[#This Row],[Nombre del Gestor]]&gt;1,VENTAS[[#This Row],[Total]]*10%,0)</f>
        <v>3</v>
      </c>
      <c r="K912" s="12">
        <f>IFERROR(VLOOKUP(VENTAS[[#This Row],[Código del producto Vendido]],STOCK[],16,FALSE)*VENTAS[[#This Row],[Cantidad]]+VLOOKUP(VENTAS[[#This Row],[Código del producto Vendido]],STOCK[],19,FALSE)*VENTAS[[#This Row],[Cantidad]],VENTAS[[#This Row],[Total]])</f>
        <v>23.79</v>
      </c>
      <c r="L912" s="12">
        <f>VENTAS[[#This Row],[Total]]-VENTAS[[#This Row],[Comisión 10%]]-VENTAS[[#This Row],[Costo SIN Comision]]</f>
        <v>3.2100000000000009</v>
      </c>
      <c r="M912" s="12"/>
      <c r="N912" s="16"/>
    </row>
    <row r="913" spans="1:14" ht="20" hidden="1" customHeight="1">
      <c r="A913" s="9">
        <v>45428</v>
      </c>
      <c r="B913" s="10"/>
      <c r="C913" s="10"/>
      <c r="D913" s="10" t="s">
        <v>4349</v>
      </c>
      <c r="E913" s="10" t="s">
        <v>1523</v>
      </c>
      <c r="F913" s="10" t="str">
        <f>IFERROR(VLOOKUP(VENTAS[[#This Row],[Código del producto Vendido]],STOCK[],5,FALSE),"-")</f>
        <v>Sandalias Albaricoque</v>
      </c>
      <c r="G913" s="10">
        <v>1</v>
      </c>
      <c r="H913" s="12">
        <v>35</v>
      </c>
      <c r="I913" s="12">
        <f>VENTAS[[#This Row],[Cantidad]]*VENTAS[[#This Row],[Precio Venta]]</f>
        <v>35</v>
      </c>
      <c r="J913" s="12">
        <f>IF(VENTAS[[#This Row],[Nombre del Gestor]]&gt;1,VENTAS[[#This Row],[Total]]*10%,0)</f>
        <v>3.5</v>
      </c>
      <c r="K913" s="12">
        <f>IFERROR(VLOOKUP(VENTAS[[#This Row],[Código del producto Vendido]],STOCK[],16,FALSE)*VENTAS[[#This Row],[Cantidad]]+VLOOKUP(VENTAS[[#This Row],[Código del producto Vendido]],STOCK[],19,FALSE)*VENTAS[[#This Row],[Cantidad]],VENTAS[[#This Row],[Total]])</f>
        <v>23</v>
      </c>
      <c r="L913" s="12">
        <f>VENTAS[[#This Row],[Total]]-VENTAS[[#This Row],[Comisión 10%]]-VENTAS[[#This Row],[Costo SIN Comision]]</f>
        <v>8.5</v>
      </c>
      <c r="M913" s="12"/>
      <c r="N913" s="16"/>
    </row>
    <row r="914" spans="1:14" ht="20" hidden="1" customHeight="1">
      <c r="A914" s="9">
        <v>45430</v>
      </c>
      <c r="B914" s="10"/>
      <c r="C914" s="10"/>
      <c r="D914" s="10" t="s">
        <v>4349</v>
      </c>
      <c r="E914" s="10" t="s">
        <v>1758</v>
      </c>
      <c r="F914" s="10" t="str">
        <f>IFERROR(VLOOKUP(VENTAS[[#This Row],[Código del producto Vendido]],STOCK[],5,FALSE),"-")</f>
        <v>Zapatillas blanco casual</v>
      </c>
      <c r="G914" s="10">
        <v>1</v>
      </c>
      <c r="H914" s="12">
        <v>30</v>
      </c>
      <c r="I914" s="12">
        <f>VENTAS[[#This Row],[Cantidad]]*VENTAS[[#This Row],[Precio Venta]]</f>
        <v>30</v>
      </c>
      <c r="J914" s="12">
        <f>IF(VENTAS[[#This Row],[Nombre del Gestor]]&gt;1,VENTAS[[#This Row],[Total]]*10%,0)</f>
        <v>3</v>
      </c>
      <c r="K914" s="12">
        <f>IFERROR(VLOOKUP(VENTAS[[#This Row],[Código del producto Vendido]],STOCK[],16,FALSE)*VENTAS[[#This Row],[Cantidad]]+VLOOKUP(VENTAS[[#This Row],[Código del producto Vendido]],STOCK[],19,FALSE)*VENTAS[[#This Row],[Cantidad]],VENTAS[[#This Row],[Total]])</f>
        <v>24.470588235294102</v>
      </c>
      <c r="L914" s="12">
        <f>VENTAS[[#This Row],[Total]]-VENTAS[[#This Row],[Comisión 10%]]-VENTAS[[#This Row],[Costo SIN Comision]]</f>
        <v>2.5294117647058982</v>
      </c>
      <c r="M914" s="12"/>
      <c r="N914" s="16"/>
    </row>
    <row r="915" spans="1:14" ht="20" hidden="1" customHeight="1">
      <c r="A915" s="9">
        <v>45430</v>
      </c>
      <c r="B915" s="10"/>
      <c r="C915" s="10" t="s">
        <v>4370</v>
      </c>
      <c r="D915" s="10"/>
      <c r="E915" s="10" t="s">
        <v>1654</v>
      </c>
      <c r="F915" s="10" t="str">
        <f>IFERROR(VLOOKUP(VENTAS[[#This Row],[Código del producto Vendido]],STOCK[],5,FALSE),"-")</f>
        <v>Vestido Frenchy Rojo</v>
      </c>
      <c r="G915" s="10">
        <v>1</v>
      </c>
      <c r="H915" s="12">
        <v>0</v>
      </c>
      <c r="I915" s="12">
        <f>VENTAS[[#This Row],[Cantidad]]*VENTAS[[#This Row],[Precio Venta]]</f>
        <v>0</v>
      </c>
      <c r="J915" s="12">
        <f>IF(VENTAS[[#This Row],[Nombre del Gestor]]&gt;1,VENTAS[[#This Row],[Total]]*10%,0)</f>
        <v>0</v>
      </c>
      <c r="K915" s="12">
        <f>IFERROR(VLOOKUP(VENTAS[[#This Row],[Código del producto Vendido]],STOCK[],16,FALSE)*VENTAS[[#This Row],[Cantidad]]+VLOOKUP(VENTAS[[#This Row],[Código del producto Vendido]],STOCK[],19,FALSE)*VENTAS[[#This Row],[Cantidad]],VENTAS[[#This Row],[Total]])</f>
        <v>11.56</v>
      </c>
      <c r="L915" s="12">
        <f>VENTAS[[#This Row],[Total]]-VENTAS[[#This Row],[Comisión 10%]]-VENTAS[[#This Row],[Costo SIN Comision]]</f>
        <v>-11.56</v>
      </c>
      <c r="M915" s="12"/>
      <c r="N915" s="16"/>
    </row>
    <row r="916" spans="1:14" ht="20" hidden="1" customHeight="1">
      <c r="A916" s="9">
        <v>45430</v>
      </c>
      <c r="B916" s="10"/>
      <c r="C916" s="10"/>
      <c r="D916" s="10" t="s">
        <v>4349</v>
      </c>
      <c r="E916" s="10" t="s">
        <v>1781</v>
      </c>
      <c r="F916" s="10" t="str">
        <f>IFERROR(VLOOKUP(VENTAS[[#This Row],[Código del producto Vendido]],STOCK[],5,FALSE),"-")</f>
        <v>Conjunto de bikini moca</v>
      </c>
      <c r="G916" s="10">
        <v>1</v>
      </c>
      <c r="H916" s="12">
        <v>20</v>
      </c>
      <c r="I916" s="12">
        <f>VENTAS[[#This Row],[Cantidad]]*VENTAS[[#This Row],[Precio Venta]]</f>
        <v>20</v>
      </c>
      <c r="J916" s="12">
        <f>IF(VENTAS[[#This Row],[Nombre del Gestor]]&gt;1,VENTAS[[#This Row],[Total]]*10%,0)</f>
        <v>2</v>
      </c>
      <c r="K916" s="12">
        <f>IFERROR(VLOOKUP(VENTAS[[#This Row],[Código del producto Vendido]],STOCK[],16,FALSE)*VENTAS[[#This Row],[Cantidad]]+VLOOKUP(VENTAS[[#This Row],[Código del producto Vendido]],STOCK[],19,FALSE)*VENTAS[[#This Row],[Cantidad]],VENTAS[[#This Row],[Total]])</f>
        <v>12.352941176470591</v>
      </c>
      <c r="L916" s="12">
        <f>VENTAS[[#This Row],[Total]]-VENTAS[[#This Row],[Comisión 10%]]-VENTAS[[#This Row],[Costo SIN Comision]]</f>
        <v>5.6470588235294095</v>
      </c>
      <c r="M916" s="12"/>
      <c r="N916" s="16"/>
    </row>
    <row r="917" spans="1:14" ht="20" hidden="1" customHeight="1">
      <c r="A917" s="9">
        <v>45424</v>
      </c>
      <c r="B917" s="10"/>
      <c r="C917" s="10"/>
      <c r="D917" s="10" t="s">
        <v>4349</v>
      </c>
      <c r="E917" s="10" t="s">
        <v>1628</v>
      </c>
      <c r="F917" s="10" t="str">
        <f>IFERROR(VLOOKUP(VENTAS[[#This Row],[Código del producto Vendido]],STOCK[],5,FALSE),"-")</f>
        <v>Vestido Tarsha</v>
      </c>
      <c r="G917" s="10">
        <v>1</v>
      </c>
      <c r="H917" s="12">
        <v>27</v>
      </c>
      <c r="I917" s="12">
        <f>VENTAS[[#This Row],[Cantidad]]*VENTAS[[#This Row],[Precio Venta]]</f>
        <v>27</v>
      </c>
      <c r="J917" s="12">
        <f>IF(VENTAS[[#This Row],[Nombre del Gestor]]&gt;1,VENTAS[[#This Row],[Total]]*10%,0)</f>
        <v>2.7</v>
      </c>
      <c r="K917" s="12">
        <f>IFERROR(VLOOKUP(VENTAS[[#This Row],[Código del producto Vendido]],STOCK[],16,FALSE)*VENTAS[[#This Row],[Cantidad]]+VLOOKUP(VENTAS[[#This Row],[Código del producto Vendido]],STOCK[],19,FALSE)*VENTAS[[#This Row],[Cantidad]],VENTAS[[#This Row],[Total]])</f>
        <v>13.97</v>
      </c>
      <c r="L917" s="12">
        <f>VENTAS[[#This Row],[Total]]-VENTAS[[#This Row],[Comisión 10%]]-VENTAS[[#This Row],[Costo SIN Comision]]</f>
        <v>10.33</v>
      </c>
      <c r="M917" s="12"/>
      <c r="N917" s="16"/>
    </row>
    <row r="918" spans="1:14" ht="20" hidden="1" customHeight="1">
      <c r="A918" s="9">
        <v>45424</v>
      </c>
      <c r="B918" s="10"/>
      <c r="C918" s="10"/>
      <c r="D918" s="10" t="s">
        <v>4349</v>
      </c>
      <c r="E918" s="10" t="s">
        <v>1761</v>
      </c>
      <c r="F918" s="10" t="str">
        <f>IFERROR(VLOOKUP(VENTAS[[#This Row],[Código del producto Vendido]],STOCK[],5,FALSE),"-")</f>
        <v>Zapatillas blanco casual</v>
      </c>
      <c r="G918" s="10">
        <v>2</v>
      </c>
      <c r="H918" s="12">
        <v>30</v>
      </c>
      <c r="I918" s="12">
        <f>VENTAS[[#This Row],[Cantidad]]*VENTAS[[#This Row],[Precio Venta]]</f>
        <v>60</v>
      </c>
      <c r="J918" s="12">
        <f>IF(VENTAS[[#This Row],[Nombre del Gestor]]&gt;1,VENTAS[[#This Row],[Total]]*10%,0)</f>
        <v>6</v>
      </c>
      <c r="K918" s="12">
        <f>IFERROR(VLOOKUP(VENTAS[[#This Row],[Código del producto Vendido]],STOCK[],16,FALSE)*VENTAS[[#This Row],[Cantidad]]+VLOOKUP(VENTAS[[#This Row],[Código del producto Vendido]],STOCK[],19,FALSE)*VENTAS[[#This Row],[Cantidad]],VENTAS[[#This Row],[Total]])</f>
        <v>50.941176470588204</v>
      </c>
      <c r="L918" s="12">
        <f>VENTAS[[#This Row],[Total]]-VENTAS[[#This Row],[Comisión 10%]]-VENTAS[[#This Row],[Costo SIN Comision]]</f>
        <v>3.0588235294117965</v>
      </c>
      <c r="M918" s="12"/>
      <c r="N918" s="16"/>
    </row>
    <row r="919" spans="1:14" ht="20" hidden="1" customHeight="1">
      <c r="A919" s="9">
        <v>45424</v>
      </c>
      <c r="B919" s="10"/>
      <c r="C919" s="10"/>
      <c r="D919" s="10" t="s">
        <v>4349</v>
      </c>
      <c r="E919" s="10" t="s">
        <v>1584</v>
      </c>
      <c r="F919" s="10" t="str">
        <f>IFERROR(VLOOKUP(VENTAS[[#This Row],[Código del producto Vendido]],STOCK[],5,FALSE),"-")</f>
        <v>Sandalias de hebilla</v>
      </c>
      <c r="G919" s="10">
        <v>1</v>
      </c>
      <c r="H919" s="12">
        <v>18</v>
      </c>
      <c r="I919" s="12">
        <f>VENTAS[[#This Row],[Cantidad]]*VENTAS[[#This Row],[Precio Venta]]</f>
        <v>18</v>
      </c>
      <c r="J919" s="12">
        <f>IF(VENTAS[[#This Row],[Nombre del Gestor]]&gt;1,VENTAS[[#This Row],[Total]]*10%,0)</f>
        <v>1.8</v>
      </c>
      <c r="K919" s="12">
        <f>IFERROR(VLOOKUP(VENTAS[[#This Row],[Código del producto Vendido]],STOCK[],16,FALSE)*VENTAS[[#This Row],[Cantidad]]+VLOOKUP(VENTAS[[#This Row],[Código del producto Vendido]],STOCK[],19,FALSE)*VENTAS[[#This Row],[Cantidad]],VENTAS[[#This Row],[Total]])</f>
        <v>11</v>
      </c>
      <c r="L919" s="12">
        <f>VENTAS[[#This Row],[Total]]-VENTAS[[#This Row],[Comisión 10%]]-VENTAS[[#This Row],[Costo SIN Comision]]</f>
        <v>5.1999999999999993</v>
      </c>
      <c r="M919" s="12"/>
      <c r="N919" s="16"/>
    </row>
    <row r="920" spans="1:14" ht="20" hidden="1" customHeight="1">
      <c r="A920" s="9">
        <v>45431</v>
      </c>
      <c r="B920" s="10"/>
      <c r="C920" s="10"/>
      <c r="D920" s="10" t="s">
        <v>4349</v>
      </c>
      <c r="E920" s="10" t="s">
        <v>1597</v>
      </c>
      <c r="F920" s="10" t="str">
        <f>IFERROR(VLOOKUP(VENTAS[[#This Row],[Código del producto Vendido]],STOCK[],5,FALSE),"-")</f>
        <v>Sandalias flip de plataforma Negro</v>
      </c>
      <c r="G920" s="10">
        <v>1</v>
      </c>
      <c r="H920" s="12">
        <v>15</v>
      </c>
      <c r="I920" s="12">
        <f>VENTAS[[#This Row],[Cantidad]]*VENTAS[[#This Row],[Precio Venta]]</f>
        <v>15</v>
      </c>
      <c r="J920" s="12">
        <f>IF(VENTAS[[#This Row],[Nombre del Gestor]]&gt;1,VENTAS[[#This Row],[Total]]*10%,0)</f>
        <v>1.5</v>
      </c>
      <c r="K920" s="12">
        <f>IFERROR(VLOOKUP(VENTAS[[#This Row],[Código del producto Vendido]],STOCK[],16,FALSE)*VENTAS[[#This Row],[Cantidad]]+VLOOKUP(VENTAS[[#This Row],[Código del producto Vendido]],STOCK[],19,FALSE)*VENTAS[[#This Row],[Cantidad]],VENTAS[[#This Row],[Total]])</f>
        <v>9.49</v>
      </c>
      <c r="L920" s="12">
        <f>VENTAS[[#This Row],[Total]]-VENTAS[[#This Row],[Comisión 10%]]-VENTAS[[#This Row],[Costo SIN Comision]]</f>
        <v>4.01</v>
      </c>
      <c r="M920" s="12"/>
      <c r="N920" s="16"/>
    </row>
    <row r="921" spans="1:14" ht="20" hidden="1" customHeight="1">
      <c r="A921" s="9">
        <v>45431</v>
      </c>
      <c r="B921" s="10"/>
      <c r="C921" s="10"/>
      <c r="D921" s="10" t="s">
        <v>4349</v>
      </c>
      <c r="E921" s="10" t="s">
        <v>1607</v>
      </c>
      <c r="F921" s="10" t="str">
        <f>IFERROR(VLOOKUP(VENTAS[[#This Row],[Código del producto Vendido]],STOCK[],5,FALSE),"-")</f>
        <v>Sandalias minimalistas de tacón</v>
      </c>
      <c r="G921" s="10">
        <v>1</v>
      </c>
      <c r="H921" s="12">
        <v>35</v>
      </c>
      <c r="I921" s="12">
        <f>VENTAS[[#This Row],[Cantidad]]*VENTAS[[#This Row],[Precio Venta]]</f>
        <v>35</v>
      </c>
      <c r="J921" s="12">
        <f>IF(VENTAS[[#This Row],[Nombre del Gestor]]&gt;1,VENTAS[[#This Row],[Total]]*10%,0)</f>
        <v>3.5</v>
      </c>
      <c r="K921" s="12">
        <f>IFERROR(VLOOKUP(VENTAS[[#This Row],[Código del producto Vendido]],STOCK[],16,FALSE)*VENTAS[[#This Row],[Cantidad]]+VLOOKUP(VENTAS[[#This Row],[Código del producto Vendido]],STOCK[],19,FALSE)*VENTAS[[#This Row],[Cantidad]],VENTAS[[#This Row],[Total]])</f>
        <v>17.36</v>
      </c>
      <c r="L921" s="12">
        <f>VENTAS[[#This Row],[Total]]-VENTAS[[#This Row],[Comisión 10%]]-VENTAS[[#This Row],[Costo SIN Comision]]</f>
        <v>14.14</v>
      </c>
      <c r="M921" s="12"/>
      <c r="N921" s="16"/>
    </row>
    <row r="922" spans="1:14" ht="20" hidden="1" customHeight="1">
      <c r="A922" s="9">
        <v>45431</v>
      </c>
      <c r="B922" s="10"/>
      <c r="C922" s="10"/>
      <c r="D922" s="10" t="s">
        <v>4349</v>
      </c>
      <c r="E922" s="10" t="s">
        <v>1452</v>
      </c>
      <c r="F922" s="10" t="str">
        <f>IFERROR(VLOOKUP(VENTAS[[#This Row],[Código del producto Vendido]],STOCK[],5,FALSE),"-")</f>
        <v>Sandalias minimalistas de plataforma</v>
      </c>
      <c r="G922" s="10">
        <v>1</v>
      </c>
      <c r="H922" s="12">
        <v>35</v>
      </c>
      <c r="I922" s="12">
        <f>VENTAS[[#This Row],[Cantidad]]*VENTAS[[#This Row],[Precio Venta]]</f>
        <v>35</v>
      </c>
      <c r="J922" s="12">
        <f>IF(VENTAS[[#This Row],[Nombre del Gestor]]&gt;1,VENTAS[[#This Row],[Total]]*10%,0)</f>
        <v>3.5</v>
      </c>
      <c r="K922" s="12">
        <f>IFERROR(VLOOKUP(VENTAS[[#This Row],[Código del producto Vendido]],STOCK[],16,FALSE)*VENTAS[[#This Row],[Cantidad]]+VLOOKUP(VENTAS[[#This Row],[Código del producto Vendido]],STOCK[],19,FALSE)*VENTAS[[#This Row],[Cantidad]],VENTAS[[#This Row],[Total]])</f>
        <v>22.490000000000002</v>
      </c>
      <c r="L922" s="12">
        <f>VENTAS[[#This Row],[Total]]-VENTAS[[#This Row],[Comisión 10%]]-VENTAS[[#This Row],[Costo SIN Comision]]</f>
        <v>9.009999999999998</v>
      </c>
      <c r="M922" s="12"/>
      <c r="N922" s="16"/>
    </row>
    <row r="923" spans="1:14" ht="20" hidden="1" customHeight="1">
      <c r="A923" s="9">
        <v>45428</v>
      </c>
      <c r="B923" s="10"/>
      <c r="C923" s="10"/>
      <c r="D923" s="10" t="s">
        <v>4349</v>
      </c>
      <c r="E923" s="10" t="s">
        <v>1293</v>
      </c>
      <c r="F923" s="10" t="str">
        <f>IFERROR(VLOOKUP(VENTAS[[#This Row],[Código del producto Vendido]],STOCK[],5,FALSE),"-")</f>
        <v xml:space="preserve">Jean skinny oscuro </v>
      </c>
      <c r="G923" s="10">
        <v>1</v>
      </c>
      <c r="H923" s="12">
        <v>30</v>
      </c>
      <c r="I923" s="12">
        <f>VENTAS[[#This Row],[Cantidad]]*VENTAS[[#This Row],[Precio Venta]]</f>
        <v>30</v>
      </c>
      <c r="J923" s="12">
        <f>IF(VENTAS[[#This Row],[Nombre del Gestor]]&gt;1,VENTAS[[#This Row],[Total]]*10%,0)</f>
        <v>3</v>
      </c>
      <c r="K923" s="12">
        <f>IFERROR(VLOOKUP(VENTAS[[#This Row],[Código del producto Vendido]],STOCK[],16,FALSE)*VENTAS[[#This Row],[Cantidad]]+VLOOKUP(VENTAS[[#This Row],[Código del producto Vendido]],STOCK[],19,FALSE)*VENTAS[[#This Row],[Cantidad]],VENTAS[[#This Row],[Total]])</f>
        <v>20.79</v>
      </c>
      <c r="L923" s="12">
        <f>VENTAS[[#This Row],[Total]]-VENTAS[[#This Row],[Comisión 10%]]-VENTAS[[#This Row],[Costo SIN Comision]]</f>
        <v>6.2100000000000009</v>
      </c>
      <c r="M923" s="12"/>
      <c r="N923" s="16"/>
    </row>
    <row r="924" spans="1:14" ht="20" hidden="1" customHeight="1">
      <c r="A924" s="9">
        <v>45428</v>
      </c>
      <c r="B924" s="10"/>
      <c r="C924" s="10"/>
      <c r="D924" s="10" t="s">
        <v>4349</v>
      </c>
      <c r="E924" s="10" t="s">
        <v>2087</v>
      </c>
      <c r="F924" s="10" t="str">
        <f>IFERROR(VLOOKUP(VENTAS[[#This Row],[Código del producto Vendido]],STOCK[],5,FALSE),"-")</f>
        <v>Botín de punta cuadrada y zíper</v>
      </c>
      <c r="G924" s="10">
        <v>1</v>
      </c>
      <c r="H924" s="12">
        <v>45</v>
      </c>
      <c r="I924" s="12">
        <f>VENTAS[[#This Row],[Cantidad]]*VENTAS[[#This Row],[Precio Venta]]</f>
        <v>45</v>
      </c>
      <c r="J924" s="12">
        <f>IF(VENTAS[[#This Row],[Nombre del Gestor]]&gt;1,VENTAS[[#This Row],[Total]]*10%,0)</f>
        <v>4.5</v>
      </c>
      <c r="K924" s="12">
        <f>IFERROR(VLOOKUP(VENTAS[[#This Row],[Código del producto Vendido]],STOCK[],16,FALSE)*VENTAS[[#This Row],[Cantidad]]+VLOOKUP(VENTAS[[#This Row],[Código del producto Vendido]],STOCK[],19,FALSE)*VENTAS[[#This Row],[Cantidad]],VENTAS[[#This Row],[Total]])</f>
        <v>22.42</v>
      </c>
      <c r="L924" s="12">
        <f>VENTAS[[#This Row],[Total]]-VENTAS[[#This Row],[Comisión 10%]]-VENTAS[[#This Row],[Costo SIN Comision]]</f>
        <v>18.079999999999998</v>
      </c>
      <c r="M924" s="12"/>
      <c r="N924" s="16"/>
    </row>
    <row r="925" spans="1:14" ht="20" hidden="1" customHeight="1">
      <c r="A925" s="9">
        <v>45429</v>
      </c>
      <c r="B925" s="10"/>
      <c r="C925" s="10"/>
      <c r="D925" s="10" t="s">
        <v>4349</v>
      </c>
      <c r="E925" s="10" t="s">
        <v>2025</v>
      </c>
      <c r="F925" s="10" t="str">
        <f>IFERROR(VLOOKUP(VENTAS[[#This Row],[Código del producto Vendido]],STOCK[],5,FALSE),"-")</f>
        <v>Jogger afelpado de talle alto (Nuevo)</v>
      </c>
      <c r="G925" s="10">
        <v>1</v>
      </c>
      <c r="H925" s="12">
        <v>22</v>
      </c>
      <c r="I925" s="12">
        <f>VENTAS[[#This Row],[Cantidad]]*VENTAS[[#This Row],[Precio Venta]]</f>
        <v>22</v>
      </c>
      <c r="J925" s="12">
        <f>IF(VENTAS[[#This Row],[Nombre del Gestor]]&gt;1,VENTAS[[#This Row],[Total]]*10%,0)</f>
        <v>2.2000000000000002</v>
      </c>
      <c r="K925" s="12">
        <f>IFERROR(VLOOKUP(VENTAS[[#This Row],[Código del producto Vendido]],STOCK[],16,FALSE)*VENTAS[[#This Row],[Cantidad]]+VLOOKUP(VENTAS[[#This Row],[Código del producto Vendido]],STOCK[],19,FALSE)*VENTAS[[#This Row],[Cantidad]],VENTAS[[#This Row],[Total]])</f>
        <v>0</v>
      </c>
      <c r="L925" s="12">
        <f>VENTAS[[#This Row],[Total]]-VENTAS[[#This Row],[Comisión 10%]]-VENTAS[[#This Row],[Costo SIN Comision]]</f>
        <v>19.8</v>
      </c>
      <c r="M925" s="12"/>
      <c r="N925" s="16"/>
    </row>
    <row r="926" spans="1:14" ht="20" hidden="1" customHeight="1">
      <c r="A926" s="9">
        <v>45430</v>
      </c>
      <c r="B926" s="10"/>
      <c r="C926" s="10"/>
      <c r="D926" s="10" t="s">
        <v>4349</v>
      </c>
      <c r="E926" s="10" t="s">
        <v>1584</v>
      </c>
      <c r="F926" s="10" t="str">
        <f>IFERROR(VLOOKUP(VENTAS[[#This Row],[Código del producto Vendido]],STOCK[],5,FALSE),"-")</f>
        <v>Sandalias de hebilla</v>
      </c>
      <c r="G926" s="10">
        <v>1</v>
      </c>
      <c r="H926" s="12">
        <v>18</v>
      </c>
      <c r="I926" s="12">
        <f>VENTAS[[#This Row],[Cantidad]]*VENTAS[[#This Row],[Precio Venta]]</f>
        <v>18</v>
      </c>
      <c r="J926" s="12">
        <f>IF(VENTAS[[#This Row],[Nombre del Gestor]]&gt;1,VENTAS[[#This Row],[Total]]*10%,0)</f>
        <v>1.8</v>
      </c>
      <c r="K926" s="12">
        <f>IFERROR(VLOOKUP(VENTAS[[#This Row],[Código del producto Vendido]],STOCK[],16,FALSE)*VENTAS[[#This Row],[Cantidad]]+VLOOKUP(VENTAS[[#This Row],[Código del producto Vendido]],STOCK[],19,FALSE)*VENTAS[[#This Row],[Cantidad]],VENTAS[[#This Row],[Total]])</f>
        <v>11</v>
      </c>
      <c r="L926" s="12">
        <f>VENTAS[[#This Row],[Total]]-VENTAS[[#This Row],[Comisión 10%]]-VENTAS[[#This Row],[Costo SIN Comision]]</f>
        <v>5.1999999999999993</v>
      </c>
      <c r="M926" s="12"/>
      <c r="N926" s="16"/>
    </row>
    <row r="927" spans="1:14" ht="20" hidden="1" customHeight="1">
      <c r="A927" s="9">
        <v>45439</v>
      </c>
      <c r="B927" s="10"/>
      <c r="C927" s="10"/>
      <c r="D927" s="10" t="s">
        <v>4349</v>
      </c>
      <c r="E927" s="10" t="s">
        <v>1616</v>
      </c>
      <c r="F927" s="10" t="str">
        <f>IFERROR(VLOOKUP(VENTAS[[#This Row],[Código del producto Vendido]],STOCK[],5,FALSE),"-")</f>
        <v>Camisa Modely</v>
      </c>
      <c r="G927" s="10">
        <v>1</v>
      </c>
      <c r="H927" s="12">
        <v>22</v>
      </c>
      <c r="I927" s="12">
        <f>VENTAS[[#This Row],[Cantidad]]*VENTAS[[#This Row],[Precio Venta]]</f>
        <v>22</v>
      </c>
      <c r="J927" s="12">
        <f>IF(VENTAS[[#This Row],[Nombre del Gestor]]&gt;1,VENTAS[[#This Row],[Total]]*10%,0)</f>
        <v>2.2000000000000002</v>
      </c>
      <c r="K927" s="12">
        <f>IFERROR(VLOOKUP(VENTAS[[#This Row],[Código del producto Vendido]],STOCK[],16,FALSE)*VENTAS[[#This Row],[Cantidad]]+VLOOKUP(VENTAS[[#This Row],[Código del producto Vendido]],STOCK[],19,FALSE)*VENTAS[[#This Row],[Cantidad]],VENTAS[[#This Row],[Total]])</f>
        <v>9.74</v>
      </c>
      <c r="L927" s="12">
        <f>VENTAS[[#This Row],[Total]]-VENTAS[[#This Row],[Comisión 10%]]-VENTAS[[#This Row],[Costo SIN Comision]]</f>
        <v>10.06</v>
      </c>
      <c r="M927" s="12"/>
      <c r="N927" s="16"/>
    </row>
    <row r="928" spans="1:14" ht="20" hidden="1" customHeight="1">
      <c r="A928" s="9">
        <v>45439</v>
      </c>
      <c r="B928" s="10"/>
      <c r="C928" s="10"/>
      <c r="D928" s="10"/>
      <c r="E928" s="10" t="s">
        <v>1165</v>
      </c>
      <c r="F928" s="10" t="str">
        <f>IFERROR(VLOOKUP(VENTAS[[#This Row],[Código del producto Vendido]],STOCK[],5,FALSE),"-")</f>
        <v>Short de mezclilla con doblez (no elastiza)</v>
      </c>
      <c r="G928" s="10">
        <v>1</v>
      </c>
      <c r="H928" s="12">
        <v>20</v>
      </c>
      <c r="I928" s="12">
        <f>VENTAS[[#This Row],[Cantidad]]*VENTAS[[#This Row],[Precio Venta]]</f>
        <v>20</v>
      </c>
      <c r="J928" s="12">
        <f>IF(VENTAS[[#This Row],[Nombre del Gestor]]&gt;1,VENTAS[[#This Row],[Total]]*10%,0)</f>
        <v>0</v>
      </c>
      <c r="K928" s="12">
        <f>IFERROR(VLOOKUP(VENTAS[[#This Row],[Código del producto Vendido]],STOCK[],16,FALSE)*VENTAS[[#This Row],[Cantidad]]+VLOOKUP(VENTAS[[#This Row],[Código del producto Vendido]],STOCK[],19,FALSE)*VENTAS[[#This Row],[Cantidad]],VENTAS[[#This Row],[Total]])</f>
        <v>14.29</v>
      </c>
      <c r="L928" s="12">
        <f>VENTAS[[#This Row],[Total]]-VENTAS[[#This Row],[Comisión 10%]]-VENTAS[[#This Row],[Costo SIN Comision]]</f>
        <v>5.7100000000000009</v>
      </c>
      <c r="M928" s="12"/>
      <c r="N928" s="16"/>
    </row>
    <row r="929" spans="1:14" ht="20" hidden="1" customHeight="1">
      <c r="A929" s="9">
        <v>45440</v>
      </c>
      <c r="B929" s="10"/>
      <c r="C929" s="10"/>
      <c r="D929" s="10" t="s">
        <v>4349</v>
      </c>
      <c r="E929" s="10" t="s">
        <v>1885</v>
      </c>
      <c r="F929" s="10" t="str">
        <f>IFERROR(VLOOKUP(VENTAS[[#This Row],[Código del producto Vendido]],STOCK[],5,FALSE),"-")</f>
        <v>Bolso Vintage Negro</v>
      </c>
      <c r="G929" s="10">
        <v>1</v>
      </c>
      <c r="H929" s="12">
        <v>35</v>
      </c>
      <c r="I929" s="12">
        <f>VENTAS[[#This Row],[Cantidad]]*VENTAS[[#This Row],[Precio Venta]]</f>
        <v>35</v>
      </c>
      <c r="J929" s="12">
        <f>IF(VENTAS[[#This Row],[Nombre del Gestor]]&gt;1,VENTAS[[#This Row],[Total]]*10%,0)</f>
        <v>3.5</v>
      </c>
      <c r="K929" s="12">
        <f>IFERROR(VLOOKUP(VENTAS[[#This Row],[Código del producto Vendido]],STOCK[],16,FALSE)*VENTAS[[#This Row],[Cantidad]]+VLOOKUP(VENTAS[[#This Row],[Código del producto Vendido]],STOCK[],19,FALSE)*VENTAS[[#This Row],[Cantidad]],VENTAS[[#This Row],[Total]])</f>
        <v>22.98</v>
      </c>
      <c r="L929" s="12">
        <f>VENTAS[[#This Row],[Total]]-VENTAS[[#This Row],[Comisión 10%]]-VENTAS[[#This Row],[Costo SIN Comision]]</f>
        <v>8.52</v>
      </c>
      <c r="M929" s="12"/>
      <c r="N929" s="16"/>
    </row>
    <row r="930" spans="1:14" ht="20" hidden="1" customHeight="1">
      <c r="A930" s="10"/>
      <c r="B930" s="10"/>
      <c r="C930" s="10" t="s">
        <v>4371</v>
      </c>
      <c r="D930" s="10"/>
      <c r="E930" s="10" t="s">
        <v>1150</v>
      </c>
      <c r="F930" s="10" t="str">
        <f>IFERROR(VLOOKUP(VENTAS[[#This Row],[Código del producto Vendido]],STOCK[],5,FALSE),"-")</f>
        <v>Sandalias de tacón grueso</v>
      </c>
      <c r="G930" s="10">
        <v>1</v>
      </c>
      <c r="H930" s="12">
        <v>0</v>
      </c>
      <c r="I930" s="12">
        <f>VENTAS[[#This Row],[Cantidad]]*VENTAS[[#This Row],[Precio Venta]]</f>
        <v>0</v>
      </c>
      <c r="J930" s="12">
        <f>IF(VENTAS[[#This Row],[Nombre del Gestor]]&gt;1,VENTAS[[#This Row],[Total]]*10%,0)</f>
        <v>0</v>
      </c>
      <c r="K930" s="12">
        <f>IFERROR(VLOOKUP(VENTAS[[#This Row],[Código del producto Vendido]],STOCK[],16,FALSE)*VENTAS[[#This Row],[Cantidad]]+VLOOKUP(VENTAS[[#This Row],[Código del producto Vendido]],STOCK[],19,FALSE)*VENTAS[[#This Row],[Cantidad]],VENTAS[[#This Row],[Total]])</f>
        <v>32.279411764705898</v>
      </c>
      <c r="L930" s="12">
        <f>VENTAS[[#This Row],[Total]]-VENTAS[[#This Row],[Comisión 10%]]-VENTAS[[#This Row],[Costo SIN Comision]]</f>
        <v>-32.279411764705898</v>
      </c>
      <c r="M930" s="12"/>
      <c r="N930" s="16"/>
    </row>
    <row r="931" spans="1:14" ht="20" hidden="1" customHeight="1">
      <c r="A931" s="10"/>
      <c r="B931" s="10"/>
      <c r="C931" s="10"/>
      <c r="D931" s="10" t="s">
        <v>4336</v>
      </c>
      <c r="E931" s="10" t="s">
        <v>102</v>
      </c>
      <c r="F931" s="10" t="str">
        <f>IFERROR(VLOOKUP(VENTAS[[#This Row],[Código del producto Vendido]],STOCK[],5,FALSE),"-")</f>
        <v>Pareo pantalón de malla</v>
      </c>
      <c r="G931" s="10">
        <v>1</v>
      </c>
      <c r="H931" s="12">
        <v>15</v>
      </c>
      <c r="I931" s="12">
        <f>VENTAS[[#This Row],[Cantidad]]*VENTAS[[#This Row],[Precio Venta]]</f>
        <v>15</v>
      </c>
      <c r="J931" s="12">
        <f>IF(VENTAS[[#This Row],[Nombre del Gestor]]&gt;1,VENTAS[[#This Row],[Total]]*10%,0)</f>
        <v>1.5</v>
      </c>
      <c r="K931" s="12">
        <f>IFERROR(VLOOKUP(VENTAS[[#This Row],[Código del producto Vendido]],STOCK[],16,FALSE)*VENTAS[[#This Row],[Cantidad]]+VLOOKUP(VENTAS[[#This Row],[Código del producto Vendido]],STOCK[],19,FALSE)*VENTAS[[#This Row],[Cantidad]],VENTAS[[#This Row],[Total]])</f>
        <v>9.7855555555555593</v>
      </c>
      <c r="L931" s="12">
        <f>VENTAS[[#This Row],[Total]]-VENTAS[[#This Row],[Comisión 10%]]-VENTAS[[#This Row],[Costo SIN Comision]]</f>
        <v>3.7144444444444407</v>
      </c>
      <c r="M931" s="12"/>
      <c r="N931" s="16"/>
    </row>
    <row r="932" spans="1:14" ht="20" hidden="1" customHeight="1">
      <c r="A932" s="9">
        <v>45440</v>
      </c>
      <c r="B932" s="10"/>
      <c r="C932" s="10"/>
      <c r="D932" s="10" t="s">
        <v>4349</v>
      </c>
      <c r="E932" s="10" t="s">
        <v>1299</v>
      </c>
      <c r="F932" s="10" t="str">
        <f>IFERROR(VLOOKUP(VENTAS[[#This Row],[Código del producto Vendido]],STOCK[],5,FALSE),"-")</f>
        <v>Sandalias rosadas Forever21</v>
      </c>
      <c r="G932" s="10">
        <v>1</v>
      </c>
      <c r="H932" s="12">
        <v>30</v>
      </c>
      <c r="I932" s="12">
        <f>VENTAS[[#This Row],[Cantidad]]*VENTAS[[#This Row],[Precio Venta]]</f>
        <v>30</v>
      </c>
      <c r="J932" s="12">
        <f>IF(VENTAS[[#This Row],[Nombre del Gestor]]&gt;1,VENTAS[[#This Row],[Total]]*10%,0)</f>
        <v>3</v>
      </c>
      <c r="K932" s="12">
        <f>IFERROR(VLOOKUP(VENTAS[[#This Row],[Código del producto Vendido]],STOCK[],16,FALSE)*VENTAS[[#This Row],[Cantidad]]+VLOOKUP(VENTAS[[#This Row],[Código del producto Vendido]],STOCK[],19,FALSE)*VENTAS[[#This Row],[Cantidad]],VENTAS[[#This Row],[Total]])</f>
        <v>19.490000000000002</v>
      </c>
      <c r="L932" s="12">
        <f>VENTAS[[#This Row],[Total]]-VENTAS[[#This Row],[Comisión 10%]]-VENTAS[[#This Row],[Costo SIN Comision]]</f>
        <v>7.509999999999998</v>
      </c>
      <c r="M932" s="12"/>
      <c r="N932" s="16"/>
    </row>
    <row r="933" spans="1:14" ht="20" hidden="1" customHeight="1">
      <c r="A933" s="10"/>
      <c r="B933" s="10"/>
      <c r="C933" s="10"/>
      <c r="D933" s="10" t="s">
        <v>4349</v>
      </c>
      <c r="E933" s="10" t="s">
        <v>1103</v>
      </c>
      <c r="F933" s="10" t="str">
        <f>IFERROR(VLOOKUP(VENTAS[[#This Row],[Código del producto Vendido]],STOCK[],5,FALSE),"-")</f>
        <v>Sandalias crema</v>
      </c>
      <c r="G933" s="10">
        <v>1</v>
      </c>
      <c r="H933" s="12">
        <v>35</v>
      </c>
      <c r="I933" s="12">
        <f>VENTAS[[#This Row],[Cantidad]]*VENTAS[[#This Row],[Precio Venta]]</f>
        <v>35</v>
      </c>
      <c r="J933" s="12">
        <f>IF(VENTAS[[#This Row],[Nombre del Gestor]]&gt;1,VENTAS[[#This Row],[Total]]*10%,0)</f>
        <v>3.5</v>
      </c>
      <c r="K933" s="12">
        <f>IFERROR(VLOOKUP(VENTAS[[#This Row],[Código del producto Vendido]],STOCK[],16,FALSE)*VENTAS[[#This Row],[Cantidad]]+VLOOKUP(VENTAS[[#This Row],[Código del producto Vendido]],STOCK[],19,FALSE)*VENTAS[[#This Row],[Cantidad]],VENTAS[[#This Row],[Total]])</f>
        <v>26.852941176470601</v>
      </c>
      <c r="L933" s="12">
        <f>VENTAS[[#This Row],[Total]]-VENTAS[[#This Row],[Comisión 10%]]-VENTAS[[#This Row],[Costo SIN Comision]]</f>
        <v>4.6470588235293988</v>
      </c>
      <c r="M933" s="12"/>
      <c r="N933" s="16"/>
    </row>
    <row r="934" spans="1:14" ht="20" hidden="1" customHeight="1">
      <c r="A934" s="9">
        <v>45443</v>
      </c>
      <c r="B934" s="10"/>
      <c r="C934" s="10"/>
      <c r="D934" s="10"/>
      <c r="E934" s="10" t="s">
        <v>534</v>
      </c>
      <c r="F934" s="10" t="str">
        <f>IFERROR(VLOOKUP(VENTAS[[#This Row],[Código del producto Vendido]],STOCK[],5,FALSE),"-")</f>
        <v>Vestido corrugado de vuelos</v>
      </c>
      <c r="G934" s="10">
        <v>1</v>
      </c>
      <c r="H934" s="12">
        <v>18</v>
      </c>
      <c r="I934" s="12">
        <f>VENTAS[[#This Row],[Cantidad]]*VENTAS[[#This Row],[Precio Venta]]</f>
        <v>18</v>
      </c>
      <c r="J934" s="12">
        <f>IF(VENTAS[[#This Row],[Nombre del Gestor]]&gt;1,VENTAS[[#This Row],[Total]]*10%,0)</f>
        <v>0</v>
      </c>
      <c r="K934" s="12">
        <f>IFERROR(VLOOKUP(VENTAS[[#This Row],[Código del producto Vendido]],STOCK[],16,FALSE)*VENTAS[[#This Row],[Cantidad]]+VLOOKUP(VENTAS[[#This Row],[Código del producto Vendido]],STOCK[],19,FALSE)*VENTAS[[#This Row],[Cantidad]],VENTAS[[#This Row],[Total]])</f>
        <v>14.7111111111111</v>
      </c>
      <c r="L934" s="12">
        <f>VENTAS[[#This Row],[Total]]-VENTAS[[#This Row],[Comisión 10%]]-VENTAS[[#This Row],[Costo SIN Comision]]</f>
        <v>3.2888888888889003</v>
      </c>
      <c r="M934" s="12"/>
      <c r="N934" s="16"/>
    </row>
    <row r="935" spans="1:14" ht="20" hidden="1" customHeight="1">
      <c r="A935" s="9">
        <v>45443</v>
      </c>
      <c r="B935" s="10"/>
      <c r="C935" s="10"/>
      <c r="D935" s="10" t="s">
        <v>4237</v>
      </c>
      <c r="E935" s="10" t="s">
        <v>584</v>
      </c>
      <c r="F935" s="10" t="str">
        <f>IFERROR(VLOOKUP(VENTAS[[#This Row],[Código del producto Vendido]],STOCK[],5,FALSE),"-")</f>
        <v>Top cruzado blanco</v>
      </c>
      <c r="G935" s="10">
        <v>1</v>
      </c>
      <c r="H935" s="12">
        <v>8</v>
      </c>
      <c r="I935" s="12">
        <f>VENTAS[[#This Row],[Cantidad]]*VENTAS[[#This Row],[Precio Venta]]</f>
        <v>8</v>
      </c>
      <c r="J935" s="12">
        <f>IF(VENTAS[[#This Row],[Nombre del Gestor]]&gt;1,VENTAS[[#This Row],[Total]]*10%,0)</f>
        <v>0.8</v>
      </c>
      <c r="K935" s="12">
        <f>IFERROR(VLOOKUP(VENTAS[[#This Row],[Código del producto Vendido]],STOCK[],16,FALSE)*VENTAS[[#This Row],[Cantidad]]+VLOOKUP(VENTAS[[#This Row],[Código del producto Vendido]],STOCK[],19,FALSE)*VENTAS[[#This Row],[Cantidad]],VENTAS[[#This Row],[Total]])</f>
        <v>5.1933333333333307</v>
      </c>
      <c r="L935" s="12">
        <f>VENTAS[[#This Row],[Total]]-VENTAS[[#This Row],[Comisión 10%]]-VENTAS[[#This Row],[Costo SIN Comision]]</f>
        <v>2.0066666666666695</v>
      </c>
      <c r="M935" s="12"/>
      <c r="N935" s="16"/>
    </row>
    <row r="936" spans="1:14" ht="20" hidden="1" customHeight="1">
      <c r="A936" s="9">
        <v>45443</v>
      </c>
      <c r="B936" s="10"/>
      <c r="C936" s="10"/>
      <c r="D936" s="10" t="s">
        <v>4237</v>
      </c>
      <c r="E936" s="10" t="s">
        <v>672</v>
      </c>
      <c r="F936" s="10" t="str">
        <f>IFERROR(VLOOKUP(VENTAS[[#This Row],[Código del producto Vendido]],STOCK[],5,FALSE),"-")</f>
        <v>Top Cruzado azul</v>
      </c>
      <c r="G936" s="10">
        <v>1</v>
      </c>
      <c r="H936" s="12">
        <v>8</v>
      </c>
      <c r="I936" s="12">
        <f>VENTAS[[#This Row],[Cantidad]]*VENTAS[[#This Row],[Precio Venta]]</f>
        <v>8</v>
      </c>
      <c r="J936" s="12">
        <f>IF(VENTAS[[#This Row],[Nombre del Gestor]]&gt;1,VENTAS[[#This Row],[Total]]*10%,0)</f>
        <v>0.8</v>
      </c>
      <c r="K936" s="12">
        <f>IFERROR(VLOOKUP(VENTAS[[#This Row],[Código del producto Vendido]],STOCK[],16,FALSE)*VENTAS[[#This Row],[Cantidad]]+VLOOKUP(VENTAS[[#This Row],[Código del producto Vendido]],STOCK[],19,FALSE)*VENTAS[[#This Row],[Cantidad]],VENTAS[[#This Row],[Total]])</f>
        <v>5.26833333333333</v>
      </c>
      <c r="L936" s="12">
        <f>VENTAS[[#This Row],[Total]]-VENTAS[[#This Row],[Comisión 10%]]-VENTAS[[#This Row],[Costo SIN Comision]]</f>
        <v>1.9316666666666702</v>
      </c>
      <c r="M936" s="12"/>
      <c r="N936" s="16"/>
    </row>
    <row r="937" spans="1:14" ht="20" hidden="1" customHeight="1">
      <c r="A937" s="9">
        <v>45443</v>
      </c>
      <c r="B937" s="10"/>
      <c r="C937" s="10"/>
      <c r="D937" s="10"/>
      <c r="E937" s="10" t="s">
        <v>1914</v>
      </c>
      <c r="F937" s="10" t="str">
        <f>IFERROR(VLOOKUP(VENTAS[[#This Row],[Código del producto Vendido]],STOCK[],5,FALSE),"-")</f>
        <v>Gafas de Sol Retro Carey</v>
      </c>
      <c r="G937" s="10">
        <v>1</v>
      </c>
      <c r="H937" s="12">
        <v>8</v>
      </c>
      <c r="I937" s="12">
        <f>VENTAS[[#This Row],[Cantidad]]*VENTAS[[#This Row],[Precio Venta]]</f>
        <v>8</v>
      </c>
      <c r="J937" s="12">
        <f>IF(VENTAS[[#This Row],[Nombre del Gestor]]&gt;1,VENTAS[[#This Row],[Total]]*10%,0)</f>
        <v>0</v>
      </c>
      <c r="K937" s="12">
        <f>IFERROR(VLOOKUP(VENTAS[[#This Row],[Código del producto Vendido]],STOCK[],16,FALSE)*VENTAS[[#This Row],[Cantidad]]+VLOOKUP(VENTAS[[#This Row],[Código del producto Vendido]],STOCK[],19,FALSE)*VENTAS[[#This Row],[Cantidad]],VENTAS[[#This Row],[Total]])</f>
        <v>4.45</v>
      </c>
      <c r="L937" s="12">
        <f>VENTAS[[#This Row],[Total]]-VENTAS[[#This Row],[Comisión 10%]]-VENTAS[[#This Row],[Costo SIN Comision]]</f>
        <v>3.55</v>
      </c>
      <c r="M937" s="12"/>
      <c r="N937" s="16"/>
    </row>
    <row r="938" spans="1:14" ht="20" hidden="1" customHeight="1">
      <c r="A938" s="9">
        <v>45443</v>
      </c>
      <c r="B938" s="10"/>
      <c r="C938" s="10"/>
      <c r="D938" s="10" t="s">
        <v>4349</v>
      </c>
      <c r="E938" s="10" t="s">
        <v>4372</v>
      </c>
      <c r="F938" s="10" t="str">
        <f>IFERROR(VLOOKUP(VENTAS[[#This Row],[Código del producto Vendido]],STOCK[],5,FALSE),"-")</f>
        <v>Sandalias crema</v>
      </c>
      <c r="G938" s="10">
        <v>1</v>
      </c>
      <c r="H938" s="12">
        <v>35</v>
      </c>
      <c r="I938" s="12">
        <f>VENTAS[[#This Row],[Cantidad]]*VENTAS[[#This Row],[Precio Venta]]</f>
        <v>35</v>
      </c>
      <c r="J938" s="12">
        <f>IF(VENTAS[[#This Row],[Nombre del Gestor]]&gt;1,VENTAS[[#This Row],[Total]]*10%,0)</f>
        <v>3.5</v>
      </c>
      <c r="K938" s="12">
        <f>IFERROR(VLOOKUP(VENTAS[[#This Row],[Código del producto Vendido]],STOCK[],16,FALSE)*VENTAS[[#This Row],[Cantidad]]+VLOOKUP(VENTAS[[#This Row],[Código del producto Vendido]],STOCK[],19,FALSE)*VENTAS[[#This Row],[Cantidad]],VENTAS[[#This Row],[Total]])</f>
        <v>26.852941176470601</v>
      </c>
      <c r="L938" s="12">
        <f>VENTAS[[#This Row],[Total]]-VENTAS[[#This Row],[Comisión 10%]]-VENTAS[[#This Row],[Costo SIN Comision]]</f>
        <v>4.6470588235293988</v>
      </c>
      <c r="M938" s="12"/>
      <c r="N938" s="16"/>
    </row>
    <row r="939" spans="1:14" ht="20" hidden="1" customHeight="1">
      <c r="A939" s="9">
        <v>45439</v>
      </c>
      <c r="B939" s="10"/>
      <c r="C939" s="10"/>
      <c r="D939" s="10" t="s">
        <v>4349</v>
      </c>
      <c r="E939" s="10" t="s">
        <v>1906</v>
      </c>
      <c r="F939" s="10" t="str">
        <f>IFERROR(VLOOKUP(VENTAS[[#This Row],[Código del producto Vendido]],STOCK[],5,FALSE),"-")</f>
        <v>Blusa estampada de Lunares</v>
      </c>
      <c r="G939" s="10">
        <v>1</v>
      </c>
      <c r="H939" s="12">
        <v>14</v>
      </c>
      <c r="I939" s="12">
        <f>VENTAS[[#This Row],[Cantidad]]*VENTAS[[#This Row],[Precio Venta]]</f>
        <v>14</v>
      </c>
      <c r="J939" s="12">
        <f>IF(VENTAS[[#This Row],[Nombre del Gestor]]&gt;1,VENTAS[[#This Row],[Total]]*10%,0)</f>
        <v>1.4000000000000001</v>
      </c>
      <c r="K939" s="12">
        <f>IFERROR(VLOOKUP(VENTAS[[#This Row],[Código del producto Vendido]],STOCK[],16,FALSE)*VENTAS[[#This Row],[Cantidad]]+VLOOKUP(VENTAS[[#This Row],[Código del producto Vendido]],STOCK[],19,FALSE)*VENTAS[[#This Row],[Cantidad]],VENTAS[[#This Row],[Total]])</f>
        <v>9.1999999999999993</v>
      </c>
      <c r="L939" s="12">
        <f>VENTAS[[#This Row],[Total]]-VENTAS[[#This Row],[Comisión 10%]]-VENTAS[[#This Row],[Costo SIN Comision]]</f>
        <v>3.4000000000000004</v>
      </c>
      <c r="M939" s="12"/>
      <c r="N939" s="16"/>
    </row>
    <row r="940" spans="1:14" ht="20" hidden="1" customHeight="1">
      <c r="A940" s="9">
        <v>45439</v>
      </c>
      <c r="B940" s="10"/>
      <c r="C940" s="10"/>
      <c r="D940" s="10"/>
      <c r="E940" s="10" t="s">
        <v>1413</v>
      </c>
      <c r="F940" s="10" t="str">
        <f>IFERROR(VLOOKUP(VENTAS[[#This Row],[Código del producto Vendido]],STOCK[],5,FALSE),"-")</f>
        <v>Jean MOM con rotos</v>
      </c>
      <c r="G940" s="10">
        <v>1</v>
      </c>
      <c r="H940" s="12">
        <v>32</v>
      </c>
      <c r="I940" s="12">
        <f>VENTAS[[#This Row],[Cantidad]]*VENTAS[[#This Row],[Precio Venta]]</f>
        <v>32</v>
      </c>
      <c r="J940" s="12">
        <f>IF(VENTAS[[#This Row],[Nombre del Gestor]]&gt;1,VENTAS[[#This Row],[Total]]*10%,0)</f>
        <v>0</v>
      </c>
      <c r="K940" s="12">
        <f>IFERROR(VLOOKUP(VENTAS[[#This Row],[Código del producto Vendido]],STOCK[],16,FALSE)*VENTAS[[#This Row],[Cantidad]]+VLOOKUP(VENTAS[[#This Row],[Código del producto Vendido]],STOCK[],19,FALSE)*VENTAS[[#This Row],[Cantidad]],VENTAS[[#This Row],[Total]])</f>
        <v>20</v>
      </c>
      <c r="L940" s="12">
        <f>VENTAS[[#This Row],[Total]]-VENTAS[[#This Row],[Comisión 10%]]-VENTAS[[#This Row],[Costo SIN Comision]]</f>
        <v>12</v>
      </c>
      <c r="M940" s="12"/>
      <c r="N940" s="16"/>
    </row>
    <row r="941" spans="1:14" ht="20" hidden="1" customHeight="1">
      <c r="A941" s="9">
        <v>45436</v>
      </c>
      <c r="B941" s="10"/>
      <c r="C941" s="10"/>
      <c r="D941" s="10"/>
      <c r="E941" s="10" t="s">
        <v>1895</v>
      </c>
      <c r="F941" s="10" t="str">
        <f>IFERROR(VLOOKUP(VENTAS[[#This Row],[Código del producto Vendido]],STOCK[],5,FALSE),"-")</f>
        <v>Set de bolso minimalista negro</v>
      </c>
      <c r="G941" s="10">
        <v>1</v>
      </c>
      <c r="H941" s="12">
        <v>25</v>
      </c>
      <c r="I941" s="12">
        <f>VENTAS[[#This Row],[Cantidad]]*VENTAS[[#This Row],[Precio Venta]]</f>
        <v>25</v>
      </c>
      <c r="J941" s="12">
        <f>IF(VENTAS[[#This Row],[Nombre del Gestor]]&gt;1,VENTAS[[#This Row],[Total]]*10%,0)</f>
        <v>0</v>
      </c>
      <c r="K941" s="12">
        <f>IFERROR(VLOOKUP(VENTAS[[#This Row],[Código del producto Vendido]],STOCK[],16,FALSE)*VENTAS[[#This Row],[Cantidad]]+VLOOKUP(VENTAS[[#This Row],[Código del producto Vendido]],STOCK[],19,FALSE)*VENTAS[[#This Row],[Cantidad]],VENTAS[[#This Row],[Total]])</f>
        <v>12.75</v>
      </c>
      <c r="L941" s="12">
        <f>VENTAS[[#This Row],[Total]]-VENTAS[[#This Row],[Comisión 10%]]-VENTAS[[#This Row],[Costo SIN Comision]]</f>
        <v>12.25</v>
      </c>
      <c r="M941" s="12"/>
      <c r="N941" s="16"/>
    </row>
    <row r="942" spans="1:14" ht="20" hidden="1" customHeight="1">
      <c r="A942" s="9">
        <v>45436</v>
      </c>
      <c r="B942" s="10"/>
      <c r="C942" s="10"/>
      <c r="D942" s="10"/>
      <c r="E942" s="10" t="s">
        <v>878</v>
      </c>
      <c r="F942" s="10" t="str">
        <f>IFERROR(VLOOKUP(VENTAS[[#This Row],[Código del producto Vendido]],STOCK[],5,FALSE),"-")</f>
        <v>Brasier de encaje blanco</v>
      </c>
      <c r="G942" s="10">
        <v>1</v>
      </c>
      <c r="H942" s="12">
        <v>7</v>
      </c>
      <c r="I942" s="12">
        <f>VENTAS[[#This Row],[Cantidad]]*VENTAS[[#This Row],[Precio Venta]]</f>
        <v>7</v>
      </c>
      <c r="J942" s="12">
        <f>IF(VENTAS[[#This Row],[Nombre del Gestor]]&gt;1,VENTAS[[#This Row],[Total]]*10%,0)</f>
        <v>0</v>
      </c>
      <c r="K942" s="12">
        <f>IFERROR(VLOOKUP(VENTAS[[#This Row],[Código del producto Vendido]],STOCK[],16,FALSE)*VENTAS[[#This Row],[Cantidad]]+VLOOKUP(VENTAS[[#This Row],[Código del producto Vendido]],STOCK[],19,FALSE)*VENTAS[[#This Row],[Cantidad]],VENTAS[[#This Row],[Total]])</f>
        <v>3.7111111111111099</v>
      </c>
      <c r="L942" s="12">
        <f>VENTAS[[#This Row],[Total]]-VENTAS[[#This Row],[Comisión 10%]]-VENTAS[[#This Row],[Costo SIN Comision]]</f>
        <v>3.2888888888888901</v>
      </c>
      <c r="M942" s="12"/>
      <c r="N942" s="16"/>
    </row>
    <row r="943" spans="1:14" ht="20" hidden="1" customHeight="1">
      <c r="A943" s="9">
        <v>45436</v>
      </c>
      <c r="B943" s="10"/>
      <c r="C943" s="10"/>
      <c r="D943" s="10" t="s">
        <v>4349</v>
      </c>
      <c r="E943" s="10" t="s">
        <v>1758</v>
      </c>
      <c r="F943" s="10" t="str">
        <f>IFERROR(VLOOKUP(VENTAS[[#This Row],[Código del producto Vendido]],STOCK[],5,FALSE),"-")</f>
        <v>Zapatillas blanco casual</v>
      </c>
      <c r="G943" s="10">
        <v>1</v>
      </c>
      <c r="H943" s="12">
        <v>30</v>
      </c>
      <c r="I943" s="12">
        <f>VENTAS[[#This Row],[Cantidad]]*VENTAS[[#This Row],[Precio Venta]]</f>
        <v>30</v>
      </c>
      <c r="J943" s="12">
        <f>IF(VENTAS[[#This Row],[Nombre del Gestor]]&gt;1,VENTAS[[#This Row],[Total]]*10%,0)</f>
        <v>3</v>
      </c>
      <c r="K943" s="12">
        <f>IFERROR(VLOOKUP(VENTAS[[#This Row],[Código del producto Vendido]],STOCK[],16,FALSE)*VENTAS[[#This Row],[Cantidad]]+VLOOKUP(VENTAS[[#This Row],[Código del producto Vendido]],STOCK[],19,FALSE)*VENTAS[[#This Row],[Cantidad]],VENTAS[[#This Row],[Total]])</f>
        <v>24.470588235294102</v>
      </c>
      <c r="L943" s="12">
        <f>VENTAS[[#This Row],[Total]]-VENTAS[[#This Row],[Comisión 10%]]-VENTAS[[#This Row],[Costo SIN Comision]]</f>
        <v>2.5294117647058982</v>
      </c>
      <c r="M943" s="12"/>
      <c r="N943" s="16"/>
    </row>
    <row r="944" spans="1:14" ht="20" hidden="1" customHeight="1">
      <c r="A944" s="9">
        <v>45445</v>
      </c>
      <c r="B944" s="10"/>
      <c r="C944" s="10"/>
      <c r="D944" s="10" t="s">
        <v>4349</v>
      </c>
      <c r="E944" s="10" t="s">
        <v>2242</v>
      </c>
      <c r="F944" s="10" t="str">
        <f>IFERROR(VLOOKUP(VENTAS[[#This Row],[Código del producto Vendido]],STOCK[],5,FALSE),"-")</f>
        <v>Bolso bohemio redondo de gran capacidad</v>
      </c>
      <c r="G944" s="10">
        <v>1</v>
      </c>
      <c r="H944" s="12">
        <v>25</v>
      </c>
      <c r="I944" s="12">
        <f>VENTAS[[#This Row],[Cantidad]]*VENTAS[[#This Row],[Precio Venta]]</f>
        <v>25</v>
      </c>
      <c r="J944" s="12">
        <f>IF(VENTAS[[#This Row],[Nombre del Gestor]]&gt;1,VENTAS[[#This Row],[Total]]*10%,0)</f>
        <v>2.5</v>
      </c>
      <c r="K944" s="12">
        <f>IFERROR(VLOOKUP(VENTAS[[#This Row],[Código del producto Vendido]],STOCK[],16,FALSE)*VENTAS[[#This Row],[Cantidad]]+VLOOKUP(VENTAS[[#This Row],[Código del producto Vendido]],STOCK[],19,FALSE)*VENTAS[[#This Row],[Cantidad]],VENTAS[[#This Row],[Total]])</f>
        <v>11.09</v>
      </c>
      <c r="L944" s="12">
        <f>VENTAS[[#This Row],[Total]]-VENTAS[[#This Row],[Comisión 10%]]-VENTAS[[#This Row],[Costo SIN Comision]]</f>
        <v>11.41</v>
      </c>
      <c r="M944" s="12"/>
      <c r="N944" s="16"/>
    </row>
    <row r="945" spans="1:14" ht="20" hidden="1" customHeight="1">
      <c r="A945" s="9">
        <v>45445</v>
      </c>
      <c r="B945" s="10"/>
      <c r="C945" s="10"/>
      <c r="D945" s="10" t="s">
        <v>4349</v>
      </c>
      <c r="E945" s="10" t="s">
        <v>2228</v>
      </c>
      <c r="F945" s="10" t="str">
        <f>IFERROR(VLOOKUP(VENTAS[[#This Row],[Código del producto Vendido]],STOCK[],5,FALSE),"-")</f>
        <v>Estiloso sombrero de protección solar playero</v>
      </c>
      <c r="G945" s="10">
        <v>1</v>
      </c>
      <c r="H945" s="12">
        <v>10</v>
      </c>
      <c r="I945" s="12">
        <f>VENTAS[[#This Row],[Cantidad]]*VENTAS[[#This Row],[Precio Venta]]</f>
        <v>10</v>
      </c>
      <c r="J945" s="12">
        <f>IF(VENTAS[[#This Row],[Nombre del Gestor]]&gt;1,VENTAS[[#This Row],[Total]]*10%,0)</f>
        <v>1</v>
      </c>
      <c r="K945" s="12">
        <f>IFERROR(VLOOKUP(VENTAS[[#This Row],[Código del producto Vendido]],STOCK[],16,FALSE)*VENTAS[[#This Row],[Cantidad]]+VLOOKUP(VENTAS[[#This Row],[Código del producto Vendido]],STOCK[],19,FALSE)*VENTAS[[#This Row],[Cantidad]],VENTAS[[#This Row],[Total]])</f>
        <v>3.2800000000000002</v>
      </c>
      <c r="L945" s="12">
        <f>VENTAS[[#This Row],[Total]]-VENTAS[[#This Row],[Comisión 10%]]-VENTAS[[#This Row],[Costo SIN Comision]]</f>
        <v>5.72</v>
      </c>
      <c r="M945" s="12"/>
      <c r="N945" s="16"/>
    </row>
    <row r="946" spans="1:14" ht="20" hidden="1" customHeight="1">
      <c r="A946" s="9">
        <v>45445</v>
      </c>
      <c r="B946" s="10"/>
      <c r="C946" s="10"/>
      <c r="D946" s="10" t="s">
        <v>4349</v>
      </c>
      <c r="E946" s="10" t="s">
        <v>2234</v>
      </c>
      <c r="F946" s="10" t="str">
        <f>IFERROR(VLOOKUP(VENTAS[[#This Row],[Código del producto Vendido]],STOCK[],5,FALSE),"-")</f>
        <v>Vestido blanco espalda cruzada</v>
      </c>
      <c r="G946" s="10">
        <v>1</v>
      </c>
      <c r="H946" s="12">
        <v>25</v>
      </c>
      <c r="I946" s="12">
        <f>VENTAS[[#This Row],[Cantidad]]*VENTAS[[#This Row],[Precio Venta]]</f>
        <v>25</v>
      </c>
      <c r="J946" s="12">
        <f>IF(VENTAS[[#This Row],[Nombre del Gestor]]&gt;1,VENTAS[[#This Row],[Total]]*10%,0)</f>
        <v>2.5</v>
      </c>
      <c r="K946" s="12">
        <f>IFERROR(VLOOKUP(VENTAS[[#This Row],[Código del producto Vendido]],STOCK[],16,FALSE)*VENTAS[[#This Row],[Cantidad]]+VLOOKUP(VENTAS[[#This Row],[Código del producto Vendido]],STOCK[],19,FALSE)*VENTAS[[#This Row],[Cantidad]],VENTAS[[#This Row],[Total]])</f>
        <v>12.19</v>
      </c>
      <c r="L946" s="12">
        <f>VENTAS[[#This Row],[Total]]-VENTAS[[#This Row],[Comisión 10%]]-VENTAS[[#This Row],[Costo SIN Comision]]</f>
        <v>10.31</v>
      </c>
      <c r="M946" s="12"/>
      <c r="N946" s="16"/>
    </row>
    <row r="947" spans="1:14" ht="20" hidden="1" customHeight="1">
      <c r="A947" s="9">
        <v>45445</v>
      </c>
      <c r="B947" s="10"/>
      <c r="C947" s="10"/>
      <c r="D947" s="10" t="s">
        <v>4349</v>
      </c>
      <c r="E947" s="10" t="s">
        <v>2118</v>
      </c>
      <c r="F947" s="10" t="str">
        <f>IFERROR(VLOOKUP(VENTAS[[#This Row],[Código del producto Vendido]],STOCK[],5,FALSE),"-")</f>
        <v>Vestido Estampado floral de moda</v>
      </c>
      <c r="G947" s="10">
        <v>1</v>
      </c>
      <c r="H947" s="12">
        <v>25</v>
      </c>
      <c r="I947" s="12">
        <f>VENTAS[[#This Row],[Cantidad]]*VENTAS[[#This Row],[Precio Venta]]</f>
        <v>25</v>
      </c>
      <c r="J947" s="12">
        <f>IF(VENTAS[[#This Row],[Nombre del Gestor]]&gt;1,VENTAS[[#This Row],[Total]]*10%,0)</f>
        <v>2.5</v>
      </c>
      <c r="K947" s="12">
        <f>IFERROR(VLOOKUP(VENTAS[[#This Row],[Código del producto Vendido]],STOCK[],16,FALSE)*VENTAS[[#This Row],[Cantidad]]+VLOOKUP(VENTAS[[#This Row],[Código del producto Vendido]],STOCK[],19,FALSE)*VENTAS[[#This Row],[Cantidad]],VENTAS[[#This Row],[Total]])</f>
        <v>8.83</v>
      </c>
      <c r="L947" s="12">
        <f>VENTAS[[#This Row],[Total]]-VENTAS[[#This Row],[Comisión 10%]]-VENTAS[[#This Row],[Costo SIN Comision]]</f>
        <v>13.67</v>
      </c>
      <c r="M947" s="12"/>
      <c r="N947" s="16"/>
    </row>
    <row r="948" spans="1:14" ht="20" hidden="1" customHeight="1">
      <c r="A948" s="9">
        <v>45445</v>
      </c>
      <c r="B948" s="10"/>
      <c r="C948" s="10"/>
      <c r="D948" s="10" t="s">
        <v>4373</v>
      </c>
      <c r="E948" s="10" t="s">
        <v>2183</v>
      </c>
      <c r="F948" s="10" t="str">
        <f>IFERROR(VLOOKUP(VENTAS[[#This Row],[Código del producto Vendido]],STOCK[],5,FALSE),"-")</f>
        <v>Bikini sexy de pierna alta en tendencia</v>
      </c>
      <c r="G948" s="10">
        <v>1</v>
      </c>
      <c r="H948" s="12">
        <v>20</v>
      </c>
      <c r="I948" s="12">
        <f>VENTAS[[#This Row],[Cantidad]]*VENTAS[[#This Row],[Precio Venta]]</f>
        <v>20</v>
      </c>
      <c r="J948" s="12">
        <f>IF(VENTAS[[#This Row],[Nombre del Gestor]]&gt;1,VENTAS[[#This Row],[Total]]*10%,0)</f>
        <v>2</v>
      </c>
      <c r="K948" s="12">
        <f>IFERROR(VLOOKUP(VENTAS[[#This Row],[Código del producto Vendido]],STOCK[],16,FALSE)*VENTAS[[#This Row],[Cantidad]]+VLOOKUP(VENTAS[[#This Row],[Código del producto Vendido]],STOCK[],19,FALSE)*VENTAS[[#This Row],[Cantidad]],VENTAS[[#This Row],[Total]])</f>
        <v>6.6199999999999992</v>
      </c>
      <c r="L948" s="12">
        <f>VENTAS[[#This Row],[Total]]-VENTAS[[#This Row],[Comisión 10%]]-VENTAS[[#This Row],[Costo SIN Comision]]</f>
        <v>11.38</v>
      </c>
      <c r="M948" s="12"/>
      <c r="N948" s="16"/>
    </row>
    <row r="949" spans="1:14" ht="20" hidden="1" customHeight="1">
      <c r="A949" s="9">
        <v>45445</v>
      </c>
      <c r="B949" s="10"/>
      <c r="C949" s="10"/>
      <c r="D949" s="10"/>
      <c r="E949" s="10" t="s">
        <v>2228</v>
      </c>
      <c r="F949" s="10" t="str">
        <f>IFERROR(VLOOKUP(VENTAS[[#This Row],[Código del producto Vendido]],STOCK[],5,FALSE),"-")</f>
        <v>Estiloso sombrero de protección solar playero</v>
      </c>
      <c r="G949" s="10">
        <v>1</v>
      </c>
      <c r="H949" s="12">
        <v>10</v>
      </c>
      <c r="I949" s="12">
        <f>VENTAS[[#This Row],[Cantidad]]*VENTAS[[#This Row],[Precio Venta]]</f>
        <v>10</v>
      </c>
      <c r="J949" s="12">
        <f>IF(VENTAS[[#This Row],[Nombre del Gestor]]&gt;1,VENTAS[[#This Row],[Total]]*10%,0)</f>
        <v>0</v>
      </c>
      <c r="K949" s="12">
        <f>IFERROR(VLOOKUP(VENTAS[[#This Row],[Código del producto Vendido]],STOCK[],16,FALSE)*VENTAS[[#This Row],[Cantidad]]+VLOOKUP(VENTAS[[#This Row],[Código del producto Vendido]],STOCK[],19,FALSE)*VENTAS[[#This Row],[Cantidad]],VENTAS[[#This Row],[Total]])</f>
        <v>3.2800000000000002</v>
      </c>
      <c r="L949" s="12">
        <f>VENTAS[[#This Row],[Total]]-VENTAS[[#This Row],[Comisión 10%]]-VENTAS[[#This Row],[Costo SIN Comision]]</f>
        <v>6.72</v>
      </c>
      <c r="M949" s="12"/>
      <c r="N949" s="16"/>
    </row>
    <row r="950" spans="1:14" ht="20" hidden="1" customHeight="1">
      <c r="A950" s="9">
        <v>45446</v>
      </c>
      <c r="B950" s="10"/>
      <c r="C950" s="10"/>
      <c r="D950" s="10"/>
      <c r="E950" s="10" t="s">
        <v>2228</v>
      </c>
      <c r="F950" s="10" t="str">
        <f>IFERROR(VLOOKUP(VENTAS[[#This Row],[Código del producto Vendido]],STOCK[],5,FALSE),"-")</f>
        <v>Estiloso sombrero de protección solar playero</v>
      </c>
      <c r="G950" s="10">
        <v>1</v>
      </c>
      <c r="H950" s="12">
        <v>10</v>
      </c>
      <c r="I950" s="12">
        <f>VENTAS[[#This Row],[Cantidad]]*VENTAS[[#This Row],[Precio Venta]]</f>
        <v>10</v>
      </c>
      <c r="J950" s="12">
        <f>IF(VENTAS[[#This Row],[Nombre del Gestor]]&gt;1,VENTAS[[#This Row],[Total]]*10%,0)</f>
        <v>0</v>
      </c>
      <c r="K950" s="12">
        <f>IFERROR(VLOOKUP(VENTAS[[#This Row],[Código del producto Vendido]],STOCK[],16,FALSE)*VENTAS[[#This Row],[Cantidad]]+VLOOKUP(VENTAS[[#This Row],[Código del producto Vendido]],STOCK[],19,FALSE)*VENTAS[[#This Row],[Cantidad]],VENTAS[[#This Row],[Total]])</f>
        <v>3.2800000000000002</v>
      </c>
      <c r="L950" s="12">
        <f>VENTAS[[#This Row],[Total]]-VENTAS[[#This Row],[Comisión 10%]]-VENTAS[[#This Row],[Costo SIN Comision]]</f>
        <v>6.72</v>
      </c>
      <c r="M950" s="12"/>
      <c r="N950" s="16"/>
    </row>
    <row r="951" spans="1:14" ht="20" hidden="1" customHeight="1">
      <c r="A951" s="9">
        <v>45446</v>
      </c>
      <c r="B951" s="10"/>
      <c r="C951" s="10" t="s">
        <v>4191</v>
      </c>
      <c r="D951" s="10"/>
      <c r="E951" s="10" t="s">
        <v>2145</v>
      </c>
      <c r="F951" s="10" t="str">
        <f>IFERROR(VLOOKUP(VENTAS[[#This Row],[Código del producto Vendido]],STOCK[],5,FALSE),"-")</f>
        <v>Falda Bohemia de mezclilla de cintura alta con detalles de botón</v>
      </c>
      <c r="G951" s="10">
        <v>1</v>
      </c>
      <c r="H951" s="12">
        <v>30</v>
      </c>
      <c r="I951" s="12">
        <f>VENTAS[[#This Row],[Cantidad]]*VENTAS[[#This Row],[Precio Venta]]</f>
        <v>30</v>
      </c>
      <c r="J951" s="12">
        <f>IF(VENTAS[[#This Row],[Nombre del Gestor]]&gt;1,VENTAS[[#This Row],[Total]]*10%,0)</f>
        <v>0</v>
      </c>
      <c r="K951" s="12">
        <f>IFERROR(VLOOKUP(VENTAS[[#This Row],[Código del producto Vendido]],STOCK[],16,FALSE)*VENTAS[[#This Row],[Cantidad]]+VLOOKUP(VENTAS[[#This Row],[Código del producto Vendido]],STOCK[],19,FALSE)*VENTAS[[#This Row],[Cantidad]],VENTAS[[#This Row],[Total]])</f>
        <v>7.05</v>
      </c>
      <c r="L951" s="12">
        <f>VENTAS[[#This Row],[Total]]-VENTAS[[#This Row],[Comisión 10%]]-VENTAS[[#This Row],[Costo SIN Comision]]</f>
        <v>22.95</v>
      </c>
      <c r="M951" s="12"/>
      <c r="N951" s="16"/>
    </row>
    <row r="952" spans="1:14" ht="20" hidden="1" customHeight="1">
      <c r="A952" s="9">
        <v>45446</v>
      </c>
      <c r="B952" s="10"/>
      <c r="C952" s="10" t="s">
        <v>4191</v>
      </c>
      <c r="D952" s="10"/>
      <c r="E952" s="10" t="s">
        <v>2161</v>
      </c>
      <c r="F952" s="10" t="str">
        <f>IFERROR(VLOOKUP(VENTAS[[#This Row],[Código del producto Vendido]],STOCK[],5,FALSE),"-")</f>
        <v>Set de bikini estampado de flor de 3 piezas de cintura alta</v>
      </c>
      <c r="G952" s="10">
        <v>1</v>
      </c>
      <c r="H952" s="12">
        <v>25</v>
      </c>
      <c r="I952" s="12">
        <f>VENTAS[[#This Row],[Cantidad]]*VENTAS[[#This Row],[Precio Venta]]</f>
        <v>25</v>
      </c>
      <c r="J952" s="12">
        <f>IF(VENTAS[[#This Row],[Nombre del Gestor]]&gt;1,VENTAS[[#This Row],[Total]]*10%,0)</f>
        <v>0</v>
      </c>
      <c r="K952" s="12">
        <f>IFERROR(VLOOKUP(VENTAS[[#This Row],[Código del producto Vendido]],STOCK[],16,FALSE)*VENTAS[[#This Row],[Cantidad]]+VLOOKUP(VENTAS[[#This Row],[Código del producto Vendido]],STOCK[],19,FALSE)*VENTAS[[#This Row],[Cantidad]],VENTAS[[#This Row],[Total]])</f>
        <v>10.43</v>
      </c>
      <c r="L952" s="12">
        <f>VENTAS[[#This Row],[Total]]-VENTAS[[#This Row],[Comisión 10%]]-VENTAS[[#This Row],[Costo SIN Comision]]</f>
        <v>14.57</v>
      </c>
      <c r="M952" s="12"/>
      <c r="N952" s="16"/>
    </row>
    <row r="953" spans="1:14" ht="20" hidden="1" customHeight="1">
      <c r="A953" s="9">
        <v>45446</v>
      </c>
      <c r="B953" s="10"/>
      <c r="C953" s="10"/>
      <c r="D953" s="10" t="s">
        <v>4349</v>
      </c>
      <c r="E953" s="10" t="s">
        <v>2234</v>
      </c>
      <c r="F953" s="10" t="str">
        <f>IFERROR(VLOOKUP(VENTAS[[#This Row],[Código del producto Vendido]],STOCK[],5,FALSE),"-")</f>
        <v>Vestido blanco espalda cruzada</v>
      </c>
      <c r="G953" s="10">
        <v>2</v>
      </c>
      <c r="H953" s="12">
        <v>25</v>
      </c>
      <c r="I953" s="12">
        <f>VENTAS[[#This Row],[Cantidad]]*VENTAS[[#This Row],[Precio Venta]]</f>
        <v>50</v>
      </c>
      <c r="J953" s="12">
        <f>IF(VENTAS[[#This Row],[Nombre del Gestor]]&gt;1,VENTAS[[#This Row],[Total]]*10%,0)</f>
        <v>5</v>
      </c>
      <c r="K953" s="12">
        <f>IFERROR(VLOOKUP(VENTAS[[#This Row],[Código del producto Vendido]],STOCK[],16,FALSE)*VENTAS[[#This Row],[Cantidad]]+VLOOKUP(VENTAS[[#This Row],[Código del producto Vendido]],STOCK[],19,FALSE)*VENTAS[[#This Row],[Cantidad]],VENTAS[[#This Row],[Total]])</f>
        <v>24.38</v>
      </c>
      <c r="L953" s="12">
        <f>VENTAS[[#This Row],[Total]]-VENTAS[[#This Row],[Comisión 10%]]-VENTAS[[#This Row],[Costo SIN Comision]]</f>
        <v>20.62</v>
      </c>
      <c r="M953" s="12"/>
      <c r="N953" s="16"/>
    </row>
    <row r="954" spans="1:14" ht="20" hidden="1" customHeight="1">
      <c r="A954" s="9">
        <v>45446</v>
      </c>
      <c r="B954" s="10"/>
      <c r="C954" s="10"/>
      <c r="D954" s="10" t="s">
        <v>4349</v>
      </c>
      <c r="E954" s="10" t="s">
        <v>1259</v>
      </c>
      <c r="F954" s="10" t="str">
        <f>IFERROR(VLOOKUP(VENTAS[[#This Row],[Código del producto Vendido]],STOCK[],5,FALSE),"-")</f>
        <v>Maxi vestido de espalda cruzada</v>
      </c>
      <c r="G954" s="10">
        <v>1</v>
      </c>
      <c r="H954" s="12">
        <v>35</v>
      </c>
      <c r="I954" s="12">
        <f>VENTAS[[#This Row],[Cantidad]]*VENTAS[[#This Row],[Precio Venta]]</f>
        <v>35</v>
      </c>
      <c r="J954" s="12">
        <f>IF(VENTAS[[#This Row],[Nombre del Gestor]]&gt;1,VENTAS[[#This Row],[Total]]*10%,0)</f>
        <v>3.5</v>
      </c>
      <c r="K954" s="12">
        <f>IFERROR(VLOOKUP(VENTAS[[#This Row],[Código del producto Vendido]],STOCK[],16,FALSE)*VENTAS[[#This Row],[Cantidad]]+VLOOKUP(VENTAS[[#This Row],[Código del producto Vendido]],STOCK[],19,FALSE)*VENTAS[[#This Row],[Cantidad]],VENTAS[[#This Row],[Total]])</f>
        <v>23.95</v>
      </c>
      <c r="L954" s="12">
        <f>VENTAS[[#This Row],[Total]]-VENTAS[[#This Row],[Comisión 10%]]-VENTAS[[#This Row],[Costo SIN Comision]]</f>
        <v>7.5500000000000007</v>
      </c>
      <c r="M954" s="12"/>
      <c r="N954" s="16"/>
    </row>
    <row r="955" spans="1:14" ht="20" hidden="1" customHeight="1">
      <c r="A955" s="9">
        <v>45447</v>
      </c>
      <c r="B955" s="10"/>
      <c r="C955" s="10"/>
      <c r="D955" s="10" t="s">
        <v>4349</v>
      </c>
      <c r="E955" s="10" t="s">
        <v>2122</v>
      </c>
      <c r="F955" s="10" t="str">
        <f>IFERROR(VLOOKUP(VENTAS[[#This Row],[Código del producto Vendido]],STOCK[],5,FALSE),"-")</f>
        <v>Vestido Estampado floral de moda</v>
      </c>
      <c r="G955" s="10">
        <v>1</v>
      </c>
      <c r="H955" s="12">
        <v>25</v>
      </c>
      <c r="I955" s="12">
        <f>VENTAS[[#This Row],[Cantidad]]*VENTAS[[#This Row],[Precio Venta]]</f>
        <v>25</v>
      </c>
      <c r="J955" s="12">
        <f>IF(VENTAS[[#This Row],[Nombre del Gestor]]&gt;1,VENTAS[[#This Row],[Total]]*10%,0)</f>
        <v>2.5</v>
      </c>
      <c r="K955" s="12">
        <f>IFERROR(VLOOKUP(VENTAS[[#This Row],[Código del producto Vendido]],STOCK[],16,FALSE)*VENTAS[[#This Row],[Cantidad]]+VLOOKUP(VENTAS[[#This Row],[Código del producto Vendido]],STOCK[],19,FALSE)*VENTAS[[#This Row],[Cantidad]],VENTAS[[#This Row],[Total]])</f>
        <v>8.83</v>
      </c>
      <c r="L955" s="12">
        <f>VENTAS[[#This Row],[Total]]-VENTAS[[#This Row],[Comisión 10%]]-VENTAS[[#This Row],[Costo SIN Comision]]</f>
        <v>13.67</v>
      </c>
      <c r="M955" s="12"/>
      <c r="N955" s="16"/>
    </row>
    <row r="956" spans="1:14" ht="20" hidden="1" customHeight="1">
      <c r="A956" s="9">
        <v>45448</v>
      </c>
      <c r="B956" s="10"/>
      <c r="C956" s="10"/>
      <c r="D956" s="10"/>
      <c r="E956" s="10" t="s">
        <v>2231</v>
      </c>
      <c r="F956" s="10" t="str">
        <f>IFERROR(VLOOKUP(VENTAS[[#This Row],[Código del producto Vendido]],STOCK[],5,FALSE),"-")</f>
        <v>Vestido negro espalda cruzada</v>
      </c>
      <c r="G956" s="10">
        <v>1</v>
      </c>
      <c r="H956" s="12">
        <v>25</v>
      </c>
      <c r="I956" s="12">
        <f>VENTAS[[#This Row],[Cantidad]]*VENTAS[[#This Row],[Precio Venta]]</f>
        <v>25</v>
      </c>
      <c r="J956" s="12">
        <f>IF(VENTAS[[#This Row],[Nombre del Gestor]]&gt;1,VENTAS[[#This Row],[Total]]*10%,0)</f>
        <v>0</v>
      </c>
      <c r="K956" s="12">
        <f>IFERROR(VLOOKUP(VENTAS[[#This Row],[Código del producto Vendido]],STOCK[],16,FALSE)*VENTAS[[#This Row],[Cantidad]]+VLOOKUP(VENTAS[[#This Row],[Código del producto Vendido]],STOCK[],19,FALSE)*VENTAS[[#This Row],[Cantidad]],VENTAS[[#This Row],[Total]])</f>
        <v>12.19</v>
      </c>
      <c r="L956" s="12">
        <f>VENTAS[[#This Row],[Total]]-VENTAS[[#This Row],[Comisión 10%]]-VENTAS[[#This Row],[Costo SIN Comision]]</f>
        <v>12.81</v>
      </c>
      <c r="M956" s="12"/>
      <c r="N956" s="16"/>
    </row>
    <row r="957" spans="1:14" ht="20" hidden="1" customHeight="1">
      <c r="A957" s="9">
        <v>45448</v>
      </c>
      <c r="B957" s="10"/>
      <c r="C957" s="10"/>
      <c r="D957" s="10" t="s">
        <v>4349</v>
      </c>
      <c r="E957" s="10" t="s">
        <v>1887</v>
      </c>
      <c r="F957" s="10" t="str">
        <f>IFERROR(VLOOKUP(VENTAS[[#This Row],[Código del producto Vendido]],STOCK[],5,FALSE),"-")</f>
        <v>Vestido Camisero de Rayas</v>
      </c>
      <c r="G957" s="10">
        <v>1</v>
      </c>
      <c r="H957" s="12">
        <v>35</v>
      </c>
      <c r="I957" s="12">
        <f>VENTAS[[#This Row],[Cantidad]]*VENTAS[[#This Row],[Precio Venta]]</f>
        <v>35</v>
      </c>
      <c r="J957" s="12">
        <f>IF(VENTAS[[#This Row],[Nombre del Gestor]]&gt;1,VENTAS[[#This Row],[Total]]*10%,0)</f>
        <v>3.5</v>
      </c>
      <c r="K957" s="12">
        <f>IFERROR(VLOOKUP(VENTAS[[#This Row],[Código del producto Vendido]],STOCK[],16,FALSE)*VENTAS[[#This Row],[Cantidad]]+VLOOKUP(VENTAS[[#This Row],[Código del producto Vendido]],STOCK[],19,FALSE)*VENTAS[[#This Row],[Cantidad]],VENTAS[[#This Row],[Total]])</f>
        <v>23.67</v>
      </c>
      <c r="L957" s="12">
        <f>VENTAS[[#This Row],[Total]]-VENTAS[[#This Row],[Comisión 10%]]-VENTAS[[#This Row],[Costo SIN Comision]]</f>
        <v>7.8299999999999983</v>
      </c>
      <c r="M957" s="12"/>
      <c r="N957" s="16"/>
    </row>
    <row r="958" spans="1:14" ht="20" hidden="1" customHeight="1">
      <c r="A958" s="9">
        <v>45448</v>
      </c>
      <c r="B958" s="10"/>
      <c r="C958" s="10"/>
      <c r="D958" s="10" t="s">
        <v>4349</v>
      </c>
      <c r="E958" s="10" t="s">
        <v>282</v>
      </c>
      <c r="F958" s="10" t="str">
        <f>IFERROR(VLOOKUP(VENTAS[[#This Row],[Código del producto Vendido]],STOCK[],5,FALSE),"-")</f>
        <v>Conjunto cuadros</v>
      </c>
      <c r="G958" s="10">
        <v>1</v>
      </c>
      <c r="H958" s="12">
        <v>20</v>
      </c>
      <c r="I958" s="12">
        <f>VENTAS[[#This Row],[Cantidad]]*VENTAS[[#This Row],[Precio Venta]]</f>
        <v>20</v>
      </c>
      <c r="J958" s="12">
        <f>IF(VENTAS[[#This Row],[Nombre del Gestor]]&gt;1,VENTAS[[#This Row],[Total]]*10%,0)</f>
        <v>2</v>
      </c>
      <c r="K958" s="12">
        <f>IFERROR(VLOOKUP(VENTAS[[#This Row],[Código del producto Vendido]],STOCK[],16,FALSE)*VENTAS[[#This Row],[Cantidad]]+VLOOKUP(VENTAS[[#This Row],[Código del producto Vendido]],STOCK[],19,FALSE)*VENTAS[[#This Row],[Cantidad]],VENTAS[[#This Row],[Total]])</f>
        <v>12.20222222222222</v>
      </c>
      <c r="L958" s="12">
        <f>VENTAS[[#This Row],[Total]]-VENTAS[[#This Row],[Comisión 10%]]-VENTAS[[#This Row],[Costo SIN Comision]]</f>
        <v>5.7977777777777799</v>
      </c>
      <c r="M958" s="12"/>
      <c r="N958" s="16"/>
    </row>
    <row r="959" spans="1:14" ht="20" hidden="1" customHeight="1">
      <c r="A959" s="9">
        <v>45449</v>
      </c>
      <c r="B959" s="10"/>
      <c r="C959" s="10"/>
      <c r="D959" s="10" t="s">
        <v>4374</v>
      </c>
      <c r="E959" s="10" t="s">
        <v>1630</v>
      </c>
      <c r="F959" s="10" t="str">
        <f>IFERROR(VLOOKUP(VENTAS[[#This Row],[Código del producto Vendido]],STOCK[],5,FALSE),"-")</f>
        <v xml:space="preserve">Vestido Burdeos </v>
      </c>
      <c r="G959" s="10">
        <v>1</v>
      </c>
      <c r="H959" s="12">
        <v>30</v>
      </c>
      <c r="I959" s="12">
        <f>VENTAS[[#This Row],[Cantidad]]*VENTAS[[#This Row],[Precio Venta]]</f>
        <v>30</v>
      </c>
      <c r="J959" s="12">
        <f>IF(VENTAS[[#This Row],[Nombre del Gestor]]&gt;1,VENTAS[[#This Row],[Total]]*10%,0)</f>
        <v>3</v>
      </c>
      <c r="K959" s="12">
        <f>IFERROR(VLOOKUP(VENTAS[[#This Row],[Código del producto Vendido]],STOCK[],16,FALSE)*VENTAS[[#This Row],[Cantidad]]+VLOOKUP(VENTAS[[#This Row],[Código del producto Vendido]],STOCK[],19,FALSE)*VENTAS[[#This Row],[Cantidad]],VENTAS[[#This Row],[Total]])</f>
        <v>14.33</v>
      </c>
      <c r="L959" s="12">
        <f>VENTAS[[#This Row],[Total]]-VENTAS[[#This Row],[Comisión 10%]]-VENTAS[[#This Row],[Costo SIN Comision]]</f>
        <v>12.67</v>
      </c>
      <c r="M959" s="12"/>
      <c r="N959" s="16"/>
    </row>
    <row r="960" spans="1:14" ht="20" hidden="1" customHeight="1">
      <c r="A960" s="9">
        <v>45450</v>
      </c>
      <c r="B960" s="10"/>
      <c r="C960" s="10" t="s">
        <v>4375</v>
      </c>
      <c r="D960" s="10"/>
      <c r="E960" s="10" t="s">
        <v>1881</v>
      </c>
      <c r="F960" s="10" t="str">
        <f>IFERROR(VLOOKUP(VENTAS[[#This Row],[Código del producto Vendido]],STOCK[],5,FALSE),"-")</f>
        <v>Bolso Vintage Marrón</v>
      </c>
      <c r="G960" s="10">
        <v>1</v>
      </c>
      <c r="H960" s="12">
        <v>35</v>
      </c>
      <c r="I960" s="12">
        <f>VENTAS[[#This Row],[Cantidad]]*VENTAS[[#This Row],[Precio Venta]]</f>
        <v>35</v>
      </c>
      <c r="J960" s="12">
        <f>IF(VENTAS[[#This Row],[Nombre del Gestor]]&gt;1,VENTAS[[#This Row],[Total]]*10%,0)</f>
        <v>0</v>
      </c>
      <c r="K960" s="12">
        <f>IFERROR(VLOOKUP(VENTAS[[#This Row],[Código del producto Vendido]],STOCK[],16,FALSE)*VENTAS[[#This Row],[Cantidad]]+VLOOKUP(VENTAS[[#This Row],[Código del producto Vendido]],STOCK[],19,FALSE)*VENTAS[[#This Row],[Cantidad]],VENTAS[[#This Row],[Total]])</f>
        <v>22.98</v>
      </c>
      <c r="L960" s="12">
        <f>VENTAS[[#This Row],[Total]]-VENTAS[[#This Row],[Comisión 10%]]-VENTAS[[#This Row],[Costo SIN Comision]]</f>
        <v>12.02</v>
      </c>
      <c r="M960" s="12"/>
      <c r="N960" s="16"/>
    </row>
    <row r="961" spans="1:14" ht="20" hidden="1" customHeight="1">
      <c r="A961" s="9">
        <v>45451</v>
      </c>
      <c r="B961" s="10"/>
      <c r="C961" s="10"/>
      <c r="D961" s="10" t="s">
        <v>4349</v>
      </c>
      <c r="E961" s="10" t="s">
        <v>2173</v>
      </c>
      <c r="F961" s="10" t="str">
        <f>IFERROR(VLOOKUP(VENTAS[[#This Row],[Código del producto Vendido]],STOCK[],5,FALSE),"-")</f>
        <v>Bañador clásico cuello V</v>
      </c>
      <c r="G961" s="10">
        <v>2</v>
      </c>
      <c r="H961" s="12">
        <v>18</v>
      </c>
      <c r="I961" s="12">
        <f>VENTAS[[#This Row],[Cantidad]]*VENTAS[[#This Row],[Precio Venta]]</f>
        <v>36</v>
      </c>
      <c r="J961" s="12">
        <f>IF(VENTAS[[#This Row],[Nombre del Gestor]]&gt;1,VENTAS[[#This Row],[Total]]*10%,0)</f>
        <v>3.6</v>
      </c>
      <c r="K961" s="12">
        <f>IFERROR(VLOOKUP(VENTAS[[#This Row],[Código del producto Vendido]],STOCK[],16,FALSE)*VENTAS[[#This Row],[Cantidad]]+VLOOKUP(VENTAS[[#This Row],[Código del producto Vendido]],STOCK[],19,FALSE)*VENTAS[[#This Row],[Cantidad]],VENTAS[[#This Row],[Total]])</f>
        <v>12.219999999999999</v>
      </c>
      <c r="L961" s="12">
        <f>VENTAS[[#This Row],[Total]]-VENTAS[[#This Row],[Comisión 10%]]-VENTAS[[#This Row],[Costo SIN Comision]]</f>
        <v>20.18</v>
      </c>
      <c r="M961" s="12"/>
      <c r="N961" s="16"/>
    </row>
    <row r="962" spans="1:14" ht="20" hidden="1" customHeight="1">
      <c r="A962" s="9">
        <v>45452</v>
      </c>
      <c r="B962" s="10"/>
      <c r="C962" s="10"/>
      <c r="D962" s="10"/>
      <c r="E962" s="10" t="s">
        <v>2170</v>
      </c>
      <c r="F962" s="10" t="str">
        <f>IFERROR(VLOOKUP(VENTAS[[#This Row],[Código del producto Vendido]],STOCK[],5,FALSE),"-")</f>
        <v>Bañador clásico cuello V</v>
      </c>
      <c r="G962" s="10">
        <v>1</v>
      </c>
      <c r="H962" s="12">
        <v>18</v>
      </c>
      <c r="I962" s="12">
        <f>VENTAS[[#This Row],[Cantidad]]*VENTAS[[#This Row],[Precio Venta]]</f>
        <v>18</v>
      </c>
      <c r="J962" s="12">
        <f>IF(VENTAS[[#This Row],[Nombre del Gestor]]&gt;1,VENTAS[[#This Row],[Total]]*10%,0)</f>
        <v>0</v>
      </c>
      <c r="K962" s="12">
        <f>IFERROR(VLOOKUP(VENTAS[[#This Row],[Código del producto Vendido]],STOCK[],16,FALSE)*VENTAS[[#This Row],[Cantidad]]+VLOOKUP(VENTAS[[#This Row],[Código del producto Vendido]],STOCK[],19,FALSE)*VENTAS[[#This Row],[Cantidad]],VENTAS[[#This Row],[Total]])</f>
        <v>6.1099999999999994</v>
      </c>
      <c r="L962" s="12">
        <f>VENTAS[[#This Row],[Total]]-VENTAS[[#This Row],[Comisión 10%]]-VENTAS[[#This Row],[Costo SIN Comision]]</f>
        <v>11.89</v>
      </c>
      <c r="M962" s="12"/>
      <c r="N962" s="16"/>
    </row>
    <row r="963" spans="1:14" ht="20" hidden="1" customHeight="1">
      <c r="A963" s="9">
        <v>45453</v>
      </c>
      <c r="B963" s="10"/>
      <c r="C963" s="10" t="s">
        <v>4375</v>
      </c>
      <c r="D963" s="10"/>
      <c r="E963" s="10" t="s">
        <v>2166</v>
      </c>
      <c r="F963" s="10" t="str">
        <f>IFERROR(VLOOKUP(VENTAS[[#This Row],[Código del producto Vendido]],STOCK[],5,FALSE),"-")</f>
        <v xml:space="preserve">Bañador en color sólido sexy-elegante </v>
      </c>
      <c r="G963" s="10">
        <v>1</v>
      </c>
      <c r="H963" s="12">
        <v>20</v>
      </c>
      <c r="I963" s="12">
        <f>VENTAS[[#This Row],[Cantidad]]*VENTAS[[#This Row],[Precio Venta]]</f>
        <v>20</v>
      </c>
      <c r="J963" s="12">
        <f>IF(VENTAS[[#This Row],[Nombre del Gestor]]&gt;1,VENTAS[[#This Row],[Total]]*10%,0)</f>
        <v>0</v>
      </c>
      <c r="K963" s="12">
        <f>IFERROR(VLOOKUP(VENTAS[[#This Row],[Código del producto Vendido]],STOCK[],16,FALSE)*VENTAS[[#This Row],[Cantidad]]+VLOOKUP(VENTAS[[#This Row],[Código del producto Vendido]],STOCK[],19,FALSE)*VENTAS[[#This Row],[Cantidad]],VENTAS[[#This Row],[Total]])</f>
        <v>8.24</v>
      </c>
      <c r="L963" s="12">
        <f>VENTAS[[#This Row],[Total]]-VENTAS[[#This Row],[Comisión 10%]]-VENTAS[[#This Row],[Costo SIN Comision]]</f>
        <v>11.76</v>
      </c>
      <c r="M963" s="12"/>
      <c r="N963" s="16"/>
    </row>
    <row r="964" spans="1:14" ht="20" hidden="1" customHeight="1">
      <c r="A964" s="9">
        <v>45454</v>
      </c>
      <c r="B964" s="10"/>
      <c r="C964" s="10" t="s">
        <v>4376</v>
      </c>
      <c r="D964" s="10"/>
      <c r="E964" s="10" t="s">
        <v>2201</v>
      </c>
      <c r="F964" s="10" t="str">
        <f>IFERROR(VLOOKUP(VENTAS[[#This Row],[Código del producto Vendido]],STOCK[],5,FALSE),"-")</f>
        <v>Set de bikini floral con aro</v>
      </c>
      <c r="G964" s="10">
        <v>1</v>
      </c>
      <c r="H964" s="12">
        <v>0</v>
      </c>
      <c r="I964" s="12">
        <f>VENTAS[[#This Row],[Cantidad]]*VENTAS[[#This Row],[Precio Venta]]</f>
        <v>0</v>
      </c>
      <c r="J964" s="12">
        <f>IF(VENTAS[[#This Row],[Nombre del Gestor]]&gt;1,VENTAS[[#This Row],[Total]]*10%,0)</f>
        <v>0</v>
      </c>
      <c r="K964" s="12">
        <f>IFERROR(VLOOKUP(VENTAS[[#This Row],[Código del producto Vendido]],STOCK[],16,FALSE)*VENTAS[[#This Row],[Cantidad]]+VLOOKUP(VENTAS[[#This Row],[Código del producto Vendido]],STOCK[],19,FALSE)*VENTAS[[#This Row],[Cantidad]],VENTAS[[#This Row],[Total]])</f>
        <v>8.3800000000000008</v>
      </c>
      <c r="L964" s="12">
        <f>VENTAS[[#This Row],[Total]]-VENTAS[[#This Row],[Comisión 10%]]-VENTAS[[#This Row],[Costo SIN Comision]]</f>
        <v>-8.3800000000000008</v>
      </c>
      <c r="M964" s="12"/>
      <c r="N964" s="16"/>
    </row>
    <row r="965" spans="1:14" ht="20" hidden="1" customHeight="1">
      <c r="A965" s="9">
        <v>45455</v>
      </c>
      <c r="B965" s="10"/>
      <c r="C965" s="10" t="s">
        <v>4211</v>
      </c>
      <c r="D965" s="10"/>
      <c r="E965" s="10" t="s">
        <v>2215</v>
      </c>
      <c r="F965" s="10" t="str">
        <f>IFERROR(VLOOKUP(VENTAS[[#This Row],[Código del producto Vendido]],STOCK[],5,FALSE),"-")</f>
        <v>Bolso chic estilo verano</v>
      </c>
      <c r="G965" s="10">
        <v>1</v>
      </c>
      <c r="H965" s="12">
        <v>18</v>
      </c>
      <c r="I965" s="12">
        <f>VENTAS[[#This Row],[Cantidad]]*VENTAS[[#This Row],[Precio Venta]]</f>
        <v>18</v>
      </c>
      <c r="J965" s="12">
        <f>IF(VENTAS[[#This Row],[Nombre del Gestor]]&gt;1,VENTAS[[#This Row],[Total]]*10%,0)</f>
        <v>0</v>
      </c>
      <c r="K965" s="12">
        <f>IFERROR(VLOOKUP(VENTAS[[#This Row],[Código del producto Vendido]],STOCK[],16,FALSE)*VENTAS[[#This Row],[Cantidad]]+VLOOKUP(VENTAS[[#This Row],[Código del producto Vendido]],STOCK[],19,FALSE)*VENTAS[[#This Row],[Cantidad]],VENTAS[[#This Row],[Total]])</f>
        <v>7.1099999999999994</v>
      </c>
      <c r="L965" s="12">
        <f>VENTAS[[#This Row],[Total]]-VENTAS[[#This Row],[Comisión 10%]]-VENTAS[[#This Row],[Costo SIN Comision]]</f>
        <v>10.89</v>
      </c>
      <c r="M965" s="12"/>
      <c r="N965" s="16"/>
    </row>
    <row r="966" spans="1:14" ht="20" hidden="1" customHeight="1">
      <c r="A966" s="9">
        <v>45456</v>
      </c>
      <c r="B966" s="10"/>
      <c r="C966" s="10"/>
      <c r="D966" s="10" t="s">
        <v>4349</v>
      </c>
      <c r="E966" s="10" t="s">
        <v>2228</v>
      </c>
      <c r="F966" s="10" t="str">
        <f>IFERROR(VLOOKUP(VENTAS[[#This Row],[Código del producto Vendido]],STOCK[],5,FALSE),"-")</f>
        <v>Estiloso sombrero de protección solar playero</v>
      </c>
      <c r="G966" s="10">
        <v>2</v>
      </c>
      <c r="H966" s="12">
        <v>15</v>
      </c>
      <c r="I966" s="12">
        <f>VENTAS[[#This Row],[Cantidad]]*VENTAS[[#This Row],[Precio Venta]]</f>
        <v>30</v>
      </c>
      <c r="J966" s="12">
        <f>IF(VENTAS[[#This Row],[Nombre del Gestor]]&gt;1,VENTAS[[#This Row],[Total]]*10%,0)</f>
        <v>3</v>
      </c>
      <c r="K966" s="12">
        <f>IFERROR(VLOOKUP(VENTAS[[#This Row],[Código del producto Vendido]],STOCK[],16,FALSE)*VENTAS[[#This Row],[Cantidad]]+VLOOKUP(VENTAS[[#This Row],[Código del producto Vendido]],STOCK[],19,FALSE)*VENTAS[[#This Row],[Cantidad]],VENTAS[[#This Row],[Total]])</f>
        <v>6.5600000000000005</v>
      </c>
      <c r="L966" s="12">
        <f>VENTAS[[#This Row],[Total]]-VENTAS[[#This Row],[Comisión 10%]]-VENTAS[[#This Row],[Costo SIN Comision]]</f>
        <v>20.439999999999998</v>
      </c>
      <c r="M966" s="12"/>
      <c r="N966" s="16"/>
    </row>
    <row r="967" spans="1:14" ht="20" hidden="1" customHeight="1">
      <c r="A967" s="9">
        <v>45457</v>
      </c>
      <c r="B967" s="10"/>
      <c r="C967" s="10" t="s">
        <v>4375</v>
      </c>
      <c r="D967" s="10"/>
      <c r="E967" s="10" t="s">
        <v>2215</v>
      </c>
      <c r="F967" s="10" t="str">
        <f>IFERROR(VLOOKUP(VENTAS[[#This Row],[Código del producto Vendido]],STOCK[],5,FALSE),"-")</f>
        <v>Bolso chic estilo verano</v>
      </c>
      <c r="G967" s="10">
        <v>1</v>
      </c>
      <c r="H967" s="12">
        <v>18</v>
      </c>
      <c r="I967" s="12">
        <f>VENTAS[[#This Row],[Cantidad]]*VENTAS[[#This Row],[Precio Venta]]</f>
        <v>18</v>
      </c>
      <c r="J967" s="12">
        <f>IF(VENTAS[[#This Row],[Nombre del Gestor]]&gt;1,VENTAS[[#This Row],[Total]]*10%,0)</f>
        <v>0</v>
      </c>
      <c r="K967" s="12">
        <f>IFERROR(VLOOKUP(VENTAS[[#This Row],[Código del producto Vendido]],STOCK[],16,FALSE)*VENTAS[[#This Row],[Cantidad]]+VLOOKUP(VENTAS[[#This Row],[Código del producto Vendido]],STOCK[],19,FALSE)*VENTAS[[#This Row],[Cantidad]],VENTAS[[#This Row],[Total]])</f>
        <v>7.1099999999999994</v>
      </c>
      <c r="L967" s="12">
        <f>VENTAS[[#This Row],[Total]]-VENTAS[[#This Row],[Comisión 10%]]-VENTAS[[#This Row],[Costo SIN Comision]]</f>
        <v>10.89</v>
      </c>
      <c r="M967" s="12"/>
      <c r="N967" s="16"/>
    </row>
    <row r="968" spans="1:14" ht="20" hidden="1" customHeight="1">
      <c r="A968" s="9">
        <v>45458</v>
      </c>
      <c r="B968" s="10"/>
      <c r="C968" s="10" t="s">
        <v>4377</v>
      </c>
      <c r="D968" s="10"/>
      <c r="E968" s="10" t="s">
        <v>2295</v>
      </c>
      <c r="F968" s="10" t="str">
        <f>IFERROR(VLOOKUP(VENTAS[[#This Row],[Código del producto Vendido]],STOCK[],5,FALSE),"-")</f>
        <v>Set de bikini Vacaciones en bloque de color</v>
      </c>
      <c r="G968" s="10">
        <v>1</v>
      </c>
      <c r="H968" s="12">
        <v>0</v>
      </c>
      <c r="I968" s="12">
        <f>VENTAS[[#This Row],[Cantidad]]*VENTAS[[#This Row],[Precio Venta]]</f>
        <v>0</v>
      </c>
      <c r="J968" s="12">
        <f>IF(VENTAS[[#This Row],[Nombre del Gestor]]&gt;1,VENTAS[[#This Row],[Total]]*10%,0)</f>
        <v>0</v>
      </c>
      <c r="K968" s="12">
        <f>IFERROR(VLOOKUP(VENTAS[[#This Row],[Código del producto Vendido]],STOCK[],16,FALSE)*VENTAS[[#This Row],[Cantidad]]+VLOOKUP(VENTAS[[#This Row],[Código del producto Vendido]],STOCK[],19,FALSE)*VENTAS[[#This Row],[Cantidad]],VENTAS[[#This Row],[Total]])</f>
        <v>11.379999999999999</v>
      </c>
      <c r="L968" s="12">
        <f>VENTAS[[#This Row],[Total]]-VENTAS[[#This Row],[Comisión 10%]]-VENTAS[[#This Row],[Costo SIN Comision]]</f>
        <v>-11.379999999999999</v>
      </c>
      <c r="M968" s="12"/>
      <c r="N968" s="16"/>
    </row>
    <row r="969" spans="1:14" ht="20" hidden="1" customHeight="1">
      <c r="A969" s="9">
        <v>45459</v>
      </c>
      <c r="B969" s="10"/>
      <c r="C969" s="10"/>
      <c r="D969" s="10" t="s">
        <v>4330</v>
      </c>
      <c r="E969" s="10" t="s">
        <v>1628</v>
      </c>
      <c r="F969" s="10" t="str">
        <f>IFERROR(VLOOKUP(VENTAS[[#This Row],[Código del producto Vendido]],STOCK[],5,FALSE),"-")</f>
        <v>Vestido Tarsha</v>
      </c>
      <c r="G969" s="10">
        <v>1</v>
      </c>
      <c r="H969" s="12">
        <v>27</v>
      </c>
      <c r="I969" s="12">
        <f>VENTAS[[#This Row],[Cantidad]]*VENTAS[[#This Row],[Precio Venta]]</f>
        <v>27</v>
      </c>
      <c r="J969" s="12">
        <f>IF(VENTAS[[#This Row],[Nombre del Gestor]]&gt;1,VENTAS[[#This Row],[Total]]*10%,0)</f>
        <v>2.7</v>
      </c>
      <c r="K969" s="12">
        <f>IFERROR(VLOOKUP(VENTAS[[#This Row],[Código del producto Vendido]],STOCK[],16,FALSE)*VENTAS[[#This Row],[Cantidad]]+VLOOKUP(VENTAS[[#This Row],[Código del producto Vendido]],STOCK[],19,FALSE)*VENTAS[[#This Row],[Cantidad]],VENTAS[[#This Row],[Total]])</f>
        <v>13.97</v>
      </c>
      <c r="L969" s="12">
        <f>VENTAS[[#This Row],[Total]]-VENTAS[[#This Row],[Comisión 10%]]-VENTAS[[#This Row],[Costo SIN Comision]]</f>
        <v>10.33</v>
      </c>
      <c r="M969" s="12"/>
      <c r="N969" s="16"/>
    </row>
    <row r="970" spans="1:14" ht="20" hidden="1" customHeight="1">
      <c r="A970" s="9">
        <v>45460</v>
      </c>
      <c r="B970" s="10"/>
      <c r="C970" s="10"/>
      <c r="D970" s="10" t="s">
        <v>4378</v>
      </c>
      <c r="E970" s="10" t="s">
        <v>526</v>
      </c>
      <c r="F970" s="10" t="str">
        <f>IFERROR(VLOOKUP(VENTAS[[#This Row],[Código del producto Vendido]],STOCK[],5,FALSE),"-")</f>
        <v>Alisador</v>
      </c>
      <c r="G970" s="10">
        <v>1</v>
      </c>
      <c r="H970" s="12">
        <v>30</v>
      </c>
      <c r="I970" s="12">
        <f>VENTAS[[#This Row],[Cantidad]]*VENTAS[[#This Row],[Precio Venta]]</f>
        <v>30</v>
      </c>
      <c r="J970" s="12">
        <f>IF(VENTAS[[#This Row],[Nombre del Gestor]]&gt;1,VENTAS[[#This Row],[Total]]*10%,0)</f>
        <v>3</v>
      </c>
      <c r="K970" s="12">
        <f>IFERROR(VLOOKUP(VENTAS[[#This Row],[Código del producto Vendido]],STOCK[],16,FALSE)*VENTAS[[#This Row],[Cantidad]]+VLOOKUP(VENTAS[[#This Row],[Código del producto Vendido]],STOCK[],19,FALSE)*VENTAS[[#This Row],[Cantidad]],VENTAS[[#This Row],[Total]])</f>
        <v>16.717777777777798</v>
      </c>
      <c r="L970" s="12">
        <f>VENTAS[[#This Row],[Total]]-VENTAS[[#This Row],[Comisión 10%]]-VENTAS[[#This Row],[Costo SIN Comision]]</f>
        <v>10.282222222222202</v>
      </c>
      <c r="M970" s="12"/>
      <c r="N970" s="16"/>
    </row>
    <row r="971" spans="1:14" ht="20" hidden="1" customHeight="1">
      <c r="A971" s="9">
        <v>45461</v>
      </c>
      <c r="B971" s="10"/>
      <c r="C971" s="10"/>
      <c r="D971" s="10" t="s">
        <v>4349</v>
      </c>
      <c r="E971" s="10" t="s">
        <v>2242</v>
      </c>
      <c r="F971" s="10" t="str">
        <f>IFERROR(VLOOKUP(VENTAS[[#This Row],[Código del producto Vendido]],STOCK[],5,FALSE),"-")</f>
        <v>Bolso bohemio redondo de gran capacidad</v>
      </c>
      <c r="G971" s="10">
        <v>4</v>
      </c>
      <c r="H971" s="12">
        <v>25</v>
      </c>
      <c r="I971" s="12">
        <f>VENTAS[[#This Row],[Cantidad]]*VENTAS[[#This Row],[Precio Venta]]</f>
        <v>100</v>
      </c>
      <c r="J971" s="12">
        <f>IF(VENTAS[[#This Row],[Nombre del Gestor]]&gt;1,VENTAS[[#This Row],[Total]]*10%,0)</f>
        <v>10</v>
      </c>
      <c r="K971" s="12">
        <f>IFERROR(VLOOKUP(VENTAS[[#This Row],[Código del producto Vendido]],STOCK[],16,FALSE)*VENTAS[[#This Row],[Cantidad]]+VLOOKUP(VENTAS[[#This Row],[Código del producto Vendido]],STOCK[],19,FALSE)*VENTAS[[#This Row],[Cantidad]],VENTAS[[#This Row],[Total]])</f>
        <v>44.36</v>
      </c>
      <c r="L971" s="12">
        <f>VENTAS[[#This Row],[Total]]-VENTAS[[#This Row],[Comisión 10%]]-VENTAS[[#This Row],[Costo SIN Comision]]</f>
        <v>45.64</v>
      </c>
      <c r="M971" s="12"/>
      <c r="N971" s="16"/>
    </row>
    <row r="972" spans="1:14" ht="20" hidden="1" customHeight="1">
      <c r="A972" s="9">
        <v>45462</v>
      </c>
      <c r="B972" s="10"/>
      <c r="C972" s="10"/>
      <c r="D972" s="10" t="s">
        <v>4349</v>
      </c>
      <c r="E972" s="10" t="s">
        <v>2215</v>
      </c>
      <c r="F972" s="10" t="str">
        <f>IFERROR(VLOOKUP(VENTAS[[#This Row],[Código del producto Vendido]],STOCK[],5,FALSE),"-")</f>
        <v>Bolso chic estilo verano</v>
      </c>
      <c r="G972" s="10">
        <v>3</v>
      </c>
      <c r="H972" s="12">
        <v>18</v>
      </c>
      <c r="I972" s="12">
        <f>VENTAS[[#This Row],[Cantidad]]*VENTAS[[#This Row],[Precio Venta]]</f>
        <v>54</v>
      </c>
      <c r="J972" s="12">
        <f>IF(VENTAS[[#This Row],[Nombre del Gestor]]&gt;1,VENTAS[[#This Row],[Total]]*10%,0)</f>
        <v>5.4</v>
      </c>
      <c r="K972" s="12">
        <f>IFERROR(VLOOKUP(VENTAS[[#This Row],[Código del producto Vendido]],STOCK[],16,FALSE)*VENTAS[[#This Row],[Cantidad]]+VLOOKUP(VENTAS[[#This Row],[Código del producto Vendido]],STOCK[],19,FALSE)*VENTAS[[#This Row],[Cantidad]],VENTAS[[#This Row],[Total]])</f>
        <v>21.330000000000002</v>
      </c>
      <c r="L972" s="12">
        <f>VENTAS[[#This Row],[Total]]-VENTAS[[#This Row],[Comisión 10%]]-VENTAS[[#This Row],[Costo SIN Comision]]</f>
        <v>27.27</v>
      </c>
      <c r="M972" s="12"/>
      <c r="N972" s="16"/>
    </row>
    <row r="973" spans="1:14" ht="20" hidden="1" customHeight="1">
      <c r="A973" s="9">
        <v>45463</v>
      </c>
      <c r="B973" s="10"/>
      <c r="C973" s="10"/>
      <c r="D973" s="10" t="s">
        <v>4349</v>
      </c>
      <c r="E973" s="10" t="s">
        <v>2369</v>
      </c>
      <c r="F973" s="10" t="str">
        <f>IFERROR(VLOOKUP(VENTAS[[#This Row],[Código del producto Vendido]],STOCK[],5,FALSE),"-")</f>
        <v>Sombrero de protección Verano fashionista</v>
      </c>
      <c r="G973" s="10">
        <v>1</v>
      </c>
      <c r="H973" s="12">
        <v>15</v>
      </c>
      <c r="I973" s="12">
        <f>VENTAS[[#This Row],[Cantidad]]*VENTAS[[#This Row],[Precio Venta]]</f>
        <v>15</v>
      </c>
      <c r="J973" s="12">
        <f>IF(VENTAS[[#This Row],[Nombre del Gestor]]&gt;1,VENTAS[[#This Row],[Total]]*10%,0)</f>
        <v>1.5</v>
      </c>
      <c r="K973" s="12">
        <f>IFERROR(VLOOKUP(VENTAS[[#This Row],[Código del producto Vendido]],STOCK[],16,FALSE)*VENTAS[[#This Row],[Cantidad]]+VLOOKUP(VENTAS[[#This Row],[Código del producto Vendido]],STOCK[],19,FALSE)*VENTAS[[#This Row],[Cantidad]],VENTAS[[#This Row],[Total]])</f>
        <v>8.551874999999999</v>
      </c>
      <c r="L973" s="12">
        <f>VENTAS[[#This Row],[Total]]-VENTAS[[#This Row],[Comisión 10%]]-VENTAS[[#This Row],[Costo SIN Comision]]</f>
        <v>4.948125000000001</v>
      </c>
      <c r="M973" s="12"/>
      <c r="N973" s="16"/>
    </row>
    <row r="974" spans="1:14" ht="20" hidden="1" customHeight="1">
      <c r="A974" s="9">
        <v>45464</v>
      </c>
      <c r="B974" s="10"/>
      <c r="C974" s="10"/>
      <c r="D974" s="10" t="s">
        <v>4349</v>
      </c>
      <c r="E974" s="10" t="s">
        <v>2163</v>
      </c>
      <c r="F974" s="10" t="str">
        <f>IFERROR(VLOOKUP(VENTAS[[#This Row],[Código del producto Vendido]],STOCK[],5,FALSE),"-")</f>
        <v xml:space="preserve">Bañador en color sólido sexy-elegante </v>
      </c>
      <c r="G974" s="10">
        <v>1</v>
      </c>
      <c r="H974" s="12">
        <v>20</v>
      </c>
      <c r="I974" s="12">
        <f>VENTAS[[#This Row],[Cantidad]]*VENTAS[[#This Row],[Precio Venta]]</f>
        <v>20</v>
      </c>
      <c r="J974" s="12">
        <f>IF(VENTAS[[#This Row],[Nombre del Gestor]]&gt;1,VENTAS[[#This Row],[Total]]*10%,0)</f>
        <v>2</v>
      </c>
      <c r="K974" s="12">
        <f>IFERROR(VLOOKUP(VENTAS[[#This Row],[Código del producto Vendido]],STOCK[],16,FALSE)*VENTAS[[#This Row],[Cantidad]]+VLOOKUP(VENTAS[[#This Row],[Código del producto Vendido]],STOCK[],19,FALSE)*VENTAS[[#This Row],[Cantidad]],VENTAS[[#This Row],[Total]])</f>
        <v>8.24</v>
      </c>
      <c r="L974" s="12">
        <f>VENTAS[[#This Row],[Total]]-VENTAS[[#This Row],[Comisión 10%]]-VENTAS[[#This Row],[Costo SIN Comision]]</f>
        <v>9.76</v>
      </c>
      <c r="M974" s="12"/>
      <c r="N974" s="16"/>
    </row>
    <row r="975" spans="1:14" ht="20" hidden="1" customHeight="1">
      <c r="A975" s="9">
        <v>45465</v>
      </c>
      <c r="B975" s="10"/>
      <c r="C975" s="10"/>
      <c r="D975" s="10" t="s">
        <v>4349</v>
      </c>
      <c r="E975" s="10" t="s">
        <v>2289</v>
      </c>
      <c r="F975" s="10" t="str">
        <f>IFERROR(VLOOKUP(VENTAS[[#This Row],[Código del producto Vendido]],STOCK[],5,FALSE),"-")</f>
        <v>Bolso de lona en bloque de color</v>
      </c>
      <c r="G975" s="10">
        <v>1</v>
      </c>
      <c r="H975" s="12">
        <v>12</v>
      </c>
      <c r="I975" s="12">
        <f>VENTAS[[#This Row],[Cantidad]]*VENTAS[[#This Row],[Precio Venta]]</f>
        <v>12</v>
      </c>
      <c r="J975" s="12">
        <f>IF(VENTAS[[#This Row],[Nombre del Gestor]]&gt;1,VENTAS[[#This Row],[Total]]*10%,0)</f>
        <v>1.2000000000000002</v>
      </c>
      <c r="K975" s="12">
        <f>IFERROR(VLOOKUP(VENTAS[[#This Row],[Código del producto Vendido]],STOCK[],16,FALSE)*VENTAS[[#This Row],[Cantidad]]+VLOOKUP(VENTAS[[#This Row],[Código del producto Vendido]],STOCK[],19,FALSE)*VENTAS[[#This Row],[Cantidad]],VENTAS[[#This Row],[Total]])</f>
        <v>5.54</v>
      </c>
      <c r="L975" s="12">
        <f>VENTAS[[#This Row],[Total]]-VENTAS[[#This Row],[Comisión 10%]]-VENTAS[[#This Row],[Costo SIN Comision]]</f>
        <v>5.2600000000000007</v>
      </c>
      <c r="M975" s="12"/>
      <c r="N975" s="16"/>
    </row>
    <row r="976" spans="1:14" ht="20" hidden="1" customHeight="1">
      <c r="A976" s="9">
        <v>45466</v>
      </c>
      <c r="B976" s="10"/>
      <c r="C976" s="10"/>
      <c r="D976" s="10" t="s">
        <v>4349</v>
      </c>
      <c r="E976" s="10" t="s">
        <v>2175</v>
      </c>
      <c r="F976" s="10" t="str">
        <f>IFERROR(VLOOKUP(VENTAS[[#This Row],[Código del producto Vendido]],STOCK[],5,FALSE),"-")</f>
        <v>Bañador clásico cuello V</v>
      </c>
      <c r="G976" s="10">
        <v>1</v>
      </c>
      <c r="H976" s="12">
        <v>18</v>
      </c>
      <c r="I976" s="12">
        <f>VENTAS[[#This Row],[Cantidad]]*VENTAS[[#This Row],[Precio Venta]]</f>
        <v>18</v>
      </c>
      <c r="J976" s="12">
        <f>IF(VENTAS[[#This Row],[Nombre del Gestor]]&gt;1,VENTAS[[#This Row],[Total]]*10%,0)</f>
        <v>1.8</v>
      </c>
      <c r="K976" s="12">
        <f>IFERROR(VLOOKUP(VENTAS[[#This Row],[Código del producto Vendido]],STOCK[],16,FALSE)*VENTAS[[#This Row],[Cantidad]]+VLOOKUP(VENTAS[[#This Row],[Código del producto Vendido]],STOCK[],19,FALSE)*VENTAS[[#This Row],[Cantidad]],VENTAS[[#This Row],[Total]])</f>
        <v>6.1099999999999994</v>
      </c>
      <c r="L976" s="12">
        <f>VENTAS[[#This Row],[Total]]-VENTAS[[#This Row],[Comisión 10%]]-VENTAS[[#This Row],[Costo SIN Comision]]</f>
        <v>10.09</v>
      </c>
      <c r="M976" s="12"/>
      <c r="N976" s="16"/>
    </row>
    <row r="977" spans="1:14" ht="20" hidden="1" customHeight="1">
      <c r="A977" s="9">
        <v>45467</v>
      </c>
      <c r="B977" s="10"/>
      <c r="C977" s="10"/>
      <c r="D977" s="10" t="s">
        <v>4349</v>
      </c>
      <c r="E977" s="10" t="s">
        <v>1244</v>
      </c>
      <c r="F977" s="10" t="str">
        <f>IFERROR(VLOOKUP(VENTAS[[#This Row],[Código del producto Vendido]],STOCK[],5,FALSE),"-")</f>
        <v>Pantalón Corte Recto</v>
      </c>
      <c r="G977" s="10">
        <v>1</v>
      </c>
      <c r="H977" s="12">
        <v>25</v>
      </c>
      <c r="I977" s="12">
        <f>VENTAS[[#This Row],[Cantidad]]*VENTAS[[#This Row],[Precio Venta]]</f>
        <v>25</v>
      </c>
      <c r="J977" s="12">
        <f>IF(VENTAS[[#This Row],[Nombre del Gestor]]&gt;1,VENTAS[[#This Row],[Total]]*10%,0)</f>
        <v>2.5</v>
      </c>
      <c r="K977" s="12">
        <f>IFERROR(VLOOKUP(VENTAS[[#This Row],[Código del producto Vendido]],STOCK[],16,FALSE)*VENTAS[[#This Row],[Cantidad]]+VLOOKUP(VENTAS[[#This Row],[Código del producto Vendido]],STOCK[],19,FALSE)*VENTAS[[#This Row],[Cantidad]],VENTAS[[#This Row],[Total]])</f>
        <v>20.78</v>
      </c>
      <c r="L977" s="12">
        <f>VENTAS[[#This Row],[Total]]-VENTAS[[#This Row],[Comisión 10%]]-VENTAS[[#This Row],[Costo SIN Comision]]</f>
        <v>1.7199999999999989</v>
      </c>
      <c r="M977" s="12"/>
      <c r="N977" s="16"/>
    </row>
    <row r="978" spans="1:14" ht="20" hidden="1" customHeight="1">
      <c r="A978" s="9">
        <v>45468</v>
      </c>
      <c r="B978" s="10"/>
      <c r="C978" s="10"/>
      <c r="D978" s="10" t="s">
        <v>4379</v>
      </c>
      <c r="E978" s="10" t="s">
        <v>1614</v>
      </c>
      <c r="F978" s="10" t="str">
        <f>IFERROR(VLOOKUP(VENTAS[[#This Row],[Código del producto Vendido]],STOCK[],5,FALSE),"-")</f>
        <v>Camisa Modely</v>
      </c>
      <c r="G978" s="10">
        <v>1</v>
      </c>
      <c r="H978" s="12">
        <v>22</v>
      </c>
      <c r="I978" s="12">
        <f>VENTAS[[#This Row],[Cantidad]]*VENTAS[[#This Row],[Precio Venta]]</f>
        <v>22</v>
      </c>
      <c r="J978" s="12">
        <f>IF(VENTAS[[#This Row],[Nombre del Gestor]]&gt;1,VENTAS[[#This Row],[Total]]*10%,0)</f>
        <v>2.2000000000000002</v>
      </c>
      <c r="K978" s="12">
        <f>IFERROR(VLOOKUP(VENTAS[[#This Row],[Código del producto Vendido]],STOCK[],16,FALSE)*VENTAS[[#This Row],[Cantidad]]+VLOOKUP(VENTAS[[#This Row],[Código del producto Vendido]],STOCK[],19,FALSE)*VENTAS[[#This Row],[Cantidad]],VENTAS[[#This Row],[Total]])</f>
        <v>9.74</v>
      </c>
      <c r="L978" s="12">
        <f>VENTAS[[#This Row],[Total]]-VENTAS[[#This Row],[Comisión 10%]]-VENTAS[[#This Row],[Costo SIN Comision]]</f>
        <v>10.06</v>
      </c>
      <c r="M978" s="12"/>
      <c r="N978" s="16"/>
    </row>
    <row r="979" spans="1:14" ht="20" hidden="1" customHeight="1">
      <c r="A979" s="9">
        <v>45469</v>
      </c>
      <c r="B979" s="10"/>
      <c r="C979" s="10"/>
      <c r="D979" s="10" t="s">
        <v>4380</v>
      </c>
      <c r="E979" s="10" t="s">
        <v>500</v>
      </c>
      <c r="F979" s="10" t="str">
        <f>IFERROR(VLOOKUP(VENTAS[[#This Row],[Código del producto Vendido]],STOCK[],5,FALSE),"-")</f>
        <v>Vestido Bohemio</v>
      </c>
      <c r="G979" s="10">
        <v>1</v>
      </c>
      <c r="H979" s="12">
        <v>20</v>
      </c>
      <c r="I979" s="12">
        <f>VENTAS[[#This Row],[Cantidad]]*VENTAS[[#This Row],[Precio Venta]]</f>
        <v>20</v>
      </c>
      <c r="J979" s="12">
        <f>IF(VENTAS[[#This Row],[Nombre del Gestor]]&gt;1,VENTAS[[#This Row],[Total]]*10%,0)</f>
        <v>2</v>
      </c>
      <c r="K979" s="12">
        <f>IFERROR(VLOOKUP(VENTAS[[#This Row],[Código del producto Vendido]],STOCK[],16,FALSE)*VENTAS[[#This Row],[Cantidad]]+VLOOKUP(VENTAS[[#This Row],[Código del producto Vendido]],STOCK[],19,FALSE)*VENTAS[[#This Row],[Cantidad]],VENTAS[[#This Row],[Total]])</f>
        <v>9.7894444444444488</v>
      </c>
      <c r="L979" s="12">
        <f>VENTAS[[#This Row],[Total]]-VENTAS[[#This Row],[Comisión 10%]]-VENTAS[[#This Row],[Costo SIN Comision]]</f>
        <v>8.2105555555555512</v>
      </c>
      <c r="M979" s="12"/>
      <c r="N979" s="16"/>
    </row>
    <row r="980" spans="1:14" ht="20" hidden="1" customHeight="1">
      <c r="A980" s="9">
        <v>45470</v>
      </c>
      <c r="B980" s="10"/>
      <c r="C980" s="10"/>
      <c r="D980" s="10" t="s">
        <v>4380</v>
      </c>
      <c r="E980" s="10" t="s">
        <v>1879</v>
      </c>
      <c r="F980" s="10" t="str">
        <f>IFERROR(VLOOKUP(VENTAS[[#This Row],[Código del producto Vendido]],STOCK[],5,FALSE),"-")</f>
        <v>Vestido Chic Primavera</v>
      </c>
      <c r="G980" s="10">
        <v>1</v>
      </c>
      <c r="H980" s="12">
        <v>32</v>
      </c>
      <c r="I980" s="12">
        <f>VENTAS[[#This Row],[Cantidad]]*VENTAS[[#This Row],[Precio Venta]]</f>
        <v>32</v>
      </c>
      <c r="J980" s="12">
        <f>IF(VENTAS[[#This Row],[Nombre del Gestor]]&gt;1,VENTAS[[#This Row],[Total]]*10%,0)</f>
        <v>3.2</v>
      </c>
      <c r="K980" s="12">
        <f>IFERROR(VLOOKUP(VENTAS[[#This Row],[Código del producto Vendido]],STOCK[],16,FALSE)*VENTAS[[#This Row],[Cantidad]]+VLOOKUP(VENTAS[[#This Row],[Código del producto Vendido]],STOCK[],19,FALSE)*VENTAS[[#This Row],[Cantidad]],VENTAS[[#This Row],[Total]])</f>
        <v>19.38</v>
      </c>
      <c r="L980" s="12">
        <f>VENTAS[[#This Row],[Total]]-VENTAS[[#This Row],[Comisión 10%]]-VENTAS[[#This Row],[Costo SIN Comision]]</f>
        <v>9.4200000000000017</v>
      </c>
      <c r="M980" s="12"/>
      <c r="N980" s="16"/>
    </row>
    <row r="981" spans="1:14" ht="20" hidden="1" customHeight="1">
      <c r="A981" s="9">
        <v>45471</v>
      </c>
      <c r="B981" s="10"/>
      <c r="C981" s="10"/>
      <c r="D981" s="10" t="s">
        <v>4381</v>
      </c>
      <c r="E981" s="10" t="s">
        <v>210</v>
      </c>
      <c r="F981" s="10" t="str">
        <f>IFERROR(VLOOKUP(VENTAS[[#This Row],[Código del producto Vendido]],STOCK[],5,FALSE),"-")</f>
        <v>Maxi vestido de bajo floral</v>
      </c>
      <c r="G981" s="10">
        <v>1</v>
      </c>
      <c r="H981" s="12">
        <v>25</v>
      </c>
      <c r="I981" s="12">
        <f>VENTAS[[#This Row],[Cantidad]]*VENTAS[[#This Row],[Precio Venta]]</f>
        <v>25</v>
      </c>
      <c r="J981" s="12">
        <f>IF(VENTAS[[#This Row],[Nombre del Gestor]]&gt;1,VENTAS[[#This Row],[Total]]*10%,0)</f>
        <v>2.5</v>
      </c>
      <c r="K981" s="12">
        <f>IFERROR(VLOOKUP(VENTAS[[#This Row],[Código del producto Vendido]],STOCK[],16,FALSE)*VENTAS[[#This Row],[Cantidad]]+VLOOKUP(VENTAS[[#This Row],[Código del producto Vendido]],STOCK[],19,FALSE)*VENTAS[[#This Row],[Cantidad]],VENTAS[[#This Row],[Total]])</f>
        <v>14.06</v>
      </c>
      <c r="L981" s="12">
        <f>VENTAS[[#This Row],[Total]]-VENTAS[[#This Row],[Comisión 10%]]-VENTAS[[#This Row],[Costo SIN Comision]]</f>
        <v>8.44</v>
      </c>
      <c r="M981" s="12"/>
      <c r="N981" s="16"/>
    </row>
    <row r="982" spans="1:14" ht="20" hidden="1" customHeight="1">
      <c r="A982" s="9">
        <v>45472</v>
      </c>
      <c r="B982" s="10"/>
      <c r="C982" s="10"/>
      <c r="D982" s="10"/>
      <c r="E982" s="10" t="s">
        <v>696</v>
      </c>
      <c r="F982" s="10" t="str">
        <f>IFERROR(VLOOKUP(VENTAS[[#This Row],[Código del producto Vendido]],STOCK[],5,FALSE),"-")</f>
        <v>Vestido slip cebra</v>
      </c>
      <c r="G982" s="10">
        <v>1</v>
      </c>
      <c r="H982" s="12">
        <v>10</v>
      </c>
      <c r="I982" s="12">
        <f>VENTAS[[#This Row],[Cantidad]]*VENTAS[[#This Row],[Precio Venta]]</f>
        <v>10</v>
      </c>
      <c r="J982" s="12">
        <f>IF(VENTAS[[#This Row],[Nombre del Gestor]]&gt;1,VENTAS[[#This Row],[Total]]*10%,0)</f>
        <v>0</v>
      </c>
      <c r="K982" s="12">
        <f>IFERROR(VLOOKUP(VENTAS[[#This Row],[Código del producto Vendido]],STOCK[],16,FALSE)*VENTAS[[#This Row],[Cantidad]]+VLOOKUP(VENTAS[[#This Row],[Código del producto Vendido]],STOCK[],19,FALSE)*VENTAS[[#This Row],[Cantidad]],VENTAS[[#This Row],[Total]])</f>
        <v>7.1055555555555596</v>
      </c>
      <c r="L982" s="12">
        <f>VENTAS[[#This Row],[Total]]-VENTAS[[#This Row],[Comisión 10%]]-VENTAS[[#This Row],[Costo SIN Comision]]</f>
        <v>2.8944444444444404</v>
      </c>
      <c r="M982" s="12"/>
      <c r="N982" s="16"/>
    </row>
    <row r="983" spans="1:14" ht="20" hidden="1" customHeight="1">
      <c r="A983" s="9">
        <v>45473</v>
      </c>
      <c r="B983" s="10"/>
      <c r="C983" s="10" t="s">
        <v>4348</v>
      </c>
      <c r="D983" s="10"/>
      <c r="E983" s="10" t="s">
        <v>2384</v>
      </c>
      <c r="F983" s="10" t="str">
        <f>IFERROR(VLOOKUP(VENTAS[[#This Row],[Código del producto Vendido]],STOCK[],5,FALSE),"-")</f>
        <v>Vestido elegante de botones en color sólido</v>
      </c>
      <c r="G983" s="10">
        <v>1</v>
      </c>
      <c r="H983" s="12">
        <v>35</v>
      </c>
      <c r="I983" s="12">
        <f>VENTAS[[#This Row],[Cantidad]]*VENTAS[[#This Row],[Precio Venta]]</f>
        <v>35</v>
      </c>
      <c r="J983" s="12">
        <f>IF(VENTAS[[#This Row],[Nombre del Gestor]]&gt;1,VENTAS[[#This Row],[Total]]*10%,0)</f>
        <v>0</v>
      </c>
      <c r="K983" s="12">
        <f>IFERROR(VLOOKUP(VENTAS[[#This Row],[Código del producto Vendido]],STOCK[],16,FALSE)*VENTAS[[#This Row],[Cantidad]]+VLOOKUP(VENTAS[[#This Row],[Código del producto Vendido]],STOCK[],19,FALSE)*VENTAS[[#This Row],[Cantidad]],VENTAS[[#This Row],[Total]])</f>
        <v>24.609375</v>
      </c>
      <c r="L983" s="12">
        <f>VENTAS[[#This Row],[Total]]-VENTAS[[#This Row],[Comisión 10%]]-VENTAS[[#This Row],[Costo SIN Comision]]</f>
        <v>10.390625</v>
      </c>
      <c r="M983" s="12"/>
      <c r="N983" s="16"/>
    </row>
    <row r="984" spans="1:14" ht="20" hidden="1" customHeight="1">
      <c r="A984" s="9">
        <v>45444</v>
      </c>
      <c r="B984" s="10"/>
      <c r="C984" s="10"/>
      <c r="D984" s="10"/>
      <c r="E984" s="10" t="s">
        <v>208</v>
      </c>
      <c r="F984" s="10" t="str">
        <f>IFERROR(VLOOKUP(VENTAS[[#This Row],[Código del producto Vendido]],STOCK[],5,FALSE),"-")</f>
        <v>Maxi vestido de bajo floral</v>
      </c>
      <c r="G984" s="10">
        <v>1</v>
      </c>
      <c r="H984" s="12">
        <v>25</v>
      </c>
      <c r="I984" s="12">
        <f>VENTAS[[#This Row],[Cantidad]]*VENTAS[[#This Row],[Precio Venta]]</f>
        <v>25</v>
      </c>
      <c r="J984" s="12">
        <f>IF(VENTAS[[#This Row],[Nombre del Gestor]]&gt;1,VENTAS[[#This Row],[Total]]*10%,0)</f>
        <v>0</v>
      </c>
      <c r="K984" s="12">
        <f>IFERROR(VLOOKUP(VENTAS[[#This Row],[Código del producto Vendido]],STOCK[],16,FALSE)*VENTAS[[#This Row],[Cantidad]]+VLOOKUP(VENTAS[[#This Row],[Código del producto Vendido]],STOCK[],19,FALSE)*VENTAS[[#This Row],[Cantidad]],VENTAS[[#This Row],[Total]])</f>
        <v>14.5</v>
      </c>
      <c r="L984" s="12">
        <f>VENTAS[[#This Row],[Total]]-VENTAS[[#This Row],[Comisión 10%]]-VENTAS[[#This Row],[Costo SIN Comision]]</f>
        <v>10.5</v>
      </c>
      <c r="M984" s="12"/>
      <c r="N984" s="16"/>
    </row>
    <row r="985" spans="1:14" ht="20" hidden="1" customHeight="1">
      <c r="A985" s="9">
        <v>45445</v>
      </c>
      <c r="B985" s="10"/>
      <c r="C985" s="10"/>
      <c r="D985" s="10" t="s">
        <v>4374</v>
      </c>
      <c r="E985" s="10" t="s">
        <v>1752</v>
      </c>
      <c r="F985" s="10" t="str">
        <f>IFERROR(VLOOKUP(VENTAS[[#This Row],[Código del producto Vendido]],STOCK[],5,FALSE),"-")</f>
        <v>Traje de baño de mangas estampadas</v>
      </c>
      <c r="G985" s="10">
        <v>1</v>
      </c>
      <c r="H985" s="12">
        <v>25</v>
      </c>
      <c r="I985" s="12">
        <f>VENTAS[[#This Row],[Cantidad]]*VENTAS[[#This Row],[Precio Venta]]</f>
        <v>25</v>
      </c>
      <c r="J985" s="12">
        <f>IF(VENTAS[[#This Row],[Nombre del Gestor]]&gt;1,VENTAS[[#This Row],[Total]]*10%,0)</f>
        <v>2.5</v>
      </c>
      <c r="K985" s="12">
        <f>IFERROR(VLOOKUP(VENTAS[[#This Row],[Código del producto Vendido]],STOCK[],16,FALSE)*VENTAS[[#This Row],[Cantidad]]+VLOOKUP(VENTAS[[#This Row],[Código del producto Vendido]],STOCK[],19,FALSE)*VENTAS[[#This Row],[Cantidad]],VENTAS[[#This Row],[Total]])</f>
        <v>12.411764705882399</v>
      </c>
      <c r="L985" s="12">
        <f>VENTAS[[#This Row],[Total]]-VENTAS[[#This Row],[Comisión 10%]]-VENTAS[[#This Row],[Costo SIN Comision]]</f>
        <v>10.088235294117601</v>
      </c>
      <c r="M985" s="12"/>
      <c r="N985" s="16"/>
    </row>
    <row r="986" spans="1:14" ht="20" hidden="1" customHeight="1">
      <c r="A986" s="9">
        <v>45446</v>
      </c>
      <c r="B986" s="10"/>
      <c r="C986" s="10"/>
      <c r="D986" s="10" t="s">
        <v>4211</v>
      </c>
      <c r="E986" s="10" t="s">
        <v>2158</v>
      </c>
      <c r="F986" s="10" t="str">
        <f>IFERROR(VLOOKUP(VENTAS[[#This Row],[Código del producto Vendido]],STOCK[],5,FALSE),"-")</f>
        <v>Set de bikini estampado de flor de 3 piezas de cintura alta</v>
      </c>
      <c r="G986" s="10">
        <v>1</v>
      </c>
      <c r="H986" s="12">
        <v>25</v>
      </c>
      <c r="I986" s="12">
        <f>VENTAS[[#This Row],[Cantidad]]*VENTAS[[#This Row],[Precio Venta]]</f>
        <v>25</v>
      </c>
      <c r="J986" s="12">
        <f>IF(VENTAS[[#This Row],[Nombre del Gestor]]&gt;1,VENTAS[[#This Row],[Total]]*10%,0)</f>
        <v>2.5</v>
      </c>
      <c r="K986" s="12">
        <f>IFERROR(VLOOKUP(VENTAS[[#This Row],[Código del producto Vendido]],STOCK[],16,FALSE)*VENTAS[[#This Row],[Cantidad]]+VLOOKUP(VENTAS[[#This Row],[Código del producto Vendido]],STOCK[],19,FALSE)*VENTAS[[#This Row],[Cantidad]],VENTAS[[#This Row],[Total]])</f>
        <v>10.43</v>
      </c>
      <c r="L986" s="12">
        <f>VENTAS[[#This Row],[Total]]-VENTAS[[#This Row],[Comisión 10%]]-VENTAS[[#This Row],[Costo SIN Comision]]</f>
        <v>12.07</v>
      </c>
      <c r="M986" s="12"/>
      <c r="N986" s="16"/>
    </row>
    <row r="987" spans="1:14" ht="20" hidden="1" customHeight="1">
      <c r="A987" s="9">
        <v>45447</v>
      </c>
      <c r="B987" s="10"/>
      <c r="C987" s="10"/>
      <c r="D987" s="10" t="s">
        <v>4380</v>
      </c>
      <c r="E987" s="10" t="s">
        <v>2289</v>
      </c>
      <c r="F987" s="10" t="str">
        <f>IFERROR(VLOOKUP(VENTAS[[#This Row],[Código del producto Vendido]],STOCK[],5,FALSE),"-")</f>
        <v>Bolso de lona en bloque de color</v>
      </c>
      <c r="G987" s="10">
        <v>1</v>
      </c>
      <c r="H987" s="12">
        <v>12</v>
      </c>
      <c r="I987" s="12">
        <f>VENTAS[[#This Row],[Cantidad]]*VENTAS[[#This Row],[Precio Venta]]</f>
        <v>12</v>
      </c>
      <c r="J987" s="12">
        <f>IF(VENTAS[[#This Row],[Nombre del Gestor]]&gt;1,VENTAS[[#This Row],[Total]]*10%,0)</f>
        <v>1.2000000000000002</v>
      </c>
      <c r="K987" s="12">
        <f>IFERROR(VLOOKUP(VENTAS[[#This Row],[Código del producto Vendido]],STOCK[],16,FALSE)*VENTAS[[#This Row],[Cantidad]]+VLOOKUP(VENTAS[[#This Row],[Código del producto Vendido]],STOCK[],19,FALSE)*VENTAS[[#This Row],[Cantidad]],VENTAS[[#This Row],[Total]])</f>
        <v>5.54</v>
      </c>
      <c r="L987" s="12">
        <f>VENTAS[[#This Row],[Total]]-VENTAS[[#This Row],[Comisión 10%]]-VENTAS[[#This Row],[Costo SIN Comision]]</f>
        <v>5.2600000000000007</v>
      </c>
      <c r="M987" s="12"/>
      <c r="N987" s="16"/>
    </row>
    <row r="988" spans="1:14" ht="20" hidden="1" customHeight="1">
      <c r="A988" s="9">
        <v>45448</v>
      </c>
      <c r="B988" s="10"/>
      <c r="C988" s="10" t="s">
        <v>4348</v>
      </c>
      <c r="D988" s="10"/>
      <c r="E988" s="10" t="s">
        <v>2328</v>
      </c>
      <c r="F988" s="10" t="str">
        <f>IFERROR(VLOOKUP(VENTAS[[#This Row],[Código del producto Vendido]],STOCK[],5,FALSE),"-")</f>
        <v>Pantalón palazzo estiloso</v>
      </c>
      <c r="G988" s="10">
        <v>1</v>
      </c>
      <c r="H988" s="12">
        <v>20</v>
      </c>
      <c r="I988" s="12">
        <f>VENTAS[[#This Row],[Cantidad]]*VENTAS[[#This Row],[Precio Venta]]</f>
        <v>20</v>
      </c>
      <c r="J988" s="12">
        <f>IF(VENTAS[[#This Row],[Nombre del Gestor]]&gt;1,VENTAS[[#This Row],[Total]]*10%,0)</f>
        <v>0</v>
      </c>
      <c r="K988" s="12">
        <f>IFERROR(VLOOKUP(VENTAS[[#This Row],[Código del producto Vendido]],STOCK[],16,FALSE)*VENTAS[[#This Row],[Cantidad]]+VLOOKUP(VENTAS[[#This Row],[Código del producto Vendido]],STOCK[],19,FALSE)*VENTAS[[#This Row],[Cantidad]],VENTAS[[#This Row],[Total]])</f>
        <v>10.914375</v>
      </c>
      <c r="L988" s="12">
        <f>VENTAS[[#This Row],[Total]]-VENTAS[[#This Row],[Comisión 10%]]-VENTAS[[#This Row],[Costo SIN Comision]]</f>
        <v>9.0856250000000003</v>
      </c>
      <c r="M988" s="12"/>
      <c r="N988" s="16"/>
    </row>
    <row r="989" spans="1:14" ht="20" hidden="1" customHeight="1">
      <c r="A989" s="9">
        <v>45449</v>
      </c>
      <c r="B989" s="10"/>
      <c r="C989" s="10" t="s">
        <v>4348</v>
      </c>
      <c r="D989" s="10"/>
      <c r="E989" s="10" t="s">
        <v>2376</v>
      </c>
      <c r="F989" s="10" t="str">
        <f>IFERROR(VLOOKUP(VENTAS[[#This Row],[Código del producto Vendido]],STOCK[],5,FALSE),"-")</f>
        <v>Blusa atada al frente de estilo casual</v>
      </c>
      <c r="G989" s="10">
        <v>1</v>
      </c>
      <c r="H989" s="12">
        <v>17</v>
      </c>
      <c r="I989" s="12">
        <f>VENTAS[[#This Row],[Cantidad]]*VENTAS[[#This Row],[Precio Venta]]</f>
        <v>17</v>
      </c>
      <c r="J989" s="12">
        <f>IF(VENTAS[[#This Row],[Nombre del Gestor]]&gt;1,VENTAS[[#This Row],[Total]]*10%,0)</f>
        <v>0</v>
      </c>
      <c r="K989" s="12">
        <f>IFERROR(VLOOKUP(VENTAS[[#This Row],[Código del producto Vendido]],STOCK[],16,FALSE)*VENTAS[[#This Row],[Cantidad]]+VLOOKUP(VENTAS[[#This Row],[Código del producto Vendido]],STOCK[],19,FALSE)*VENTAS[[#This Row],[Cantidad]],VENTAS[[#This Row],[Total]])</f>
        <v>10.821875</v>
      </c>
      <c r="L989" s="12">
        <f>VENTAS[[#This Row],[Total]]-VENTAS[[#This Row],[Comisión 10%]]-VENTAS[[#This Row],[Costo SIN Comision]]</f>
        <v>6.1781249999999996</v>
      </c>
      <c r="M989" s="12"/>
      <c r="N989" s="16"/>
    </row>
    <row r="990" spans="1:14" ht="20" hidden="1" customHeight="1">
      <c r="A990" s="9">
        <v>45450</v>
      </c>
      <c r="B990" s="10"/>
      <c r="C990" s="10" t="s">
        <v>4382</v>
      </c>
      <c r="D990" s="10" t="s">
        <v>4380</v>
      </c>
      <c r="E990" s="10" t="s">
        <v>2330</v>
      </c>
      <c r="F990" s="10" t="str">
        <f>IFERROR(VLOOKUP(VENTAS[[#This Row],[Código del producto Vendido]],STOCK[],5,FALSE),"-")</f>
        <v>Pantalón palazzo estiloso</v>
      </c>
      <c r="G990" s="10">
        <v>1</v>
      </c>
      <c r="H990" s="12">
        <v>20</v>
      </c>
      <c r="I990" s="12">
        <f>VENTAS[[#This Row],[Cantidad]]*VENTAS[[#This Row],[Precio Venta]]</f>
        <v>20</v>
      </c>
      <c r="J990" s="12">
        <f>IF(VENTAS[[#This Row],[Nombre del Gestor]]&gt;1,VENTAS[[#This Row],[Total]]*10%,0)</f>
        <v>2</v>
      </c>
      <c r="K990" s="12">
        <f>IFERROR(VLOOKUP(VENTAS[[#This Row],[Código del producto Vendido]],STOCK[],16,FALSE)*VENTAS[[#This Row],[Cantidad]]+VLOOKUP(VENTAS[[#This Row],[Código del producto Vendido]],STOCK[],19,FALSE)*VENTAS[[#This Row],[Cantidad]],VENTAS[[#This Row],[Total]])</f>
        <v>10.914375</v>
      </c>
      <c r="L990" s="12">
        <f>VENTAS[[#This Row],[Total]]-VENTAS[[#This Row],[Comisión 10%]]-VENTAS[[#This Row],[Costo SIN Comision]]</f>
        <v>7.0856250000000003</v>
      </c>
      <c r="M990" s="12"/>
      <c r="N990" s="16"/>
    </row>
    <row r="991" spans="1:14" ht="20" hidden="1" customHeight="1">
      <c r="A991" s="9">
        <v>45451</v>
      </c>
      <c r="B991" s="10"/>
      <c r="C991" s="10" t="s">
        <v>4383</v>
      </c>
      <c r="D991" s="10" t="s">
        <v>4330</v>
      </c>
      <c r="E991" s="10" t="s">
        <v>2382</v>
      </c>
      <c r="F991" s="10" t="str">
        <f>IFERROR(VLOOKUP(VENTAS[[#This Row],[Código del producto Vendido]],STOCK[],5,FALSE),"-")</f>
        <v>Vestido elegante de botones en color sólido</v>
      </c>
      <c r="G991" s="10">
        <v>1</v>
      </c>
      <c r="H991" s="12">
        <v>35</v>
      </c>
      <c r="I991" s="12">
        <f>VENTAS[[#This Row],[Cantidad]]*VENTAS[[#This Row],[Precio Venta]]</f>
        <v>35</v>
      </c>
      <c r="J991" s="12">
        <f>IF(VENTAS[[#This Row],[Nombre del Gestor]]&gt;1,VENTAS[[#This Row],[Total]]*10%,0)</f>
        <v>3.5</v>
      </c>
      <c r="K991" s="12">
        <f>IFERROR(VLOOKUP(VENTAS[[#This Row],[Código del producto Vendido]],STOCK[],16,FALSE)*VENTAS[[#This Row],[Cantidad]]+VLOOKUP(VENTAS[[#This Row],[Código del producto Vendido]],STOCK[],19,FALSE)*VENTAS[[#This Row],[Cantidad]],VENTAS[[#This Row],[Total]])</f>
        <v>24.609375</v>
      </c>
      <c r="L991" s="12">
        <f>VENTAS[[#This Row],[Total]]-VENTAS[[#This Row],[Comisión 10%]]-VENTAS[[#This Row],[Costo SIN Comision]]</f>
        <v>6.890625</v>
      </c>
      <c r="M991" s="12"/>
      <c r="N991" s="16"/>
    </row>
    <row r="992" spans="1:14" ht="20" hidden="1" customHeight="1">
      <c r="A992" s="9">
        <v>45452</v>
      </c>
      <c r="B992" s="10"/>
      <c r="C992" s="10" t="s">
        <v>4384</v>
      </c>
      <c r="D992" s="10" t="s">
        <v>4378</v>
      </c>
      <c r="E992" s="10" t="s">
        <v>1675</v>
      </c>
      <c r="F992" s="10" t="str">
        <f>IFERROR(VLOOKUP(VENTAS[[#This Row],[Código del producto Vendido]],STOCK[],5,FALSE),"-")</f>
        <v>Conjunto Beis satinado</v>
      </c>
      <c r="G992" s="10">
        <v>1</v>
      </c>
      <c r="H992" s="12">
        <v>28</v>
      </c>
      <c r="I992" s="12">
        <f>VENTAS[[#This Row],[Cantidad]]*VENTAS[[#This Row],[Precio Venta]]</f>
        <v>28</v>
      </c>
      <c r="J992" s="12">
        <f>IF(VENTAS[[#This Row],[Nombre del Gestor]]&gt;1,VENTAS[[#This Row],[Total]]*10%,0)</f>
        <v>2.8000000000000003</v>
      </c>
      <c r="K992" s="12">
        <f>IFERROR(VLOOKUP(VENTAS[[#This Row],[Código del producto Vendido]],STOCK[],16,FALSE)*VENTAS[[#This Row],[Cantidad]]+VLOOKUP(VENTAS[[#This Row],[Código del producto Vendido]],STOCK[],19,FALSE)*VENTAS[[#This Row],[Cantidad]],VENTAS[[#This Row],[Total]])</f>
        <v>16.7</v>
      </c>
      <c r="L992" s="12">
        <f>VENTAS[[#This Row],[Total]]-VENTAS[[#This Row],[Comisión 10%]]-VENTAS[[#This Row],[Costo SIN Comision]]</f>
        <v>8.5</v>
      </c>
      <c r="M992" s="12"/>
      <c r="N992" s="16"/>
    </row>
    <row r="993" spans="1:14" ht="20" hidden="1" customHeight="1">
      <c r="A993" s="9">
        <v>45453</v>
      </c>
      <c r="B993" s="10"/>
      <c r="C993" s="10" t="s">
        <v>4384</v>
      </c>
      <c r="D993" s="10" t="s">
        <v>4378</v>
      </c>
      <c r="E993" s="10" t="s">
        <v>1380</v>
      </c>
      <c r="F993" s="10" t="str">
        <f>IFERROR(VLOOKUP(VENTAS[[#This Row],[Código del producto Vendido]],STOCK[],5,FALSE),"-")</f>
        <v>Conjunto Skort &amp; top Floreado</v>
      </c>
      <c r="G993" s="10">
        <v>1</v>
      </c>
      <c r="H993" s="12">
        <v>25</v>
      </c>
      <c r="I993" s="12">
        <f>VENTAS[[#This Row],[Cantidad]]*VENTAS[[#This Row],[Precio Venta]]</f>
        <v>25</v>
      </c>
      <c r="J993" s="12">
        <f>IF(VENTAS[[#This Row],[Nombre del Gestor]]&gt;1,VENTAS[[#This Row],[Total]]*10%,0)</f>
        <v>2.5</v>
      </c>
      <c r="K993" s="12">
        <f>IFERROR(VLOOKUP(VENTAS[[#This Row],[Código del producto Vendido]],STOCK[],16,FALSE)*VENTAS[[#This Row],[Cantidad]]+VLOOKUP(VENTAS[[#This Row],[Código del producto Vendido]],STOCK[],19,FALSE)*VENTAS[[#This Row],[Cantidad]],VENTAS[[#This Row],[Total]])</f>
        <v>15</v>
      </c>
      <c r="L993" s="12">
        <f>VENTAS[[#This Row],[Total]]-VENTAS[[#This Row],[Comisión 10%]]-VENTAS[[#This Row],[Costo SIN Comision]]</f>
        <v>7.5</v>
      </c>
      <c r="M993" s="12"/>
      <c r="N993" s="16"/>
    </row>
    <row r="994" spans="1:14" ht="20" hidden="1" customHeight="1">
      <c r="A994" s="9">
        <v>45454</v>
      </c>
      <c r="B994" s="10"/>
      <c r="C994" s="10" t="s">
        <v>4385</v>
      </c>
      <c r="D994" s="10" t="s">
        <v>4349</v>
      </c>
      <c r="E994" s="10" t="s">
        <v>2111</v>
      </c>
      <c r="F994" s="10" t="str">
        <f>IFERROR(VLOOKUP(VENTAS[[#This Row],[Código del producto Vendido]],STOCK[],5,FALSE),"-")</f>
        <v xml:space="preserve">The Cat TOTE bag tamaño de Gran Capacidad </v>
      </c>
      <c r="G994" s="10">
        <v>1</v>
      </c>
      <c r="H994" s="12">
        <v>12</v>
      </c>
      <c r="I994" s="12">
        <f>VENTAS[[#This Row],[Cantidad]]*VENTAS[[#This Row],[Precio Venta]]</f>
        <v>12</v>
      </c>
      <c r="J994" s="12">
        <f>IF(VENTAS[[#This Row],[Nombre del Gestor]]&gt;1,VENTAS[[#This Row],[Total]]*10%,0)</f>
        <v>1.2000000000000002</v>
      </c>
      <c r="K994" s="12">
        <f>IFERROR(VLOOKUP(VENTAS[[#This Row],[Código del producto Vendido]],STOCK[],16,FALSE)*VENTAS[[#This Row],[Cantidad]]+VLOOKUP(VENTAS[[#This Row],[Código del producto Vendido]],STOCK[],19,FALSE)*VENTAS[[#This Row],[Cantidad]],VENTAS[[#This Row],[Total]])</f>
        <v>5.58</v>
      </c>
      <c r="L994" s="12">
        <f>VENTAS[[#This Row],[Total]]-VENTAS[[#This Row],[Comisión 10%]]-VENTAS[[#This Row],[Costo SIN Comision]]</f>
        <v>5.2200000000000006</v>
      </c>
      <c r="M994" s="12"/>
      <c r="N994" s="16"/>
    </row>
    <row r="995" spans="1:14" ht="20" hidden="1" customHeight="1">
      <c r="A995" s="9">
        <v>45455</v>
      </c>
      <c r="B995" s="10"/>
      <c r="C995" s="10" t="s">
        <v>4386</v>
      </c>
      <c r="D995" s="10" t="s">
        <v>4380</v>
      </c>
      <c r="E995" s="10" t="s">
        <v>1637</v>
      </c>
      <c r="F995" s="10" t="str">
        <f>IFERROR(VLOOKUP(VENTAS[[#This Row],[Código del producto Vendido]],STOCK[],5,FALSE),"-")</f>
        <v xml:space="preserve">Vestido Privé  </v>
      </c>
      <c r="G995" s="10">
        <v>1</v>
      </c>
      <c r="H995" s="12">
        <v>25</v>
      </c>
      <c r="I995" s="12">
        <f>VENTAS[[#This Row],[Cantidad]]*VENTAS[[#This Row],[Precio Venta]]</f>
        <v>25</v>
      </c>
      <c r="J995" s="12">
        <f>IF(VENTAS[[#This Row],[Nombre del Gestor]]&gt;1,VENTAS[[#This Row],[Total]]*10%,0)</f>
        <v>2.5</v>
      </c>
      <c r="K995" s="12">
        <f>IFERROR(VLOOKUP(VENTAS[[#This Row],[Código del producto Vendido]],STOCK[],16,FALSE)*VENTAS[[#This Row],[Cantidad]]+VLOOKUP(VENTAS[[#This Row],[Código del producto Vendido]],STOCK[],19,FALSE)*VENTAS[[#This Row],[Cantidad]],VENTAS[[#This Row],[Total]])</f>
        <v>11.1</v>
      </c>
      <c r="L995" s="12">
        <f>VENTAS[[#This Row],[Total]]-VENTAS[[#This Row],[Comisión 10%]]-VENTAS[[#This Row],[Costo SIN Comision]]</f>
        <v>11.4</v>
      </c>
      <c r="M995" s="12"/>
      <c r="N995" s="16"/>
    </row>
    <row r="996" spans="1:14" ht="20" hidden="1" customHeight="1">
      <c r="A996" s="9">
        <v>45456</v>
      </c>
      <c r="B996" s="10"/>
      <c r="C996" s="10" t="s">
        <v>4387</v>
      </c>
      <c r="D996" s="10" t="s">
        <v>4349</v>
      </c>
      <c r="E996" s="10" t="s">
        <v>2378</v>
      </c>
      <c r="F996" s="10" t="str">
        <f>IFERROR(VLOOKUP(VENTAS[[#This Row],[Código del producto Vendido]],STOCK[],5,FALSE),"-")</f>
        <v>Vestido elegante de botones en color sólido</v>
      </c>
      <c r="G996" s="10">
        <v>1</v>
      </c>
      <c r="H996" s="12">
        <v>35</v>
      </c>
      <c r="I996" s="12">
        <f>VENTAS[[#This Row],[Cantidad]]*VENTAS[[#This Row],[Precio Venta]]</f>
        <v>35</v>
      </c>
      <c r="J996" s="12">
        <f>IF(VENTAS[[#This Row],[Nombre del Gestor]]&gt;1,VENTAS[[#This Row],[Total]]*10%,0)</f>
        <v>3.5</v>
      </c>
      <c r="K996" s="12">
        <f>IFERROR(VLOOKUP(VENTAS[[#This Row],[Código del producto Vendido]],STOCK[],16,FALSE)*VENTAS[[#This Row],[Cantidad]]+VLOOKUP(VENTAS[[#This Row],[Código del producto Vendido]],STOCK[],19,FALSE)*VENTAS[[#This Row],[Cantidad]],VENTAS[[#This Row],[Total]])</f>
        <v>24.609375</v>
      </c>
      <c r="L996" s="12">
        <f>VENTAS[[#This Row],[Total]]-VENTAS[[#This Row],[Comisión 10%]]-VENTAS[[#This Row],[Costo SIN Comision]]</f>
        <v>6.890625</v>
      </c>
      <c r="M996" s="12"/>
      <c r="N996" s="16"/>
    </row>
    <row r="997" spans="1:14" ht="20" hidden="1" customHeight="1">
      <c r="A997" s="9">
        <v>45457</v>
      </c>
      <c r="B997" s="10"/>
      <c r="C997" s="10" t="s">
        <v>4387</v>
      </c>
      <c r="D997" s="10" t="s">
        <v>4349</v>
      </c>
      <c r="E997" s="10" t="s">
        <v>1611</v>
      </c>
      <c r="F997" s="10" t="str">
        <f>IFERROR(VLOOKUP(VENTAS[[#This Row],[Código del producto Vendido]],STOCK[],5,FALSE),"-")</f>
        <v xml:space="preserve">Vestido camisero con estampado floral </v>
      </c>
      <c r="G997" s="10">
        <v>1</v>
      </c>
      <c r="H997" s="12">
        <v>35</v>
      </c>
      <c r="I997" s="12">
        <f>VENTAS[[#This Row],[Cantidad]]*VENTAS[[#This Row],[Precio Venta]]</f>
        <v>35</v>
      </c>
      <c r="J997" s="12">
        <f>IF(VENTAS[[#This Row],[Nombre del Gestor]]&gt;1,VENTAS[[#This Row],[Total]]*10%,0)</f>
        <v>3.5</v>
      </c>
      <c r="K997" s="12">
        <f>IFERROR(VLOOKUP(VENTAS[[#This Row],[Código del producto Vendido]],STOCK[],16,FALSE)*VENTAS[[#This Row],[Cantidad]]+VLOOKUP(VENTAS[[#This Row],[Código del producto Vendido]],STOCK[],19,FALSE)*VENTAS[[#This Row],[Cantidad]],VENTAS[[#This Row],[Total]])</f>
        <v>14.84</v>
      </c>
      <c r="L997" s="12">
        <f>VENTAS[[#This Row],[Total]]-VENTAS[[#This Row],[Comisión 10%]]-VENTAS[[#This Row],[Costo SIN Comision]]</f>
        <v>16.66</v>
      </c>
      <c r="M997" s="12"/>
      <c r="N997" s="16"/>
    </row>
    <row r="998" spans="1:14" ht="20" hidden="1" customHeight="1">
      <c r="A998" s="9">
        <v>45458</v>
      </c>
      <c r="B998" s="10"/>
      <c r="C998" s="10" t="s">
        <v>4388</v>
      </c>
      <c r="D998" s="10" t="s">
        <v>4349</v>
      </c>
      <c r="E998" s="10" t="s">
        <v>1167</v>
      </c>
      <c r="F998" s="10" t="str">
        <f>IFERROR(VLOOKUP(VENTAS[[#This Row],[Código del producto Vendido]],STOCK[],5,FALSE),"-")</f>
        <v>Short de mezclilla clara (no elastiza)</v>
      </c>
      <c r="G998" s="10">
        <v>1</v>
      </c>
      <c r="H998" s="12">
        <v>20</v>
      </c>
      <c r="I998" s="12">
        <f>VENTAS[[#This Row],[Cantidad]]*VENTAS[[#This Row],[Precio Venta]]</f>
        <v>20</v>
      </c>
      <c r="J998" s="12">
        <f>IF(VENTAS[[#This Row],[Nombre del Gestor]]&gt;1,VENTAS[[#This Row],[Total]]*10%,0)</f>
        <v>2</v>
      </c>
      <c r="K998" s="12">
        <f>IFERROR(VLOOKUP(VENTAS[[#This Row],[Código del producto Vendido]],STOCK[],16,FALSE)*VENTAS[[#This Row],[Cantidad]]+VLOOKUP(VENTAS[[#This Row],[Código del producto Vendido]],STOCK[],19,FALSE)*VENTAS[[#This Row],[Cantidad]],VENTAS[[#This Row],[Total]])</f>
        <v>14.29</v>
      </c>
      <c r="L998" s="12">
        <f>VENTAS[[#This Row],[Total]]-VENTAS[[#This Row],[Comisión 10%]]-VENTAS[[#This Row],[Costo SIN Comision]]</f>
        <v>3.7100000000000009</v>
      </c>
      <c r="M998" s="12"/>
      <c r="N998" s="16"/>
    </row>
    <row r="999" spans="1:14" ht="20" hidden="1" customHeight="1">
      <c r="A999" s="9">
        <v>45459</v>
      </c>
      <c r="B999" s="10"/>
      <c r="C999" s="10" t="s">
        <v>4389</v>
      </c>
      <c r="D999" s="10" t="s">
        <v>4349</v>
      </c>
      <c r="E999" s="10" t="s">
        <v>2168</v>
      </c>
      <c r="F999" s="10" t="str">
        <f>IFERROR(VLOOKUP(VENTAS[[#This Row],[Código del producto Vendido]],STOCK[],5,FALSE),"-")</f>
        <v xml:space="preserve">Bañador en color sólido sexy-elegante </v>
      </c>
      <c r="G999" s="10">
        <v>1</v>
      </c>
      <c r="H999" s="12">
        <v>20</v>
      </c>
      <c r="I999" s="12">
        <f>VENTAS[[#This Row],[Cantidad]]*VENTAS[[#This Row],[Precio Venta]]</f>
        <v>20</v>
      </c>
      <c r="J999" s="12">
        <f>IF(VENTAS[[#This Row],[Nombre del Gestor]]&gt;1,VENTAS[[#This Row],[Total]]*10%,0)</f>
        <v>2</v>
      </c>
      <c r="K999" s="12">
        <f>IFERROR(VLOOKUP(VENTAS[[#This Row],[Código del producto Vendido]],STOCK[],16,FALSE)*VENTAS[[#This Row],[Cantidad]]+VLOOKUP(VENTAS[[#This Row],[Código del producto Vendido]],STOCK[],19,FALSE)*VENTAS[[#This Row],[Cantidad]],VENTAS[[#This Row],[Total]])</f>
        <v>8.24</v>
      </c>
      <c r="L999" s="12">
        <f>VENTAS[[#This Row],[Total]]-VENTAS[[#This Row],[Comisión 10%]]-VENTAS[[#This Row],[Costo SIN Comision]]</f>
        <v>9.76</v>
      </c>
      <c r="M999" s="12"/>
      <c r="N999" s="16"/>
    </row>
    <row r="1000" spans="1:14" ht="20" hidden="1" customHeight="1">
      <c r="A1000" s="9">
        <v>45460</v>
      </c>
      <c r="B1000" s="10"/>
      <c r="C1000" s="10" t="s">
        <v>4390</v>
      </c>
      <c r="D1000" s="10" t="s">
        <v>4380</v>
      </c>
      <c r="E1000" s="10" t="s">
        <v>2137</v>
      </c>
      <c r="F1000" s="10" t="str">
        <f>IFERROR(VLOOKUP(VENTAS[[#This Row],[Código del producto Vendido]],STOCK[],5,FALSE),"-")</f>
        <v>Falda Bohemia de mezclilla de cintura alta con detalles de botón</v>
      </c>
      <c r="G1000" s="10">
        <v>1</v>
      </c>
      <c r="H1000" s="12">
        <v>30</v>
      </c>
      <c r="I1000" s="12">
        <f>VENTAS[[#This Row],[Cantidad]]*VENTAS[[#This Row],[Precio Venta]]</f>
        <v>30</v>
      </c>
      <c r="J1000" s="12">
        <f>IF(VENTAS[[#This Row],[Nombre del Gestor]]&gt;1,VENTAS[[#This Row],[Total]]*10%,0)</f>
        <v>3</v>
      </c>
      <c r="K1000" s="12">
        <f>IFERROR(VLOOKUP(VENTAS[[#This Row],[Código del producto Vendido]],STOCK[],16,FALSE)*VENTAS[[#This Row],[Cantidad]]+VLOOKUP(VENTAS[[#This Row],[Código del producto Vendido]],STOCK[],19,FALSE)*VENTAS[[#This Row],[Cantidad]],VENTAS[[#This Row],[Total]])</f>
        <v>7.05</v>
      </c>
      <c r="L1000" s="12">
        <f>VENTAS[[#This Row],[Total]]-VENTAS[[#This Row],[Comisión 10%]]-VENTAS[[#This Row],[Costo SIN Comision]]</f>
        <v>19.95</v>
      </c>
      <c r="M1000" s="12"/>
      <c r="N1000" s="16"/>
    </row>
    <row r="1001" spans="1:14" ht="20" hidden="1" customHeight="1">
      <c r="A1001" s="9">
        <v>45461</v>
      </c>
      <c r="B1001" s="10"/>
      <c r="C1001" s="10" t="s">
        <v>4391</v>
      </c>
      <c r="D1001" s="10" t="s">
        <v>4237</v>
      </c>
      <c r="E1001" s="10" t="s">
        <v>2206</v>
      </c>
      <c r="F1001" s="10" t="str">
        <f>IFERROR(VLOOKUP(VENTAS[[#This Row],[Código del producto Vendido]],STOCK[],5,FALSE),"-")</f>
        <v>Vestido floral verano con abertura</v>
      </c>
      <c r="G1001" s="10">
        <v>1</v>
      </c>
      <c r="H1001" s="12">
        <v>25</v>
      </c>
      <c r="I1001" s="12">
        <f>VENTAS[[#This Row],[Cantidad]]*VENTAS[[#This Row],[Precio Venta]]</f>
        <v>25</v>
      </c>
      <c r="J1001" s="12">
        <f>IF(VENTAS[[#This Row],[Nombre del Gestor]]&gt;1,VENTAS[[#This Row],[Total]]*10%,0)</f>
        <v>2.5</v>
      </c>
      <c r="K1001" s="12">
        <f>IFERROR(VLOOKUP(VENTAS[[#This Row],[Código del producto Vendido]],STOCK[],16,FALSE)*VENTAS[[#This Row],[Cantidad]]+VLOOKUP(VENTAS[[#This Row],[Código del producto Vendido]],STOCK[],19,FALSE)*VENTAS[[#This Row],[Cantidad]],VENTAS[[#This Row],[Total]])</f>
        <v>14.59</v>
      </c>
      <c r="L1001" s="12">
        <f>VENTAS[[#This Row],[Total]]-VENTAS[[#This Row],[Comisión 10%]]-VENTAS[[#This Row],[Costo SIN Comision]]</f>
        <v>7.91</v>
      </c>
      <c r="M1001" s="12"/>
      <c r="N1001" s="16"/>
    </row>
    <row r="1002" spans="1:14" ht="20" hidden="1" customHeight="1">
      <c r="A1002" s="9">
        <v>45462</v>
      </c>
      <c r="B1002" s="10"/>
      <c r="C1002" s="10" t="s">
        <v>4223</v>
      </c>
      <c r="D1002" s="10" t="s">
        <v>4392</v>
      </c>
      <c r="E1002" s="10" t="s">
        <v>970</v>
      </c>
      <c r="F1002" s="10" t="str">
        <f>IFERROR(VLOOKUP(VENTAS[[#This Row],[Código del producto Vendido]],STOCK[],5,FALSE),"-")</f>
        <v xml:space="preserve"> Top Básico Business</v>
      </c>
      <c r="G1002" s="10">
        <v>1</v>
      </c>
      <c r="H1002" s="12">
        <v>10</v>
      </c>
      <c r="I1002" s="12">
        <f>VENTAS[[#This Row],[Cantidad]]*VENTAS[[#This Row],[Precio Venta]]</f>
        <v>10</v>
      </c>
      <c r="J1002" s="12">
        <f>IF(VENTAS[[#This Row],[Nombre del Gestor]]&gt;1,VENTAS[[#This Row],[Total]]*10%,0)</f>
        <v>1</v>
      </c>
      <c r="K1002" s="12">
        <f>IFERROR(VLOOKUP(VENTAS[[#This Row],[Código del producto Vendido]],STOCK[],16,FALSE)*VENTAS[[#This Row],[Cantidad]]+VLOOKUP(VENTAS[[#This Row],[Código del producto Vendido]],STOCK[],19,FALSE)*VENTAS[[#This Row],[Cantidad]],VENTAS[[#This Row],[Total]])</f>
        <v>6.7840909090909101</v>
      </c>
      <c r="L1002" s="12">
        <f>VENTAS[[#This Row],[Total]]-VENTAS[[#This Row],[Comisión 10%]]-VENTAS[[#This Row],[Costo SIN Comision]]</f>
        <v>2.2159090909090899</v>
      </c>
      <c r="M1002" s="12"/>
      <c r="N1002" s="16"/>
    </row>
    <row r="1003" spans="1:14" ht="20" hidden="1" customHeight="1">
      <c r="A1003" s="9">
        <v>45463</v>
      </c>
      <c r="B1003" s="10"/>
      <c r="C1003" s="10" t="s">
        <v>4223</v>
      </c>
      <c r="D1003" s="10" t="s">
        <v>4392</v>
      </c>
      <c r="E1003" s="10" t="s">
        <v>992</v>
      </c>
      <c r="F1003" s="10" t="str">
        <f>IFERROR(VLOOKUP(VENTAS[[#This Row],[Código del producto Vendido]],STOCK[],5,FALSE),"-")</f>
        <v xml:space="preserve"> Top Básico Business </v>
      </c>
      <c r="G1003" s="10">
        <v>1</v>
      </c>
      <c r="H1003" s="12">
        <v>10</v>
      </c>
      <c r="I1003" s="12">
        <f>VENTAS[[#This Row],[Cantidad]]*VENTAS[[#This Row],[Precio Venta]]</f>
        <v>10</v>
      </c>
      <c r="J1003" s="12">
        <f>IF(VENTAS[[#This Row],[Nombre del Gestor]]&gt;1,VENTAS[[#This Row],[Total]]*10%,0)</f>
        <v>1</v>
      </c>
      <c r="K1003" s="12">
        <f>IFERROR(VLOOKUP(VENTAS[[#This Row],[Código del producto Vendido]],STOCK[],16,FALSE)*VENTAS[[#This Row],[Cantidad]]+VLOOKUP(VENTAS[[#This Row],[Código del producto Vendido]],STOCK[],19,FALSE)*VENTAS[[#This Row],[Cantidad]],VENTAS[[#This Row],[Total]])</f>
        <v>7.3795454545454495</v>
      </c>
      <c r="L1003" s="12">
        <f>VENTAS[[#This Row],[Total]]-VENTAS[[#This Row],[Comisión 10%]]-VENTAS[[#This Row],[Costo SIN Comision]]</f>
        <v>1.6204545454545505</v>
      </c>
      <c r="M1003" s="12"/>
      <c r="N1003" s="16"/>
    </row>
    <row r="1004" spans="1:14" ht="20" hidden="1" customHeight="1">
      <c r="A1004" s="9">
        <v>45464</v>
      </c>
      <c r="B1004" s="10"/>
      <c r="C1004" s="10" t="s">
        <v>4223</v>
      </c>
      <c r="D1004" s="10" t="s">
        <v>4392</v>
      </c>
      <c r="E1004" s="10" t="s">
        <v>2166</v>
      </c>
      <c r="F1004" s="10" t="str">
        <f>IFERROR(VLOOKUP(VENTAS[[#This Row],[Código del producto Vendido]],STOCK[],5,FALSE),"-")</f>
        <v xml:space="preserve">Bañador en color sólido sexy-elegante </v>
      </c>
      <c r="G1004" s="10">
        <v>1</v>
      </c>
      <c r="H1004" s="12">
        <v>20</v>
      </c>
      <c r="I1004" s="12">
        <f>VENTAS[[#This Row],[Cantidad]]*VENTAS[[#This Row],[Precio Venta]]</f>
        <v>20</v>
      </c>
      <c r="J1004" s="12">
        <f>IF(VENTAS[[#This Row],[Nombre del Gestor]]&gt;1,VENTAS[[#This Row],[Total]]*10%,0)</f>
        <v>2</v>
      </c>
      <c r="K1004" s="12">
        <f>IFERROR(VLOOKUP(VENTAS[[#This Row],[Código del producto Vendido]],STOCK[],16,FALSE)*VENTAS[[#This Row],[Cantidad]]+VLOOKUP(VENTAS[[#This Row],[Código del producto Vendido]],STOCK[],19,FALSE)*VENTAS[[#This Row],[Cantidad]],VENTAS[[#This Row],[Total]])</f>
        <v>8.24</v>
      </c>
      <c r="L1004" s="12">
        <f>VENTAS[[#This Row],[Total]]-VENTAS[[#This Row],[Comisión 10%]]-VENTAS[[#This Row],[Costo SIN Comision]]</f>
        <v>9.76</v>
      </c>
      <c r="M1004" s="12"/>
      <c r="N1004" s="16"/>
    </row>
    <row r="1005" spans="1:14" ht="20" hidden="1" customHeight="1">
      <c r="A1005" s="9">
        <v>45465</v>
      </c>
      <c r="B1005" s="10"/>
      <c r="C1005" s="10" t="s">
        <v>4190</v>
      </c>
      <c r="D1005" s="10" t="s">
        <v>4392</v>
      </c>
      <c r="E1005" s="10" t="s">
        <v>2255</v>
      </c>
      <c r="F1005" s="10" t="str">
        <f>IFERROR(VLOOKUP(VENTAS[[#This Row],[Código del producto Vendido]],STOCK[],5,FALSE),"-")</f>
        <v>Bikini de cintura alta estampado clásico</v>
      </c>
      <c r="G1005" s="10">
        <v>1</v>
      </c>
      <c r="H1005" s="12">
        <v>20</v>
      </c>
      <c r="I1005" s="12">
        <f>VENTAS[[#This Row],[Cantidad]]*VENTAS[[#This Row],[Precio Venta]]</f>
        <v>20</v>
      </c>
      <c r="J1005" s="12">
        <f>IF(VENTAS[[#This Row],[Nombre del Gestor]]&gt;1,VENTAS[[#This Row],[Total]]*10%,0)</f>
        <v>2</v>
      </c>
      <c r="K1005" s="12">
        <f>IFERROR(VLOOKUP(VENTAS[[#This Row],[Código del producto Vendido]],STOCK[],16,FALSE)*VENTAS[[#This Row],[Cantidad]]+VLOOKUP(VENTAS[[#This Row],[Código del producto Vendido]],STOCK[],19,FALSE)*VENTAS[[#This Row],[Cantidad]],VENTAS[[#This Row],[Total]])</f>
        <v>8.66</v>
      </c>
      <c r="L1005" s="12">
        <f>VENTAS[[#This Row],[Total]]-VENTAS[[#This Row],[Comisión 10%]]-VENTAS[[#This Row],[Costo SIN Comision]]</f>
        <v>9.34</v>
      </c>
      <c r="M1005" s="12"/>
      <c r="N1005" s="16"/>
    </row>
    <row r="1006" spans="1:14" ht="20" hidden="1" customHeight="1">
      <c r="A1006" s="9">
        <v>45473</v>
      </c>
      <c r="B1006" s="10"/>
      <c r="C1006" s="10" t="s">
        <v>4393</v>
      </c>
      <c r="D1006" s="10" t="s">
        <v>4394</v>
      </c>
      <c r="E1006" s="10" t="s">
        <v>1916</v>
      </c>
      <c r="F1006" s="10" t="str">
        <f>IFERROR(VLOOKUP(VENTAS[[#This Row],[Código del producto Vendido]],STOCK[],5,FALSE),"-")</f>
        <v>Gafas de Sol Retro Negro</v>
      </c>
      <c r="G1006" s="10">
        <v>1</v>
      </c>
      <c r="H1006" s="12">
        <v>8</v>
      </c>
      <c r="I1006" s="12">
        <f>VENTAS[[#This Row],[Cantidad]]*VENTAS[[#This Row],[Precio Venta]]</f>
        <v>8</v>
      </c>
      <c r="J1006" s="12">
        <f>IF(VENTAS[[#This Row],[Nombre del Gestor]]&gt;1,VENTAS[[#This Row],[Total]]*10%,0)</f>
        <v>0.8</v>
      </c>
      <c r="K1006" s="12">
        <f>IFERROR(VLOOKUP(VENTAS[[#This Row],[Código del producto Vendido]],STOCK[],16,FALSE)*VENTAS[[#This Row],[Cantidad]]+VLOOKUP(VENTAS[[#This Row],[Código del producto Vendido]],STOCK[],19,FALSE)*VENTAS[[#This Row],[Cantidad]],VENTAS[[#This Row],[Total]])</f>
        <v>4.8600000000000003</v>
      </c>
      <c r="L1006" s="12">
        <f>VENTAS[[#This Row],[Total]]-VENTAS[[#This Row],[Comisión 10%]]-VENTAS[[#This Row],[Costo SIN Comision]]</f>
        <v>2.34</v>
      </c>
      <c r="M1006" s="12"/>
      <c r="N1006" s="16"/>
    </row>
    <row r="1007" spans="1:14" ht="20" hidden="1" customHeight="1">
      <c r="A1007" s="9">
        <v>45473</v>
      </c>
      <c r="B1007" s="10"/>
      <c r="C1007" s="10" t="s">
        <v>4395</v>
      </c>
      <c r="D1007" s="10" t="s">
        <v>4320</v>
      </c>
      <c r="E1007" s="10" t="s">
        <v>1819</v>
      </c>
      <c r="F1007" s="10" t="str">
        <f>IFERROR(VLOOKUP(VENTAS[[#This Row],[Código del producto Vendido]],STOCK[],5,FALSE),"-")</f>
        <v>Vestido Midi Elegante</v>
      </c>
      <c r="G1007" s="10">
        <v>1</v>
      </c>
      <c r="H1007" s="12">
        <v>22</v>
      </c>
      <c r="I1007" s="12">
        <f>VENTAS[[#This Row],[Cantidad]]*VENTAS[[#This Row],[Precio Venta]]</f>
        <v>22</v>
      </c>
      <c r="J1007" s="12">
        <f>IF(VENTAS[[#This Row],[Nombre del Gestor]]&gt;1,VENTAS[[#This Row],[Total]]*10%,0)</f>
        <v>2.2000000000000002</v>
      </c>
      <c r="K1007" s="12">
        <f>IFERROR(VLOOKUP(VENTAS[[#This Row],[Código del producto Vendido]],STOCK[],16,FALSE)*VENTAS[[#This Row],[Cantidad]]+VLOOKUP(VENTAS[[#This Row],[Código del producto Vendido]],STOCK[],19,FALSE)*VENTAS[[#This Row],[Cantidad]],VENTAS[[#This Row],[Total]])</f>
        <v>10.790000000000001</v>
      </c>
      <c r="L1007" s="12">
        <f>VENTAS[[#This Row],[Total]]-VENTAS[[#This Row],[Comisión 10%]]-VENTAS[[#This Row],[Costo SIN Comision]]</f>
        <v>9.01</v>
      </c>
      <c r="M1007" s="12"/>
      <c r="N1007" s="16"/>
    </row>
    <row r="1008" spans="1:14" ht="20" hidden="1" customHeight="1">
      <c r="A1008" s="9">
        <v>45473</v>
      </c>
      <c r="B1008" s="10"/>
      <c r="C1008" s="10" t="s">
        <v>4395</v>
      </c>
      <c r="D1008" s="10" t="s">
        <v>4320</v>
      </c>
      <c r="E1008" s="10" t="s">
        <v>1848</v>
      </c>
      <c r="F1008" s="10" t="str">
        <f>IFERROR(VLOOKUP(VENTAS[[#This Row],[Código del producto Vendido]],STOCK[],5,FALSE),"-")</f>
        <v>Crossbody Bag con hebilla</v>
      </c>
      <c r="G1008" s="10">
        <v>1</v>
      </c>
      <c r="H1008" s="12">
        <v>25</v>
      </c>
      <c r="I1008" s="12">
        <f>VENTAS[[#This Row],[Cantidad]]*VENTAS[[#This Row],[Precio Venta]]</f>
        <v>25</v>
      </c>
      <c r="J1008" s="12">
        <f>IF(VENTAS[[#This Row],[Nombre del Gestor]]&gt;1,VENTAS[[#This Row],[Total]]*10%,0)</f>
        <v>2.5</v>
      </c>
      <c r="K1008" s="12">
        <f>IFERROR(VLOOKUP(VENTAS[[#This Row],[Código del producto Vendido]],STOCK[],16,FALSE)*VENTAS[[#This Row],[Cantidad]]+VLOOKUP(VENTAS[[#This Row],[Código del producto Vendido]],STOCK[],19,FALSE)*VENTAS[[#This Row],[Cantidad]],VENTAS[[#This Row],[Total]])</f>
        <v>13.290000000000001</v>
      </c>
      <c r="L1008" s="12">
        <f>VENTAS[[#This Row],[Total]]-VENTAS[[#This Row],[Comisión 10%]]-VENTAS[[#This Row],[Costo SIN Comision]]</f>
        <v>9.2099999999999991</v>
      </c>
      <c r="M1008" s="12"/>
      <c r="N1008" s="16"/>
    </row>
    <row r="1009" spans="1:14" ht="20" hidden="1" customHeight="1">
      <c r="A1009" s="9">
        <v>45444</v>
      </c>
      <c r="B1009" s="10"/>
      <c r="C1009" s="10" t="s">
        <v>4396</v>
      </c>
      <c r="D1009" s="10" t="s">
        <v>4249</v>
      </c>
      <c r="E1009" s="10" t="s">
        <v>1623</v>
      </c>
      <c r="F1009" s="10" t="str">
        <f>IFERROR(VLOOKUP(VENTAS[[#This Row],[Código del producto Vendido]],STOCK[],5,FALSE),"-")</f>
        <v>Vestido Becka</v>
      </c>
      <c r="G1009" s="10">
        <v>1</v>
      </c>
      <c r="H1009" s="12">
        <v>25</v>
      </c>
      <c r="I1009" s="12">
        <f>VENTAS[[#This Row],[Cantidad]]*VENTAS[[#This Row],[Precio Venta]]</f>
        <v>25</v>
      </c>
      <c r="J1009" s="12">
        <f>IF(VENTAS[[#This Row],[Nombre del Gestor]]&gt;1,VENTAS[[#This Row],[Total]]*10%,0)</f>
        <v>2.5</v>
      </c>
      <c r="K1009" s="12">
        <f>IFERROR(VLOOKUP(VENTAS[[#This Row],[Código del producto Vendido]],STOCK[],16,FALSE)*VENTAS[[#This Row],[Cantidad]]+VLOOKUP(VENTAS[[#This Row],[Código del producto Vendido]],STOCK[],19,FALSE)*VENTAS[[#This Row],[Cantidad]],VENTAS[[#This Row],[Total]])</f>
        <v>12.4</v>
      </c>
      <c r="L1009" s="12">
        <f>VENTAS[[#This Row],[Total]]-VENTAS[[#This Row],[Comisión 10%]]-VENTAS[[#This Row],[Costo SIN Comision]]</f>
        <v>10.1</v>
      </c>
      <c r="M1009" s="12"/>
      <c r="N1009" s="16"/>
    </row>
    <row r="1010" spans="1:14" ht="20" hidden="1" customHeight="1">
      <c r="A1010" s="9">
        <v>45474</v>
      </c>
      <c r="B1010" s="10"/>
      <c r="C1010" s="10" t="s">
        <v>4397</v>
      </c>
      <c r="D1010" s="10" t="s">
        <v>4380</v>
      </c>
      <c r="E1010" s="10" t="s">
        <v>2332</v>
      </c>
      <c r="F1010" s="10" t="str">
        <f>IFERROR(VLOOKUP(VENTAS[[#This Row],[Código del producto Vendido]],STOCK[],5,FALSE),"-")</f>
        <v>Pantalón palazzo estiloso</v>
      </c>
      <c r="G1010" s="10">
        <v>1</v>
      </c>
      <c r="H1010" s="12">
        <v>20</v>
      </c>
      <c r="I1010" s="12">
        <f>VENTAS[[#This Row],[Cantidad]]*VENTAS[[#This Row],[Precio Venta]]</f>
        <v>20</v>
      </c>
      <c r="J1010" s="12">
        <f>IF(VENTAS[[#This Row],[Nombre del Gestor]]&gt;1,VENTAS[[#This Row],[Total]]*10%,0)</f>
        <v>2</v>
      </c>
      <c r="K1010" s="12">
        <f>IFERROR(VLOOKUP(VENTAS[[#This Row],[Código del producto Vendido]],STOCK[],16,FALSE)*VENTAS[[#This Row],[Cantidad]]+VLOOKUP(VENTAS[[#This Row],[Código del producto Vendido]],STOCK[],19,FALSE)*VENTAS[[#This Row],[Cantidad]],VENTAS[[#This Row],[Total]])</f>
        <v>10.914375</v>
      </c>
      <c r="L1010" s="12">
        <f>VENTAS[[#This Row],[Total]]-VENTAS[[#This Row],[Comisión 10%]]-VENTAS[[#This Row],[Costo SIN Comision]]</f>
        <v>7.0856250000000003</v>
      </c>
      <c r="M1010" s="12"/>
      <c r="N1010" s="16"/>
    </row>
    <row r="1011" spans="1:14" ht="20" hidden="1" customHeight="1">
      <c r="A1011" s="9">
        <v>45474</v>
      </c>
      <c r="B1011" s="10"/>
      <c r="C1011" s="10" t="s">
        <v>4398</v>
      </c>
      <c r="D1011" s="10" t="s">
        <v>4380</v>
      </c>
      <c r="E1011" s="10" t="s">
        <v>987</v>
      </c>
      <c r="F1011" s="10" t="str">
        <f>IFERROR(VLOOKUP(VENTAS[[#This Row],[Código del producto Vendido]],STOCK[],5,FALSE),"-")</f>
        <v>Vestido con doble abertura</v>
      </c>
      <c r="G1011" s="10">
        <v>1</v>
      </c>
      <c r="H1011" s="12">
        <v>20</v>
      </c>
      <c r="I1011" s="12">
        <f>VENTAS[[#This Row],[Cantidad]]*VENTAS[[#This Row],[Precio Venta]]</f>
        <v>20</v>
      </c>
      <c r="J1011" s="12">
        <f>IF(VENTAS[[#This Row],[Nombre del Gestor]]&gt;1,VENTAS[[#This Row],[Total]]*10%,0)</f>
        <v>2</v>
      </c>
      <c r="K1011" s="12">
        <f>IFERROR(VLOOKUP(VENTAS[[#This Row],[Código del producto Vendido]],STOCK[],16,FALSE)*VENTAS[[#This Row],[Cantidad]]+VLOOKUP(VENTAS[[#This Row],[Código del producto Vendido]],STOCK[],19,FALSE)*VENTAS[[#This Row],[Cantidad]],VENTAS[[#This Row],[Total]])</f>
        <v>15.527727272727301</v>
      </c>
      <c r="L1011" s="12">
        <f>VENTAS[[#This Row],[Total]]-VENTAS[[#This Row],[Comisión 10%]]-VENTAS[[#This Row],[Costo SIN Comision]]</f>
        <v>2.4722727272726992</v>
      </c>
      <c r="M1011" s="12"/>
      <c r="N1011" s="16"/>
    </row>
    <row r="1012" spans="1:14" ht="20" hidden="1" customHeight="1">
      <c r="A1012" s="9">
        <v>45475</v>
      </c>
      <c r="B1012" s="10"/>
      <c r="C1012" s="10"/>
      <c r="D1012" s="10" t="s">
        <v>4373</v>
      </c>
      <c r="E1012" s="10" t="s">
        <v>1173</v>
      </c>
      <c r="F1012" s="10" t="str">
        <f>IFERROR(VLOOKUP(VENTAS[[#This Row],[Código del producto Vendido]],STOCK[],5,FALSE),"-")</f>
        <v>Vestido camisero con estampado y cinturón </v>
      </c>
      <c r="G1012" s="10">
        <v>1</v>
      </c>
      <c r="H1012" s="12">
        <v>28</v>
      </c>
      <c r="I1012" s="12">
        <f>VENTAS[[#This Row],[Cantidad]]*VENTAS[[#This Row],[Precio Venta]]</f>
        <v>28</v>
      </c>
      <c r="J1012" s="12">
        <f>IF(VENTAS[[#This Row],[Nombre del Gestor]]&gt;1,VENTAS[[#This Row],[Total]]*10%,0)</f>
        <v>2.8000000000000003</v>
      </c>
      <c r="K1012" s="12">
        <f>IFERROR(VLOOKUP(VENTAS[[#This Row],[Código del producto Vendido]],STOCK[],16,FALSE)*VENTAS[[#This Row],[Cantidad]]+VLOOKUP(VENTAS[[#This Row],[Código del producto Vendido]],STOCK[],19,FALSE)*VENTAS[[#This Row],[Cantidad]],VENTAS[[#This Row],[Total]])</f>
        <v>17.649999999999999</v>
      </c>
      <c r="L1012" s="12">
        <f>VENTAS[[#This Row],[Total]]-VENTAS[[#This Row],[Comisión 10%]]-VENTAS[[#This Row],[Costo SIN Comision]]</f>
        <v>7.5500000000000007</v>
      </c>
      <c r="M1012" s="12"/>
      <c r="N1012" s="16"/>
    </row>
    <row r="1013" spans="1:14" ht="20" hidden="1" customHeight="1">
      <c r="A1013" s="9">
        <v>45475</v>
      </c>
      <c r="B1013" s="10"/>
      <c r="C1013" s="10" t="s">
        <v>4399</v>
      </c>
      <c r="D1013" s="10" t="s">
        <v>4211</v>
      </c>
      <c r="E1013" s="10" t="s">
        <v>1233</v>
      </c>
      <c r="F1013" s="10" t="str">
        <f>IFERROR(VLOOKUP(VENTAS[[#This Row],[Código del producto Vendido]],STOCK[],5,FALSE),"-")</f>
        <v xml:space="preserve">Short elegante de pierna ancha con doblez </v>
      </c>
      <c r="G1013" s="10">
        <v>1</v>
      </c>
      <c r="H1013" s="12">
        <v>22</v>
      </c>
      <c r="I1013" s="12">
        <f>VENTAS[[#This Row],[Cantidad]]*VENTAS[[#This Row],[Precio Venta]]</f>
        <v>22</v>
      </c>
      <c r="J1013" s="12">
        <f>IF(VENTAS[[#This Row],[Nombre del Gestor]]&gt;1,VENTAS[[#This Row],[Total]]*10%,0)</f>
        <v>2.2000000000000002</v>
      </c>
      <c r="K1013" s="12">
        <f>IFERROR(VLOOKUP(VENTAS[[#This Row],[Código del producto Vendido]],STOCK[],16,FALSE)*VENTAS[[#This Row],[Cantidad]]+VLOOKUP(VENTAS[[#This Row],[Código del producto Vendido]],STOCK[],19,FALSE)*VENTAS[[#This Row],[Cantidad]],VENTAS[[#This Row],[Total]])</f>
        <v>14.37</v>
      </c>
      <c r="L1013" s="12">
        <f>VENTAS[[#This Row],[Total]]-VENTAS[[#This Row],[Comisión 10%]]-VENTAS[[#This Row],[Costo SIN Comision]]</f>
        <v>5.4300000000000015</v>
      </c>
      <c r="M1013" s="12"/>
      <c r="N1013" s="16"/>
    </row>
    <row r="1014" spans="1:14" ht="20" hidden="1" customHeight="1">
      <c r="A1014" s="9">
        <v>45475</v>
      </c>
      <c r="B1014" s="10"/>
      <c r="C1014" s="10" t="s">
        <v>4399</v>
      </c>
      <c r="D1014" s="10" t="s">
        <v>4211</v>
      </c>
      <c r="E1014" s="10" t="s">
        <v>1744</v>
      </c>
      <c r="F1014" s="10" t="str">
        <f>IFERROR(VLOOKUP(VENTAS[[#This Row],[Código del producto Vendido]],STOCK[],5,FALSE),"-")</f>
        <v>Kimono Dazy Elegante</v>
      </c>
      <c r="G1014" s="10">
        <v>1</v>
      </c>
      <c r="H1014" s="12">
        <v>22</v>
      </c>
      <c r="I1014" s="12">
        <f>VENTAS[[#This Row],[Cantidad]]*VENTAS[[#This Row],[Precio Venta]]</f>
        <v>22</v>
      </c>
      <c r="J1014" s="12">
        <f>IF(VENTAS[[#This Row],[Nombre del Gestor]]&gt;1,VENTAS[[#This Row],[Total]]*10%,0)</f>
        <v>2.2000000000000002</v>
      </c>
      <c r="K1014" s="12">
        <f>IFERROR(VLOOKUP(VENTAS[[#This Row],[Código del producto Vendido]],STOCK[],16,FALSE)*VENTAS[[#This Row],[Cantidad]]+VLOOKUP(VENTAS[[#This Row],[Código del producto Vendido]],STOCK[],19,FALSE)*VENTAS[[#This Row],[Cantidad]],VENTAS[[#This Row],[Total]])</f>
        <v>13.352941176470591</v>
      </c>
      <c r="L1014" s="12">
        <f>VENTAS[[#This Row],[Total]]-VENTAS[[#This Row],[Comisión 10%]]-VENTAS[[#This Row],[Costo SIN Comision]]</f>
        <v>6.4470588235294102</v>
      </c>
      <c r="M1014" s="12"/>
      <c r="N1014" s="16"/>
    </row>
    <row r="1015" spans="1:14" ht="20" hidden="1" customHeight="1">
      <c r="A1015" s="9">
        <v>45475</v>
      </c>
      <c r="B1015" s="10"/>
      <c r="C1015" s="10"/>
      <c r="D1015" s="10" t="s">
        <v>4349</v>
      </c>
      <c r="E1015" s="10" t="s">
        <v>1004</v>
      </c>
      <c r="F1015" s="10" t="str">
        <f>IFERROR(VLOOKUP(VENTAS[[#This Row],[Código del producto Vendido]],STOCK[],5,FALSE),"-")</f>
        <v>Vestido frenchy de puntos</v>
      </c>
      <c r="G1015" s="10">
        <v>1</v>
      </c>
      <c r="H1015" s="12">
        <v>25</v>
      </c>
      <c r="I1015" s="12">
        <f>VENTAS[[#This Row],[Cantidad]]*VENTAS[[#This Row],[Precio Venta]]</f>
        <v>25</v>
      </c>
      <c r="J1015" s="12">
        <f>IF(VENTAS[[#This Row],[Nombre del Gestor]]&gt;1,VENTAS[[#This Row],[Total]]*10%,0)</f>
        <v>2.5</v>
      </c>
      <c r="K1015" s="12">
        <f>IFERROR(VLOOKUP(VENTAS[[#This Row],[Código del producto Vendido]],STOCK[],16,FALSE)*VENTAS[[#This Row],[Cantidad]]+VLOOKUP(VENTAS[[#This Row],[Código del producto Vendido]],STOCK[],19,FALSE)*VENTAS[[#This Row],[Cantidad]],VENTAS[[#This Row],[Total]])</f>
        <v>15.3272727272727</v>
      </c>
      <c r="L1015" s="12">
        <f>VENTAS[[#This Row],[Total]]-VENTAS[[#This Row],[Comisión 10%]]-VENTAS[[#This Row],[Costo SIN Comision]]</f>
        <v>7.1727272727273004</v>
      </c>
      <c r="M1015" s="12"/>
      <c r="N1015" s="16"/>
    </row>
    <row r="1016" spans="1:14" ht="20" hidden="1" customHeight="1">
      <c r="A1016" s="9">
        <v>45475</v>
      </c>
      <c r="B1016" s="10"/>
      <c r="C1016" s="10"/>
      <c r="D1016" s="10" t="s">
        <v>4349</v>
      </c>
      <c r="E1016" s="10" t="s">
        <v>1214</v>
      </c>
      <c r="F1016" s="10" t="str">
        <f>IFERROR(VLOOKUP(VENTAS[[#This Row],[Código del producto Vendido]],STOCK[],5,FALSE),"-")</f>
        <v>Falda negra con flores y abertura</v>
      </c>
      <c r="G1016" s="10">
        <v>1</v>
      </c>
      <c r="H1016" s="12">
        <v>18</v>
      </c>
      <c r="I1016" s="12">
        <f>VENTAS[[#This Row],[Cantidad]]*VENTAS[[#This Row],[Precio Venta]]</f>
        <v>18</v>
      </c>
      <c r="J1016" s="12">
        <f>IF(VENTAS[[#This Row],[Nombre del Gestor]]&gt;1,VENTAS[[#This Row],[Total]]*10%,0)</f>
        <v>1.8</v>
      </c>
      <c r="K1016" s="12">
        <f>IFERROR(VLOOKUP(VENTAS[[#This Row],[Código del producto Vendido]],STOCK[],16,FALSE)*VENTAS[[#This Row],[Cantidad]]+VLOOKUP(VENTAS[[#This Row],[Código del producto Vendido]],STOCK[],19,FALSE)*VENTAS[[#This Row],[Cantidad]],VENTAS[[#This Row],[Total]])</f>
        <v>10.77</v>
      </c>
      <c r="L1016" s="12">
        <f>VENTAS[[#This Row],[Total]]-VENTAS[[#This Row],[Comisión 10%]]-VENTAS[[#This Row],[Costo SIN Comision]]</f>
        <v>5.43</v>
      </c>
      <c r="M1016" s="12"/>
      <c r="N1016" s="16"/>
    </row>
    <row r="1017" spans="1:14" ht="20" hidden="1" customHeight="1">
      <c r="A1017" s="9">
        <v>45475</v>
      </c>
      <c r="B1017" s="10"/>
      <c r="C1017" s="10"/>
      <c r="D1017" s="10" t="s">
        <v>4349</v>
      </c>
      <c r="E1017" s="10" t="s">
        <v>1170</v>
      </c>
      <c r="F1017" s="10" t="str">
        <f>IFERROR(VLOOKUP(VENTAS[[#This Row],[Código del producto Vendido]],STOCK[],5,FALSE),"-")</f>
        <v>Pullover Dazy cuello redondo Blanco</v>
      </c>
      <c r="G1017" s="10">
        <v>1</v>
      </c>
      <c r="H1017" s="12">
        <v>13</v>
      </c>
      <c r="I1017" s="12">
        <f>VENTAS[[#This Row],[Cantidad]]*VENTAS[[#This Row],[Precio Venta]]</f>
        <v>13</v>
      </c>
      <c r="J1017" s="12">
        <f>IF(VENTAS[[#This Row],[Nombre del Gestor]]&gt;1,VENTAS[[#This Row],[Total]]*10%,0)</f>
        <v>1.3</v>
      </c>
      <c r="K1017" s="12">
        <f>IFERROR(VLOOKUP(VENTAS[[#This Row],[Código del producto Vendido]],STOCK[],16,FALSE)*VENTAS[[#This Row],[Cantidad]]+VLOOKUP(VENTAS[[#This Row],[Código del producto Vendido]],STOCK[],19,FALSE)*VENTAS[[#This Row],[Cantidad]],VENTAS[[#This Row],[Total]])</f>
        <v>8.61</v>
      </c>
      <c r="L1017" s="12">
        <f>VENTAS[[#This Row],[Total]]-VENTAS[[#This Row],[Comisión 10%]]-VENTAS[[#This Row],[Costo SIN Comision]]</f>
        <v>3.09</v>
      </c>
      <c r="M1017" s="12"/>
      <c r="N1017" s="16"/>
    </row>
    <row r="1018" spans="1:14" ht="20" hidden="1" customHeight="1">
      <c r="A1018" s="9">
        <v>45474</v>
      </c>
      <c r="B1018" s="10"/>
      <c r="C1018" s="10"/>
      <c r="D1018" s="10" t="s">
        <v>4378</v>
      </c>
      <c r="E1018" s="10" t="s">
        <v>1167</v>
      </c>
      <c r="F1018" s="10" t="str">
        <f>IFERROR(VLOOKUP(VENTAS[[#This Row],[Código del producto Vendido]],STOCK[],5,FALSE),"-")</f>
        <v>Short de mezclilla clara (no elastiza)</v>
      </c>
      <c r="G1018" s="10">
        <v>1</v>
      </c>
      <c r="H1018" s="12">
        <v>20</v>
      </c>
      <c r="I1018" s="12">
        <f>VENTAS[[#This Row],[Cantidad]]*VENTAS[[#This Row],[Precio Venta]]</f>
        <v>20</v>
      </c>
      <c r="J1018" s="12">
        <f>IF(VENTAS[[#This Row],[Nombre del Gestor]]&gt;1,VENTAS[[#This Row],[Total]]*10%,0)</f>
        <v>2</v>
      </c>
      <c r="K1018" s="12">
        <f>IFERROR(VLOOKUP(VENTAS[[#This Row],[Código del producto Vendido]],STOCK[],16,FALSE)*VENTAS[[#This Row],[Cantidad]]+VLOOKUP(VENTAS[[#This Row],[Código del producto Vendido]],STOCK[],19,FALSE)*VENTAS[[#This Row],[Cantidad]],VENTAS[[#This Row],[Total]])</f>
        <v>14.29</v>
      </c>
      <c r="L1018" s="12">
        <f>VENTAS[[#This Row],[Total]]-VENTAS[[#This Row],[Comisión 10%]]-VENTAS[[#This Row],[Costo SIN Comision]]</f>
        <v>3.7100000000000009</v>
      </c>
      <c r="M1018" s="12"/>
      <c r="N1018" s="16"/>
    </row>
    <row r="1019" spans="1:14" ht="20" hidden="1" customHeight="1">
      <c r="A1019" s="9">
        <v>45459</v>
      </c>
      <c r="B1019" s="10"/>
      <c r="C1019" s="10"/>
      <c r="D1019" s="10" t="s">
        <v>4349</v>
      </c>
      <c r="E1019" s="10" t="s">
        <v>1826</v>
      </c>
      <c r="F1019" s="10" t="str">
        <f>IFERROR(VLOOKUP(VENTAS[[#This Row],[Código del producto Vendido]],STOCK[],5,FALSE),"-")</f>
        <v>Vestido Midi Elegante</v>
      </c>
      <c r="G1019" s="10">
        <v>1</v>
      </c>
      <c r="H1019" s="12">
        <v>22</v>
      </c>
      <c r="I1019" s="12">
        <f>VENTAS[[#This Row],[Cantidad]]*VENTAS[[#This Row],[Precio Venta]]</f>
        <v>22</v>
      </c>
      <c r="J1019" s="12">
        <f>IF(VENTAS[[#This Row],[Nombre del Gestor]]&gt;1,VENTAS[[#This Row],[Total]]*10%,0)</f>
        <v>2.2000000000000002</v>
      </c>
      <c r="K1019" s="12">
        <f>IFERROR(VLOOKUP(VENTAS[[#This Row],[Código del producto Vendido]],STOCK[],16,FALSE)*VENTAS[[#This Row],[Cantidad]]+VLOOKUP(VENTAS[[#This Row],[Código del producto Vendido]],STOCK[],19,FALSE)*VENTAS[[#This Row],[Cantidad]],VENTAS[[#This Row],[Total]])</f>
        <v>10.790000000000001</v>
      </c>
      <c r="L1019" s="12">
        <f>VENTAS[[#This Row],[Total]]-VENTAS[[#This Row],[Comisión 10%]]-VENTAS[[#This Row],[Costo SIN Comision]]</f>
        <v>9.01</v>
      </c>
      <c r="M1019" s="12"/>
      <c r="N1019" s="16"/>
    </row>
    <row r="1020" spans="1:14" ht="20" hidden="1" customHeight="1">
      <c r="A1020" s="9">
        <v>45450</v>
      </c>
      <c r="B1020" s="10"/>
      <c r="C1020" s="10"/>
      <c r="D1020" s="10" t="s">
        <v>4349</v>
      </c>
      <c r="E1020" s="10" t="s">
        <v>1597</v>
      </c>
      <c r="F1020" s="10" t="str">
        <f>IFERROR(VLOOKUP(VENTAS[[#This Row],[Código del producto Vendido]],STOCK[],5,FALSE),"-")</f>
        <v>Sandalias flip de plataforma Negro</v>
      </c>
      <c r="G1020" s="10">
        <v>1</v>
      </c>
      <c r="H1020" s="12">
        <v>15</v>
      </c>
      <c r="I1020" s="12">
        <f>VENTAS[[#This Row],[Cantidad]]*VENTAS[[#This Row],[Precio Venta]]</f>
        <v>15</v>
      </c>
      <c r="J1020" s="12">
        <f>IF(VENTAS[[#This Row],[Nombre del Gestor]]&gt;1,VENTAS[[#This Row],[Total]]*10%,0)</f>
        <v>1.5</v>
      </c>
      <c r="K1020" s="12">
        <f>IFERROR(VLOOKUP(VENTAS[[#This Row],[Código del producto Vendido]],STOCK[],16,FALSE)*VENTAS[[#This Row],[Cantidad]]+VLOOKUP(VENTAS[[#This Row],[Código del producto Vendido]],STOCK[],19,FALSE)*VENTAS[[#This Row],[Cantidad]],VENTAS[[#This Row],[Total]])</f>
        <v>9.49</v>
      </c>
      <c r="L1020" s="12">
        <f>VENTAS[[#This Row],[Total]]-VENTAS[[#This Row],[Comisión 10%]]-VENTAS[[#This Row],[Costo SIN Comision]]</f>
        <v>4.01</v>
      </c>
      <c r="M1020" s="12"/>
      <c r="N1020" s="16"/>
    </row>
    <row r="1021" spans="1:14" ht="20" hidden="1" customHeight="1">
      <c r="A1021" s="9">
        <v>45479</v>
      </c>
      <c r="B1021" s="10"/>
      <c r="C1021" s="10"/>
      <c r="D1021" s="10" t="s">
        <v>4349</v>
      </c>
      <c r="E1021" s="10" t="s">
        <v>2212</v>
      </c>
      <c r="F1021" s="10" t="str">
        <f>IFERROR(VLOOKUP(VENTAS[[#This Row],[Código del producto Vendido]],STOCK[],5,FALSE),"-")</f>
        <v>Vestido Resorte estampado bohemio</v>
      </c>
      <c r="G1021" s="10">
        <v>1</v>
      </c>
      <c r="H1021" s="12">
        <v>35</v>
      </c>
      <c r="I1021" s="12">
        <f>VENTAS[[#This Row],[Cantidad]]*VENTAS[[#This Row],[Precio Venta]]</f>
        <v>35</v>
      </c>
      <c r="J1021" s="12">
        <f>IF(VENTAS[[#This Row],[Nombre del Gestor]]&gt;1,VENTAS[[#This Row],[Total]]*10%,0)</f>
        <v>3.5</v>
      </c>
      <c r="K1021" s="12">
        <f>IFERROR(VLOOKUP(VENTAS[[#This Row],[Código del producto Vendido]],STOCK[],16,FALSE)*VENTAS[[#This Row],[Cantidad]]+VLOOKUP(VENTAS[[#This Row],[Código del producto Vendido]],STOCK[],19,FALSE)*VENTAS[[#This Row],[Cantidad]],VENTAS[[#This Row],[Total]])</f>
        <v>15.389999999999999</v>
      </c>
      <c r="L1021" s="12">
        <f>VENTAS[[#This Row],[Total]]-VENTAS[[#This Row],[Comisión 10%]]-VENTAS[[#This Row],[Costo SIN Comision]]</f>
        <v>16.11</v>
      </c>
      <c r="M1021" s="12"/>
      <c r="N1021" s="16"/>
    </row>
    <row r="1022" spans="1:14" ht="20" hidden="1" customHeight="1">
      <c r="A1022" s="9">
        <v>45479</v>
      </c>
      <c r="B1022" s="10"/>
      <c r="C1022" s="10"/>
      <c r="D1022" s="10" t="s">
        <v>4349</v>
      </c>
      <c r="E1022" s="10" t="s">
        <v>2257</v>
      </c>
      <c r="F1022" s="10" t="str">
        <f>IFERROR(VLOOKUP(VENTAS[[#This Row],[Código del producto Vendido]],STOCK[],5,FALSE),"-")</f>
        <v>Vestido Resorte estampado bohemio</v>
      </c>
      <c r="G1022" s="10">
        <v>1</v>
      </c>
      <c r="H1022" s="12">
        <v>35</v>
      </c>
      <c r="I1022" s="12">
        <f>VENTAS[[#This Row],[Cantidad]]*VENTAS[[#This Row],[Precio Venta]]</f>
        <v>35</v>
      </c>
      <c r="J1022" s="12">
        <f>IF(VENTAS[[#This Row],[Nombre del Gestor]]&gt;1,VENTAS[[#This Row],[Total]]*10%,0)</f>
        <v>3.5</v>
      </c>
      <c r="K1022" s="12">
        <f>IFERROR(VLOOKUP(VENTAS[[#This Row],[Código del producto Vendido]],STOCK[],16,FALSE)*VENTAS[[#This Row],[Cantidad]]+VLOOKUP(VENTAS[[#This Row],[Código del producto Vendido]],STOCK[],19,FALSE)*VENTAS[[#This Row],[Cantidad]],VENTAS[[#This Row],[Total]])</f>
        <v>15.389999999999999</v>
      </c>
      <c r="L1022" s="12">
        <f>VENTAS[[#This Row],[Total]]-VENTAS[[#This Row],[Comisión 10%]]-VENTAS[[#This Row],[Costo SIN Comision]]</f>
        <v>16.11</v>
      </c>
      <c r="M1022" s="12"/>
      <c r="N1022" s="16"/>
    </row>
    <row r="1023" spans="1:14" ht="20" hidden="1" customHeight="1">
      <c r="A1023" s="9">
        <v>45479</v>
      </c>
      <c r="B1023" s="10"/>
      <c r="C1023" s="10"/>
      <c r="D1023" s="10" t="s">
        <v>4349</v>
      </c>
      <c r="E1023" s="10" t="s">
        <v>2292</v>
      </c>
      <c r="F1023" s="10" t="str">
        <f>IFERROR(VLOOKUP(VENTAS[[#This Row],[Código del producto Vendido]],STOCK[],5,FALSE),"-")</f>
        <v>Maxi vestido de cuello healter de Lunares</v>
      </c>
      <c r="G1023" s="10">
        <v>1</v>
      </c>
      <c r="H1023" s="12">
        <v>35</v>
      </c>
      <c r="I1023" s="12">
        <f>VENTAS[[#This Row],[Cantidad]]*VENTAS[[#This Row],[Precio Venta]]</f>
        <v>35</v>
      </c>
      <c r="J1023" s="12">
        <f>IF(VENTAS[[#This Row],[Nombre del Gestor]]&gt;1,VENTAS[[#This Row],[Total]]*10%,0)</f>
        <v>3.5</v>
      </c>
      <c r="K1023" s="12">
        <f>IFERROR(VLOOKUP(VENTAS[[#This Row],[Código del producto Vendido]],STOCK[],16,FALSE)*VENTAS[[#This Row],[Cantidad]]+VLOOKUP(VENTAS[[#This Row],[Código del producto Vendido]],STOCK[],19,FALSE)*VENTAS[[#This Row],[Cantidad]],VENTAS[[#This Row],[Total]])</f>
        <v>12.69</v>
      </c>
      <c r="L1023" s="12">
        <f>VENTAS[[#This Row],[Total]]-VENTAS[[#This Row],[Comisión 10%]]-VENTAS[[#This Row],[Costo SIN Comision]]</f>
        <v>18.810000000000002</v>
      </c>
      <c r="M1023" s="12"/>
      <c r="N1023" s="16"/>
    </row>
    <row r="1024" spans="1:14" ht="20" hidden="1" customHeight="1">
      <c r="A1024" s="9">
        <v>45479</v>
      </c>
      <c r="B1024" s="10"/>
      <c r="C1024" s="10"/>
      <c r="D1024" s="10" t="s">
        <v>4349</v>
      </c>
      <c r="E1024" s="10" t="s">
        <v>2322</v>
      </c>
      <c r="F1024" s="10" t="str">
        <f>IFERROR(VLOOKUP(VENTAS[[#This Row],[Código del producto Vendido]],STOCK[],5,FALSE),"-")</f>
        <v>Vestido color block de bajo asimétrico</v>
      </c>
      <c r="G1024" s="10">
        <v>1</v>
      </c>
      <c r="H1024" s="12">
        <v>30</v>
      </c>
      <c r="I1024" s="12">
        <f>VENTAS[[#This Row],[Cantidad]]*VENTAS[[#This Row],[Precio Venta]]</f>
        <v>30</v>
      </c>
      <c r="J1024" s="12">
        <f>IF(VENTAS[[#This Row],[Nombre del Gestor]]&gt;1,VENTAS[[#This Row],[Total]]*10%,0)</f>
        <v>3</v>
      </c>
      <c r="K1024" s="12">
        <f>IFERROR(VLOOKUP(VENTAS[[#This Row],[Código del producto Vendido]],STOCK[],16,FALSE)*VENTAS[[#This Row],[Cantidad]]+VLOOKUP(VENTAS[[#This Row],[Código del producto Vendido]],STOCK[],19,FALSE)*VENTAS[[#This Row],[Cantidad]],VENTAS[[#This Row],[Total]])</f>
        <v>17.214375</v>
      </c>
      <c r="L1024" s="12">
        <f>VENTAS[[#This Row],[Total]]-VENTAS[[#This Row],[Comisión 10%]]-VENTAS[[#This Row],[Costo SIN Comision]]</f>
        <v>9.7856249999999996</v>
      </c>
      <c r="M1024" s="12"/>
      <c r="N1024" s="16"/>
    </row>
    <row r="1025" spans="1:14" ht="20" hidden="1" customHeight="1">
      <c r="A1025" s="9">
        <v>45479</v>
      </c>
      <c r="B1025" s="10"/>
      <c r="C1025" s="10"/>
      <c r="D1025" s="10" t="s">
        <v>4349</v>
      </c>
      <c r="E1025" s="10" t="s">
        <v>1620</v>
      </c>
      <c r="F1025" s="10" t="str">
        <f>IFERROR(VLOOKUP(VENTAS[[#This Row],[Código del producto Vendido]],STOCK[],5,FALSE),"-")</f>
        <v>Vestido largo estampado</v>
      </c>
      <c r="G1025" s="10">
        <v>1</v>
      </c>
      <c r="H1025" s="12">
        <v>30</v>
      </c>
      <c r="I1025" s="12">
        <f>VENTAS[[#This Row],[Cantidad]]*VENTAS[[#This Row],[Precio Venta]]</f>
        <v>30</v>
      </c>
      <c r="J1025" s="12">
        <f>IF(VENTAS[[#This Row],[Nombre del Gestor]]&gt;1,VENTAS[[#This Row],[Total]]*10%,0)</f>
        <v>3</v>
      </c>
      <c r="K1025" s="12">
        <f>IFERROR(VLOOKUP(VENTAS[[#This Row],[Código del producto Vendido]],STOCK[],16,FALSE)*VENTAS[[#This Row],[Cantidad]]+VLOOKUP(VENTAS[[#This Row],[Código del producto Vendido]],STOCK[],19,FALSE)*VENTAS[[#This Row],[Cantidad]],VENTAS[[#This Row],[Total]])</f>
        <v>15.09</v>
      </c>
      <c r="L1025" s="12">
        <f>VENTAS[[#This Row],[Total]]-VENTAS[[#This Row],[Comisión 10%]]-VENTAS[[#This Row],[Costo SIN Comision]]</f>
        <v>11.91</v>
      </c>
      <c r="M1025" s="12"/>
      <c r="N1025" s="16"/>
    </row>
    <row r="1026" spans="1:14" ht="20" hidden="1" customHeight="1">
      <c r="A1026" s="9">
        <v>45479</v>
      </c>
      <c r="B1026" s="10"/>
      <c r="C1026" s="10"/>
      <c r="D1026" s="10" t="s">
        <v>4349</v>
      </c>
      <c r="E1026" s="10" t="s">
        <v>1130</v>
      </c>
      <c r="F1026" s="10" t="str">
        <f>IFERROR(VLOOKUP(VENTAS[[#This Row],[Código del producto Vendido]],STOCK[],5,FALSE),"-")</f>
        <v>Maxi vestido floreado con abertura</v>
      </c>
      <c r="G1026" s="10">
        <v>1</v>
      </c>
      <c r="H1026" s="12">
        <v>35</v>
      </c>
      <c r="I1026" s="12">
        <f>VENTAS[[#This Row],[Cantidad]]*VENTAS[[#This Row],[Precio Venta]]</f>
        <v>35</v>
      </c>
      <c r="J1026" s="12">
        <f>IF(VENTAS[[#This Row],[Nombre del Gestor]]&gt;1,VENTAS[[#This Row],[Total]]*10%,0)</f>
        <v>3.5</v>
      </c>
      <c r="K1026" s="12">
        <f>IFERROR(VLOOKUP(VENTAS[[#This Row],[Código del producto Vendido]],STOCK[],16,FALSE)*VENTAS[[#This Row],[Cantidad]]+VLOOKUP(VENTAS[[#This Row],[Código del producto Vendido]],STOCK[],19,FALSE)*VENTAS[[#This Row],[Cantidad]],VENTAS[[#This Row],[Total]])</f>
        <v>23.654411764705898</v>
      </c>
      <c r="L1026" s="12">
        <f>VENTAS[[#This Row],[Total]]-VENTAS[[#This Row],[Comisión 10%]]-VENTAS[[#This Row],[Costo SIN Comision]]</f>
        <v>7.8455882352941018</v>
      </c>
      <c r="M1026" s="12"/>
      <c r="N1026" s="16"/>
    </row>
    <row r="1027" spans="1:14" ht="20" hidden="1" customHeight="1">
      <c r="A1027" s="9">
        <v>45476</v>
      </c>
      <c r="B1027" s="10"/>
      <c r="C1027" s="10"/>
      <c r="D1027" s="10" t="s">
        <v>4374</v>
      </c>
      <c r="E1027" s="10" t="s">
        <v>1107</v>
      </c>
      <c r="F1027" s="10" t="str">
        <f>IFERROR(VLOOKUP(VENTAS[[#This Row],[Código del producto Vendido]],STOCK[],5,FALSE),"-")</f>
        <v>Jumpsuit Palazzo Oliva</v>
      </c>
      <c r="G1027" s="10">
        <v>1</v>
      </c>
      <c r="H1027" s="12">
        <v>28</v>
      </c>
      <c r="I1027" s="12">
        <f>VENTAS[[#This Row],[Cantidad]]*VENTAS[[#This Row],[Precio Venta]]</f>
        <v>28</v>
      </c>
      <c r="J1027" s="12">
        <f>IF(VENTAS[[#This Row],[Nombre del Gestor]]&gt;1,VENTAS[[#This Row],[Total]]*10%,0)</f>
        <v>2.8000000000000003</v>
      </c>
      <c r="K1027" s="12">
        <f>IFERROR(VLOOKUP(VENTAS[[#This Row],[Código del producto Vendido]],STOCK[],16,FALSE)*VENTAS[[#This Row],[Cantidad]]+VLOOKUP(VENTAS[[#This Row],[Código del producto Vendido]],STOCK[],19,FALSE)*VENTAS[[#This Row],[Cantidad]],VENTAS[[#This Row],[Total]])</f>
        <v>18.4279411764706</v>
      </c>
      <c r="L1027" s="12">
        <f>VENTAS[[#This Row],[Total]]-VENTAS[[#This Row],[Comisión 10%]]-VENTAS[[#This Row],[Costo SIN Comision]]</f>
        <v>6.7720588235293988</v>
      </c>
      <c r="M1027" s="12"/>
      <c r="N1027" s="16"/>
    </row>
    <row r="1028" spans="1:14" ht="20" hidden="1" customHeight="1">
      <c r="A1028" s="9">
        <v>45479</v>
      </c>
      <c r="B1028" s="10"/>
      <c r="C1028" s="10"/>
      <c r="D1028" s="10" t="s">
        <v>4349</v>
      </c>
      <c r="E1028" s="10" t="s">
        <v>717</v>
      </c>
      <c r="F1028" s="10" t="str">
        <f>IFERROR(VLOOKUP(VENTAS[[#This Row],[Código del producto Vendido]],STOCK[],5,FALSE),"-")</f>
        <v>Vestido con cordón de ajuste H&amp;M</v>
      </c>
      <c r="G1028" s="10">
        <v>1</v>
      </c>
      <c r="H1028" s="12">
        <v>19</v>
      </c>
      <c r="I1028" s="12">
        <f>VENTAS[[#This Row],[Cantidad]]*VENTAS[[#This Row],[Precio Venta]]</f>
        <v>19</v>
      </c>
      <c r="J1028" s="12">
        <f>IF(VENTAS[[#This Row],[Nombre del Gestor]]&gt;1,VENTAS[[#This Row],[Total]]*10%,0)</f>
        <v>1.9000000000000001</v>
      </c>
      <c r="K1028" s="12">
        <f>IFERROR(VLOOKUP(VENTAS[[#This Row],[Código del producto Vendido]],STOCK[],16,FALSE)*VENTAS[[#This Row],[Cantidad]]+VLOOKUP(VENTAS[[#This Row],[Código del producto Vendido]],STOCK[],19,FALSE)*VENTAS[[#This Row],[Cantidad]],VENTAS[[#This Row],[Total]])</f>
        <v>12.944444444444439</v>
      </c>
      <c r="L1028" s="12">
        <f>VENTAS[[#This Row],[Total]]-VENTAS[[#This Row],[Comisión 10%]]-VENTAS[[#This Row],[Costo SIN Comision]]</f>
        <v>4.1555555555555621</v>
      </c>
      <c r="M1028" s="12"/>
      <c r="N1028" s="16"/>
    </row>
    <row r="1029" spans="1:14" ht="20" hidden="1" customHeight="1">
      <c r="A1029" s="9">
        <v>45482</v>
      </c>
      <c r="B1029" s="10"/>
      <c r="C1029" s="10"/>
      <c r="D1029" s="10" t="s">
        <v>4378</v>
      </c>
      <c r="E1029" s="10" t="s">
        <v>342</v>
      </c>
      <c r="F1029" s="10" t="str">
        <f>IFERROR(VLOOKUP(VENTAS[[#This Row],[Código del producto Vendido]],STOCK[],5,FALSE),"-")</f>
        <v xml:space="preserve"> Body de encaje</v>
      </c>
      <c r="G1029" s="10">
        <v>1</v>
      </c>
      <c r="H1029" s="12">
        <v>8</v>
      </c>
      <c r="I1029" s="12">
        <f>VENTAS[[#This Row],[Cantidad]]*VENTAS[[#This Row],[Precio Venta]]</f>
        <v>8</v>
      </c>
      <c r="J1029" s="12">
        <f>IF(VENTAS[[#This Row],[Nombre del Gestor]]&gt;1,VENTAS[[#This Row],[Total]]*10%,0)</f>
        <v>0.8</v>
      </c>
      <c r="K1029" s="12">
        <f>IFERROR(VLOOKUP(VENTAS[[#This Row],[Código del producto Vendido]],STOCK[],16,FALSE)*VENTAS[[#This Row],[Cantidad]]+VLOOKUP(VENTAS[[#This Row],[Código del producto Vendido]],STOCK[],19,FALSE)*VENTAS[[#This Row],[Cantidad]],VENTAS[[#This Row],[Total]])</f>
        <v>4.7666666666666702</v>
      </c>
      <c r="L1029" s="12">
        <f>VENTAS[[#This Row],[Total]]-VENTAS[[#This Row],[Comisión 10%]]-VENTAS[[#This Row],[Costo SIN Comision]]</f>
        <v>2.43333333333333</v>
      </c>
      <c r="M1029" s="12"/>
      <c r="N1029" s="16"/>
    </row>
    <row r="1030" spans="1:14" ht="20" hidden="1" customHeight="1">
      <c r="A1030" s="9">
        <v>45479</v>
      </c>
      <c r="B1030" s="10"/>
      <c r="C1030" s="10"/>
      <c r="D1030" s="10" t="s">
        <v>4349</v>
      </c>
      <c r="E1030" s="10" t="s">
        <v>312</v>
      </c>
      <c r="F1030" s="10" t="str">
        <f>IFERROR(VLOOKUP(VENTAS[[#This Row],[Código del producto Vendido]],STOCK[],5,FALSE),"-")</f>
        <v>Vestido ajustado de titrantes finos</v>
      </c>
      <c r="G1030" s="10">
        <v>1</v>
      </c>
      <c r="H1030" s="12">
        <v>22</v>
      </c>
      <c r="I1030" s="12">
        <f>VENTAS[[#This Row],[Cantidad]]*VENTAS[[#This Row],[Precio Venta]]</f>
        <v>22</v>
      </c>
      <c r="J1030" s="12">
        <f>IF(VENTAS[[#This Row],[Nombre del Gestor]]&gt;1,VENTAS[[#This Row],[Total]]*10%,0)</f>
        <v>2.2000000000000002</v>
      </c>
      <c r="K1030" s="12">
        <f>IFERROR(VLOOKUP(VENTAS[[#This Row],[Código del producto Vendido]],STOCK[],16,FALSE)*VENTAS[[#This Row],[Cantidad]]+VLOOKUP(VENTAS[[#This Row],[Código del producto Vendido]],STOCK[],19,FALSE)*VENTAS[[#This Row],[Cantidad]],VENTAS[[#This Row],[Total]])</f>
        <v>13.1111111111111</v>
      </c>
      <c r="L1030" s="12">
        <f>VENTAS[[#This Row],[Total]]-VENTAS[[#This Row],[Comisión 10%]]-VENTAS[[#This Row],[Costo SIN Comision]]</f>
        <v>6.6888888888889007</v>
      </c>
      <c r="M1030" s="12"/>
      <c r="N1030" s="16"/>
    </row>
    <row r="1031" spans="1:14" ht="20" hidden="1" customHeight="1">
      <c r="A1031" s="9">
        <v>45479</v>
      </c>
      <c r="B1031" s="10"/>
      <c r="C1031" s="10"/>
      <c r="D1031" s="10" t="s">
        <v>4349</v>
      </c>
      <c r="E1031" s="10" t="s">
        <v>1854</v>
      </c>
      <c r="F1031" s="10" t="str">
        <f>IFERROR(VLOOKUP(VENTAS[[#This Row],[Código del producto Vendido]],STOCK[],5,FALSE),"-")</f>
        <v>Crossbody Bag Negro Lacado</v>
      </c>
      <c r="G1031" s="10">
        <v>1</v>
      </c>
      <c r="H1031" s="12">
        <v>20</v>
      </c>
      <c r="I1031" s="12">
        <f>VENTAS[[#This Row],[Cantidad]]*VENTAS[[#This Row],[Precio Venta]]</f>
        <v>20</v>
      </c>
      <c r="J1031" s="12">
        <f>IF(VENTAS[[#This Row],[Nombre del Gestor]]&gt;1,VENTAS[[#This Row],[Total]]*10%,0)</f>
        <v>2</v>
      </c>
      <c r="K1031" s="12">
        <f>IFERROR(VLOOKUP(VENTAS[[#This Row],[Código del producto Vendido]],STOCK[],16,FALSE)*VENTAS[[#This Row],[Cantidad]]+VLOOKUP(VENTAS[[#This Row],[Código del producto Vendido]],STOCK[],19,FALSE)*VENTAS[[#This Row],[Cantidad]],VENTAS[[#This Row],[Total]])</f>
        <v>10.790000000000001</v>
      </c>
      <c r="L1031" s="12">
        <f>VENTAS[[#This Row],[Total]]-VENTAS[[#This Row],[Comisión 10%]]-VENTAS[[#This Row],[Costo SIN Comision]]</f>
        <v>7.2099999999999991</v>
      </c>
      <c r="M1031" s="12"/>
      <c r="N1031" s="16"/>
    </row>
    <row r="1032" spans="1:14" ht="20" hidden="1" customHeight="1">
      <c r="A1032" s="9">
        <v>45478</v>
      </c>
      <c r="B1032" s="10"/>
      <c r="C1032" s="10"/>
      <c r="D1032" s="10" t="s">
        <v>4349</v>
      </c>
      <c r="E1032" s="10" t="s">
        <v>107</v>
      </c>
      <c r="F1032" s="10" t="str">
        <f>IFERROR(VLOOKUP(VENTAS[[#This Row],[Código del producto Vendido]],STOCK[],5,FALSE),"-")</f>
        <v>Bikini elegante con herrajes color negro</v>
      </c>
      <c r="G1032" s="10">
        <v>1</v>
      </c>
      <c r="H1032" s="12">
        <v>18</v>
      </c>
      <c r="I1032" s="12">
        <f>VENTAS[[#This Row],[Cantidad]]*VENTAS[[#This Row],[Precio Venta]]</f>
        <v>18</v>
      </c>
      <c r="J1032" s="12">
        <f>IF(VENTAS[[#This Row],[Nombre del Gestor]]&gt;1,VENTAS[[#This Row],[Total]]*10%,0)</f>
        <v>1.8</v>
      </c>
      <c r="K1032" s="12">
        <f>IFERROR(VLOOKUP(VENTAS[[#This Row],[Código del producto Vendido]],STOCK[],16,FALSE)*VENTAS[[#This Row],[Cantidad]]+VLOOKUP(VENTAS[[#This Row],[Código del producto Vendido]],STOCK[],19,FALSE)*VENTAS[[#This Row],[Cantidad]],VENTAS[[#This Row],[Total]])</f>
        <v>12.419444444444439</v>
      </c>
      <c r="L1032" s="12">
        <f>VENTAS[[#This Row],[Total]]-VENTAS[[#This Row],[Comisión 10%]]-VENTAS[[#This Row],[Costo SIN Comision]]</f>
        <v>3.7805555555555603</v>
      </c>
      <c r="M1032" s="12"/>
      <c r="N1032" s="16"/>
    </row>
    <row r="1033" spans="1:14" ht="20" hidden="1" customHeight="1">
      <c r="A1033" s="9">
        <v>45477</v>
      </c>
      <c r="B1033" s="10"/>
      <c r="C1033" s="10"/>
      <c r="D1033" s="10" t="s">
        <v>4349</v>
      </c>
      <c r="E1033" s="10" t="s">
        <v>783</v>
      </c>
      <c r="F1033" s="10" t="str">
        <f>IFERROR(VLOOKUP(VENTAS[[#This Row],[Código del producto Vendido]],STOCK[],5,FALSE),"-")</f>
        <v>Top Negro en tela de algodón</v>
      </c>
      <c r="G1033" s="10">
        <v>1</v>
      </c>
      <c r="H1033" s="12">
        <v>10</v>
      </c>
      <c r="I1033" s="12">
        <f>VENTAS[[#This Row],[Cantidad]]*VENTAS[[#This Row],[Precio Venta]]</f>
        <v>10</v>
      </c>
      <c r="J1033" s="12">
        <f>IF(VENTAS[[#This Row],[Nombre del Gestor]]&gt;1,VENTAS[[#This Row],[Total]]*10%,0)</f>
        <v>1</v>
      </c>
      <c r="K1033" s="12">
        <f>IFERROR(VLOOKUP(VENTAS[[#This Row],[Código del producto Vendido]],STOCK[],16,FALSE)*VENTAS[[#This Row],[Cantidad]]+VLOOKUP(VENTAS[[#This Row],[Código del producto Vendido]],STOCK[],19,FALSE)*VENTAS[[#This Row],[Cantidad]],VENTAS[[#This Row],[Total]])</f>
        <v>6.0555555555555598</v>
      </c>
      <c r="L1033" s="12">
        <f>VENTAS[[#This Row],[Total]]-VENTAS[[#This Row],[Comisión 10%]]-VENTAS[[#This Row],[Costo SIN Comision]]</f>
        <v>2.9444444444444402</v>
      </c>
      <c r="M1033" s="12"/>
      <c r="N1033" s="16"/>
    </row>
    <row r="1034" spans="1:14" ht="20" hidden="1" customHeight="1">
      <c r="A1034" s="9">
        <v>45477</v>
      </c>
      <c r="B1034" s="10"/>
      <c r="C1034" s="10"/>
      <c r="D1034" s="10" t="s">
        <v>4349</v>
      </c>
      <c r="E1034" s="10" t="s">
        <v>1409</v>
      </c>
      <c r="F1034" s="10" t="str">
        <f>IFERROR(VLOOKUP(VENTAS[[#This Row],[Código del producto Vendido]],STOCK[],5,FALSE),"-")</f>
        <v>Pantaloneta con abertura y bolsillos</v>
      </c>
      <c r="G1034" s="10">
        <v>1</v>
      </c>
      <c r="H1034" s="12">
        <v>23</v>
      </c>
      <c r="I1034" s="12">
        <f>VENTAS[[#This Row],[Cantidad]]*VENTAS[[#This Row],[Precio Venta]]</f>
        <v>23</v>
      </c>
      <c r="J1034" s="12">
        <f>IF(VENTAS[[#This Row],[Nombre del Gestor]]&gt;1,VENTAS[[#This Row],[Total]]*10%,0)</f>
        <v>2.3000000000000003</v>
      </c>
      <c r="K1034" s="12">
        <f>IFERROR(VLOOKUP(VENTAS[[#This Row],[Código del producto Vendido]],STOCK[],16,FALSE)*VENTAS[[#This Row],[Cantidad]]+VLOOKUP(VENTAS[[#This Row],[Código del producto Vendido]],STOCK[],19,FALSE)*VENTAS[[#This Row],[Cantidad]],VENTAS[[#This Row],[Total]])</f>
        <v>14.22</v>
      </c>
      <c r="L1034" s="12">
        <f>VENTAS[[#This Row],[Total]]-VENTAS[[#This Row],[Comisión 10%]]-VENTAS[[#This Row],[Costo SIN Comision]]</f>
        <v>6.4799999999999986</v>
      </c>
      <c r="M1034" s="12"/>
      <c r="N1034" s="16"/>
    </row>
    <row r="1035" spans="1:14" ht="20" hidden="1" customHeight="1">
      <c r="A1035" s="9">
        <v>45477</v>
      </c>
      <c r="B1035" s="10"/>
      <c r="C1035" s="10"/>
      <c r="D1035" s="10" t="s">
        <v>4349</v>
      </c>
      <c r="E1035" s="10" t="s">
        <v>2391</v>
      </c>
      <c r="F1035" s="10" t="str">
        <f>IFERROR(VLOOKUP(VENTAS[[#This Row],[Código del producto Vendido]],STOCK[],5,FALSE),"-")</f>
        <v>Pullover Dazy cuello redondo Blanco</v>
      </c>
      <c r="G1035" s="10">
        <v>1</v>
      </c>
      <c r="H1035" s="12">
        <v>13</v>
      </c>
      <c r="I1035" s="12">
        <f>VENTAS[[#This Row],[Cantidad]]*VENTAS[[#This Row],[Precio Venta]]</f>
        <v>13</v>
      </c>
      <c r="J1035" s="12">
        <f>IF(VENTAS[[#This Row],[Nombre del Gestor]]&gt;1,VENTAS[[#This Row],[Total]]*10%,0)</f>
        <v>1.3</v>
      </c>
      <c r="K1035" s="12">
        <f>IFERROR(VLOOKUP(VENTAS[[#This Row],[Código del producto Vendido]],STOCK[],16,FALSE)*VENTAS[[#This Row],[Cantidad]]+VLOOKUP(VENTAS[[#This Row],[Código del producto Vendido]],STOCK[],19,FALSE)*VENTAS[[#This Row],[Cantidad]],VENTAS[[#This Row],[Total]])</f>
        <v>8.61</v>
      </c>
      <c r="L1035" s="12">
        <f>VENTAS[[#This Row],[Total]]-VENTAS[[#This Row],[Comisión 10%]]-VENTAS[[#This Row],[Costo SIN Comision]]</f>
        <v>3.09</v>
      </c>
      <c r="M1035" s="12"/>
      <c r="N1035" s="16"/>
    </row>
    <row r="1036" spans="1:14" ht="20" hidden="1" customHeight="1">
      <c r="A1036" s="9">
        <v>45477</v>
      </c>
      <c r="B1036" s="10"/>
      <c r="C1036" s="10"/>
      <c r="D1036" s="10" t="s">
        <v>4349</v>
      </c>
      <c r="E1036" s="10" t="s">
        <v>1176</v>
      </c>
      <c r="F1036" s="10" t="str">
        <f>IFERROR(VLOOKUP(VENTAS[[#This Row],[Código del producto Vendido]],STOCK[],5,FALSE),"-")</f>
        <v>Vestido camisero con estampado y cinturón </v>
      </c>
      <c r="G1036" s="10">
        <v>1</v>
      </c>
      <c r="H1036" s="12">
        <v>28</v>
      </c>
      <c r="I1036" s="12">
        <f>VENTAS[[#This Row],[Cantidad]]*VENTAS[[#This Row],[Precio Venta]]</f>
        <v>28</v>
      </c>
      <c r="J1036" s="12">
        <f>IF(VENTAS[[#This Row],[Nombre del Gestor]]&gt;1,VENTAS[[#This Row],[Total]]*10%,0)</f>
        <v>2.8000000000000003</v>
      </c>
      <c r="K1036" s="12">
        <f>IFERROR(VLOOKUP(VENTAS[[#This Row],[Código del producto Vendido]],STOCK[],16,FALSE)*VENTAS[[#This Row],[Cantidad]]+VLOOKUP(VENTAS[[#This Row],[Código del producto Vendido]],STOCK[],19,FALSE)*VENTAS[[#This Row],[Cantidad]],VENTAS[[#This Row],[Total]])</f>
        <v>17.649999999999999</v>
      </c>
      <c r="L1036" s="12">
        <f>VENTAS[[#This Row],[Total]]-VENTAS[[#This Row],[Comisión 10%]]-VENTAS[[#This Row],[Costo SIN Comision]]</f>
        <v>7.5500000000000007</v>
      </c>
      <c r="M1036" s="12"/>
      <c r="N1036" s="16"/>
    </row>
    <row r="1037" spans="1:14" ht="20" hidden="1" customHeight="1">
      <c r="A1037" s="9">
        <v>45476</v>
      </c>
      <c r="B1037" s="10"/>
      <c r="C1037" s="10"/>
      <c r="D1037" s="10" t="s">
        <v>4349</v>
      </c>
      <c r="E1037" s="10" t="s">
        <v>2391</v>
      </c>
      <c r="F1037" s="10" t="str">
        <f>IFERROR(VLOOKUP(VENTAS[[#This Row],[Código del producto Vendido]],STOCK[],5,FALSE),"-")</f>
        <v>Pullover Dazy cuello redondo Blanco</v>
      </c>
      <c r="G1037" s="10">
        <v>1</v>
      </c>
      <c r="H1037" s="12">
        <v>13</v>
      </c>
      <c r="I1037" s="12">
        <f>VENTAS[[#This Row],[Cantidad]]*VENTAS[[#This Row],[Precio Venta]]</f>
        <v>13</v>
      </c>
      <c r="J1037" s="12">
        <f>IF(VENTAS[[#This Row],[Nombre del Gestor]]&gt;1,VENTAS[[#This Row],[Total]]*10%,0)</f>
        <v>1.3</v>
      </c>
      <c r="K1037" s="12">
        <f>IFERROR(VLOOKUP(VENTAS[[#This Row],[Código del producto Vendido]],STOCK[],16,FALSE)*VENTAS[[#This Row],[Cantidad]]+VLOOKUP(VENTAS[[#This Row],[Código del producto Vendido]],STOCK[],19,FALSE)*VENTAS[[#This Row],[Cantidad]],VENTAS[[#This Row],[Total]])</f>
        <v>8.61</v>
      </c>
      <c r="L1037" s="12">
        <f>VENTAS[[#This Row],[Total]]-VENTAS[[#This Row],[Comisión 10%]]-VENTAS[[#This Row],[Costo SIN Comision]]</f>
        <v>3.09</v>
      </c>
      <c r="M1037" s="12"/>
      <c r="N1037" s="16"/>
    </row>
    <row r="1038" spans="1:14" ht="20" hidden="1" customHeight="1">
      <c r="A1038" s="9">
        <v>45476</v>
      </c>
      <c r="B1038" s="10"/>
      <c r="C1038" s="10"/>
      <c r="D1038" s="10" t="s">
        <v>4349</v>
      </c>
      <c r="E1038" s="10" t="s">
        <v>1218</v>
      </c>
      <c r="F1038" s="10" t="str">
        <f>IFERROR(VLOOKUP(VENTAS[[#This Row],[Código del producto Vendido]],STOCK[],5,FALSE),"-")</f>
        <v>Pullover negro cuello redondo</v>
      </c>
      <c r="G1038" s="10">
        <v>1</v>
      </c>
      <c r="H1038" s="12">
        <v>13</v>
      </c>
      <c r="I1038" s="12">
        <f>VENTAS[[#This Row],[Cantidad]]*VENTAS[[#This Row],[Precio Venta]]</f>
        <v>13</v>
      </c>
      <c r="J1038" s="12">
        <f>IF(VENTAS[[#This Row],[Nombre del Gestor]]&gt;1,VENTAS[[#This Row],[Total]]*10%,0)</f>
        <v>1.3</v>
      </c>
      <c r="K1038" s="12">
        <f>IFERROR(VLOOKUP(VENTAS[[#This Row],[Código del producto Vendido]],STOCK[],16,FALSE)*VENTAS[[#This Row],[Cantidad]]+VLOOKUP(VENTAS[[#This Row],[Código del producto Vendido]],STOCK[],19,FALSE)*VENTAS[[#This Row],[Cantidad]],VENTAS[[#This Row],[Total]])</f>
        <v>8.5300000000000011</v>
      </c>
      <c r="L1038" s="12">
        <f>VENTAS[[#This Row],[Total]]-VENTAS[[#This Row],[Comisión 10%]]-VENTAS[[#This Row],[Costo SIN Comision]]</f>
        <v>3.1699999999999982</v>
      </c>
      <c r="M1038" s="12"/>
      <c r="N1038" s="16"/>
    </row>
    <row r="1039" spans="1:14" ht="20" hidden="1" customHeight="1">
      <c r="A1039" s="9">
        <v>45476</v>
      </c>
      <c r="B1039" s="10"/>
      <c r="C1039" s="10"/>
      <c r="D1039" s="10" t="s">
        <v>4349</v>
      </c>
      <c r="E1039" s="10" t="s">
        <v>2142</v>
      </c>
      <c r="F1039" s="10" t="str">
        <f>IFERROR(VLOOKUP(VENTAS[[#This Row],[Código del producto Vendido]],STOCK[],5,FALSE),"-")</f>
        <v>Falda Bohemia de mezclilla de cintura alta con detalles de botón</v>
      </c>
      <c r="G1039" s="10">
        <v>1</v>
      </c>
      <c r="H1039" s="12">
        <v>30</v>
      </c>
      <c r="I1039" s="12">
        <f>VENTAS[[#This Row],[Cantidad]]*VENTAS[[#This Row],[Precio Venta]]</f>
        <v>30</v>
      </c>
      <c r="J1039" s="12">
        <f>IF(VENTAS[[#This Row],[Nombre del Gestor]]&gt;1,VENTAS[[#This Row],[Total]]*10%,0)</f>
        <v>3</v>
      </c>
      <c r="K1039" s="12">
        <f>IFERROR(VLOOKUP(VENTAS[[#This Row],[Código del producto Vendido]],STOCK[],16,FALSE)*VENTAS[[#This Row],[Cantidad]]+VLOOKUP(VENTAS[[#This Row],[Código del producto Vendido]],STOCK[],19,FALSE)*VENTAS[[#This Row],[Cantidad]],VENTAS[[#This Row],[Total]])</f>
        <v>7.05</v>
      </c>
      <c r="L1039" s="12">
        <f>VENTAS[[#This Row],[Total]]-VENTAS[[#This Row],[Comisión 10%]]-VENTAS[[#This Row],[Costo SIN Comision]]</f>
        <v>19.95</v>
      </c>
      <c r="M1039" s="12"/>
      <c r="N1039" s="16"/>
    </row>
    <row r="1040" spans="1:14" ht="20" hidden="1" customHeight="1">
      <c r="A1040" s="9">
        <v>45476</v>
      </c>
      <c r="B1040" s="10"/>
      <c r="C1040" s="10" t="s">
        <v>4190</v>
      </c>
      <c r="D1040" s="10" t="s">
        <v>4374</v>
      </c>
      <c r="E1040" s="10" t="s">
        <v>1690</v>
      </c>
      <c r="F1040" s="10" t="str">
        <f>IFERROR(VLOOKUP(VENTAS[[#This Row],[Código del producto Vendido]],STOCK[],5,FALSE),"-")</f>
        <v>Mono elegante con mangas de vuelo</v>
      </c>
      <c r="G1040" s="10">
        <v>1</v>
      </c>
      <c r="H1040" s="12">
        <v>30</v>
      </c>
      <c r="I1040" s="12">
        <f>VENTAS[[#This Row],[Cantidad]]*VENTAS[[#This Row],[Precio Venta]]</f>
        <v>30</v>
      </c>
      <c r="J1040" s="12">
        <f>IF(VENTAS[[#This Row],[Nombre del Gestor]]&gt;1,VENTAS[[#This Row],[Total]]*10%,0)</f>
        <v>3</v>
      </c>
      <c r="K1040" s="12">
        <f>IFERROR(VLOOKUP(VENTAS[[#This Row],[Código del producto Vendido]],STOCK[],16,FALSE)*VENTAS[[#This Row],[Cantidad]]+VLOOKUP(VENTAS[[#This Row],[Código del producto Vendido]],STOCK[],19,FALSE)*VENTAS[[#This Row],[Cantidad]],VENTAS[[#This Row],[Total]])</f>
        <v>17.8</v>
      </c>
      <c r="L1040" s="12">
        <f>VENTAS[[#This Row],[Total]]-VENTAS[[#This Row],[Comisión 10%]]-VENTAS[[#This Row],[Costo SIN Comision]]</f>
        <v>9.1999999999999993</v>
      </c>
      <c r="M1040" s="12"/>
      <c r="N1040" s="16"/>
    </row>
    <row r="1041" spans="1:14" ht="20" hidden="1" customHeight="1">
      <c r="A1041" s="9">
        <v>45476</v>
      </c>
      <c r="B1041" s="10"/>
      <c r="C1041" s="10" t="s">
        <v>4400</v>
      </c>
      <c r="D1041" s="10" t="s">
        <v>4374</v>
      </c>
      <c r="E1041" s="10" t="s">
        <v>1794</v>
      </c>
      <c r="F1041" s="10" t="str">
        <f>IFERROR(VLOOKUP(VENTAS[[#This Row],[Código del producto Vendido]],STOCK[],5,FALSE),"-")</f>
        <v>Cinturón básico grueso Camel</v>
      </c>
      <c r="G1041" s="10">
        <v>1</v>
      </c>
      <c r="H1041" s="12">
        <v>10</v>
      </c>
      <c r="I1041" s="12">
        <f>VENTAS[[#This Row],[Cantidad]]*VENTAS[[#This Row],[Precio Venta]]</f>
        <v>10</v>
      </c>
      <c r="J1041" s="12">
        <f>IF(VENTAS[[#This Row],[Nombre del Gestor]]&gt;1,VENTAS[[#This Row],[Total]]*10%,0)</f>
        <v>1</v>
      </c>
      <c r="K1041" s="12">
        <f>IFERROR(VLOOKUP(VENTAS[[#This Row],[Código del producto Vendido]],STOCK[],16,FALSE)*VENTAS[[#This Row],[Cantidad]]+VLOOKUP(VENTAS[[#This Row],[Código del producto Vendido]],STOCK[],19,FALSE)*VENTAS[[#This Row],[Cantidad]],VENTAS[[#This Row],[Total]])</f>
        <v>3.7647058823529398</v>
      </c>
      <c r="L1041" s="12">
        <f>VENTAS[[#This Row],[Total]]-VENTAS[[#This Row],[Comisión 10%]]-VENTAS[[#This Row],[Costo SIN Comision]]</f>
        <v>5.2352941176470598</v>
      </c>
      <c r="M1041" s="12"/>
      <c r="N1041" s="16"/>
    </row>
    <row r="1042" spans="1:14" ht="20" hidden="1" customHeight="1">
      <c r="A1042" s="9">
        <v>45480</v>
      </c>
      <c r="B1042" s="10"/>
      <c r="C1042" s="10"/>
      <c r="D1042" s="10" t="s">
        <v>4349</v>
      </c>
      <c r="E1042" s="10" t="s">
        <v>1320</v>
      </c>
      <c r="F1042" s="10" t="str">
        <f>IFERROR(VLOOKUP(VENTAS[[#This Row],[Código del producto Vendido]],STOCK[],5,FALSE),"-")</f>
        <v>Blazer Carmelita oscuro (hacer foto)</v>
      </c>
      <c r="G1042" s="10">
        <v>1</v>
      </c>
      <c r="H1042" s="12">
        <v>40</v>
      </c>
      <c r="I1042" s="12">
        <f>VENTAS[[#This Row],[Cantidad]]*VENTAS[[#This Row],[Precio Venta]]</f>
        <v>40</v>
      </c>
      <c r="J1042" s="12">
        <f>IF(VENTAS[[#This Row],[Nombre del Gestor]]&gt;1,VENTAS[[#This Row],[Total]]*10%,0)</f>
        <v>4</v>
      </c>
      <c r="K1042" s="12">
        <f>IFERROR(VLOOKUP(VENTAS[[#This Row],[Código del producto Vendido]],STOCK[],16,FALSE)*VENTAS[[#This Row],[Cantidad]]+VLOOKUP(VENTAS[[#This Row],[Código del producto Vendido]],STOCK[],19,FALSE)*VENTAS[[#This Row],[Cantidad]],VENTAS[[#This Row],[Total]])</f>
        <v>24.75</v>
      </c>
      <c r="L1042" s="12">
        <f>VENTAS[[#This Row],[Total]]-VENTAS[[#This Row],[Comisión 10%]]-VENTAS[[#This Row],[Costo SIN Comision]]</f>
        <v>11.25</v>
      </c>
      <c r="M1042" s="12"/>
      <c r="N1042" s="16"/>
    </row>
    <row r="1043" spans="1:14" ht="20" hidden="1" customHeight="1">
      <c r="A1043" s="9">
        <v>45480</v>
      </c>
      <c r="B1043" s="10"/>
      <c r="C1043" s="10"/>
      <c r="D1043" s="10" t="s">
        <v>4349</v>
      </c>
      <c r="E1043" s="10" t="s">
        <v>1870</v>
      </c>
      <c r="F1043" s="10" t="str">
        <f>IFERROR(VLOOKUP(VENTAS[[#This Row],[Código del producto Vendido]],STOCK[],5,FALSE),"-")</f>
        <v>Blazer entallado</v>
      </c>
      <c r="G1043" s="10">
        <v>1</v>
      </c>
      <c r="H1043" s="12">
        <v>40</v>
      </c>
      <c r="I1043" s="12">
        <f>VENTAS[[#This Row],[Cantidad]]*VENTAS[[#This Row],[Precio Venta]]</f>
        <v>40</v>
      </c>
      <c r="J1043" s="12">
        <f>IF(VENTAS[[#This Row],[Nombre del Gestor]]&gt;1,VENTAS[[#This Row],[Total]]*10%,0)</f>
        <v>4</v>
      </c>
      <c r="K1043" s="12">
        <f>IFERROR(VLOOKUP(VENTAS[[#This Row],[Código del producto Vendido]],STOCK[],16,FALSE)*VENTAS[[#This Row],[Cantidad]]+VLOOKUP(VENTAS[[#This Row],[Código del producto Vendido]],STOCK[],19,FALSE)*VENTAS[[#This Row],[Cantidad]],VENTAS[[#This Row],[Total]])</f>
        <v>24.29</v>
      </c>
      <c r="L1043" s="12">
        <f>VENTAS[[#This Row],[Total]]-VENTAS[[#This Row],[Comisión 10%]]-VENTAS[[#This Row],[Costo SIN Comision]]</f>
        <v>11.71</v>
      </c>
      <c r="M1043" s="12"/>
      <c r="N1043" s="16"/>
    </row>
    <row r="1044" spans="1:14" ht="20" hidden="1" customHeight="1">
      <c r="A1044" s="9">
        <v>45480</v>
      </c>
      <c r="B1044" s="10"/>
      <c r="C1044" s="10"/>
      <c r="D1044" s="10" t="s">
        <v>4349</v>
      </c>
      <c r="E1044" s="10" t="s">
        <v>627</v>
      </c>
      <c r="F1044" s="10" t="str">
        <f>IFERROR(VLOOKUP(VENTAS[[#This Row],[Código del producto Vendido]],STOCK[],5,FALSE),"-")</f>
        <v>Vestido vaporoso</v>
      </c>
      <c r="G1044" s="10">
        <v>1</v>
      </c>
      <c r="H1044" s="12">
        <v>17</v>
      </c>
      <c r="I1044" s="12">
        <f>VENTAS[[#This Row],[Cantidad]]*VENTAS[[#This Row],[Precio Venta]]</f>
        <v>17</v>
      </c>
      <c r="J1044" s="12">
        <f>IF(VENTAS[[#This Row],[Nombre del Gestor]]&gt;1,VENTAS[[#This Row],[Total]]*10%,0)</f>
        <v>1.7000000000000002</v>
      </c>
      <c r="K1044" s="12">
        <f>IFERROR(VLOOKUP(VENTAS[[#This Row],[Código del producto Vendido]],STOCK[],16,FALSE)*VENTAS[[#This Row],[Cantidad]]+VLOOKUP(VENTAS[[#This Row],[Código del producto Vendido]],STOCK[],19,FALSE)*VENTAS[[#This Row],[Cantidad]],VENTAS[[#This Row],[Total]])</f>
        <v>10.72222222222222</v>
      </c>
      <c r="L1044" s="12">
        <f>VENTAS[[#This Row],[Total]]-VENTAS[[#This Row],[Comisión 10%]]-VENTAS[[#This Row],[Costo SIN Comision]]</f>
        <v>4.5777777777777811</v>
      </c>
      <c r="M1044" s="12"/>
      <c r="N1044" s="16"/>
    </row>
    <row r="1045" spans="1:14" ht="20" hidden="1" customHeight="1">
      <c r="A1045" s="9">
        <v>45476</v>
      </c>
      <c r="B1045" s="10"/>
      <c r="C1045" s="10"/>
      <c r="D1045" s="10" t="s">
        <v>4374</v>
      </c>
      <c r="E1045" s="10" t="s">
        <v>2360</v>
      </c>
      <c r="F1045" s="10" t="str">
        <f>IFERROR(VLOOKUP(VENTAS[[#This Row],[Código del producto Vendido]],STOCK[],5,FALSE),"-")</f>
        <v>Espejuelos rectangulares unisex</v>
      </c>
      <c r="G1045" s="10">
        <v>1</v>
      </c>
      <c r="H1045" s="12">
        <v>10</v>
      </c>
      <c r="I1045" s="12">
        <f>VENTAS[[#This Row],[Cantidad]]*VENTAS[[#This Row],[Precio Venta]]</f>
        <v>10</v>
      </c>
      <c r="J1045" s="12">
        <f>IF(VENTAS[[#This Row],[Nombre del Gestor]]&gt;1,VENTAS[[#This Row],[Total]]*10%,0)</f>
        <v>1</v>
      </c>
      <c r="K1045" s="12">
        <f>IFERROR(VLOOKUP(VENTAS[[#This Row],[Código del producto Vendido]],STOCK[],16,FALSE)*VENTAS[[#This Row],[Cantidad]]+VLOOKUP(VENTAS[[#This Row],[Código del producto Vendido]],STOCK[],19,FALSE)*VENTAS[[#This Row],[Cantidad]],VENTAS[[#This Row],[Total]])</f>
        <v>6.3312499999999998</v>
      </c>
      <c r="L1045" s="12">
        <f>VENTAS[[#This Row],[Total]]-VENTAS[[#This Row],[Comisión 10%]]-VENTAS[[#This Row],[Costo SIN Comision]]</f>
        <v>2.6687500000000002</v>
      </c>
      <c r="M1045" s="12"/>
      <c r="N1045" s="16"/>
    </row>
    <row r="1046" spans="1:14" ht="20" hidden="1" customHeight="1">
      <c r="A1046" s="9">
        <v>45476</v>
      </c>
      <c r="B1046" s="10"/>
      <c r="C1046" s="10"/>
      <c r="D1046" s="10" t="s">
        <v>4374</v>
      </c>
      <c r="E1046" s="10" t="s">
        <v>202</v>
      </c>
      <c r="F1046" s="10" t="str">
        <f>IFERROR(VLOOKUP(VENTAS[[#This Row],[Código del producto Vendido]],STOCK[],5,FALSE),"-")</f>
        <v>Vestido moca ajustado</v>
      </c>
      <c r="G1046" s="10">
        <v>1</v>
      </c>
      <c r="H1046" s="12">
        <v>18</v>
      </c>
      <c r="I1046" s="12">
        <f>VENTAS[[#This Row],[Cantidad]]*VENTAS[[#This Row],[Precio Venta]]</f>
        <v>18</v>
      </c>
      <c r="J1046" s="12">
        <f>IF(VENTAS[[#This Row],[Nombre del Gestor]]&gt;1,VENTAS[[#This Row],[Total]]*10%,0)</f>
        <v>1.8</v>
      </c>
      <c r="K1046" s="12">
        <f>IFERROR(VLOOKUP(VENTAS[[#This Row],[Código del producto Vendido]],STOCK[],16,FALSE)*VENTAS[[#This Row],[Cantidad]]+VLOOKUP(VENTAS[[#This Row],[Código del producto Vendido]],STOCK[],19,FALSE)*VENTAS[[#This Row],[Cantidad]],VENTAS[[#This Row],[Total]])</f>
        <v>12.515555555555601</v>
      </c>
      <c r="L1046" s="12">
        <f>VENTAS[[#This Row],[Total]]-VENTAS[[#This Row],[Comisión 10%]]-VENTAS[[#This Row],[Costo SIN Comision]]</f>
        <v>3.6844444444443987</v>
      </c>
      <c r="M1046" s="12"/>
      <c r="N1046" s="16"/>
    </row>
    <row r="1047" spans="1:14" ht="20" hidden="1" customHeight="1">
      <c r="A1047" s="9">
        <v>45479</v>
      </c>
      <c r="B1047" s="10"/>
      <c r="C1047" s="10"/>
      <c r="D1047" s="10" t="s">
        <v>4374</v>
      </c>
      <c r="E1047" s="10" t="s">
        <v>2369</v>
      </c>
      <c r="F1047" s="10" t="str">
        <f>IFERROR(VLOOKUP(VENTAS[[#This Row],[Código del producto Vendido]],STOCK[],5,FALSE),"-")</f>
        <v>Sombrero de protección Verano fashionista</v>
      </c>
      <c r="G1047" s="10">
        <v>1</v>
      </c>
      <c r="H1047" s="12">
        <v>15</v>
      </c>
      <c r="I1047" s="12">
        <f>VENTAS[[#This Row],[Cantidad]]*VENTAS[[#This Row],[Precio Venta]]</f>
        <v>15</v>
      </c>
      <c r="J1047" s="12">
        <f>IF(VENTAS[[#This Row],[Nombre del Gestor]]&gt;1,VENTAS[[#This Row],[Total]]*10%,0)</f>
        <v>1.5</v>
      </c>
      <c r="K1047" s="12">
        <f>IFERROR(VLOOKUP(VENTAS[[#This Row],[Código del producto Vendido]],STOCK[],16,FALSE)*VENTAS[[#This Row],[Cantidad]]+VLOOKUP(VENTAS[[#This Row],[Código del producto Vendido]],STOCK[],19,FALSE)*VENTAS[[#This Row],[Cantidad]],VENTAS[[#This Row],[Total]])</f>
        <v>8.551874999999999</v>
      </c>
      <c r="L1047" s="12">
        <f>VENTAS[[#This Row],[Total]]-VENTAS[[#This Row],[Comisión 10%]]-VENTAS[[#This Row],[Costo SIN Comision]]</f>
        <v>4.948125000000001</v>
      </c>
      <c r="M1047" s="12"/>
      <c r="N1047" s="16"/>
    </row>
    <row r="1048" spans="1:14" ht="20" hidden="1" customHeight="1">
      <c r="A1048" s="9">
        <v>45478</v>
      </c>
      <c r="B1048" s="10"/>
      <c r="C1048" s="10"/>
      <c r="D1048" s="10" t="s">
        <v>4378</v>
      </c>
      <c r="E1048" s="10" t="s">
        <v>1409</v>
      </c>
      <c r="F1048" s="10" t="str">
        <f>IFERROR(VLOOKUP(VENTAS[[#This Row],[Código del producto Vendido]],STOCK[],5,FALSE),"-")</f>
        <v>Pantaloneta con abertura y bolsillos</v>
      </c>
      <c r="G1048" s="10">
        <v>1</v>
      </c>
      <c r="H1048" s="12">
        <v>23</v>
      </c>
      <c r="I1048" s="12">
        <f>VENTAS[[#This Row],[Cantidad]]*VENTAS[[#This Row],[Precio Venta]]</f>
        <v>23</v>
      </c>
      <c r="J1048" s="12">
        <f>IF(VENTAS[[#This Row],[Nombre del Gestor]]&gt;1,VENTAS[[#This Row],[Total]]*10%,0)</f>
        <v>2.3000000000000003</v>
      </c>
      <c r="K1048" s="12">
        <f>IFERROR(VLOOKUP(VENTAS[[#This Row],[Código del producto Vendido]],STOCK[],16,FALSE)*VENTAS[[#This Row],[Cantidad]]+VLOOKUP(VENTAS[[#This Row],[Código del producto Vendido]],STOCK[],19,FALSE)*VENTAS[[#This Row],[Cantidad]],VENTAS[[#This Row],[Total]])</f>
        <v>14.22</v>
      </c>
      <c r="L1048" s="12">
        <f>VENTAS[[#This Row],[Total]]-VENTAS[[#This Row],[Comisión 10%]]-VENTAS[[#This Row],[Costo SIN Comision]]</f>
        <v>6.4799999999999986</v>
      </c>
      <c r="M1048" s="12"/>
      <c r="N1048" s="16"/>
    </row>
    <row r="1049" spans="1:14" ht="20" hidden="1" customHeight="1">
      <c r="A1049" s="9">
        <v>45478</v>
      </c>
      <c r="B1049" s="10"/>
      <c r="C1049" s="10"/>
      <c r="D1049" s="10" t="s">
        <v>4378</v>
      </c>
      <c r="E1049" s="10" t="s">
        <v>2219</v>
      </c>
      <c r="F1049" s="10" t="str">
        <f>IFERROR(VLOOKUP(VENTAS[[#This Row],[Código del producto Vendido]],STOCK[],5,FALSE),"-")</f>
        <v>vestido Boho con tirantes de spaguetti y abertura</v>
      </c>
      <c r="G1049" s="10">
        <v>1</v>
      </c>
      <c r="H1049" s="12">
        <v>30</v>
      </c>
      <c r="I1049" s="12">
        <f>VENTAS[[#This Row],[Cantidad]]*VENTAS[[#This Row],[Precio Venta]]</f>
        <v>30</v>
      </c>
      <c r="J1049" s="12">
        <f>IF(VENTAS[[#This Row],[Nombre del Gestor]]&gt;1,VENTAS[[#This Row],[Total]]*10%,0)</f>
        <v>3</v>
      </c>
      <c r="K1049" s="12">
        <f>IFERROR(VLOOKUP(VENTAS[[#This Row],[Código del producto Vendido]],STOCK[],16,FALSE)*VENTAS[[#This Row],[Cantidad]]+VLOOKUP(VENTAS[[#This Row],[Código del producto Vendido]],STOCK[],19,FALSE)*VENTAS[[#This Row],[Cantidad]],VENTAS[[#This Row],[Total]])</f>
        <v>16.09</v>
      </c>
      <c r="L1049" s="12">
        <f>VENTAS[[#This Row],[Total]]-VENTAS[[#This Row],[Comisión 10%]]-VENTAS[[#This Row],[Costo SIN Comision]]</f>
        <v>10.91</v>
      </c>
      <c r="M1049" s="12"/>
      <c r="N1049" s="16"/>
    </row>
    <row r="1050" spans="1:14" ht="20" hidden="1" customHeight="1">
      <c r="A1050" s="9">
        <v>45478</v>
      </c>
      <c r="B1050" s="10"/>
      <c r="C1050" s="10"/>
      <c r="D1050" s="10" t="s">
        <v>4378</v>
      </c>
      <c r="E1050" s="10" t="s">
        <v>2392</v>
      </c>
      <c r="F1050" s="10" t="str">
        <f>IFERROR(VLOOKUP(VENTAS[[#This Row],[Código del producto Vendido]],STOCK[],5,FALSE),"-")</f>
        <v>Pullover Dazy cuello redondo Negro</v>
      </c>
      <c r="G1050" s="10">
        <v>1</v>
      </c>
      <c r="H1050" s="12">
        <v>13</v>
      </c>
      <c r="I1050" s="12">
        <f>VENTAS[[#This Row],[Cantidad]]*VENTAS[[#This Row],[Precio Venta]]</f>
        <v>13</v>
      </c>
      <c r="J1050" s="12">
        <f>IF(VENTAS[[#This Row],[Nombre del Gestor]]&gt;1,VENTAS[[#This Row],[Total]]*10%,0)</f>
        <v>1.3</v>
      </c>
      <c r="K1050" s="12">
        <f>IFERROR(VLOOKUP(VENTAS[[#This Row],[Código del producto Vendido]],STOCK[],16,FALSE)*VENTAS[[#This Row],[Cantidad]]+VLOOKUP(VENTAS[[#This Row],[Código del producto Vendido]],STOCK[],19,FALSE)*VENTAS[[#This Row],[Cantidad]],VENTAS[[#This Row],[Total]])</f>
        <v>7.61</v>
      </c>
      <c r="L1050" s="12">
        <f>VENTAS[[#This Row],[Total]]-VENTAS[[#This Row],[Comisión 10%]]-VENTAS[[#This Row],[Costo SIN Comision]]</f>
        <v>4.089999999999999</v>
      </c>
      <c r="M1050" s="12"/>
      <c r="N1050" s="16"/>
    </row>
    <row r="1051" spans="1:14" ht="20" hidden="1" customHeight="1">
      <c r="A1051" s="9">
        <v>45478</v>
      </c>
      <c r="B1051" s="10"/>
      <c r="C1051" s="10"/>
      <c r="D1051" s="10" t="s">
        <v>4378</v>
      </c>
      <c r="E1051" s="10" t="s">
        <v>1830</v>
      </c>
      <c r="F1051" s="10" t="str">
        <f>IFERROR(VLOOKUP(VENTAS[[#This Row],[Código del producto Vendido]],STOCK[],5,FALSE),"-")</f>
        <v xml:space="preserve">Pantalón Palazzo </v>
      </c>
      <c r="G1051" s="10">
        <v>1</v>
      </c>
      <c r="H1051" s="12">
        <v>30</v>
      </c>
      <c r="I1051" s="12">
        <f>VENTAS[[#This Row],[Cantidad]]*VENTAS[[#This Row],[Precio Venta]]</f>
        <v>30</v>
      </c>
      <c r="J1051" s="12">
        <f>IF(VENTAS[[#This Row],[Nombre del Gestor]]&gt;1,VENTAS[[#This Row],[Total]]*10%,0)</f>
        <v>3</v>
      </c>
      <c r="K1051" s="12">
        <f>IFERROR(VLOOKUP(VENTAS[[#This Row],[Código del producto Vendido]],STOCK[],16,FALSE)*VENTAS[[#This Row],[Cantidad]]+VLOOKUP(VENTAS[[#This Row],[Código del producto Vendido]],STOCK[],19,FALSE)*VENTAS[[#This Row],[Cantidad]],VENTAS[[#This Row],[Total]])</f>
        <v>16.79</v>
      </c>
      <c r="L1051" s="12">
        <f>VENTAS[[#This Row],[Total]]-VENTAS[[#This Row],[Comisión 10%]]-VENTAS[[#This Row],[Costo SIN Comision]]</f>
        <v>10.210000000000001</v>
      </c>
      <c r="M1051" s="12"/>
      <c r="N1051" s="16"/>
    </row>
    <row r="1052" spans="1:14" ht="20" hidden="1" customHeight="1">
      <c r="A1052" s="9">
        <v>45476</v>
      </c>
      <c r="B1052" s="10"/>
      <c r="C1052" s="10"/>
      <c r="D1052" s="10" t="s">
        <v>4378</v>
      </c>
      <c r="E1052" s="10" t="s">
        <v>1934</v>
      </c>
      <c r="F1052" s="10" t="str">
        <f>IFERROR(VLOOKUP(VENTAS[[#This Row],[Código del producto Vendido]],STOCK[],5,FALSE),"-")</f>
        <v>Sujetador Invisible Suave sin tirantes</v>
      </c>
      <c r="G1052" s="10">
        <v>1</v>
      </c>
      <c r="H1052" s="12">
        <v>12</v>
      </c>
      <c r="I1052" s="12">
        <f>VENTAS[[#This Row],[Cantidad]]*VENTAS[[#This Row],[Precio Venta]]</f>
        <v>12</v>
      </c>
      <c r="J1052" s="12">
        <f>IF(VENTAS[[#This Row],[Nombre del Gestor]]&gt;1,VENTAS[[#This Row],[Total]]*10%,0)</f>
        <v>1.2000000000000002</v>
      </c>
      <c r="K1052" s="12">
        <f>IFERROR(VLOOKUP(VENTAS[[#This Row],[Código del producto Vendido]],STOCK[],16,FALSE)*VENTAS[[#This Row],[Cantidad]]+VLOOKUP(VENTAS[[#This Row],[Código del producto Vendido]],STOCK[],19,FALSE)*VENTAS[[#This Row],[Cantidad]],VENTAS[[#This Row],[Total]])</f>
        <v>4.97</v>
      </c>
      <c r="L1052" s="12">
        <f>VENTAS[[#This Row],[Total]]-VENTAS[[#This Row],[Comisión 10%]]-VENTAS[[#This Row],[Costo SIN Comision]]</f>
        <v>5.830000000000001</v>
      </c>
      <c r="M1052" s="12"/>
      <c r="N1052" s="16"/>
    </row>
    <row r="1053" spans="1:14" ht="20" hidden="1" customHeight="1">
      <c r="A1053" s="9">
        <v>45476</v>
      </c>
      <c r="B1053" s="10"/>
      <c r="C1053" s="10"/>
      <c r="D1053" s="10" t="s">
        <v>4378</v>
      </c>
      <c r="E1053" s="10" t="s">
        <v>1649</v>
      </c>
      <c r="F1053" s="10" t="str">
        <f>IFERROR(VLOOKUP(VENTAS[[#This Row],[Código del producto Vendido]],STOCK[],5,FALSE),"-")</f>
        <v>Mono palazzo</v>
      </c>
      <c r="G1053" s="10">
        <v>1</v>
      </c>
      <c r="H1053" s="12">
        <v>30</v>
      </c>
      <c r="I1053" s="12">
        <f>VENTAS[[#This Row],[Cantidad]]*VENTAS[[#This Row],[Precio Venta]]</f>
        <v>30</v>
      </c>
      <c r="J1053" s="12">
        <f>IF(VENTAS[[#This Row],[Nombre del Gestor]]&gt;1,VENTAS[[#This Row],[Total]]*10%,0)</f>
        <v>3</v>
      </c>
      <c r="K1053" s="12">
        <f>IFERROR(VLOOKUP(VENTAS[[#This Row],[Código del producto Vendido]],STOCK[],16,FALSE)*VENTAS[[#This Row],[Cantidad]]+VLOOKUP(VENTAS[[#This Row],[Código del producto Vendido]],STOCK[],19,FALSE)*VENTAS[[#This Row],[Cantidad]],VENTAS[[#This Row],[Total]])</f>
        <v>17.87</v>
      </c>
      <c r="L1053" s="12">
        <f>VENTAS[[#This Row],[Total]]-VENTAS[[#This Row],[Comisión 10%]]-VENTAS[[#This Row],[Costo SIN Comision]]</f>
        <v>9.129999999999999</v>
      </c>
      <c r="M1053" s="12"/>
      <c r="N1053" s="16"/>
    </row>
    <row r="1054" spans="1:14" ht="20" hidden="1" customHeight="1">
      <c r="A1054" s="9">
        <v>45476</v>
      </c>
      <c r="B1054" s="10"/>
      <c r="C1054" s="10"/>
      <c r="D1054" s="10" t="s">
        <v>4378</v>
      </c>
      <c r="E1054" s="10" t="s">
        <v>1621</v>
      </c>
      <c r="F1054" s="10" t="str">
        <f>IFERROR(VLOOKUP(VENTAS[[#This Row],[Código del producto Vendido]],STOCK[],5,FALSE),"-")</f>
        <v>Vestido Becka</v>
      </c>
      <c r="G1054" s="10">
        <v>1</v>
      </c>
      <c r="H1054" s="12">
        <v>25</v>
      </c>
      <c r="I1054" s="12">
        <f>VENTAS[[#This Row],[Cantidad]]*VENTAS[[#This Row],[Precio Venta]]</f>
        <v>25</v>
      </c>
      <c r="J1054" s="12">
        <f>IF(VENTAS[[#This Row],[Nombre del Gestor]]&gt;1,VENTAS[[#This Row],[Total]]*10%,0)</f>
        <v>2.5</v>
      </c>
      <c r="K1054" s="12">
        <f>IFERROR(VLOOKUP(VENTAS[[#This Row],[Código del producto Vendido]],STOCK[],16,FALSE)*VENTAS[[#This Row],[Cantidad]]+VLOOKUP(VENTAS[[#This Row],[Código del producto Vendido]],STOCK[],19,FALSE)*VENTAS[[#This Row],[Cantidad]],VENTAS[[#This Row],[Total]])</f>
        <v>12.4</v>
      </c>
      <c r="L1054" s="12">
        <f>VENTAS[[#This Row],[Total]]-VENTAS[[#This Row],[Comisión 10%]]-VENTAS[[#This Row],[Costo SIN Comision]]</f>
        <v>10.1</v>
      </c>
      <c r="M1054" s="12"/>
      <c r="N1054" s="16"/>
    </row>
    <row r="1055" spans="1:14" ht="20" hidden="1" customHeight="1">
      <c r="A1055" s="9">
        <v>45476</v>
      </c>
      <c r="B1055" s="10"/>
      <c r="C1055" s="10"/>
      <c r="D1055" s="10" t="s">
        <v>4378</v>
      </c>
      <c r="E1055" s="10" t="s">
        <v>2392</v>
      </c>
      <c r="F1055" s="10" t="str">
        <f>IFERROR(VLOOKUP(VENTAS[[#This Row],[Código del producto Vendido]],STOCK[],5,FALSE),"-")</f>
        <v>Pullover Dazy cuello redondo Negro</v>
      </c>
      <c r="G1055" s="10">
        <v>1</v>
      </c>
      <c r="H1055" s="12">
        <v>13</v>
      </c>
      <c r="I1055" s="12">
        <f>VENTAS[[#This Row],[Cantidad]]*VENTAS[[#This Row],[Precio Venta]]</f>
        <v>13</v>
      </c>
      <c r="J1055" s="12">
        <f>IF(VENTAS[[#This Row],[Nombre del Gestor]]&gt;1,VENTAS[[#This Row],[Total]]*10%,0)</f>
        <v>1.3</v>
      </c>
      <c r="K1055" s="12">
        <f>IFERROR(VLOOKUP(VENTAS[[#This Row],[Código del producto Vendido]],STOCK[],16,FALSE)*VENTAS[[#This Row],[Cantidad]]+VLOOKUP(VENTAS[[#This Row],[Código del producto Vendido]],STOCK[],19,FALSE)*VENTAS[[#This Row],[Cantidad]],VENTAS[[#This Row],[Total]])</f>
        <v>7.61</v>
      </c>
      <c r="L1055" s="12">
        <f>VENTAS[[#This Row],[Total]]-VENTAS[[#This Row],[Comisión 10%]]-VENTAS[[#This Row],[Costo SIN Comision]]</f>
        <v>4.089999999999999</v>
      </c>
      <c r="M1055" s="12"/>
      <c r="N1055" s="16"/>
    </row>
    <row r="1056" spans="1:14" ht="20" hidden="1" customHeight="1">
      <c r="A1056" s="9">
        <v>45476</v>
      </c>
      <c r="B1056" s="10"/>
      <c r="C1056" s="10"/>
      <c r="D1056" s="10" t="s">
        <v>4378</v>
      </c>
      <c r="E1056" s="10" t="s">
        <v>1404</v>
      </c>
      <c r="F1056" s="10" t="str">
        <f>IFERROR(VLOOKUP(VENTAS[[#This Row],[Código del producto Vendido]],STOCK[],5,FALSE),"-")</f>
        <v>Top bustier corsetero</v>
      </c>
      <c r="G1056" s="10">
        <v>1</v>
      </c>
      <c r="H1056" s="12">
        <v>10</v>
      </c>
      <c r="I1056" s="12">
        <f>VENTAS[[#This Row],[Cantidad]]*VENTAS[[#This Row],[Precio Venta]]</f>
        <v>10</v>
      </c>
      <c r="J1056" s="12">
        <f>IF(VENTAS[[#This Row],[Nombre del Gestor]]&gt;1,VENTAS[[#This Row],[Total]]*10%,0)</f>
        <v>1</v>
      </c>
      <c r="K1056" s="12">
        <f>IFERROR(VLOOKUP(VENTAS[[#This Row],[Código del producto Vendido]],STOCK[],16,FALSE)*VENTAS[[#This Row],[Cantidad]]+VLOOKUP(VENTAS[[#This Row],[Código del producto Vendido]],STOCK[],19,FALSE)*VENTAS[[#This Row],[Cantidad]],VENTAS[[#This Row],[Total]])</f>
        <v>5.5</v>
      </c>
      <c r="L1056" s="12">
        <f>VENTAS[[#This Row],[Total]]-VENTAS[[#This Row],[Comisión 10%]]-VENTAS[[#This Row],[Costo SIN Comision]]</f>
        <v>3.5</v>
      </c>
      <c r="M1056" s="12"/>
      <c r="N1056" s="16"/>
    </row>
    <row r="1057" spans="1:14" ht="20" hidden="1" customHeight="1">
      <c r="A1057" s="9">
        <v>45476</v>
      </c>
      <c r="B1057" s="10"/>
      <c r="C1057" s="10"/>
      <c r="D1057" s="10" t="s">
        <v>4378</v>
      </c>
      <c r="E1057" s="10" t="s">
        <v>1175</v>
      </c>
      <c r="F1057" s="10" t="str">
        <f>IFERROR(VLOOKUP(VENTAS[[#This Row],[Código del producto Vendido]],STOCK[],5,FALSE),"-")</f>
        <v>Vestido camisero con estampado y cinturón </v>
      </c>
      <c r="G1057" s="10">
        <v>1</v>
      </c>
      <c r="H1057" s="12">
        <v>28</v>
      </c>
      <c r="I1057" s="12">
        <f>VENTAS[[#This Row],[Cantidad]]*VENTAS[[#This Row],[Precio Venta]]</f>
        <v>28</v>
      </c>
      <c r="J1057" s="12">
        <f>IF(VENTAS[[#This Row],[Nombre del Gestor]]&gt;1,VENTAS[[#This Row],[Total]]*10%,0)</f>
        <v>2.8000000000000003</v>
      </c>
      <c r="K1057" s="12">
        <f>IFERROR(VLOOKUP(VENTAS[[#This Row],[Código del producto Vendido]],STOCK[],16,FALSE)*VENTAS[[#This Row],[Cantidad]]+VLOOKUP(VENTAS[[#This Row],[Código del producto Vendido]],STOCK[],19,FALSE)*VENTAS[[#This Row],[Cantidad]],VENTAS[[#This Row],[Total]])</f>
        <v>17.649999999999999</v>
      </c>
      <c r="L1057" s="12">
        <f>VENTAS[[#This Row],[Total]]-VENTAS[[#This Row],[Comisión 10%]]-VENTAS[[#This Row],[Costo SIN Comision]]</f>
        <v>7.5500000000000007</v>
      </c>
      <c r="M1057" s="12"/>
      <c r="N1057" s="16"/>
    </row>
    <row r="1058" spans="1:14" ht="20" hidden="1" customHeight="1">
      <c r="A1058" s="9">
        <v>45476</v>
      </c>
      <c r="B1058" s="10"/>
      <c r="C1058" s="10"/>
      <c r="D1058" s="10" t="s">
        <v>4378</v>
      </c>
      <c r="E1058" s="10" t="s">
        <v>1735</v>
      </c>
      <c r="F1058" s="10" t="str">
        <f>IFERROR(VLOOKUP(VENTAS[[#This Row],[Código del producto Vendido]],STOCK[],5,FALSE),"-")</f>
        <v>Chaleco de traje Crema</v>
      </c>
      <c r="G1058" s="10">
        <v>1</v>
      </c>
      <c r="H1058" s="12">
        <v>25</v>
      </c>
      <c r="I1058" s="12">
        <f>VENTAS[[#This Row],[Cantidad]]*VENTAS[[#This Row],[Precio Venta]]</f>
        <v>25</v>
      </c>
      <c r="J1058" s="12">
        <f>IF(VENTAS[[#This Row],[Nombre del Gestor]]&gt;1,VENTAS[[#This Row],[Total]]*10%,0)</f>
        <v>2.5</v>
      </c>
      <c r="K1058" s="12">
        <f>IFERROR(VLOOKUP(VENTAS[[#This Row],[Código del producto Vendido]],STOCK[],16,FALSE)*VENTAS[[#This Row],[Cantidad]]+VLOOKUP(VENTAS[[#This Row],[Código del producto Vendido]],STOCK[],19,FALSE)*VENTAS[[#This Row],[Cantidad]],VENTAS[[#This Row],[Total]])</f>
        <v>17.9411764705882</v>
      </c>
      <c r="L1058" s="12">
        <f>VENTAS[[#This Row],[Total]]-VENTAS[[#This Row],[Comisión 10%]]-VENTAS[[#This Row],[Costo SIN Comision]]</f>
        <v>4.5588235294118</v>
      </c>
      <c r="M1058" s="12"/>
      <c r="N1058" s="16"/>
    </row>
    <row r="1059" spans="1:14" ht="20" hidden="1" customHeight="1">
      <c r="A1059" s="9">
        <v>45477</v>
      </c>
      <c r="B1059" s="10"/>
      <c r="C1059" s="10"/>
      <c r="D1059" s="10" t="s">
        <v>4380</v>
      </c>
      <c r="E1059" s="10" t="s">
        <v>677</v>
      </c>
      <c r="F1059" s="10" t="str">
        <f>IFERROR(VLOOKUP(VENTAS[[#This Row],[Código del producto Vendido]],STOCK[],5,FALSE),"-")</f>
        <v>Blusa corta de manga farol</v>
      </c>
      <c r="G1059" s="10">
        <v>1</v>
      </c>
      <c r="H1059" s="12">
        <v>9</v>
      </c>
      <c r="I1059" s="12">
        <f>VENTAS[[#This Row],[Cantidad]]*VENTAS[[#This Row],[Precio Venta]]</f>
        <v>9</v>
      </c>
      <c r="J1059" s="12">
        <f>IF(VENTAS[[#This Row],[Nombre del Gestor]]&gt;1,VENTAS[[#This Row],[Total]]*10%,0)</f>
        <v>0.9</v>
      </c>
      <c r="K1059" s="12">
        <f>IFERROR(VLOOKUP(VENTAS[[#This Row],[Código del producto Vendido]],STOCK[],16,FALSE)*VENTAS[[#This Row],[Cantidad]]+VLOOKUP(VENTAS[[#This Row],[Código del producto Vendido]],STOCK[],19,FALSE)*VENTAS[[#This Row],[Cantidad]],VENTAS[[#This Row],[Total]])</f>
        <v>7.5266666666666699</v>
      </c>
      <c r="L1059" s="12">
        <f>VENTAS[[#This Row],[Total]]-VENTAS[[#This Row],[Comisión 10%]]-VENTAS[[#This Row],[Costo SIN Comision]]</f>
        <v>0.5733333333333297</v>
      </c>
      <c r="M1059" s="12"/>
      <c r="N1059" s="16"/>
    </row>
    <row r="1060" spans="1:14" ht="20" hidden="1" customHeight="1">
      <c r="A1060" s="9">
        <v>45476</v>
      </c>
      <c r="B1060" s="10"/>
      <c r="C1060" s="10"/>
      <c r="D1060" s="10" t="s">
        <v>4401</v>
      </c>
      <c r="E1060" s="10" t="s">
        <v>2030</v>
      </c>
      <c r="F1060" s="10" t="str">
        <f>IFERROR(VLOOKUP(VENTAS[[#This Row],[Código del producto Vendido]],STOCK[],5,FALSE),"-")</f>
        <v>Blusa de bolas cuello con lazo</v>
      </c>
      <c r="G1060" s="10">
        <v>1</v>
      </c>
      <c r="H1060" s="12">
        <v>3</v>
      </c>
      <c r="I1060" s="12">
        <f>VENTAS[[#This Row],[Cantidad]]*VENTAS[[#This Row],[Precio Venta]]</f>
        <v>3</v>
      </c>
      <c r="J1060" s="12">
        <f>IF(VENTAS[[#This Row],[Nombre del Gestor]]&gt;1,VENTAS[[#This Row],[Total]]*10%,0)</f>
        <v>0.30000000000000004</v>
      </c>
      <c r="K1060" s="12">
        <f>IFERROR(VLOOKUP(VENTAS[[#This Row],[Código del producto Vendido]],STOCK[],16,FALSE)*VENTAS[[#This Row],[Cantidad]]+VLOOKUP(VENTAS[[#This Row],[Código del producto Vendido]],STOCK[],19,FALSE)*VENTAS[[#This Row],[Cantidad]],VENTAS[[#This Row],[Total]])</f>
        <v>0</v>
      </c>
      <c r="L1060" s="12">
        <f>VENTAS[[#This Row],[Total]]-VENTAS[[#This Row],[Comisión 10%]]-VENTAS[[#This Row],[Costo SIN Comision]]</f>
        <v>2.7</v>
      </c>
      <c r="M1060" s="12"/>
      <c r="N1060" s="16"/>
    </row>
    <row r="1061" spans="1:14" ht="20" hidden="1" customHeight="1">
      <c r="A1061" s="9">
        <v>45478</v>
      </c>
      <c r="B1061" s="10"/>
      <c r="C1061" s="10" t="s">
        <v>4402</v>
      </c>
      <c r="D1061" s="10"/>
      <c r="E1061" s="10" t="s">
        <v>1225</v>
      </c>
      <c r="F1061" s="10" t="str">
        <f>IFERROR(VLOOKUP(VENTAS[[#This Row],[Código del producto Vendido]],STOCK[],5,FALSE),"-")</f>
        <v>Calzado tacón negro</v>
      </c>
      <c r="G1061" s="10">
        <v>1</v>
      </c>
      <c r="H1061" s="12">
        <v>55</v>
      </c>
      <c r="I1061" s="12">
        <f>VENTAS[[#This Row],[Cantidad]]*VENTAS[[#This Row],[Precio Venta]]</f>
        <v>55</v>
      </c>
      <c r="J1061" s="12">
        <f>IF(VENTAS[[#This Row],[Nombre del Gestor]]&gt;1,VENTAS[[#This Row],[Total]]*10%,0)</f>
        <v>0</v>
      </c>
      <c r="K1061" s="12">
        <f>IFERROR(VLOOKUP(VENTAS[[#This Row],[Código del producto Vendido]],STOCK[],16,FALSE)*VENTAS[[#This Row],[Cantidad]]+VLOOKUP(VENTAS[[#This Row],[Código del producto Vendido]],STOCK[],19,FALSE)*VENTAS[[#This Row],[Cantidad]],VENTAS[[#This Row],[Total]])</f>
        <v>41.83</v>
      </c>
      <c r="L1061" s="12">
        <f>VENTAS[[#This Row],[Total]]-VENTAS[[#This Row],[Comisión 10%]]-VENTAS[[#This Row],[Costo SIN Comision]]</f>
        <v>13.170000000000002</v>
      </c>
      <c r="M1061" s="12"/>
      <c r="N1061" s="16"/>
    </row>
    <row r="1062" spans="1:14" ht="20" hidden="1" customHeight="1">
      <c r="A1062" s="9">
        <v>45474</v>
      </c>
      <c r="B1062" s="10"/>
      <c r="C1062" s="10"/>
      <c r="D1062" s="10" t="s">
        <v>4349</v>
      </c>
      <c r="E1062" s="10" t="s">
        <v>2111</v>
      </c>
      <c r="F1062" s="10" t="str">
        <f>IFERROR(VLOOKUP(VENTAS[[#This Row],[Código del producto Vendido]],STOCK[],5,FALSE),"-")</f>
        <v xml:space="preserve">The Cat TOTE bag tamaño de Gran Capacidad </v>
      </c>
      <c r="G1062" s="10">
        <v>1</v>
      </c>
      <c r="H1062" s="12">
        <v>12</v>
      </c>
      <c r="I1062" s="12">
        <f>VENTAS[[#This Row],[Cantidad]]*VENTAS[[#This Row],[Precio Venta]]</f>
        <v>12</v>
      </c>
      <c r="J1062" s="12">
        <f>IF(VENTAS[[#This Row],[Nombre del Gestor]]&gt;1,VENTAS[[#This Row],[Total]]*10%,0)</f>
        <v>1.2000000000000002</v>
      </c>
      <c r="K1062" s="12">
        <f>IFERROR(VLOOKUP(VENTAS[[#This Row],[Código del producto Vendido]],STOCK[],16,FALSE)*VENTAS[[#This Row],[Cantidad]]+VLOOKUP(VENTAS[[#This Row],[Código del producto Vendido]],STOCK[],19,FALSE)*VENTAS[[#This Row],[Cantidad]],VENTAS[[#This Row],[Total]])</f>
        <v>5.58</v>
      </c>
      <c r="L1062" s="12">
        <f>VENTAS[[#This Row],[Total]]-VENTAS[[#This Row],[Comisión 10%]]-VENTAS[[#This Row],[Costo SIN Comision]]</f>
        <v>5.2200000000000006</v>
      </c>
      <c r="M1062" s="12"/>
      <c r="N1062" s="16"/>
    </row>
    <row r="1063" spans="1:14" ht="20" hidden="1" customHeight="1">
      <c r="A1063" s="9">
        <v>45488</v>
      </c>
      <c r="B1063" s="10"/>
      <c r="C1063" s="10"/>
      <c r="D1063" s="10" t="s">
        <v>4193</v>
      </c>
      <c r="E1063" s="10" t="s">
        <v>2168</v>
      </c>
      <c r="F1063" s="10" t="str">
        <f>IFERROR(VLOOKUP(VENTAS[[#This Row],[Código del producto Vendido]],STOCK[],5,FALSE),"-")</f>
        <v xml:space="preserve">Bañador en color sólido sexy-elegante </v>
      </c>
      <c r="G1063" s="10">
        <v>1</v>
      </c>
      <c r="H1063" s="12">
        <v>20</v>
      </c>
      <c r="I1063" s="12">
        <f>VENTAS[[#This Row],[Cantidad]]*VENTAS[[#This Row],[Precio Venta]]</f>
        <v>20</v>
      </c>
      <c r="J1063" s="12">
        <f>IF(VENTAS[[#This Row],[Nombre del Gestor]]&gt;1,VENTAS[[#This Row],[Total]]*10%,0)</f>
        <v>2</v>
      </c>
      <c r="K1063" s="12">
        <f>IFERROR(VLOOKUP(VENTAS[[#This Row],[Código del producto Vendido]],STOCK[],16,FALSE)*VENTAS[[#This Row],[Cantidad]]+VLOOKUP(VENTAS[[#This Row],[Código del producto Vendido]],STOCK[],19,FALSE)*VENTAS[[#This Row],[Cantidad]],VENTAS[[#This Row],[Total]])</f>
        <v>8.24</v>
      </c>
      <c r="L1063" s="12">
        <f>VENTAS[[#This Row],[Total]]-VENTAS[[#This Row],[Comisión 10%]]-VENTAS[[#This Row],[Costo SIN Comision]]</f>
        <v>9.76</v>
      </c>
      <c r="M1063" s="12" t="s">
        <v>4403</v>
      </c>
      <c r="N1063" s="16"/>
    </row>
    <row r="1064" spans="1:14" ht="20" hidden="1" customHeight="1">
      <c r="A1064" s="9">
        <v>45483</v>
      </c>
      <c r="B1064" s="10"/>
      <c r="C1064" s="10"/>
      <c r="D1064" s="10" t="s">
        <v>4349</v>
      </c>
      <c r="E1064" s="10" t="s">
        <v>2187</v>
      </c>
      <c r="F1064" s="10" t="str">
        <f>IFERROR(VLOOKUP(VENTAS[[#This Row],[Código del producto Vendido]],STOCK[],5,FALSE),"-")</f>
        <v>Bikini sexy de pierna alta en tendencia</v>
      </c>
      <c r="G1064" s="10">
        <v>0</v>
      </c>
      <c r="H1064" s="12">
        <v>20</v>
      </c>
      <c r="I1064" s="12">
        <f>VENTAS[[#This Row],[Cantidad]]*VENTAS[[#This Row],[Precio Venta]]</f>
        <v>0</v>
      </c>
      <c r="J1064" s="12">
        <f>IF(VENTAS[[#This Row],[Nombre del Gestor]]&gt;1,VENTAS[[#This Row],[Total]]*10%,0)</f>
        <v>0</v>
      </c>
      <c r="K1064" s="12">
        <f>IFERROR(VLOOKUP(VENTAS[[#This Row],[Código del producto Vendido]],STOCK[],16,FALSE)*VENTAS[[#This Row],[Cantidad]]+VLOOKUP(VENTAS[[#This Row],[Código del producto Vendido]],STOCK[],19,FALSE)*VENTAS[[#This Row],[Cantidad]],VENTAS[[#This Row],[Total]])</f>
        <v>0</v>
      </c>
      <c r="L1064" s="12">
        <f>VENTAS[[#This Row],[Total]]-VENTAS[[#This Row],[Comisión 10%]]-VENTAS[[#This Row],[Costo SIN Comision]]</f>
        <v>0</v>
      </c>
      <c r="M1064" s="12"/>
      <c r="N1064" s="16"/>
    </row>
    <row r="1065" spans="1:14" ht="20" hidden="1" customHeight="1">
      <c r="A1065" s="9">
        <v>45483</v>
      </c>
      <c r="B1065" s="10"/>
      <c r="C1065" s="10"/>
      <c r="D1065" s="10" t="s">
        <v>4349</v>
      </c>
      <c r="E1065" s="10" t="s">
        <v>1910</v>
      </c>
      <c r="F1065" s="10" t="str">
        <f>IFERROR(VLOOKUP(VENTAS[[#This Row],[Código del producto Vendido]],STOCK[],5,FALSE),"-")</f>
        <v>Gafas de Sol Retro Blanco</v>
      </c>
      <c r="G1065" s="10">
        <v>1</v>
      </c>
      <c r="H1065" s="12">
        <v>8</v>
      </c>
      <c r="I1065" s="12">
        <f>VENTAS[[#This Row],[Cantidad]]*VENTAS[[#This Row],[Precio Venta]]</f>
        <v>8</v>
      </c>
      <c r="J1065" s="12">
        <f>IF(VENTAS[[#This Row],[Nombre del Gestor]]&gt;1,VENTAS[[#This Row],[Total]]*10%,0)</f>
        <v>0.8</v>
      </c>
      <c r="K1065" s="12">
        <f>IFERROR(VLOOKUP(VENTAS[[#This Row],[Código del producto Vendido]],STOCK[],16,FALSE)*VENTAS[[#This Row],[Cantidad]]+VLOOKUP(VENTAS[[#This Row],[Código del producto Vendido]],STOCK[],19,FALSE)*VENTAS[[#This Row],[Cantidad]],VENTAS[[#This Row],[Total]])</f>
        <v>4.45</v>
      </c>
      <c r="L1065" s="12">
        <f>VENTAS[[#This Row],[Total]]-VENTAS[[#This Row],[Comisión 10%]]-VENTAS[[#This Row],[Costo SIN Comision]]</f>
        <v>2.75</v>
      </c>
      <c r="M1065" s="12"/>
      <c r="N1065" s="16"/>
    </row>
    <row r="1066" spans="1:14" ht="20" hidden="1" customHeight="1">
      <c r="A1066" s="9">
        <v>45483</v>
      </c>
      <c r="B1066" s="10"/>
      <c r="C1066" s="10"/>
      <c r="D1066" s="10" t="s">
        <v>4349</v>
      </c>
      <c r="E1066" s="10" t="s">
        <v>2422</v>
      </c>
      <c r="F1066" s="10" t="str">
        <f>IFERROR(VLOOKUP(VENTAS[[#This Row],[Código del producto Vendido]],STOCK[],5,FALSE),"-")</f>
        <v>Camisa blanca en mezcla de algodón</v>
      </c>
      <c r="G1066" s="10">
        <v>1</v>
      </c>
      <c r="H1066" s="12">
        <v>22</v>
      </c>
      <c r="I1066" s="12">
        <f>VENTAS[[#This Row],[Cantidad]]*VENTAS[[#This Row],[Precio Venta]]</f>
        <v>22</v>
      </c>
      <c r="J1066" s="12">
        <f>IF(VENTAS[[#This Row],[Nombre del Gestor]]&gt;1,VENTAS[[#This Row],[Total]]*10%,0)</f>
        <v>2.2000000000000002</v>
      </c>
      <c r="K1066" s="12">
        <f>IFERROR(VLOOKUP(VENTAS[[#This Row],[Código del producto Vendido]],STOCK[],16,FALSE)*VENTAS[[#This Row],[Cantidad]]+VLOOKUP(VENTAS[[#This Row],[Código del producto Vendido]],STOCK[],19,FALSE)*VENTAS[[#This Row],[Cantidad]],VENTAS[[#This Row],[Total]])</f>
        <v>17.780810810810799</v>
      </c>
      <c r="L1066" s="12">
        <f>VENTAS[[#This Row],[Total]]-VENTAS[[#This Row],[Comisión 10%]]-VENTAS[[#This Row],[Costo SIN Comision]]</f>
        <v>2.019189189189202</v>
      </c>
      <c r="M1066" s="12"/>
      <c r="N1066" s="16"/>
    </row>
    <row r="1067" spans="1:14" ht="20" hidden="1" customHeight="1">
      <c r="A1067" s="9">
        <v>45484</v>
      </c>
      <c r="B1067" s="10"/>
      <c r="C1067" s="10"/>
      <c r="D1067" s="10" t="s">
        <v>4349</v>
      </c>
      <c r="E1067" s="10" t="s">
        <v>604</v>
      </c>
      <c r="F1067" s="10" t="str">
        <f>IFERROR(VLOOKUP(VENTAS[[#This Row],[Código del producto Vendido]],STOCK[],5,FALSE),"-")</f>
        <v>Vestido floral de mangas farol</v>
      </c>
      <c r="G1067" s="10">
        <v>1</v>
      </c>
      <c r="H1067" s="12">
        <v>20</v>
      </c>
      <c r="I1067" s="12">
        <f>VENTAS[[#This Row],[Cantidad]]*VENTAS[[#This Row],[Precio Venta]]</f>
        <v>20</v>
      </c>
      <c r="J1067" s="12">
        <f>IF(VENTAS[[#This Row],[Nombre del Gestor]]&gt;1,VENTAS[[#This Row],[Total]]*10%,0)</f>
        <v>2</v>
      </c>
      <c r="K1067" s="12">
        <f>IFERROR(VLOOKUP(VENTAS[[#This Row],[Código del producto Vendido]],STOCK[],16,FALSE)*VENTAS[[#This Row],[Cantidad]]+VLOOKUP(VENTAS[[#This Row],[Código del producto Vendido]],STOCK[],19,FALSE)*VENTAS[[#This Row],[Cantidad]],VENTAS[[#This Row],[Total]])</f>
        <v>10.72222222222222</v>
      </c>
      <c r="L1067" s="12">
        <f>VENTAS[[#This Row],[Total]]-VENTAS[[#This Row],[Comisión 10%]]-VENTAS[[#This Row],[Costo SIN Comision]]</f>
        <v>7.2777777777777803</v>
      </c>
      <c r="M1067" s="12"/>
      <c r="N1067" s="16"/>
    </row>
    <row r="1068" spans="1:14" ht="20" hidden="1" customHeight="1">
      <c r="A1068" s="9">
        <v>45485</v>
      </c>
      <c r="B1068" s="10"/>
      <c r="C1068" s="10"/>
      <c r="D1068" s="10" t="s">
        <v>4349</v>
      </c>
      <c r="E1068" s="10" t="s">
        <v>1165</v>
      </c>
      <c r="F1068" s="10" t="str">
        <f>IFERROR(VLOOKUP(VENTAS[[#This Row],[Código del producto Vendido]],STOCK[],5,FALSE),"-")</f>
        <v>Short de mezclilla con doblez (no elastiza)</v>
      </c>
      <c r="G1068" s="10">
        <v>1</v>
      </c>
      <c r="H1068" s="12">
        <v>20</v>
      </c>
      <c r="I1068" s="12">
        <f>VENTAS[[#This Row],[Cantidad]]*VENTAS[[#This Row],[Precio Venta]]</f>
        <v>20</v>
      </c>
      <c r="J1068" s="12">
        <f>IF(VENTAS[[#This Row],[Nombre del Gestor]]&gt;1,VENTAS[[#This Row],[Total]]*10%,0)</f>
        <v>2</v>
      </c>
      <c r="K1068" s="12">
        <f>IFERROR(VLOOKUP(VENTAS[[#This Row],[Código del producto Vendido]],STOCK[],16,FALSE)*VENTAS[[#This Row],[Cantidad]]+VLOOKUP(VENTAS[[#This Row],[Código del producto Vendido]],STOCK[],19,FALSE)*VENTAS[[#This Row],[Cantidad]],VENTAS[[#This Row],[Total]])</f>
        <v>14.29</v>
      </c>
      <c r="L1068" s="12">
        <f>VENTAS[[#This Row],[Total]]-VENTAS[[#This Row],[Comisión 10%]]-VENTAS[[#This Row],[Costo SIN Comision]]</f>
        <v>3.7100000000000009</v>
      </c>
      <c r="M1068" s="12"/>
      <c r="N1068" s="16"/>
    </row>
    <row r="1069" spans="1:14" ht="20" hidden="1" customHeight="1">
      <c r="A1069" s="9">
        <v>45485</v>
      </c>
      <c r="B1069" s="10"/>
      <c r="C1069" s="10"/>
      <c r="D1069" s="10" t="s">
        <v>4349</v>
      </c>
      <c r="E1069" s="10"/>
      <c r="F1069" s="10" t="s">
        <v>4404</v>
      </c>
      <c r="G1069" s="10">
        <v>1</v>
      </c>
      <c r="H1069" s="12">
        <v>25</v>
      </c>
      <c r="I1069" s="12">
        <f>VENTAS[[#This Row],[Cantidad]]*VENTAS[[#This Row],[Precio Venta]]</f>
        <v>25</v>
      </c>
      <c r="J1069" s="12">
        <f>IF(VENTAS[[#This Row],[Nombre del Gestor]]&gt;1,VENTAS[[#This Row],[Total]]*10%,0)</f>
        <v>2.5</v>
      </c>
      <c r="K1069" s="12">
        <f>IFERROR(VLOOKUP(VENTAS[[#This Row],[Código del producto Vendido]],STOCK[],16,FALSE)*VENTAS[[#This Row],[Cantidad]]+VLOOKUP(VENTAS[[#This Row],[Código del producto Vendido]],STOCK[],19,FALSE)*VENTAS[[#This Row],[Cantidad]],VENTAS[[#This Row],[Total]])</f>
        <v>25</v>
      </c>
      <c r="L1069" s="12">
        <f>VENTAS[[#This Row],[Total]]-VENTAS[[#This Row],[Comisión 10%]]-VENTAS[[#This Row],[Costo SIN Comision]]</f>
        <v>-2.5</v>
      </c>
      <c r="M1069" s="12"/>
      <c r="N1069" s="16"/>
    </row>
    <row r="1070" spans="1:14" ht="20" hidden="1" customHeight="1">
      <c r="A1070" s="9">
        <v>45485</v>
      </c>
      <c r="B1070" s="10"/>
      <c r="C1070" s="10"/>
      <c r="D1070" s="10" t="s">
        <v>4349</v>
      </c>
      <c r="E1070" s="10" t="s">
        <v>2185</v>
      </c>
      <c r="F1070" s="10" t="str">
        <f>IFERROR(VLOOKUP(VENTAS[[#This Row],[Código del producto Vendido]],STOCK[],5,FALSE),"-")</f>
        <v>Bikini sexy de pierna alta en tendencia</v>
      </c>
      <c r="G1070" s="10">
        <v>1</v>
      </c>
      <c r="H1070" s="12">
        <v>20</v>
      </c>
      <c r="I1070" s="12">
        <f>VENTAS[[#This Row],[Cantidad]]*VENTAS[[#This Row],[Precio Venta]]</f>
        <v>20</v>
      </c>
      <c r="J1070" s="12">
        <f>IF(VENTAS[[#This Row],[Nombre del Gestor]]&gt;1,VENTAS[[#This Row],[Total]]*10%,0)</f>
        <v>2</v>
      </c>
      <c r="K1070" s="12">
        <f>IFERROR(VLOOKUP(VENTAS[[#This Row],[Código del producto Vendido]],STOCK[],16,FALSE)*VENTAS[[#This Row],[Cantidad]]+VLOOKUP(VENTAS[[#This Row],[Código del producto Vendido]],STOCK[],19,FALSE)*VENTAS[[#This Row],[Cantidad]],VENTAS[[#This Row],[Total]])</f>
        <v>6.6199999999999992</v>
      </c>
      <c r="L1070" s="12">
        <f>VENTAS[[#This Row],[Total]]-VENTAS[[#This Row],[Comisión 10%]]-VENTAS[[#This Row],[Costo SIN Comision]]</f>
        <v>11.38</v>
      </c>
      <c r="M1070" s="12"/>
      <c r="N1070" s="16"/>
    </row>
    <row r="1071" spans="1:14" ht="20" hidden="1" customHeight="1">
      <c r="A1071" s="9">
        <v>45485</v>
      </c>
      <c r="B1071" s="10"/>
      <c r="C1071" s="10"/>
      <c r="D1071" s="10" t="s">
        <v>4349</v>
      </c>
      <c r="E1071" s="10" t="s">
        <v>2316</v>
      </c>
      <c r="F1071" s="10" t="str">
        <f>IFERROR(VLOOKUP(VENTAS[[#This Row],[Código del producto Vendido]],STOCK[],5,FALSE),"-")</f>
        <v>Blusa Vacaciones con lazo delantero</v>
      </c>
      <c r="G1071" s="10">
        <v>1</v>
      </c>
      <c r="H1071" s="12">
        <v>15</v>
      </c>
      <c r="I1071" s="12">
        <f>VENTAS[[#This Row],[Cantidad]]*VENTAS[[#This Row],[Precio Venta]]</f>
        <v>15</v>
      </c>
      <c r="J1071" s="12">
        <f>IF(VENTAS[[#This Row],[Nombre del Gestor]]&gt;1,VENTAS[[#This Row],[Total]]*10%,0)</f>
        <v>1.5</v>
      </c>
      <c r="K1071" s="12">
        <f>IFERROR(VLOOKUP(VENTAS[[#This Row],[Código del producto Vendido]],STOCK[],16,FALSE)*VENTAS[[#This Row],[Cantidad]]+VLOOKUP(VENTAS[[#This Row],[Código del producto Vendido]],STOCK[],19,FALSE)*VENTAS[[#This Row],[Cantidad]],VENTAS[[#This Row],[Total]])</f>
        <v>8.7331249999999994</v>
      </c>
      <c r="L1071" s="12">
        <f>VENTAS[[#This Row],[Total]]-VENTAS[[#This Row],[Comisión 10%]]-VENTAS[[#This Row],[Costo SIN Comision]]</f>
        <v>4.7668750000000006</v>
      </c>
      <c r="M1071" s="12"/>
      <c r="N1071" s="16"/>
    </row>
    <row r="1072" spans="1:14" ht="20" hidden="1" customHeight="1">
      <c r="A1072" s="9">
        <v>45485</v>
      </c>
      <c r="B1072" s="10"/>
      <c r="C1072" s="10"/>
      <c r="D1072" s="10" t="s">
        <v>4349</v>
      </c>
      <c r="E1072" s="10" t="s">
        <v>2314</v>
      </c>
      <c r="F1072" s="10" t="str">
        <f>IFERROR(VLOOKUP(VENTAS[[#This Row],[Código del producto Vendido]],STOCK[],5,FALSE),"-")</f>
        <v>Blusa Vacaciones con lazo delantero</v>
      </c>
      <c r="G1072" s="10">
        <v>1</v>
      </c>
      <c r="H1072" s="12">
        <v>15</v>
      </c>
      <c r="I1072" s="12">
        <f>VENTAS[[#This Row],[Cantidad]]*VENTAS[[#This Row],[Precio Venta]]</f>
        <v>15</v>
      </c>
      <c r="J1072" s="12">
        <f>IF(VENTAS[[#This Row],[Nombre del Gestor]]&gt;1,VENTAS[[#This Row],[Total]]*10%,0)</f>
        <v>1.5</v>
      </c>
      <c r="K1072" s="12">
        <f>IFERROR(VLOOKUP(VENTAS[[#This Row],[Código del producto Vendido]],STOCK[],16,FALSE)*VENTAS[[#This Row],[Cantidad]]+VLOOKUP(VENTAS[[#This Row],[Código del producto Vendido]],STOCK[],19,FALSE)*VENTAS[[#This Row],[Cantidad]],VENTAS[[#This Row],[Total]])</f>
        <v>8.7331249999999994</v>
      </c>
      <c r="L1072" s="12">
        <f>VENTAS[[#This Row],[Total]]-VENTAS[[#This Row],[Comisión 10%]]-VENTAS[[#This Row],[Costo SIN Comision]]</f>
        <v>4.7668750000000006</v>
      </c>
      <c r="M1072" s="12"/>
      <c r="N1072" s="16"/>
    </row>
    <row r="1073" spans="1:14" ht="20" hidden="1" customHeight="1">
      <c r="A1073" s="9">
        <v>45486</v>
      </c>
      <c r="B1073" s="10"/>
      <c r="C1073" s="10"/>
      <c r="D1073" s="10" t="s">
        <v>4349</v>
      </c>
      <c r="E1073" s="10" t="s">
        <v>2187</v>
      </c>
      <c r="F1073" s="10" t="str">
        <f>IFERROR(VLOOKUP(VENTAS[[#This Row],[Código del producto Vendido]],STOCK[],5,FALSE),"-")</f>
        <v>Bikini sexy de pierna alta en tendencia</v>
      </c>
      <c r="G1073" s="10">
        <v>1</v>
      </c>
      <c r="H1073" s="12">
        <v>20</v>
      </c>
      <c r="I1073" s="12">
        <f>VENTAS[[#This Row],[Cantidad]]*VENTAS[[#This Row],[Precio Venta]]</f>
        <v>20</v>
      </c>
      <c r="J1073" s="12">
        <f>IF(VENTAS[[#This Row],[Nombre del Gestor]]&gt;1,VENTAS[[#This Row],[Total]]*10%,0)</f>
        <v>2</v>
      </c>
      <c r="K1073" s="12">
        <f>IFERROR(VLOOKUP(VENTAS[[#This Row],[Código del producto Vendido]],STOCK[],16,FALSE)*VENTAS[[#This Row],[Cantidad]]+VLOOKUP(VENTAS[[#This Row],[Código del producto Vendido]],STOCK[],19,FALSE)*VENTAS[[#This Row],[Cantidad]],VENTAS[[#This Row],[Total]])</f>
        <v>6.6199999999999992</v>
      </c>
      <c r="L1073" s="12">
        <f>VENTAS[[#This Row],[Total]]-VENTAS[[#This Row],[Comisión 10%]]-VENTAS[[#This Row],[Costo SIN Comision]]</f>
        <v>11.38</v>
      </c>
      <c r="M1073" s="12"/>
      <c r="N1073" s="16"/>
    </row>
    <row r="1074" spans="1:14" ht="20" hidden="1" customHeight="1">
      <c r="A1074" s="9">
        <v>45487</v>
      </c>
      <c r="B1074" s="10"/>
      <c r="C1074" s="10"/>
      <c r="D1074" s="10" t="s">
        <v>4349</v>
      </c>
      <c r="E1074" s="10" t="s">
        <v>2177</v>
      </c>
      <c r="F1074" s="10" t="str">
        <f>IFERROR(VLOOKUP(VENTAS[[#This Row],[Código del producto Vendido]],STOCK[],5,FALSE),"-")</f>
        <v>Set de bikini 2 piezas estampado de colores con adorno de aro</v>
      </c>
      <c r="G1074" s="10">
        <v>1</v>
      </c>
      <c r="H1074" s="12">
        <v>18</v>
      </c>
      <c r="I1074" s="12">
        <f>VENTAS[[#This Row],[Cantidad]]*VENTAS[[#This Row],[Precio Venta]]</f>
        <v>18</v>
      </c>
      <c r="J1074" s="12">
        <f>IF(VENTAS[[#This Row],[Nombre del Gestor]]&gt;1,VENTAS[[#This Row],[Total]]*10%,0)</f>
        <v>1.8</v>
      </c>
      <c r="K1074" s="12">
        <f>IFERROR(VLOOKUP(VENTAS[[#This Row],[Código del producto Vendido]],STOCK[],16,FALSE)*VENTAS[[#This Row],[Cantidad]]+VLOOKUP(VENTAS[[#This Row],[Código del producto Vendido]],STOCK[],19,FALSE)*VENTAS[[#This Row],[Cantidad]],VENTAS[[#This Row],[Total]])</f>
        <v>4.43</v>
      </c>
      <c r="L1074" s="12">
        <f>VENTAS[[#This Row],[Total]]-VENTAS[[#This Row],[Comisión 10%]]-VENTAS[[#This Row],[Costo SIN Comision]]</f>
        <v>11.77</v>
      </c>
      <c r="M1074" s="12"/>
      <c r="N1074" s="16"/>
    </row>
    <row r="1075" spans="1:14" ht="20" hidden="1" customHeight="1">
      <c r="A1075" s="9">
        <v>45487</v>
      </c>
      <c r="B1075" s="10"/>
      <c r="C1075" s="10"/>
      <c r="D1075" s="10" t="s">
        <v>4349</v>
      </c>
      <c r="E1075" s="10" t="s">
        <v>2209</v>
      </c>
      <c r="F1075" s="10" t="str">
        <f>IFERROR(VLOOKUP(VENTAS[[#This Row],[Código del producto Vendido]],STOCK[],5,FALSE),"-")</f>
        <v xml:space="preserve">Bolso TOTE arcoíris trending </v>
      </c>
      <c r="G1075" s="10">
        <v>1</v>
      </c>
      <c r="H1075" s="12">
        <v>12</v>
      </c>
      <c r="I1075" s="12">
        <f>VENTAS[[#This Row],[Cantidad]]*VENTAS[[#This Row],[Precio Venta]]</f>
        <v>12</v>
      </c>
      <c r="J1075" s="12">
        <f>IF(VENTAS[[#This Row],[Nombre del Gestor]]&gt;1,VENTAS[[#This Row],[Total]]*10%,0)</f>
        <v>1.2000000000000002</v>
      </c>
      <c r="K1075" s="12">
        <f>IFERROR(VLOOKUP(VENTAS[[#This Row],[Código del producto Vendido]],STOCK[],16,FALSE)*VENTAS[[#This Row],[Cantidad]]+VLOOKUP(VENTAS[[#This Row],[Código del producto Vendido]],STOCK[],19,FALSE)*VENTAS[[#This Row],[Cantidad]],VENTAS[[#This Row],[Total]])</f>
        <v>5.84</v>
      </c>
      <c r="L1075" s="12">
        <f>VENTAS[[#This Row],[Total]]-VENTAS[[#This Row],[Comisión 10%]]-VENTAS[[#This Row],[Costo SIN Comision]]</f>
        <v>4.9600000000000009</v>
      </c>
      <c r="M1075" s="12"/>
      <c r="N1075" s="16"/>
    </row>
    <row r="1076" spans="1:14" ht="20" hidden="1" customHeight="1">
      <c r="A1076" s="9">
        <v>45487</v>
      </c>
      <c r="B1076" s="10"/>
      <c r="C1076" s="10"/>
      <c r="D1076" s="10" t="s">
        <v>4349</v>
      </c>
      <c r="E1076" s="10" t="s">
        <v>1899</v>
      </c>
      <c r="F1076" s="10" t="str">
        <f>IFERROR(VLOOKUP(VENTAS[[#This Row],[Código del producto Vendido]],STOCK[],5,FALSE),"-")</f>
        <v>Bolso mochila estampado</v>
      </c>
      <c r="G1076" s="10">
        <v>1</v>
      </c>
      <c r="H1076" s="12">
        <v>25</v>
      </c>
      <c r="I1076" s="12">
        <f>VENTAS[[#This Row],[Cantidad]]*VENTAS[[#This Row],[Precio Venta]]</f>
        <v>25</v>
      </c>
      <c r="J1076" s="12">
        <f>IF(VENTAS[[#This Row],[Nombre del Gestor]]&gt;1,VENTAS[[#This Row],[Total]]*10%,0)</f>
        <v>2.5</v>
      </c>
      <c r="K1076" s="12">
        <f>IFERROR(VLOOKUP(VENTAS[[#This Row],[Código del producto Vendido]],STOCK[],16,FALSE)*VENTAS[[#This Row],[Cantidad]]+VLOOKUP(VENTAS[[#This Row],[Código del producto Vendido]],STOCK[],19,FALSE)*VENTAS[[#This Row],[Cantidad]],VENTAS[[#This Row],[Total]])</f>
        <v>12.620000000000001</v>
      </c>
      <c r="L1076" s="12">
        <f>VENTAS[[#This Row],[Total]]-VENTAS[[#This Row],[Comisión 10%]]-VENTAS[[#This Row],[Costo SIN Comision]]</f>
        <v>9.879999999999999</v>
      </c>
      <c r="M1076" s="12"/>
      <c r="N1076" s="16"/>
    </row>
    <row r="1077" spans="1:14" ht="20" hidden="1" customHeight="1">
      <c r="A1077" s="9">
        <v>45487</v>
      </c>
      <c r="B1077" s="10"/>
      <c r="C1077" s="10"/>
      <c r="D1077" s="10" t="s">
        <v>4374</v>
      </c>
      <c r="E1077" s="10" t="s">
        <v>1658</v>
      </c>
      <c r="F1077" s="10" t="str">
        <f>IFERROR(VLOOKUP(VENTAS[[#This Row],[Código del producto Vendido]],STOCK[],5,FALSE),"-")</f>
        <v>Vestido margarita</v>
      </c>
      <c r="G1077" s="10">
        <v>1</v>
      </c>
      <c r="H1077" s="12">
        <v>28</v>
      </c>
      <c r="I1077" s="12">
        <f>VENTAS[[#This Row],[Cantidad]]*VENTAS[[#This Row],[Precio Venta]]</f>
        <v>28</v>
      </c>
      <c r="J1077" s="12">
        <f>IF(VENTAS[[#This Row],[Nombre del Gestor]]&gt;1,VENTAS[[#This Row],[Total]]*10%,0)</f>
        <v>2.8000000000000003</v>
      </c>
      <c r="K1077" s="12">
        <f>IFERROR(VLOOKUP(VENTAS[[#This Row],[Código del producto Vendido]],STOCK[],16,FALSE)*VENTAS[[#This Row],[Cantidad]]+VLOOKUP(VENTAS[[#This Row],[Código del producto Vendido]],STOCK[],19,FALSE)*VENTAS[[#This Row],[Cantidad]],VENTAS[[#This Row],[Total]])</f>
        <v>15.05</v>
      </c>
      <c r="L1077" s="12">
        <f>VENTAS[[#This Row],[Total]]-VENTAS[[#This Row],[Comisión 10%]]-VENTAS[[#This Row],[Costo SIN Comision]]</f>
        <v>10.149999999999999</v>
      </c>
      <c r="M1077" s="12"/>
      <c r="N1077" s="16"/>
    </row>
    <row r="1078" spans="1:14" ht="20" hidden="1" customHeight="1">
      <c r="A1078" s="9">
        <v>45487</v>
      </c>
      <c r="B1078" s="10"/>
      <c r="C1078" s="10"/>
      <c r="D1078" s="10" t="s">
        <v>4374</v>
      </c>
      <c r="E1078" s="10" t="s">
        <v>2212</v>
      </c>
      <c r="F1078" s="10" t="str">
        <f>IFERROR(VLOOKUP(VENTAS[[#This Row],[Código del producto Vendido]],STOCK[],5,FALSE),"-")</f>
        <v>Vestido Resorte estampado bohemio</v>
      </c>
      <c r="G1078" s="10">
        <v>1</v>
      </c>
      <c r="H1078" s="12">
        <v>35</v>
      </c>
      <c r="I1078" s="12">
        <f>VENTAS[[#This Row],[Cantidad]]*VENTAS[[#This Row],[Precio Venta]]</f>
        <v>35</v>
      </c>
      <c r="J1078" s="12">
        <f>IF(VENTAS[[#This Row],[Nombre del Gestor]]&gt;1,VENTAS[[#This Row],[Total]]*10%,0)</f>
        <v>3.5</v>
      </c>
      <c r="K1078" s="12">
        <f>IFERROR(VLOOKUP(VENTAS[[#This Row],[Código del producto Vendido]],STOCK[],16,FALSE)*VENTAS[[#This Row],[Cantidad]]+VLOOKUP(VENTAS[[#This Row],[Código del producto Vendido]],STOCK[],19,FALSE)*VENTAS[[#This Row],[Cantidad]],VENTAS[[#This Row],[Total]])</f>
        <v>15.389999999999999</v>
      </c>
      <c r="L1078" s="12">
        <f>VENTAS[[#This Row],[Total]]-VENTAS[[#This Row],[Comisión 10%]]-VENTAS[[#This Row],[Costo SIN Comision]]</f>
        <v>16.11</v>
      </c>
      <c r="M1078" s="12"/>
      <c r="N1078" s="16"/>
    </row>
    <row r="1079" spans="1:14" ht="20" hidden="1" customHeight="1">
      <c r="A1079" s="9">
        <v>45484</v>
      </c>
      <c r="B1079" s="10"/>
      <c r="C1079" s="10"/>
      <c r="D1079" s="10" t="s">
        <v>4374</v>
      </c>
      <c r="E1079" s="10" t="s">
        <v>1683</v>
      </c>
      <c r="F1079" s="10" t="str">
        <f>IFERROR(VLOOKUP(VENTAS[[#This Row],[Código del producto Vendido]],STOCK[],5,FALSE),"-")</f>
        <v>Vestido Frenchy</v>
      </c>
      <c r="G1079" s="10">
        <v>1</v>
      </c>
      <c r="H1079" s="12">
        <v>20</v>
      </c>
      <c r="I1079" s="12">
        <f>VENTAS[[#This Row],[Cantidad]]*VENTAS[[#This Row],[Precio Venta]]</f>
        <v>20</v>
      </c>
      <c r="J1079" s="12">
        <f>IF(VENTAS[[#This Row],[Nombre del Gestor]]&gt;1,VENTAS[[#This Row],[Total]]*10%,0)</f>
        <v>2</v>
      </c>
      <c r="K1079" s="12">
        <f>IFERROR(VLOOKUP(VENTAS[[#This Row],[Código del producto Vendido]],STOCK[],16,FALSE)*VENTAS[[#This Row],[Cantidad]]+VLOOKUP(VENTAS[[#This Row],[Código del producto Vendido]],STOCK[],19,FALSE)*VENTAS[[#This Row],[Cantidad]],VENTAS[[#This Row],[Total]])</f>
        <v>11.56</v>
      </c>
      <c r="L1079" s="12">
        <f>VENTAS[[#This Row],[Total]]-VENTAS[[#This Row],[Comisión 10%]]-VENTAS[[#This Row],[Costo SIN Comision]]</f>
        <v>6.4399999999999995</v>
      </c>
      <c r="M1079" s="12"/>
      <c r="N1079" s="16"/>
    </row>
    <row r="1080" spans="1:14" ht="20" hidden="1" customHeight="1">
      <c r="A1080" s="9">
        <v>45484</v>
      </c>
      <c r="B1080" s="10"/>
      <c r="C1080" s="10"/>
      <c r="D1080" s="10" t="s">
        <v>4374</v>
      </c>
      <c r="E1080" s="10" t="s">
        <v>428</v>
      </c>
      <c r="F1080" s="10" t="str">
        <f>IFERROR(VLOOKUP(VENTAS[[#This Row],[Código del producto Vendido]],STOCK[],5,FALSE),"-")</f>
        <v xml:space="preserve">Mono Bohemio con cinturón </v>
      </c>
      <c r="G1080" s="10">
        <v>1</v>
      </c>
      <c r="H1080" s="12">
        <v>23</v>
      </c>
      <c r="I1080" s="12">
        <f>VENTAS[[#This Row],[Cantidad]]*VENTAS[[#This Row],[Precio Venta]]</f>
        <v>23</v>
      </c>
      <c r="J1080" s="12">
        <f>IF(VENTAS[[#This Row],[Nombre del Gestor]]&gt;1,VENTAS[[#This Row],[Total]]*10%,0)</f>
        <v>2.3000000000000003</v>
      </c>
      <c r="K1080" s="12">
        <f>IFERROR(VLOOKUP(VENTAS[[#This Row],[Código del producto Vendido]],STOCK[],16,FALSE)*VENTAS[[#This Row],[Cantidad]]+VLOOKUP(VENTAS[[#This Row],[Código del producto Vendido]],STOCK[],19,FALSE)*VENTAS[[#This Row],[Cantidad]],VENTAS[[#This Row],[Total]])</f>
        <v>14.702222222222201</v>
      </c>
      <c r="L1080" s="12">
        <f>VENTAS[[#This Row],[Total]]-VENTAS[[#This Row],[Comisión 10%]]-VENTAS[[#This Row],[Costo SIN Comision]]</f>
        <v>5.9977777777777987</v>
      </c>
      <c r="M1080" s="12"/>
      <c r="N1080" s="16"/>
    </row>
    <row r="1081" spans="1:14" ht="20" hidden="1" customHeight="1">
      <c r="A1081" s="9">
        <v>45483</v>
      </c>
      <c r="B1081" s="10"/>
      <c r="C1081" s="10"/>
      <c r="D1081" s="10" t="s">
        <v>4374</v>
      </c>
      <c r="E1081" s="10" t="s">
        <v>1819</v>
      </c>
      <c r="F1081" s="10" t="str">
        <f>IFERROR(VLOOKUP(VENTAS[[#This Row],[Código del producto Vendido]],STOCK[],5,FALSE),"-")</f>
        <v>Vestido Midi Elegante</v>
      </c>
      <c r="G1081" s="10">
        <v>1</v>
      </c>
      <c r="H1081" s="12">
        <v>22</v>
      </c>
      <c r="I1081" s="12">
        <f>VENTAS[[#This Row],[Cantidad]]*VENTAS[[#This Row],[Precio Venta]]</f>
        <v>22</v>
      </c>
      <c r="J1081" s="12">
        <f>IF(VENTAS[[#This Row],[Nombre del Gestor]]&gt;1,VENTAS[[#This Row],[Total]]*10%,0)</f>
        <v>2.2000000000000002</v>
      </c>
      <c r="K1081" s="12">
        <f>IFERROR(VLOOKUP(VENTAS[[#This Row],[Código del producto Vendido]],STOCK[],16,FALSE)*VENTAS[[#This Row],[Cantidad]]+VLOOKUP(VENTAS[[#This Row],[Código del producto Vendido]],STOCK[],19,FALSE)*VENTAS[[#This Row],[Cantidad]],VENTAS[[#This Row],[Total]])</f>
        <v>10.790000000000001</v>
      </c>
      <c r="L1081" s="12">
        <f>VENTAS[[#This Row],[Total]]-VENTAS[[#This Row],[Comisión 10%]]-VENTAS[[#This Row],[Costo SIN Comision]]</f>
        <v>9.01</v>
      </c>
      <c r="M1081" s="12"/>
      <c r="N1081" s="16"/>
    </row>
    <row r="1082" spans="1:14" ht="20" hidden="1" customHeight="1">
      <c r="A1082" s="9">
        <v>45485</v>
      </c>
      <c r="B1082" s="10"/>
      <c r="C1082" s="10"/>
      <c r="D1082" s="10" t="s">
        <v>4380</v>
      </c>
      <c r="E1082" s="10" t="s">
        <v>1928</v>
      </c>
      <c r="F1082" s="10" t="str">
        <f>IFERROR(VLOOKUP(VENTAS[[#This Row],[Código del producto Vendido]],STOCK[],5,FALSE),"-")</f>
        <v>Sujetador Invisible Suave sin tirantes</v>
      </c>
      <c r="G1082" s="10">
        <v>1</v>
      </c>
      <c r="H1082" s="12">
        <v>12</v>
      </c>
      <c r="I1082" s="12">
        <f>VENTAS[[#This Row],[Cantidad]]*VENTAS[[#This Row],[Precio Venta]]</f>
        <v>12</v>
      </c>
      <c r="J1082" s="12">
        <f>IF(VENTAS[[#This Row],[Nombre del Gestor]]&gt;1,VENTAS[[#This Row],[Total]]*10%,0)</f>
        <v>1.2000000000000002</v>
      </c>
      <c r="K1082" s="12">
        <f>IFERROR(VLOOKUP(VENTAS[[#This Row],[Código del producto Vendido]],STOCK[],16,FALSE)*VENTAS[[#This Row],[Cantidad]]+VLOOKUP(VENTAS[[#This Row],[Código del producto Vendido]],STOCK[],19,FALSE)*VENTAS[[#This Row],[Cantidad]],VENTAS[[#This Row],[Total]])</f>
        <v>4.97</v>
      </c>
      <c r="L1082" s="12">
        <f>VENTAS[[#This Row],[Total]]-VENTAS[[#This Row],[Comisión 10%]]-VENTAS[[#This Row],[Costo SIN Comision]]</f>
        <v>5.830000000000001</v>
      </c>
      <c r="M1082" s="12"/>
      <c r="N1082" s="16"/>
    </row>
    <row r="1083" spans="1:14" ht="20" hidden="1" customHeight="1">
      <c r="A1083" s="9">
        <v>45485</v>
      </c>
      <c r="B1083" s="10"/>
      <c r="C1083" s="10"/>
      <c r="D1083" s="10" t="s">
        <v>4380</v>
      </c>
      <c r="E1083" s="10" t="s">
        <v>1932</v>
      </c>
      <c r="F1083" s="10" t="str">
        <f>IFERROR(VLOOKUP(VENTAS[[#This Row],[Código del producto Vendido]],STOCK[],5,FALSE),"-")</f>
        <v>Sujetador Invisible Suave sin tirantes</v>
      </c>
      <c r="G1083" s="10">
        <v>1</v>
      </c>
      <c r="H1083" s="12">
        <v>12</v>
      </c>
      <c r="I1083" s="12">
        <f>VENTAS[[#This Row],[Cantidad]]*VENTAS[[#This Row],[Precio Venta]]</f>
        <v>12</v>
      </c>
      <c r="J1083" s="12">
        <f>IF(VENTAS[[#This Row],[Nombre del Gestor]]&gt;1,VENTAS[[#This Row],[Total]]*10%,0)</f>
        <v>1.2000000000000002</v>
      </c>
      <c r="K1083" s="12">
        <f>IFERROR(VLOOKUP(VENTAS[[#This Row],[Código del producto Vendido]],STOCK[],16,FALSE)*VENTAS[[#This Row],[Cantidad]]+VLOOKUP(VENTAS[[#This Row],[Código del producto Vendido]],STOCK[],19,FALSE)*VENTAS[[#This Row],[Cantidad]],VENTAS[[#This Row],[Total]])</f>
        <v>4.97</v>
      </c>
      <c r="L1083" s="12">
        <f>VENTAS[[#This Row],[Total]]-VENTAS[[#This Row],[Comisión 10%]]-VENTAS[[#This Row],[Costo SIN Comision]]</f>
        <v>5.830000000000001</v>
      </c>
      <c r="M1083" s="12"/>
      <c r="N1083" s="16"/>
    </row>
    <row r="1084" spans="1:14" ht="20" hidden="1" customHeight="1">
      <c r="A1084" s="9">
        <v>45482</v>
      </c>
      <c r="B1084" s="10"/>
      <c r="C1084" s="10"/>
      <c r="D1084" s="10" t="s">
        <v>4380</v>
      </c>
      <c r="E1084" s="10" t="s">
        <v>764</v>
      </c>
      <c r="F1084" s="10" t="str">
        <f>IFERROR(VLOOKUP(VENTAS[[#This Row],[Código del producto Vendido]],STOCK[],5,FALSE),"-")</f>
        <v>Sandalias anudadas</v>
      </c>
      <c r="G1084" s="10">
        <v>1</v>
      </c>
      <c r="H1084" s="12">
        <v>27</v>
      </c>
      <c r="I1084" s="12">
        <f>VENTAS[[#This Row],[Cantidad]]*VENTAS[[#This Row],[Precio Venta]]</f>
        <v>27</v>
      </c>
      <c r="J1084" s="12">
        <f>IF(VENTAS[[#This Row],[Nombre del Gestor]]&gt;1,VENTAS[[#This Row],[Total]]*10%,0)</f>
        <v>2.7</v>
      </c>
      <c r="K1084" s="12">
        <f>IFERROR(VLOOKUP(VENTAS[[#This Row],[Código del producto Vendido]],STOCK[],16,FALSE)*VENTAS[[#This Row],[Cantidad]]+VLOOKUP(VENTAS[[#This Row],[Código del producto Vendido]],STOCK[],19,FALSE)*VENTAS[[#This Row],[Cantidad]],VENTAS[[#This Row],[Total]])</f>
        <v>18.7222222222222</v>
      </c>
      <c r="L1084" s="12">
        <f>VENTAS[[#This Row],[Total]]-VENTAS[[#This Row],[Comisión 10%]]-VENTAS[[#This Row],[Costo SIN Comision]]</f>
        <v>5.5777777777778006</v>
      </c>
      <c r="M1084" s="12"/>
      <c r="N1084" s="16"/>
    </row>
    <row r="1085" spans="1:14" ht="20" hidden="1" customHeight="1">
      <c r="A1085" s="9">
        <v>45486</v>
      </c>
      <c r="B1085" s="10"/>
      <c r="C1085" s="10"/>
      <c r="D1085" s="10" t="s">
        <v>4320</v>
      </c>
      <c r="E1085" s="10" t="s">
        <v>1916</v>
      </c>
      <c r="F1085" s="10" t="str">
        <f>IFERROR(VLOOKUP(VENTAS[[#This Row],[Código del producto Vendido]],STOCK[],5,FALSE),"-")</f>
        <v>Gafas de Sol Retro Negro</v>
      </c>
      <c r="G1085" s="10">
        <v>1</v>
      </c>
      <c r="H1085" s="12">
        <v>8</v>
      </c>
      <c r="I1085" s="12">
        <f>VENTAS[[#This Row],[Cantidad]]*VENTAS[[#This Row],[Precio Venta]]</f>
        <v>8</v>
      </c>
      <c r="J1085" s="12">
        <f>IF(VENTAS[[#This Row],[Nombre del Gestor]]&gt;1,VENTAS[[#This Row],[Total]]*10%,0)</f>
        <v>0.8</v>
      </c>
      <c r="K1085" s="12">
        <f>IFERROR(VLOOKUP(VENTAS[[#This Row],[Código del producto Vendido]],STOCK[],16,FALSE)*VENTAS[[#This Row],[Cantidad]]+VLOOKUP(VENTAS[[#This Row],[Código del producto Vendido]],STOCK[],19,FALSE)*VENTAS[[#This Row],[Cantidad]],VENTAS[[#This Row],[Total]])</f>
        <v>4.8600000000000003</v>
      </c>
      <c r="L1085" s="12">
        <f>VENTAS[[#This Row],[Total]]-VENTAS[[#This Row],[Comisión 10%]]-VENTAS[[#This Row],[Costo SIN Comision]]</f>
        <v>2.34</v>
      </c>
      <c r="M1085" s="12"/>
      <c r="N1085" s="16"/>
    </row>
    <row r="1086" spans="1:14" ht="20" hidden="1" customHeight="1">
      <c r="A1086" s="9">
        <v>45485</v>
      </c>
      <c r="B1086" s="10"/>
      <c r="C1086" s="10"/>
      <c r="D1086" s="10" t="s">
        <v>4378</v>
      </c>
      <c r="E1086" s="10" t="s">
        <v>1211</v>
      </c>
      <c r="F1086" s="10" t="str">
        <f>IFERROR(VLOOKUP(VENTAS[[#This Row],[Código del producto Vendido]],STOCK[],5,FALSE),"-")</f>
        <v>Falda negra con flores y abertura</v>
      </c>
      <c r="G1086" s="10">
        <v>1</v>
      </c>
      <c r="H1086" s="12">
        <v>18</v>
      </c>
      <c r="I1086" s="12">
        <f>VENTAS[[#This Row],[Cantidad]]*VENTAS[[#This Row],[Precio Venta]]</f>
        <v>18</v>
      </c>
      <c r="J1086" s="12">
        <f>IF(VENTAS[[#This Row],[Nombre del Gestor]]&gt;1,VENTAS[[#This Row],[Total]]*10%,0)</f>
        <v>1.8</v>
      </c>
      <c r="K1086" s="12">
        <f>IFERROR(VLOOKUP(VENTAS[[#This Row],[Código del producto Vendido]],STOCK[],16,FALSE)*VENTAS[[#This Row],[Cantidad]]+VLOOKUP(VENTAS[[#This Row],[Código del producto Vendido]],STOCK[],19,FALSE)*VENTAS[[#This Row],[Cantidad]],VENTAS[[#This Row],[Total]])</f>
        <v>10.77</v>
      </c>
      <c r="L1086" s="12">
        <f>VENTAS[[#This Row],[Total]]-VENTAS[[#This Row],[Comisión 10%]]-VENTAS[[#This Row],[Costo SIN Comision]]</f>
        <v>5.43</v>
      </c>
      <c r="M1086" s="12"/>
      <c r="N1086" s="16"/>
    </row>
    <row r="1087" spans="1:14" ht="20" hidden="1" customHeight="1">
      <c r="A1087" s="9">
        <v>45485</v>
      </c>
      <c r="B1087" s="10"/>
      <c r="C1087" s="10"/>
      <c r="D1087" s="10" t="s">
        <v>4378</v>
      </c>
      <c r="E1087" s="10" t="s">
        <v>813</v>
      </c>
      <c r="F1087" s="10" t="str">
        <f>IFERROR(VLOOKUP(VENTAS[[#This Row],[Código del producto Vendido]],STOCK[],5,FALSE),"-")</f>
        <v>Top de cuello asimétrico</v>
      </c>
      <c r="G1087" s="10">
        <v>1</v>
      </c>
      <c r="H1087" s="12">
        <v>10</v>
      </c>
      <c r="I1087" s="12">
        <f>VENTAS[[#This Row],[Cantidad]]*VENTAS[[#This Row],[Precio Venta]]</f>
        <v>10</v>
      </c>
      <c r="J1087" s="12">
        <f>IF(VENTAS[[#This Row],[Nombre del Gestor]]&gt;1,VENTAS[[#This Row],[Total]]*10%,0)</f>
        <v>1</v>
      </c>
      <c r="K1087" s="12">
        <f>IFERROR(VLOOKUP(VENTAS[[#This Row],[Código del producto Vendido]],STOCK[],16,FALSE)*VENTAS[[#This Row],[Cantidad]]+VLOOKUP(VENTAS[[#This Row],[Código del producto Vendido]],STOCK[],19,FALSE)*VENTAS[[#This Row],[Cantidad]],VENTAS[[#This Row],[Total]])</f>
        <v>6.2222222222222197</v>
      </c>
      <c r="L1087" s="12">
        <f>VENTAS[[#This Row],[Total]]-VENTAS[[#This Row],[Comisión 10%]]-VENTAS[[#This Row],[Costo SIN Comision]]</f>
        <v>2.7777777777777803</v>
      </c>
      <c r="M1087" s="12"/>
      <c r="N1087" s="16"/>
    </row>
    <row r="1088" spans="1:14" ht="20" hidden="1" customHeight="1">
      <c r="A1088" s="9">
        <v>45483</v>
      </c>
      <c r="B1088" s="10"/>
      <c r="C1088" s="10"/>
      <c r="D1088" s="10" t="s">
        <v>4378</v>
      </c>
      <c r="E1088" s="10" t="s">
        <v>2410</v>
      </c>
      <c r="F1088" s="10" t="str">
        <f>IFERROR(VLOOKUP(VENTAS[[#This Row],[Código del producto Vendido]],STOCK[],5,FALSE),"-")</f>
        <v>Pantalón de vestir de viscosa y lino (beige claro)</v>
      </c>
      <c r="G1088" s="10">
        <v>1</v>
      </c>
      <c r="H1088" s="12">
        <v>35</v>
      </c>
      <c r="I1088" s="12">
        <f>VENTAS[[#This Row],[Cantidad]]*VENTAS[[#This Row],[Precio Venta]]</f>
        <v>35</v>
      </c>
      <c r="J1088" s="12">
        <f>IF(VENTAS[[#This Row],[Nombre del Gestor]]&gt;1,VENTAS[[#This Row],[Total]]*10%,0)</f>
        <v>3.5</v>
      </c>
      <c r="K1088" s="12">
        <f>IFERROR(VLOOKUP(VENTAS[[#This Row],[Código del producto Vendido]],STOCK[],16,FALSE)*VENTAS[[#This Row],[Cantidad]]+VLOOKUP(VENTAS[[#This Row],[Código del producto Vendido]],STOCK[],19,FALSE)*VENTAS[[#This Row],[Cantidad]],VENTAS[[#This Row],[Total]])</f>
        <v>17.252021151586401</v>
      </c>
      <c r="L1088" s="12">
        <f>VENTAS[[#This Row],[Total]]-VENTAS[[#This Row],[Comisión 10%]]-VENTAS[[#This Row],[Costo SIN Comision]]</f>
        <v>14.247978848413599</v>
      </c>
      <c r="M1088" s="12"/>
      <c r="N1088" s="16"/>
    </row>
    <row r="1089" spans="1:14" ht="20" hidden="1" customHeight="1">
      <c r="A1089" s="9">
        <v>45482</v>
      </c>
      <c r="B1089" s="10"/>
      <c r="C1089" s="10"/>
      <c r="D1089" s="10" t="s">
        <v>4378</v>
      </c>
      <c r="E1089" s="10" t="s">
        <v>1857</v>
      </c>
      <c r="F1089" s="10" t="str">
        <f>IFERROR(VLOOKUP(VENTAS[[#This Row],[Código del producto Vendido]],STOCK[],5,FALSE),"-")</f>
        <v>Crossbody Bag Blanco Lacado</v>
      </c>
      <c r="G1089" s="10">
        <v>1</v>
      </c>
      <c r="H1089" s="12">
        <v>20</v>
      </c>
      <c r="I1089" s="12">
        <f>VENTAS[[#This Row],[Cantidad]]*VENTAS[[#This Row],[Precio Venta]]</f>
        <v>20</v>
      </c>
      <c r="J1089" s="12">
        <f>IF(VENTAS[[#This Row],[Nombre del Gestor]]&gt;1,VENTAS[[#This Row],[Total]]*10%,0)</f>
        <v>2</v>
      </c>
      <c r="K1089" s="12">
        <f>IFERROR(VLOOKUP(VENTAS[[#This Row],[Código del producto Vendido]],STOCK[],16,FALSE)*VENTAS[[#This Row],[Cantidad]]+VLOOKUP(VENTAS[[#This Row],[Código del producto Vendido]],STOCK[],19,FALSE)*VENTAS[[#This Row],[Cantidad]],VENTAS[[#This Row],[Total]])</f>
        <v>10.790000000000001</v>
      </c>
      <c r="L1089" s="12">
        <f>VENTAS[[#This Row],[Total]]-VENTAS[[#This Row],[Comisión 10%]]-VENTAS[[#This Row],[Costo SIN Comision]]</f>
        <v>7.2099999999999991</v>
      </c>
      <c r="M1089" s="12"/>
      <c r="N1089" s="16"/>
    </row>
    <row r="1090" spans="1:14" ht="20" hidden="1" customHeight="1">
      <c r="A1090" s="9">
        <v>45481</v>
      </c>
      <c r="B1090" s="10"/>
      <c r="C1090" s="10"/>
      <c r="D1090" s="10" t="s">
        <v>4378</v>
      </c>
      <c r="E1090" s="10" t="s">
        <v>1637</v>
      </c>
      <c r="F1090" s="10" t="str">
        <f>IFERROR(VLOOKUP(VENTAS[[#This Row],[Código del producto Vendido]],STOCK[],5,FALSE),"-")</f>
        <v xml:space="preserve">Vestido Privé  </v>
      </c>
      <c r="G1090" s="10">
        <v>1</v>
      </c>
      <c r="H1090" s="12">
        <v>25</v>
      </c>
      <c r="I1090" s="12">
        <f>VENTAS[[#This Row],[Cantidad]]*VENTAS[[#This Row],[Precio Venta]]</f>
        <v>25</v>
      </c>
      <c r="J1090" s="12">
        <f>IF(VENTAS[[#This Row],[Nombre del Gestor]]&gt;1,VENTAS[[#This Row],[Total]]*10%,0)</f>
        <v>2.5</v>
      </c>
      <c r="K1090" s="12">
        <f>IFERROR(VLOOKUP(VENTAS[[#This Row],[Código del producto Vendido]],STOCK[],16,FALSE)*VENTAS[[#This Row],[Cantidad]]+VLOOKUP(VENTAS[[#This Row],[Código del producto Vendido]],STOCK[],19,FALSE)*VENTAS[[#This Row],[Cantidad]],VENTAS[[#This Row],[Total]])</f>
        <v>11.1</v>
      </c>
      <c r="L1090" s="12">
        <f>VENTAS[[#This Row],[Total]]-VENTAS[[#This Row],[Comisión 10%]]-VENTAS[[#This Row],[Costo SIN Comision]]</f>
        <v>11.4</v>
      </c>
      <c r="M1090" s="12"/>
      <c r="N1090" s="16"/>
    </row>
    <row r="1091" spans="1:14" ht="20" hidden="1" customHeight="1">
      <c r="A1091" s="9">
        <v>45474</v>
      </c>
      <c r="B1091" s="10"/>
      <c r="C1091" s="10"/>
      <c r="D1091" s="10" t="s">
        <v>4405</v>
      </c>
      <c r="E1091" s="10" t="s">
        <v>2369</v>
      </c>
      <c r="F1091" s="10" t="str">
        <f>IFERROR(VLOOKUP(VENTAS[[#This Row],[Código del producto Vendido]],STOCK[],5,FALSE),"-")</f>
        <v>Sombrero de protección Verano fashionista</v>
      </c>
      <c r="G1091" s="10">
        <v>1</v>
      </c>
      <c r="H1091" s="12">
        <v>15</v>
      </c>
      <c r="I1091" s="12">
        <f>VENTAS[[#This Row],[Cantidad]]*VENTAS[[#This Row],[Precio Venta]]</f>
        <v>15</v>
      </c>
      <c r="J1091" s="12">
        <f>IF(VENTAS[[#This Row],[Nombre del Gestor]]&gt;1,VENTAS[[#This Row],[Total]]*10%,0)</f>
        <v>1.5</v>
      </c>
      <c r="K1091" s="12">
        <f>IFERROR(VLOOKUP(VENTAS[[#This Row],[Código del producto Vendido]],STOCK[],16,FALSE)*VENTAS[[#This Row],[Cantidad]]+VLOOKUP(VENTAS[[#This Row],[Código del producto Vendido]],STOCK[],19,FALSE)*VENTAS[[#This Row],[Cantidad]],VENTAS[[#This Row],[Total]])</f>
        <v>8.551874999999999</v>
      </c>
      <c r="L1091" s="12">
        <f>VENTAS[[#This Row],[Total]]-VENTAS[[#This Row],[Comisión 10%]]-VENTAS[[#This Row],[Costo SIN Comision]]</f>
        <v>4.948125000000001</v>
      </c>
      <c r="M1091" s="12"/>
      <c r="N1091" s="16"/>
    </row>
    <row r="1092" spans="1:14" ht="20" hidden="1" customHeight="1">
      <c r="A1092" s="9">
        <v>45483</v>
      </c>
      <c r="B1092" s="10" t="s">
        <v>4327</v>
      </c>
      <c r="C1092" s="10" t="s">
        <v>4406</v>
      </c>
      <c r="D1092" s="10"/>
      <c r="E1092" s="10" t="s">
        <v>2180</v>
      </c>
      <c r="F1092" s="10" t="str">
        <f>IFERROR(VLOOKUP(VENTAS[[#This Row],[Código del producto Vendido]],STOCK[],5,FALSE),"-")</f>
        <v>Bikini sexy de pierna alta en tendencia</v>
      </c>
      <c r="G1092" s="10">
        <v>1</v>
      </c>
      <c r="H1092" s="12">
        <v>18</v>
      </c>
      <c r="I1092" s="12">
        <f>VENTAS[[#This Row],[Cantidad]]*VENTAS[[#This Row],[Precio Venta]]</f>
        <v>18</v>
      </c>
      <c r="J1092" s="12">
        <f>IF(VENTAS[[#This Row],[Nombre del Gestor]]&gt;1,VENTAS[[#This Row],[Total]]*10%,0)</f>
        <v>0</v>
      </c>
      <c r="K1092" s="12">
        <f>IFERROR(VLOOKUP(VENTAS[[#This Row],[Código del producto Vendido]],STOCK[],16,FALSE)*VENTAS[[#This Row],[Cantidad]]+VLOOKUP(VENTAS[[#This Row],[Código del producto Vendido]],STOCK[],19,FALSE)*VENTAS[[#This Row],[Cantidad]],VENTAS[[#This Row],[Total]])</f>
        <v>6.6199999999999992</v>
      </c>
      <c r="L1092" s="12">
        <f>VENTAS[[#This Row],[Total]]-VENTAS[[#This Row],[Comisión 10%]]-VENTAS[[#This Row],[Costo SIN Comision]]</f>
        <v>11.38</v>
      </c>
      <c r="M1092" s="12"/>
      <c r="N1092" s="16"/>
    </row>
    <row r="1093" spans="1:14" ht="20" hidden="1" customHeight="1">
      <c r="A1093" s="9">
        <v>45489</v>
      </c>
      <c r="B1093" s="10"/>
      <c r="C1093" s="10"/>
      <c r="D1093" s="10" t="s">
        <v>4193</v>
      </c>
      <c r="E1093" s="10" t="s">
        <v>2142</v>
      </c>
      <c r="F1093" s="10" t="str">
        <f>IFERROR(VLOOKUP(VENTAS[[#This Row],[Código del producto Vendido]],STOCK[],5,FALSE),"-")</f>
        <v>Falda Bohemia de mezclilla de cintura alta con detalles de botón</v>
      </c>
      <c r="G1093" s="10">
        <v>1</v>
      </c>
      <c r="H1093" s="12">
        <v>30</v>
      </c>
      <c r="I1093" s="12">
        <f>VENTAS[[#This Row],[Cantidad]]*VENTAS[[#This Row],[Precio Venta]]</f>
        <v>30</v>
      </c>
      <c r="J1093" s="12">
        <f>IF(VENTAS[[#This Row],[Nombre del Gestor]]&gt;1,VENTAS[[#This Row],[Total]]*10%,0)</f>
        <v>3</v>
      </c>
      <c r="K1093" s="12">
        <f>IFERROR(VLOOKUP(VENTAS[[#This Row],[Código del producto Vendido]],STOCK[],16,FALSE)*VENTAS[[#This Row],[Cantidad]]+VLOOKUP(VENTAS[[#This Row],[Código del producto Vendido]],STOCK[],19,FALSE)*VENTAS[[#This Row],[Cantidad]],VENTAS[[#This Row],[Total]])</f>
        <v>7.05</v>
      </c>
      <c r="L1093" s="12">
        <f>VENTAS[[#This Row],[Total]]-VENTAS[[#This Row],[Comisión 10%]]-VENTAS[[#This Row],[Costo SIN Comision]]</f>
        <v>19.95</v>
      </c>
      <c r="M1093" s="12"/>
      <c r="N1093" s="16"/>
    </row>
    <row r="1094" spans="1:14" ht="20" hidden="1" customHeight="1">
      <c r="A1094" s="9">
        <v>45488</v>
      </c>
      <c r="B1094" s="10"/>
      <c r="C1094" s="10"/>
      <c r="D1094" s="10" t="s">
        <v>4378</v>
      </c>
      <c r="E1094" s="10" t="s">
        <v>1928</v>
      </c>
      <c r="F1094" s="10" t="str">
        <f>IFERROR(VLOOKUP(VENTAS[[#This Row],[Código del producto Vendido]],STOCK[],5,FALSE),"-")</f>
        <v>Sujetador Invisible Suave sin tirantes</v>
      </c>
      <c r="G1094" s="10">
        <v>1</v>
      </c>
      <c r="H1094" s="12">
        <v>12</v>
      </c>
      <c r="I1094" s="12">
        <f>VENTAS[[#This Row],[Cantidad]]*VENTAS[[#This Row],[Precio Venta]]</f>
        <v>12</v>
      </c>
      <c r="J1094" s="12">
        <f>IF(VENTAS[[#This Row],[Nombre del Gestor]]&gt;1,VENTAS[[#This Row],[Total]]*10%,0)</f>
        <v>1.2000000000000002</v>
      </c>
      <c r="K1094" s="12">
        <f>IFERROR(VLOOKUP(VENTAS[[#This Row],[Código del producto Vendido]],STOCK[],16,FALSE)*VENTAS[[#This Row],[Cantidad]]+VLOOKUP(VENTAS[[#This Row],[Código del producto Vendido]],STOCK[],19,FALSE)*VENTAS[[#This Row],[Cantidad]],VENTAS[[#This Row],[Total]])</f>
        <v>4.97</v>
      </c>
      <c r="L1094" s="12">
        <f>VENTAS[[#This Row],[Total]]-VENTAS[[#This Row],[Comisión 10%]]-VENTAS[[#This Row],[Costo SIN Comision]]</f>
        <v>5.830000000000001</v>
      </c>
      <c r="M1094" s="12"/>
      <c r="N1094" s="16"/>
    </row>
    <row r="1095" spans="1:14" ht="20" hidden="1" customHeight="1">
      <c r="A1095" s="9">
        <v>45489</v>
      </c>
      <c r="B1095" s="10"/>
      <c r="C1095" s="10"/>
      <c r="D1095" s="10" t="s">
        <v>4380</v>
      </c>
      <c r="E1095" s="10" t="s">
        <v>2403</v>
      </c>
      <c r="F1095" s="10" t="str">
        <f>IFERROR(VLOOKUP(VENTAS[[#This Row],[Código del producto Vendido]],STOCK[],5,FALSE),"-")</f>
        <v>Sandalias de tiras con tacón cuadrado</v>
      </c>
      <c r="G1095" s="10">
        <v>1</v>
      </c>
      <c r="H1095" s="12">
        <v>35</v>
      </c>
      <c r="I1095" s="12">
        <f>VENTAS[[#This Row],[Cantidad]]*VENTAS[[#This Row],[Precio Venta]]</f>
        <v>35</v>
      </c>
      <c r="J1095" s="12">
        <f>IF(VENTAS[[#This Row],[Nombre del Gestor]]&gt;1,VENTAS[[#This Row],[Total]]*10%,0)</f>
        <v>3.5</v>
      </c>
      <c r="K1095" s="12">
        <f>IFERROR(VLOOKUP(VENTAS[[#This Row],[Código del producto Vendido]],STOCK[],16,FALSE)*VENTAS[[#This Row],[Cantidad]]+VLOOKUP(VENTAS[[#This Row],[Código del producto Vendido]],STOCK[],19,FALSE)*VENTAS[[#This Row],[Cantidad]],VENTAS[[#This Row],[Total]])</f>
        <v>17.252021151586401</v>
      </c>
      <c r="L1095" s="12">
        <f>VENTAS[[#This Row],[Total]]-VENTAS[[#This Row],[Comisión 10%]]-VENTAS[[#This Row],[Costo SIN Comision]]</f>
        <v>14.247978848413599</v>
      </c>
      <c r="M1095" s="12"/>
      <c r="N1095" s="16"/>
    </row>
    <row r="1096" spans="1:14" ht="20" hidden="1" customHeight="1">
      <c r="A1096" s="9" t="s">
        <v>4333</v>
      </c>
      <c r="B1096" s="10" t="s">
        <v>4327</v>
      </c>
      <c r="C1096" s="10"/>
      <c r="D1096" s="10"/>
      <c r="E1096" s="10" t="s">
        <v>918</v>
      </c>
      <c r="F1096" s="10" t="str">
        <f>IFERROR(VLOOKUP(VENTAS[[#This Row],[Código del producto Vendido]],STOCK[],5,FALSE),"-")</f>
        <v xml:space="preserve">Vestido de lunares </v>
      </c>
      <c r="G1096" s="10">
        <v>1</v>
      </c>
      <c r="H1096" s="12">
        <v>25</v>
      </c>
      <c r="I1096" s="12">
        <f>VENTAS[[#This Row],[Cantidad]]*VENTAS[[#This Row],[Precio Venta]]</f>
        <v>25</v>
      </c>
      <c r="J1096" s="12">
        <f>IF(VENTAS[[#This Row],[Nombre del Gestor]]&gt;1,VENTAS[[#This Row],[Total]]*10%,0)</f>
        <v>0</v>
      </c>
      <c r="K1096" s="12">
        <f>IFERROR(VLOOKUP(VENTAS[[#This Row],[Código del producto Vendido]],STOCK[],16,FALSE)*VENTAS[[#This Row],[Cantidad]]+VLOOKUP(VENTAS[[#This Row],[Código del producto Vendido]],STOCK[],19,FALSE)*VENTAS[[#This Row],[Cantidad]],VENTAS[[#This Row],[Total]])</f>
        <v>13.9113636363636</v>
      </c>
      <c r="L1096" s="12">
        <f>VENTAS[[#This Row],[Total]]-VENTAS[[#This Row],[Comisión 10%]]-VENTAS[[#This Row],[Costo SIN Comision]]</f>
        <v>11.0886363636364</v>
      </c>
      <c r="M1096" s="12"/>
      <c r="N1096" s="16"/>
    </row>
    <row r="1097" spans="1:14" ht="20" hidden="1" customHeight="1">
      <c r="A1097" s="9" t="s">
        <v>4333</v>
      </c>
      <c r="B1097" s="10" t="s">
        <v>4327</v>
      </c>
      <c r="C1097" s="10"/>
      <c r="D1097" s="10"/>
      <c r="E1097" s="10" t="s">
        <v>921</v>
      </c>
      <c r="F1097" s="10" t="str">
        <f>IFERROR(VLOOKUP(VENTAS[[#This Row],[Código del producto Vendido]],STOCK[],5,FALSE),"-")</f>
        <v>Vestido de lunares</v>
      </c>
      <c r="G1097" s="10">
        <v>1</v>
      </c>
      <c r="H1097" s="12">
        <v>25</v>
      </c>
      <c r="I1097" s="12">
        <f>VENTAS[[#This Row],[Cantidad]]*VENTAS[[#This Row],[Precio Venta]]</f>
        <v>25</v>
      </c>
      <c r="J1097" s="12">
        <f>IF(VENTAS[[#This Row],[Nombre del Gestor]]&gt;1,VENTAS[[#This Row],[Total]]*10%,0)</f>
        <v>0</v>
      </c>
      <c r="K1097" s="12">
        <f>IFERROR(VLOOKUP(VENTAS[[#This Row],[Código del producto Vendido]],STOCK[],16,FALSE)*VENTAS[[#This Row],[Cantidad]]+VLOOKUP(VENTAS[[#This Row],[Código del producto Vendido]],STOCK[],19,FALSE)*VENTAS[[#This Row],[Cantidad]],VENTAS[[#This Row],[Total]])</f>
        <v>13.9113636363636</v>
      </c>
      <c r="L1097" s="12">
        <f>VENTAS[[#This Row],[Total]]-VENTAS[[#This Row],[Comisión 10%]]-VENTAS[[#This Row],[Costo SIN Comision]]</f>
        <v>11.0886363636364</v>
      </c>
      <c r="M1097" s="12"/>
      <c r="N1097" s="16"/>
    </row>
    <row r="1098" spans="1:14" ht="20" hidden="1" customHeight="1">
      <c r="A1098" s="9">
        <v>45489</v>
      </c>
      <c r="B1098" s="10"/>
      <c r="C1098" s="10"/>
      <c r="D1098" s="10" t="s">
        <v>4349</v>
      </c>
      <c r="E1098" s="10" t="s">
        <v>2301</v>
      </c>
      <c r="F1098" s="10" t="str">
        <f>IFERROR(VLOOKUP(VENTAS[[#This Row],[Código del producto Vendido]],STOCK[],5,FALSE),"-")</f>
        <v>Vestido estampado con abertura y ajuste en cintura</v>
      </c>
      <c r="G1098" s="10">
        <v>1</v>
      </c>
      <c r="H1098" s="12">
        <v>30</v>
      </c>
      <c r="I1098" s="12">
        <f>VENTAS[[#This Row],[Cantidad]]*VENTAS[[#This Row],[Precio Venta]]</f>
        <v>30</v>
      </c>
      <c r="J1098" s="12">
        <f>IF(VENTAS[[#This Row],[Nombre del Gestor]]&gt;1,VENTAS[[#This Row],[Total]]*10%,0)</f>
        <v>3</v>
      </c>
      <c r="K1098" s="12">
        <f>IFERROR(VLOOKUP(VENTAS[[#This Row],[Código del producto Vendido]],STOCK[],16,FALSE)*VENTAS[[#This Row],[Cantidad]]+VLOOKUP(VENTAS[[#This Row],[Código del producto Vendido]],STOCK[],19,FALSE)*VENTAS[[#This Row],[Cantidad]],VENTAS[[#This Row],[Total]])</f>
        <v>17.59</v>
      </c>
      <c r="L1098" s="12">
        <f>VENTAS[[#This Row],[Total]]-VENTAS[[#This Row],[Comisión 10%]]-VENTAS[[#This Row],[Costo SIN Comision]]</f>
        <v>9.41</v>
      </c>
      <c r="M1098" s="12"/>
      <c r="N1098" s="16"/>
    </row>
    <row r="1099" spans="1:14" ht="20" hidden="1" customHeight="1">
      <c r="A1099" s="9">
        <v>45475</v>
      </c>
      <c r="B1099" s="10"/>
      <c r="C1099" s="10"/>
      <c r="D1099" s="10" t="s">
        <v>4349</v>
      </c>
      <c r="E1099" s="10" t="s">
        <v>2325</v>
      </c>
      <c r="F1099" s="10" t="str">
        <f>IFERROR(VLOOKUP(VENTAS[[#This Row],[Código del producto Vendido]],STOCK[],5,FALSE),"-")</f>
        <v>Pantalón palazzo estiloso</v>
      </c>
      <c r="G1099" s="10">
        <v>1</v>
      </c>
      <c r="H1099" s="12">
        <v>20</v>
      </c>
      <c r="I1099" s="12">
        <f>VENTAS[[#This Row],[Cantidad]]*VENTAS[[#This Row],[Precio Venta]]</f>
        <v>20</v>
      </c>
      <c r="J1099" s="12">
        <f>IF(VENTAS[[#This Row],[Nombre del Gestor]]&gt;1,VENTAS[[#This Row],[Total]]*10%,0)</f>
        <v>2</v>
      </c>
      <c r="K1099" s="12">
        <f>IFERROR(VLOOKUP(VENTAS[[#This Row],[Código del producto Vendido]],STOCK[],16,FALSE)*VENTAS[[#This Row],[Cantidad]]+VLOOKUP(VENTAS[[#This Row],[Código del producto Vendido]],STOCK[],19,FALSE)*VENTAS[[#This Row],[Cantidad]],VENTAS[[#This Row],[Total]])</f>
        <v>10.914375</v>
      </c>
      <c r="L1099" s="12">
        <f>VENTAS[[#This Row],[Total]]-VENTAS[[#This Row],[Comisión 10%]]-VENTAS[[#This Row],[Costo SIN Comision]]</f>
        <v>7.0856250000000003</v>
      </c>
      <c r="M1099" s="12"/>
      <c r="N1099" s="16"/>
    </row>
    <row r="1100" spans="1:14" ht="20" hidden="1" customHeight="1">
      <c r="A1100" s="9">
        <v>45475</v>
      </c>
      <c r="B1100" s="10"/>
      <c r="C1100" s="10"/>
      <c r="D1100" s="10" t="s">
        <v>4349</v>
      </c>
      <c r="E1100" s="10" t="s">
        <v>1274</v>
      </c>
      <c r="F1100" s="10" t="str">
        <f>IFERROR(VLOOKUP(VENTAS[[#This Row],[Código del producto Vendido]],STOCK[],5,FALSE),"-")</f>
        <v>Top de cuello V con encaje</v>
      </c>
      <c r="G1100" s="10">
        <v>1</v>
      </c>
      <c r="H1100" s="12">
        <v>12</v>
      </c>
      <c r="I1100" s="12">
        <f>VENTAS[[#This Row],[Cantidad]]*VENTAS[[#This Row],[Precio Venta]]</f>
        <v>12</v>
      </c>
      <c r="J1100" s="12">
        <f>IF(VENTAS[[#This Row],[Nombre del Gestor]]&gt;1,VENTAS[[#This Row],[Total]]*10%,0)</f>
        <v>1.2000000000000002</v>
      </c>
      <c r="K1100" s="12">
        <f>IFERROR(VLOOKUP(VENTAS[[#This Row],[Código del producto Vendido]],STOCK[],16,FALSE)*VENTAS[[#This Row],[Cantidad]]+VLOOKUP(VENTAS[[#This Row],[Código del producto Vendido]],STOCK[],19,FALSE)*VENTAS[[#This Row],[Cantidad]],VENTAS[[#This Row],[Total]])</f>
        <v>7.97</v>
      </c>
      <c r="L1100" s="12">
        <f>VENTAS[[#This Row],[Total]]-VENTAS[[#This Row],[Comisión 10%]]-VENTAS[[#This Row],[Costo SIN Comision]]</f>
        <v>2.830000000000001</v>
      </c>
      <c r="M1100" s="12"/>
      <c r="N1100" s="16"/>
    </row>
    <row r="1101" spans="1:14" ht="20" hidden="1" customHeight="1">
      <c r="A1101" s="9"/>
      <c r="B1101" s="10" t="s">
        <v>4327</v>
      </c>
      <c r="C1101" s="10" t="s">
        <v>4406</v>
      </c>
      <c r="D1101" s="10"/>
      <c r="E1101" s="10" t="s">
        <v>1720</v>
      </c>
      <c r="F1101" s="10" t="str">
        <f>IFERROR(VLOOKUP(VENTAS[[#This Row],[Código del producto Vendido]],STOCK[],5,FALSE),"-")</f>
        <v xml:space="preserve">Vestido ajustado de puntos </v>
      </c>
      <c r="G1101" s="10">
        <v>1</v>
      </c>
      <c r="H1101" s="12">
        <v>28</v>
      </c>
      <c r="I1101" s="12">
        <f>VENTAS[[#This Row],[Cantidad]]*VENTAS[[#This Row],[Precio Venta]]</f>
        <v>28</v>
      </c>
      <c r="J1101" s="12">
        <f>IF(VENTAS[[#This Row],[Nombre del Gestor]]&gt;1,VENTAS[[#This Row],[Total]]*10%,0)</f>
        <v>0</v>
      </c>
      <c r="K1101" s="12">
        <f>IFERROR(VLOOKUP(VENTAS[[#This Row],[Código del producto Vendido]],STOCK[],16,FALSE)*VENTAS[[#This Row],[Cantidad]]+VLOOKUP(VENTAS[[#This Row],[Código del producto Vendido]],STOCK[],19,FALSE)*VENTAS[[#This Row],[Cantidad]],VENTAS[[#This Row],[Total]])</f>
        <v>18</v>
      </c>
      <c r="L1101" s="12">
        <f>VENTAS[[#This Row],[Total]]-VENTAS[[#This Row],[Comisión 10%]]-VENTAS[[#This Row],[Costo SIN Comision]]</f>
        <v>10</v>
      </c>
      <c r="M1101" s="12"/>
      <c r="N1101" s="16"/>
    </row>
    <row r="1102" spans="1:14" ht="20" hidden="1" customHeight="1">
      <c r="A1102" s="9"/>
      <c r="B1102" s="10" t="s">
        <v>4327</v>
      </c>
      <c r="C1102" s="10" t="s">
        <v>4406</v>
      </c>
      <c r="D1102" s="10"/>
      <c r="E1102" s="10" t="s">
        <v>1784</v>
      </c>
      <c r="F1102" s="10" t="str">
        <f>IFERROR(VLOOKUP(VENTAS[[#This Row],[Código del producto Vendido]],STOCK[],5,FALSE),"-")</f>
        <v>Cinturón de hebilla redonda</v>
      </c>
      <c r="G1102" s="10">
        <v>1</v>
      </c>
      <c r="H1102" s="12">
        <v>10</v>
      </c>
      <c r="I1102" s="12">
        <f>VENTAS[[#This Row],[Cantidad]]*VENTAS[[#This Row],[Precio Venta]]</f>
        <v>10</v>
      </c>
      <c r="J1102" s="12">
        <f>IF(VENTAS[[#This Row],[Nombre del Gestor]]&gt;1,VENTAS[[#This Row],[Total]]*10%,0)</f>
        <v>0</v>
      </c>
      <c r="K1102" s="12">
        <f>IFERROR(VLOOKUP(VENTAS[[#This Row],[Código del producto Vendido]],STOCK[],16,FALSE)*VENTAS[[#This Row],[Cantidad]]+VLOOKUP(VENTAS[[#This Row],[Código del producto Vendido]],STOCK[],19,FALSE)*VENTAS[[#This Row],[Cantidad]],VENTAS[[#This Row],[Total]])</f>
        <v>3.8235294117647101</v>
      </c>
      <c r="L1102" s="12">
        <f>VENTAS[[#This Row],[Total]]-VENTAS[[#This Row],[Comisión 10%]]-VENTAS[[#This Row],[Costo SIN Comision]]</f>
        <v>6.1764705882352899</v>
      </c>
      <c r="M1102" s="12"/>
      <c r="N1102" s="16"/>
    </row>
    <row r="1103" spans="1:14" ht="20" hidden="1" customHeight="1">
      <c r="A1103" s="9"/>
      <c r="B1103" s="10" t="s">
        <v>4327</v>
      </c>
      <c r="C1103" s="10" t="s">
        <v>4406</v>
      </c>
      <c r="D1103" s="10"/>
      <c r="E1103" s="10" t="s">
        <v>2369</v>
      </c>
      <c r="F1103" s="10" t="str">
        <f>IFERROR(VLOOKUP(VENTAS[[#This Row],[Código del producto Vendido]],STOCK[],5,FALSE),"-")</f>
        <v>Sombrero de protección Verano fashionista</v>
      </c>
      <c r="G1103" s="10">
        <v>1</v>
      </c>
      <c r="H1103" s="12">
        <v>15</v>
      </c>
      <c r="I1103" s="12">
        <f>VENTAS[[#This Row],[Cantidad]]*VENTAS[[#This Row],[Precio Venta]]</f>
        <v>15</v>
      </c>
      <c r="J1103" s="12">
        <f>IF(VENTAS[[#This Row],[Nombre del Gestor]]&gt;1,VENTAS[[#This Row],[Total]]*10%,0)</f>
        <v>0</v>
      </c>
      <c r="K1103" s="12">
        <f>IFERROR(VLOOKUP(VENTAS[[#This Row],[Código del producto Vendido]],STOCK[],16,FALSE)*VENTAS[[#This Row],[Cantidad]]+VLOOKUP(VENTAS[[#This Row],[Código del producto Vendido]],STOCK[],19,FALSE)*VENTAS[[#This Row],[Cantidad]],VENTAS[[#This Row],[Total]])</f>
        <v>8.551874999999999</v>
      </c>
      <c r="L1103" s="12">
        <f>VENTAS[[#This Row],[Total]]-VENTAS[[#This Row],[Comisión 10%]]-VENTAS[[#This Row],[Costo SIN Comision]]</f>
        <v>6.448125000000001</v>
      </c>
      <c r="M1103" s="12"/>
      <c r="N1103" s="16"/>
    </row>
    <row r="1104" spans="1:14" ht="20" hidden="1" customHeight="1">
      <c r="A1104" s="9">
        <v>45475</v>
      </c>
      <c r="B1104" s="10"/>
      <c r="C1104" s="10"/>
      <c r="D1104" s="10" t="s">
        <v>4349</v>
      </c>
      <c r="E1104" s="10" t="s">
        <v>2286</v>
      </c>
      <c r="F1104" s="10" t="str">
        <f>IFERROR(VLOOKUP(VENTAS[[#This Row],[Código del producto Vendido]],STOCK[],5,FALSE),"-")</f>
        <v>Bolso de lienzo estampado de corazón</v>
      </c>
      <c r="G1104" s="10">
        <v>1</v>
      </c>
      <c r="H1104" s="12">
        <v>12</v>
      </c>
      <c r="I1104" s="12">
        <f>VENTAS[[#This Row],[Cantidad]]*VENTAS[[#This Row],[Precio Venta]]</f>
        <v>12</v>
      </c>
      <c r="J1104" s="12">
        <f>IF(VENTAS[[#This Row],[Nombre del Gestor]]&gt;1,VENTAS[[#This Row],[Total]]*10%,0)</f>
        <v>1.2000000000000002</v>
      </c>
      <c r="K1104" s="12">
        <f>IFERROR(VLOOKUP(VENTAS[[#This Row],[Código del producto Vendido]],STOCK[],16,FALSE)*VENTAS[[#This Row],[Cantidad]]+VLOOKUP(VENTAS[[#This Row],[Código del producto Vendido]],STOCK[],19,FALSE)*VENTAS[[#This Row],[Cantidad]],VENTAS[[#This Row],[Total]])</f>
        <v>4.2299999999999995</v>
      </c>
      <c r="L1104" s="12">
        <f>VENTAS[[#This Row],[Total]]-VENTAS[[#This Row],[Comisión 10%]]-VENTAS[[#This Row],[Costo SIN Comision]]</f>
        <v>6.5700000000000012</v>
      </c>
      <c r="M1104" s="12"/>
      <c r="N1104" s="16"/>
    </row>
    <row r="1105" spans="1:14" ht="20" hidden="1" customHeight="1">
      <c r="A1105" s="9">
        <v>45489</v>
      </c>
      <c r="B1105" s="10"/>
      <c r="C1105" s="10"/>
      <c r="D1105" s="10" t="s">
        <v>4380</v>
      </c>
      <c r="E1105" s="10" t="s">
        <v>2225</v>
      </c>
      <c r="F1105" s="10" t="str">
        <f>IFERROR(VLOOKUP(VENTAS[[#This Row],[Código del producto Vendido]],STOCK[],5,FALSE),"-")</f>
        <v>Vestido sexy cruzado de escote profundo</v>
      </c>
      <c r="G1105" s="10">
        <v>1</v>
      </c>
      <c r="H1105" s="12">
        <v>20</v>
      </c>
      <c r="I1105" s="12">
        <f>VENTAS[[#This Row],[Cantidad]]*VENTAS[[#This Row],[Precio Venta]]</f>
        <v>20</v>
      </c>
      <c r="J1105" s="12">
        <f>IF(VENTAS[[#This Row],[Nombre del Gestor]]&gt;1,VENTAS[[#This Row],[Total]]*10%,0)</f>
        <v>2</v>
      </c>
      <c r="K1105" s="12">
        <f>IFERROR(VLOOKUP(VENTAS[[#This Row],[Código del producto Vendido]],STOCK[],16,FALSE)*VENTAS[[#This Row],[Cantidad]]+VLOOKUP(VENTAS[[#This Row],[Código del producto Vendido]],STOCK[],19,FALSE)*VENTAS[[#This Row],[Cantidad]],VENTAS[[#This Row],[Total]])</f>
        <v>8.59</v>
      </c>
      <c r="L1105" s="12">
        <f>VENTAS[[#This Row],[Total]]-VENTAS[[#This Row],[Comisión 10%]]-VENTAS[[#This Row],[Costo SIN Comision]]</f>
        <v>9.41</v>
      </c>
      <c r="M1105" s="12"/>
      <c r="N1105" s="16"/>
    </row>
    <row r="1106" spans="1:14" ht="20" hidden="1" customHeight="1">
      <c r="A1106" s="9">
        <v>45489</v>
      </c>
      <c r="B1106" s="10"/>
      <c r="C1106" s="10"/>
      <c r="D1106" s="10" t="s">
        <v>4380</v>
      </c>
      <c r="E1106" s="10" t="s">
        <v>1713</v>
      </c>
      <c r="F1106" s="10" t="str">
        <f>IFERROR(VLOOKUP(VENTAS[[#This Row],[Código del producto Vendido]],STOCK[],5,FALSE),"-")</f>
        <v>Vestido Asimétrico con cuerdas</v>
      </c>
      <c r="G1106" s="10">
        <v>1</v>
      </c>
      <c r="H1106" s="12">
        <v>20</v>
      </c>
      <c r="I1106" s="12">
        <f>VENTAS[[#This Row],[Cantidad]]*VENTAS[[#This Row],[Precio Venta]]</f>
        <v>20</v>
      </c>
      <c r="J1106" s="12">
        <f>IF(VENTAS[[#This Row],[Nombre del Gestor]]&gt;1,VENTAS[[#This Row],[Total]]*10%,0)</f>
        <v>2</v>
      </c>
      <c r="K1106" s="12">
        <f>IFERROR(VLOOKUP(VENTAS[[#This Row],[Código del producto Vendido]],STOCK[],16,FALSE)*VENTAS[[#This Row],[Cantidad]]+VLOOKUP(VENTAS[[#This Row],[Código del producto Vendido]],STOCK[],19,FALSE)*VENTAS[[#This Row],[Cantidad]],VENTAS[[#This Row],[Total]])</f>
        <v>12</v>
      </c>
      <c r="L1106" s="12">
        <f>VENTAS[[#This Row],[Total]]-VENTAS[[#This Row],[Comisión 10%]]-VENTAS[[#This Row],[Costo SIN Comision]]</f>
        <v>6</v>
      </c>
      <c r="M1106" s="12"/>
      <c r="N1106" s="16"/>
    </row>
    <row r="1107" spans="1:14" ht="20" hidden="1" customHeight="1">
      <c r="A1107" s="9">
        <v>45489</v>
      </c>
      <c r="B1107" s="10"/>
      <c r="C1107" s="10" t="s">
        <v>4406</v>
      </c>
      <c r="D1107" s="10"/>
      <c r="E1107" s="10" t="s">
        <v>2426</v>
      </c>
      <c r="F1107" s="10" t="str">
        <f>IFERROR(VLOOKUP(VENTAS[[#This Row],[Código del producto Vendido]],STOCK[],5,FALSE),"-")</f>
        <v>Pantalón ancho con cordón ajustable</v>
      </c>
      <c r="G1107" s="10">
        <v>1</v>
      </c>
      <c r="H1107" s="12">
        <v>23</v>
      </c>
      <c r="I1107" s="12">
        <f>VENTAS[[#This Row],[Cantidad]]*VENTAS[[#This Row],[Precio Venta]]</f>
        <v>23</v>
      </c>
      <c r="J1107" s="12">
        <f>IF(VENTAS[[#This Row],[Nombre del Gestor]]&gt;1,VENTAS[[#This Row],[Total]]*10%,0)</f>
        <v>0</v>
      </c>
      <c r="K1107" s="12">
        <f>IFERROR(VLOOKUP(VENTAS[[#This Row],[Código del producto Vendido]],STOCK[],16,FALSE)*VENTAS[[#This Row],[Cantidad]]+VLOOKUP(VENTAS[[#This Row],[Código del producto Vendido]],STOCK[],19,FALSE)*VENTAS[[#This Row],[Cantidad]],VENTAS[[#This Row],[Total]])</f>
        <v>11.43533490011751</v>
      </c>
      <c r="L1107" s="12">
        <f>VENTAS[[#This Row],[Total]]-VENTAS[[#This Row],[Comisión 10%]]-VENTAS[[#This Row],[Costo SIN Comision]]</f>
        <v>11.56466509988249</v>
      </c>
      <c r="M1107" s="12"/>
      <c r="N1107" s="16"/>
    </row>
    <row r="1108" spans="1:14" ht="20" hidden="1" customHeight="1">
      <c r="A1108" s="9" t="s">
        <v>4333</v>
      </c>
      <c r="B1108" s="10"/>
      <c r="C1108" s="10"/>
      <c r="D1108" s="10"/>
      <c r="E1108" s="10" t="s">
        <v>2105</v>
      </c>
      <c r="F1108" s="10" t="str">
        <f>IFERROR(VLOOKUP(VENTAS[[#This Row],[Código del producto Vendido]],STOCK[],5,FALSE),"-")</f>
        <v>Sandalias de velcro</v>
      </c>
      <c r="G1108" s="10">
        <v>1</v>
      </c>
      <c r="H1108" s="12">
        <v>27</v>
      </c>
      <c r="I1108" s="12">
        <f>VENTAS[[#This Row],[Cantidad]]*VENTAS[[#This Row],[Precio Venta]]</f>
        <v>27</v>
      </c>
      <c r="J1108" s="12">
        <f>IF(VENTAS[[#This Row],[Nombre del Gestor]]&gt;1,VENTAS[[#This Row],[Total]]*10%,0)</f>
        <v>0</v>
      </c>
      <c r="K1108" s="12">
        <f>IFERROR(VLOOKUP(VENTAS[[#This Row],[Código del producto Vendido]],STOCK[],16,FALSE)*VENTAS[[#This Row],[Cantidad]]+VLOOKUP(VENTAS[[#This Row],[Código del producto Vendido]],STOCK[],19,FALSE)*VENTAS[[#This Row],[Cantidad]],VENTAS[[#This Row],[Total]])</f>
        <v>17</v>
      </c>
      <c r="L1108" s="12">
        <f>VENTAS[[#This Row],[Total]]-VENTAS[[#This Row],[Comisión 10%]]-VENTAS[[#This Row],[Costo SIN Comision]]</f>
        <v>10</v>
      </c>
      <c r="M1108" s="12"/>
      <c r="N1108" s="16"/>
    </row>
    <row r="1109" spans="1:14" ht="20" hidden="1" customHeight="1">
      <c r="A1109" s="9"/>
      <c r="B1109" s="10"/>
      <c r="C1109" s="10"/>
      <c r="D1109" s="10" t="s">
        <v>4380</v>
      </c>
      <c r="E1109" s="10" t="s">
        <v>1932</v>
      </c>
      <c r="F1109" s="10" t="str">
        <f>IFERROR(VLOOKUP(VENTAS[[#This Row],[Código del producto Vendido]],STOCK[],5,FALSE),"-")</f>
        <v>Sujetador Invisible Suave sin tirantes</v>
      </c>
      <c r="G1109" s="10">
        <v>1</v>
      </c>
      <c r="H1109" s="12">
        <v>12</v>
      </c>
      <c r="I1109" s="12">
        <f>VENTAS[[#This Row],[Cantidad]]*VENTAS[[#This Row],[Precio Venta]]</f>
        <v>12</v>
      </c>
      <c r="J1109" s="12">
        <f>IF(VENTAS[[#This Row],[Nombre del Gestor]]&gt;1,VENTAS[[#This Row],[Total]]*10%,0)</f>
        <v>1.2000000000000002</v>
      </c>
      <c r="K1109" s="12">
        <f>IFERROR(VLOOKUP(VENTAS[[#This Row],[Código del producto Vendido]],STOCK[],16,FALSE)*VENTAS[[#This Row],[Cantidad]]+VLOOKUP(VENTAS[[#This Row],[Código del producto Vendido]],STOCK[],19,FALSE)*VENTAS[[#This Row],[Cantidad]],VENTAS[[#This Row],[Total]])</f>
        <v>4.97</v>
      </c>
      <c r="L1109" s="12">
        <f>VENTAS[[#This Row],[Total]]-VENTAS[[#This Row],[Comisión 10%]]-VENTAS[[#This Row],[Costo SIN Comision]]</f>
        <v>5.830000000000001</v>
      </c>
      <c r="M1109" s="12"/>
      <c r="N1109" s="16"/>
    </row>
    <row r="1110" spans="1:14" ht="20" hidden="1" customHeight="1">
      <c r="A1110" s="9">
        <v>45480</v>
      </c>
      <c r="B1110" s="10"/>
      <c r="C1110" s="10"/>
      <c r="D1110" s="10" t="s">
        <v>4394</v>
      </c>
      <c r="E1110" s="10" t="s">
        <v>1839</v>
      </c>
      <c r="F1110" s="10" t="str">
        <f>IFERROR(VLOOKUP(VENTAS[[#This Row],[Código del producto Vendido]],STOCK[],5,FALSE),"-")</f>
        <v xml:space="preserve">Maxi Vestido Bodycon </v>
      </c>
      <c r="G1110" s="10">
        <v>1</v>
      </c>
      <c r="H1110" s="12">
        <v>20</v>
      </c>
      <c r="I1110" s="12">
        <f>VENTAS[[#This Row],[Cantidad]]*VENTAS[[#This Row],[Precio Venta]]</f>
        <v>20</v>
      </c>
      <c r="J1110" s="12">
        <f>IF(VENTAS[[#This Row],[Nombre del Gestor]]&gt;1,VENTAS[[#This Row],[Total]]*10%,0)</f>
        <v>2</v>
      </c>
      <c r="K1110" s="12">
        <f>IFERROR(VLOOKUP(VENTAS[[#This Row],[Código del producto Vendido]],STOCK[],16,FALSE)*VENTAS[[#This Row],[Cantidad]]+VLOOKUP(VENTAS[[#This Row],[Código del producto Vendido]],STOCK[],19,FALSE)*VENTAS[[#This Row],[Cantidad]],VENTAS[[#This Row],[Total]])</f>
        <v>11.790000000000001</v>
      </c>
      <c r="L1110" s="12">
        <f>VENTAS[[#This Row],[Total]]-VENTAS[[#This Row],[Comisión 10%]]-VENTAS[[#This Row],[Costo SIN Comision]]</f>
        <v>6.2099999999999991</v>
      </c>
      <c r="M1110" s="12"/>
      <c r="N1110" s="16"/>
    </row>
    <row r="1111" spans="1:14" ht="20" hidden="1" customHeight="1">
      <c r="A1111" s="9">
        <v>45490</v>
      </c>
      <c r="B1111" s="10"/>
      <c r="C1111" s="10"/>
      <c r="D1111" s="10" t="s">
        <v>4380</v>
      </c>
      <c r="E1111" s="10" t="s">
        <v>2389</v>
      </c>
      <c r="F1111" s="10" t="str">
        <f>IFERROR(VLOOKUP(VENTAS[[#This Row],[Código del producto Vendido]],STOCK[],5,FALSE),"-")</f>
        <v>Sandalias cruzadas de plataforma F21</v>
      </c>
      <c r="G1111" s="10">
        <v>1</v>
      </c>
      <c r="H1111" s="12">
        <v>30</v>
      </c>
      <c r="I1111" s="12">
        <f>VENTAS[[#This Row],[Cantidad]]*VENTAS[[#This Row],[Precio Venta]]</f>
        <v>30</v>
      </c>
      <c r="J1111" s="12">
        <f>IF(VENTAS[[#This Row],[Nombre del Gestor]]&gt;1,VENTAS[[#This Row],[Total]]*10%,0)</f>
        <v>3</v>
      </c>
      <c r="K1111" s="12">
        <f>IFERROR(VLOOKUP(VENTAS[[#This Row],[Código del producto Vendido]],STOCK[],16,FALSE)*VENTAS[[#This Row],[Cantidad]]+VLOOKUP(VENTAS[[#This Row],[Código del producto Vendido]],STOCK[],19,FALSE)*VENTAS[[#This Row],[Cantidad]],VENTAS[[#This Row],[Total]])</f>
        <v>12.5</v>
      </c>
      <c r="L1111" s="12">
        <f>VENTAS[[#This Row],[Total]]-VENTAS[[#This Row],[Comisión 10%]]-VENTAS[[#This Row],[Costo SIN Comision]]</f>
        <v>14.5</v>
      </c>
      <c r="M1111" s="12"/>
      <c r="N1111" s="16"/>
    </row>
    <row r="1112" spans="1:14" ht="20" hidden="1" customHeight="1">
      <c r="A1112" s="9">
        <v>45483</v>
      </c>
      <c r="B1112" s="10"/>
      <c r="C1112" s="10" t="s">
        <v>4407</v>
      </c>
      <c r="D1112" s="10" t="s">
        <v>4408</v>
      </c>
      <c r="E1112" s="10" t="s">
        <v>1237</v>
      </c>
      <c r="F1112" s="10" t="str">
        <f>IFERROR(VLOOKUP(VENTAS[[#This Row],[Código del producto Vendido]],STOCK[],5,FALSE),"-")</f>
        <v>Cinturón de hebilla dorada</v>
      </c>
      <c r="G1112" s="10">
        <v>1</v>
      </c>
      <c r="H1112" s="12">
        <v>10</v>
      </c>
      <c r="I1112" s="12">
        <f>VENTAS[[#This Row],[Cantidad]]*VENTAS[[#This Row],[Precio Venta]]</f>
        <v>10</v>
      </c>
      <c r="J1112" s="12">
        <f>IF(VENTAS[[#This Row],[Nombre del Gestor]]&gt;1,VENTAS[[#This Row],[Total]]*10%,0)</f>
        <v>1</v>
      </c>
      <c r="K1112" s="12">
        <f>IFERROR(VLOOKUP(VENTAS[[#This Row],[Código del producto Vendido]],STOCK[],16,FALSE)*VENTAS[[#This Row],[Cantidad]]+VLOOKUP(VENTAS[[#This Row],[Código del producto Vendido]],STOCK[],19,FALSE)*VENTAS[[#This Row],[Cantidad]],VENTAS[[#This Row],[Total]])</f>
        <v>5.17</v>
      </c>
      <c r="L1112" s="12">
        <f>VENTAS[[#This Row],[Total]]-VENTAS[[#This Row],[Comisión 10%]]-VENTAS[[#This Row],[Costo SIN Comision]]</f>
        <v>3.83</v>
      </c>
      <c r="M1112" s="12"/>
      <c r="N1112" s="16"/>
    </row>
    <row r="1113" spans="1:14" ht="20" hidden="1" customHeight="1">
      <c r="A1113" s="9">
        <v>45483</v>
      </c>
      <c r="B1113" s="10"/>
      <c r="C1113" s="10" t="s">
        <v>4407</v>
      </c>
      <c r="D1113" s="10" t="s">
        <v>4408</v>
      </c>
      <c r="E1113" s="10" t="s">
        <v>1243</v>
      </c>
      <c r="F1113" s="10" t="str">
        <f>IFERROR(VLOOKUP(VENTAS[[#This Row],[Código del producto Vendido]],STOCK[],5,FALSE),"-")</f>
        <v>Cinturón de hebilla dorada</v>
      </c>
      <c r="G1113" s="10">
        <v>1</v>
      </c>
      <c r="H1113" s="12">
        <v>10</v>
      </c>
      <c r="I1113" s="12">
        <f>VENTAS[[#This Row],[Cantidad]]*VENTAS[[#This Row],[Precio Venta]]</f>
        <v>10</v>
      </c>
      <c r="J1113" s="12">
        <f>IF(VENTAS[[#This Row],[Nombre del Gestor]]&gt;1,VENTAS[[#This Row],[Total]]*10%,0)</f>
        <v>1</v>
      </c>
      <c r="K1113" s="12">
        <f>IFERROR(VLOOKUP(VENTAS[[#This Row],[Código del producto Vendido]],STOCK[],16,FALSE)*VENTAS[[#This Row],[Cantidad]]+VLOOKUP(VENTAS[[#This Row],[Código del producto Vendido]],STOCK[],19,FALSE)*VENTAS[[#This Row],[Cantidad]],VENTAS[[#This Row],[Total]])</f>
        <v>4.09</v>
      </c>
      <c r="L1113" s="12">
        <f>VENTAS[[#This Row],[Total]]-VENTAS[[#This Row],[Comisión 10%]]-VENTAS[[#This Row],[Costo SIN Comision]]</f>
        <v>4.91</v>
      </c>
      <c r="M1113" s="12"/>
      <c r="N1113" s="16"/>
    </row>
    <row r="1114" spans="1:14" ht="20" hidden="1" customHeight="1">
      <c r="A1114" s="9">
        <v>45483</v>
      </c>
      <c r="B1114" s="10"/>
      <c r="C1114" s="10" t="s">
        <v>4407</v>
      </c>
      <c r="D1114" s="10" t="s">
        <v>4408</v>
      </c>
      <c r="E1114" s="10" t="s">
        <v>1399</v>
      </c>
      <c r="F1114" s="10" t="str">
        <f>IFERROR(VLOOKUP(VENTAS[[#This Row],[Código del producto Vendido]],STOCK[],5,FALSE),"-")</f>
        <v>Camiseta acanalada de bajo asimétrico blanco</v>
      </c>
      <c r="G1114" s="10">
        <v>1</v>
      </c>
      <c r="H1114" s="12">
        <v>12</v>
      </c>
      <c r="I1114" s="12">
        <f>VENTAS[[#This Row],[Cantidad]]*VENTAS[[#This Row],[Precio Venta]]</f>
        <v>12</v>
      </c>
      <c r="J1114" s="12">
        <f>IF(VENTAS[[#This Row],[Nombre del Gestor]]&gt;1,VENTAS[[#This Row],[Total]]*10%,0)</f>
        <v>1.2000000000000002</v>
      </c>
      <c r="K1114" s="12">
        <f>IFERROR(VLOOKUP(VENTAS[[#This Row],[Código del producto Vendido]],STOCK[],16,FALSE)*VENTAS[[#This Row],[Cantidad]]+VLOOKUP(VENTAS[[#This Row],[Código del producto Vendido]],STOCK[],19,FALSE)*VENTAS[[#This Row],[Cantidad]],VENTAS[[#This Row],[Total]])</f>
        <v>9</v>
      </c>
      <c r="L1114" s="12">
        <f>VENTAS[[#This Row],[Total]]-VENTAS[[#This Row],[Comisión 10%]]-VENTAS[[#This Row],[Costo SIN Comision]]</f>
        <v>1.8000000000000007</v>
      </c>
      <c r="M1114" s="12"/>
      <c r="N1114" s="16"/>
    </row>
    <row r="1115" spans="1:14" ht="20" hidden="1" customHeight="1">
      <c r="A1115" s="9">
        <v>45483</v>
      </c>
      <c r="B1115" s="10"/>
      <c r="C1115" s="10" t="s">
        <v>4407</v>
      </c>
      <c r="D1115" s="10" t="s">
        <v>4408</v>
      </c>
      <c r="E1115" s="10" t="s">
        <v>1400</v>
      </c>
      <c r="F1115" s="10" t="str">
        <f>IFERROR(VLOOKUP(VENTAS[[#This Row],[Código del producto Vendido]],STOCK[],5,FALSE),"-")</f>
        <v>Camiseta acanalada de bajo asimétrico naranja</v>
      </c>
      <c r="G1115" s="10">
        <v>1</v>
      </c>
      <c r="H1115" s="12">
        <v>12</v>
      </c>
      <c r="I1115" s="12">
        <f>VENTAS[[#This Row],[Cantidad]]*VENTAS[[#This Row],[Precio Venta]]</f>
        <v>12</v>
      </c>
      <c r="J1115" s="12">
        <f>IF(VENTAS[[#This Row],[Nombre del Gestor]]&gt;1,VENTAS[[#This Row],[Total]]*10%,0)</f>
        <v>1.2000000000000002</v>
      </c>
      <c r="K1115" s="12">
        <f>IFERROR(VLOOKUP(VENTAS[[#This Row],[Código del producto Vendido]],STOCK[],16,FALSE)*VENTAS[[#This Row],[Cantidad]]+VLOOKUP(VENTAS[[#This Row],[Código del producto Vendido]],STOCK[],19,FALSE)*VENTAS[[#This Row],[Cantidad]],VENTAS[[#This Row],[Total]])</f>
        <v>9</v>
      </c>
      <c r="L1115" s="12">
        <f>VENTAS[[#This Row],[Total]]-VENTAS[[#This Row],[Comisión 10%]]-VENTAS[[#This Row],[Costo SIN Comision]]</f>
        <v>1.8000000000000007</v>
      </c>
      <c r="M1115" s="12"/>
      <c r="N1115" s="16"/>
    </row>
    <row r="1116" spans="1:14" ht="20" hidden="1" customHeight="1">
      <c r="A1116" s="9">
        <v>45491</v>
      </c>
      <c r="B1116" s="10"/>
      <c r="C1116" s="10" t="s">
        <v>4406</v>
      </c>
      <c r="D1116" s="10"/>
      <c r="E1116" s="10" t="s">
        <v>350</v>
      </c>
      <c r="F1116" s="10" t="str">
        <f>IFERROR(VLOOKUP(VENTAS[[#This Row],[Código del producto Vendido]],STOCK[],5,FALSE),"-")</f>
        <v>Pañuelo con estampado de paisley</v>
      </c>
      <c r="G1116" s="10">
        <v>1</v>
      </c>
      <c r="H1116" s="12">
        <v>3</v>
      </c>
      <c r="I1116" s="12">
        <f>VENTAS[[#This Row],[Cantidad]]*VENTAS[[#This Row],[Precio Venta]]</f>
        <v>3</v>
      </c>
      <c r="J1116" s="12">
        <f>IF(VENTAS[[#This Row],[Nombre del Gestor]]&gt;1,VENTAS[[#This Row],[Total]]*10%,0)</f>
        <v>0</v>
      </c>
      <c r="K1116" s="12">
        <f>IFERROR(VLOOKUP(VENTAS[[#This Row],[Código del producto Vendido]],STOCK[],16,FALSE)*VENTAS[[#This Row],[Cantidad]]+VLOOKUP(VENTAS[[#This Row],[Código del producto Vendido]],STOCK[],19,FALSE)*VENTAS[[#This Row],[Cantidad]],VENTAS[[#This Row],[Total]])</f>
        <v>1.2027777777777779</v>
      </c>
      <c r="L1116" s="12">
        <f>VENTAS[[#This Row],[Total]]-VENTAS[[#This Row],[Comisión 10%]]-VENTAS[[#This Row],[Costo SIN Comision]]</f>
        <v>1.7972222222222221</v>
      </c>
      <c r="M1116" s="12"/>
      <c r="N1116" s="16"/>
    </row>
    <row r="1117" spans="1:14" ht="20" hidden="1" customHeight="1">
      <c r="A1117" s="9">
        <v>45492</v>
      </c>
      <c r="B1117" s="10"/>
      <c r="C1117" s="10"/>
      <c r="D1117" s="10" t="s">
        <v>4336</v>
      </c>
      <c r="E1117" s="10" t="s">
        <v>1724</v>
      </c>
      <c r="F1117" s="10" t="str">
        <f>IFERROR(VLOOKUP(VENTAS[[#This Row],[Código del producto Vendido]],STOCK[],5,FALSE),"-")</f>
        <v>Vestido ajustado en rosas</v>
      </c>
      <c r="G1117" s="10">
        <v>1</v>
      </c>
      <c r="H1117" s="12">
        <v>16</v>
      </c>
      <c r="I1117" s="12">
        <f>VENTAS[[#This Row],[Cantidad]]*VENTAS[[#This Row],[Precio Venta]]</f>
        <v>16</v>
      </c>
      <c r="J1117" s="12">
        <f>IF(VENTAS[[#This Row],[Nombre del Gestor]]&gt;1,VENTAS[[#This Row],[Total]]*10%,0)</f>
        <v>1.6</v>
      </c>
      <c r="K1117" s="12">
        <f>IFERROR(VLOOKUP(VENTAS[[#This Row],[Código del producto Vendido]],STOCK[],16,FALSE)*VENTAS[[#This Row],[Cantidad]]+VLOOKUP(VENTAS[[#This Row],[Código del producto Vendido]],STOCK[],19,FALSE)*VENTAS[[#This Row],[Cantidad]],VENTAS[[#This Row],[Total]])</f>
        <v>13</v>
      </c>
      <c r="L1117" s="12">
        <f>VENTAS[[#This Row],[Total]]-VENTAS[[#This Row],[Comisión 10%]]-VENTAS[[#This Row],[Costo SIN Comision]]</f>
        <v>1.4000000000000004</v>
      </c>
      <c r="M1117" s="12"/>
      <c r="N1117" s="16"/>
    </row>
    <row r="1118" spans="1:14" ht="20" hidden="1" customHeight="1">
      <c r="A1118" s="9">
        <v>45492</v>
      </c>
      <c r="B1118" s="10"/>
      <c r="C1118" s="10"/>
      <c r="D1118" s="10" t="s">
        <v>4336</v>
      </c>
      <c r="E1118" s="10" t="s">
        <v>1914</v>
      </c>
      <c r="F1118" s="10" t="str">
        <f>IFERROR(VLOOKUP(VENTAS[[#This Row],[Código del producto Vendido]],STOCK[],5,FALSE),"-")</f>
        <v>Gafas de Sol Retro Carey</v>
      </c>
      <c r="G1118" s="10">
        <v>1</v>
      </c>
      <c r="H1118" s="12">
        <v>8</v>
      </c>
      <c r="I1118" s="12">
        <f>VENTAS[[#This Row],[Cantidad]]*VENTAS[[#This Row],[Precio Venta]]</f>
        <v>8</v>
      </c>
      <c r="J1118" s="12">
        <f>IF(VENTAS[[#This Row],[Nombre del Gestor]]&gt;1,VENTAS[[#This Row],[Total]]*10%,0)</f>
        <v>0.8</v>
      </c>
      <c r="K1118" s="12">
        <f>IFERROR(VLOOKUP(VENTAS[[#This Row],[Código del producto Vendido]],STOCK[],16,FALSE)*VENTAS[[#This Row],[Cantidad]]+VLOOKUP(VENTAS[[#This Row],[Código del producto Vendido]],STOCK[],19,FALSE)*VENTAS[[#This Row],[Cantidad]],VENTAS[[#This Row],[Total]])</f>
        <v>4.45</v>
      </c>
      <c r="L1118" s="12">
        <f>VENTAS[[#This Row],[Total]]-VENTAS[[#This Row],[Comisión 10%]]-VENTAS[[#This Row],[Costo SIN Comision]]</f>
        <v>2.75</v>
      </c>
      <c r="M1118" s="12"/>
      <c r="N1118" s="16"/>
    </row>
    <row r="1119" spans="1:14" ht="20" hidden="1" customHeight="1">
      <c r="A1119" s="9">
        <v>45492</v>
      </c>
      <c r="B1119" s="10"/>
      <c r="C1119" s="10"/>
      <c r="D1119" s="10" t="s">
        <v>4336</v>
      </c>
      <c r="E1119" s="10" t="s">
        <v>1237</v>
      </c>
      <c r="F1119" s="10" t="str">
        <f>IFERROR(VLOOKUP(VENTAS[[#This Row],[Código del producto Vendido]],STOCK[],5,FALSE),"-")</f>
        <v>Cinturón de hebilla dorada</v>
      </c>
      <c r="G1119" s="10">
        <v>1</v>
      </c>
      <c r="H1119" s="12">
        <v>10</v>
      </c>
      <c r="I1119" s="12">
        <f>VENTAS[[#This Row],[Cantidad]]*VENTAS[[#This Row],[Precio Venta]]</f>
        <v>10</v>
      </c>
      <c r="J1119" s="12">
        <f>IF(VENTAS[[#This Row],[Nombre del Gestor]]&gt;1,VENTAS[[#This Row],[Total]]*10%,0)</f>
        <v>1</v>
      </c>
      <c r="K1119" s="12">
        <f>IFERROR(VLOOKUP(VENTAS[[#This Row],[Código del producto Vendido]],STOCK[],16,FALSE)*VENTAS[[#This Row],[Cantidad]]+VLOOKUP(VENTAS[[#This Row],[Código del producto Vendido]],STOCK[],19,FALSE)*VENTAS[[#This Row],[Cantidad]],VENTAS[[#This Row],[Total]])</f>
        <v>5.17</v>
      </c>
      <c r="L1119" s="12">
        <f>VENTAS[[#This Row],[Total]]-VENTAS[[#This Row],[Comisión 10%]]-VENTAS[[#This Row],[Costo SIN Comision]]</f>
        <v>3.83</v>
      </c>
      <c r="M1119" s="12"/>
      <c r="N1119" s="16"/>
    </row>
    <row r="1120" spans="1:14" ht="20" hidden="1" customHeight="1">
      <c r="A1120" s="9">
        <v>45493</v>
      </c>
      <c r="B1120" s="10"/>
      <c r="C1120" s="10"/>
      <c r="D1120" s="10" t="s">
        <v>4380</v>
      </c>
      <c r="E1120" s="10" t="s">
        <v>1269</v>
      </c>
      <c r="F1120" s="10" t="str">
        <f>IFERROR(VLOOKUP(VENTAS[[#This Row],[Código del producto Vendido]],STOCK[],5,FALSE),"-")</f>
        <v xml:space="preserve">Top corto asimétrico </v>
      </c>
      <c r="G1120" s="10">
        <v>1</v>
      </c>
      <c r="H1120" s="12">
        <v>10</v>
      </c>
      <c r="I1120" s="12">
        <f>VENTAS[[#This Row],[Cantidad]]*VENTAS[[#This Row],[Precio Venta]]</f>
        <v>10</v>
      </c>
      <c r="J1120" s="12">
        <f>IF(VENTAS[[#This Row],[Nombre del Gestor]]&gt;1,VENTAS[[#This Row],[Total]]*10%,0)</f>
        <v>1</v>
      </c>
      <c r="K1120" s="12">
        <f>IFERROR(VLOOKUP(VENTAS[[#This Row],[Código del producto Vendido]],STOCK[],16,FALSE)*VENTAS[[#This Row],[Cantidad]]+VLOOKUP(VENTAS[[#This Row],[Código del producto Vendido]],STOCK[],19,FALSE)*VENTAS[[#This Row],[Cantidad]],VENTAS[[#This Row],[Total]])</f>
        <v>5.77</v>
      </c>
      <c r="L1120" s="12">
        <f>VENTAS[[#This Row],[Total]]-VENTAS[[#This Row],[Comisión 10%]]-VENTAS[[#This Row],[Costo SIN Comision]]</f>
        <v>3.2300000000000004</v>
      </c>
      <c r="M1120" s="12"/>
      <c r="N1120" s="16"/>
    </row>
    <row r="1121" spans="1:14" ht="20" hidden="1" customHeight="1">
      <c r="A1121" s="9">
        <v>45496</v>
      </c>
      <c r="B1121" s="10"/>
      <c r="C1121" s="10"/>
      <c r="D1121" s="10" t="s">
        <v>4349</v>
      </c>
      <c r="E1121" s="10" t="s">
        <v>1899</v>
      </c>
      <c r="F1121" s="10" t="str">
        <f>IFERROR(VLOOKUP(VENTAS[[#This Row],[Código del producto Vendido]],STOCK[],5,FALSE),"-")</f>
        <v>Bolso mochila estampado</v>
      </c>
      <c r="G1121" s="10">
        <v>1</v>
      </c>
      <c r="H1121" s="12">
        <v>25</v>
      </c>
      <c r="I1121" s="12">
        <f>VENTAS[[#This Row],[Cantidad]]*VENTAS[[#This Row],[Precio Venta]]</f>
        <v>25</v>
      </c>
      <c r="J1121" s="12">
        <f>IF(VENTAS[[#This Row],[Nombre del Gestor]]&gt;1,VENTAS[[#This Row],[Total]]*10%,0)</f>
        <v>2.5</v>
      </c>
      <c r="K1121" s="12">
        <f>IFERROR(VLOOKUP(VENTAS[[#This Row],[Código del producto Vendido]],STOCK[],16,FALSE)*VENTAS[[#This Row],[Cantidad]]+VLOOKUP(VENTAS[[#This Row],[Código del producto Vendido]],STOCK[],19,FALSE)*VENTAS[[#This Row],[Cantidad]],VENTAS[[#This Row],[Total]])</f>
        <v>12.620000000000001</v>
      </c>
      <c r="L1121" s="12">
        <f>VENTAS[[#This Row],[Total]]-VENTAS[[#This Row],[Comisión 10%]]-VENTAS[[#This Row],[Costo SIN Comision]]</f>
        <v>9.879999999999999</v>
      </c>
      <c r="M1121" s="12"/>
      <c r="N1121" s="16"/>
    </row>
    <row r="1122" spans="1:14" ht="20" hidden="1" customHeight="1">
      <c r="A1122" s="9">
        <v>45496</v>
      </c>
      <c r="B1122" s="10"/>
      <c r="C1122" s="10"/>
      <c r="D1122" s="10" t="s">
        <v>4349</v>
      </c>
      <c r="E1122" s="10" t="s">
        <v>497</v>
      </c>
      <c r="F1122" s="10" t="str">
        <f>IFERROR(VLOOKUP(VENTAS[[#This Row],[Código del producto Vendido]],STOCK[],5,FALSE),"-")</f>
        <v>Bikini estampado de cebra</v>
      </c>
      <c r="G1122" s="10">
        <v>1</v>
      </c>
      <c r="H1122" s="12">
        <v>12</v>
      </c>
      <c r="I1122" s="12">
        <f>VENTAS[[#This Row],[Cantidad]]*VENTAS[[#This Row],[Precio Venta]]</f>
        <v>12</v>
      </c>
      <c r="J1122" s="12">
        <f>IF(VENTAS[[#This Row],[Nombre del Gestor]]&gt;1,VENTAS[[#This Row],[Total]]*10%,0)</f>
        <v>1.2000000000000002</v>
      </c>
      <c r="K1122" s="12">
        <f>IFERROR(VLOOKUP(VENTAS[[#This Row],[Código del producto Vendido]],STOCK[],16,FALSE)*VENTAS[[#This Row],[Cantidad]]+VLOOKUP(VENTAS[[#This Row],[Código del producto Vendido]],STOCK[],19,FALSE)*VENTAS[[#This Row],[Cantidad]],VENTAS[[#This Row],[Total]])</f>
        <v>8.7872222222222209</v>
      </c>
      <c r="L1122" s="12">
        <f>VENTAS[[#This Row],[Total]]-VENTAS[[#This Row],[Comisión 10%]]-VENTAS[[#This Row],[Costo SIN Comision]]</f>
        <v>2.0127777777777798</v>
      </c>
      <c r="M1122" s="12"/>
      <c r="N1122" s="16"/>
    </row>
    <row r="1123" spans="1:14" ht="20" hidden="1" customHeight="1">
      <c r="A1123" s="9">
        <v>45496</v>
      </c>
      <c r="B1123" s="10"/>
      <c r="C1123" s="10"/>
      <c r="D1123" s="10" t="s">
        <v>4349</v>
      </c>
      <c r="E1123" s="10" t="s">
        <v>2405</v>
      </c>
      <c r="F1123" s="10" t="str">
        <f>IFERROR(VLOOKUP(VENTAS[[#This Row],[Código del producto Vendido]],STOCK[],5,FALSE),"-")</f>
        <v>Sandalias de tiras con tacón cuadrado</v>
      </c>
      <c r="G1123" s="10">
        <v>1</v>
      </c>
      <c r="H1123" s="12">
        <v>35</v>
      </c>
      <c r="I1123" s="12">
        <f>VENTAS[[#This Row],[Cantidad]]*VENTAS[[#This Row],[Precio Venta]]</f>
        <v>35</v>
      </c>
      <c r="J1123" s="12">
        <f>IF(VENTAS[[#This Row],[Nombre del Gestor]]&gt;1,VENTAS[[#This Row],[Total]]*10%,0)</f>
        <v>3.5</v>
      </c>
      <c r="K1123" s="12">
        <f>IFERROR(VLOOKUP(VENTAS[[#This Row],[Código del producto Vendido]],STOCK[],16,FALSE)*VENTAS[[#This Row],[Cantidad]]+VLOOKUP(VENTAS[[#This Row],[Código del producto Vendido]],STOCK[],19,FALSE)*VENTAS[[#This Row],[Cantidad]],VENTAS[[#This Row],[Total]])</f>
        <v>17.252021151586401</v>
      </c>
      <c r="L1123" s="12">
        <f>VENTAS[[#This Row],[Total]]-VENTAS[[#This Row],[Comisión 10%]]-VENTAS[[#This Row],[Costo SIN Comision]]</f>
        <v>14.247978848413599</v>
      </c>
      <c r="M1123" s="12"/>
      <c r="N1123" s="16"/>
    </row>
    <row r="1124" spans="1:14" ht="20" hidden="1" customHeight="1">
      <c r="A1124" s="9">
        <v>45499</v>
      </c>
      <c r="B1124" s="10"/>
      <c r="C1124" s="10"/>
      <c r="D1124" s="10" t="s">
        <v>4330</v>
      </c>
      <c r="E1124" s="10" t="s">
        <v>2459</v>
      </c>
      <c r="F1124" s="10" t="str">
        <f>IFERROR(VLOOKUP(VENTAS[[#This Row],[Código del producto Vendido]],STOCK[],5,FALSE),"-")</f>
        <v>Sandalias prácticas Chunky Negras</v>
      </c>
      <c r="G1124" s="10">
        <v>1</v>
      </c>
      <c r="H1124" s="12">
        <v>35</v>
      </c>
      <c r="I1124" s="12">
        <f>VENTAS[[#This Row],[Cantidad]]*VENTAS[[#This Row],[Precio Venta]]</f>
        <v>35</v>
      </c>
      <c r="J1124" s="12">
        <f>IF(VENTAS[[#This Row],[Nombre del Gestor]]&gt;1,VENTAS[[#This Row],[Total]]*10%,0)</f>
        <v>3.5</v>
      </c>
      <c r="K1124" s="12">
        <f>IFERROR(VLOOKUP(VENTAS[[#This Row],[Código del producto Vendido]],STOCK[],16,FALSE)*VENTAS[[#This Row],[Cantidad]]+VLOOKUP(VENTAS[[#This Row],[Código del producto Vendido]],STOCK[],19,FALSE)*VENTAS[[#This Row],[Cantidad]],VENTAS[[#This Row],[Total]])</f>
        <v>21.97</v>
      </c>
      <c r="L1124" s="12">
        <f>VENTAS[[#This Row],[Total]]-VENTAS[[#This Row],[Comisión 10%]]-VENTAS[[#This Row],[Costo SIN Comision]]</f>
        <v>9.5300000000000011</v>
      </c>
      <c r="M1124" s="12"/>
      <c r="N1124" s="16"/>
    </row>
    <row r="1125" spans="1:14" ht="20" hidden="1" customHeight="1">
      <c r="A1125" s="9">
        <v>45483</v>
      </c>
      <c r="B1125" s="10"/>
      <c r="C1125" s="10"/>
      <c r="D1125" s="10" t="s">
        <v>4330</v>
      </c>
      <c r="E1125" s="10" t="s">
        <v>2386</v>
      </c>
      <c r="F1125" s="10" t="str">
        <f>IFERROR(VLOOKUP(VENTAS[[#This Row],[Código del producto Vendido]],STOCK[],5,FALSE),"-")</f>
        <v>Espejuelos de sol vintage clásicas aviador</v>
      </c>
      <c r="G1125" s="10">
        <v>1</v>
      </c>
      <c r="H1125" s="12">
        <v>10</v>
      </c>
      <c r="I1125" s="12">
        <f>VENTAS[[#This Row],[Cantidad]]*VENTAS[[#This Row],[Precio Venta]]</f>
        <v>10</v>
      </c>
      <c r="J1125" s="12">
        <f>IF(VENTAS[[#This Row],[Nombre del Gestor]]&gt;1,VENTAS[[#This Row],[Total]]*10%,0)</f>
        <v>1</v>
      </c>
      <c r="K1125" s="12">
        <f>IFERROR(VLOOKUP(VENTAS[[#This Row],[Código del producto Vendido]],STOCK[],16,FALSE)*VENTAS[[#This Row],[Cantidad]]+VLOOKUP(VENTAS[[#This Row],[Código del producto Vendido]],STOCK[],19,FALSE)*VENTAS[[#This Row],[Cantidad]],VENTAS[[#This Row],[Total]])</f>
        <v>4.7275</v>
      </c>
      <c r="L1125" s="12">
        <f>VENTAS[[#This Row],[Total]]-VENTAS[[#This Row],[Comisión 10%]]-VENTAS[[#This Row],[Costo SIN Comision]]</f>
        <v>4.2725</v>
      </c>
      <c r="M1125" s="12"/>
      <c r="N1125" s="16"/>
    </row>
    <row r="1126" spans="1:14" ht="20" hidden="1" customHeight="1">
      <c r="A1126" s="9">
        <v>45499</v>
      </c>
      <c r="B1126" s="10"/>
      <c r="C1126" s="10"/>
      <c r="D1126" s="10" t="s">
        <v>4349</v>
      </c>
      <c r="E1126" s="10" t="s">
        <v>1773</v>
      </c>
      <c r="F1126" s="10" t="str">
        <f>IFERROR(VLOOKUP(VENTAS[[#This Row],[Código del producto Vendido]],STOCK[],5,FALSE),"-")</f>
        <v>Kimono Dazy Elegante</v>
      </c>
      <c r="G1126" s="10">
        <v>1</v>
      </c>
      <c r="H1126" s="12">
        <v>22</v>
      </c>
      <c r="I1126" s="12">
        <f>VENTAS[[#This Row],[Cantidad]]*VENTAS[[#This Row],[Precio Venta]]</f>
        <v>22</v>
      </c>
      <c r="J1126" s="12">
        <f>IF(VENTAS[[#This Row],[Nombre del Gestor]]&gt;1,VENTAS[[#This Row],[Total]]*10%,0)</f>
        <v>2.2000000000000002</v>
      </c>
      <c r="K1126" s="12">
        <f>IFERROR(VLOOKUP(VENTAS[[#This Row],[Código del producto Vendido]],STOCK[],16,FALSE)*VENTAS[[#This Row],[Cantidad]]+VLOOKUP(VENTAS[[#This Row],[Código del producto Vendido]],STOCK[],19,FALSE)*VENTAS[[#This Row],[Cantidad]],VENTAS[[#This Row],[Total]])</f>
        <v>13.352941176470591</v>
      </c>
      <c r="L1126" s="12">
        <f>VENTAS[[#This Row],[Total]]-VENTAS[[#This Row],[Comisión 10%]]-VENTAS[[#This Row],[Costo SIN Comision]]</f>
        <v>6.4470588235294102</v>
      </c>
      <c r="M1126" s="12"/>
      <c r="N1126" s="16"/>
    </row>
    <row r="1127" spans="1:14" ht="20" hidden="1" customHeight="1">
      <c r="A1127" s="9">
        <v>45499</v>
      </c>
      <c r="B1127" s="10"/>
      <c r="C1127" s="10" t="s">
        <v>4406</v>
      </c>
      <c r="D1127" s="10"/>
      <c r="E1127" s="10" t="s">
        <v>1747</v>
      </c>
      <c r="F1127" s="10" t="str">
        <f>IFERROR(VLOOKUP(VENTAS[[#This Row],[Código del producto Vendido]],STOCK[],5,FALSE),"-")</f>
        <v>Kimono Dazy Elegante</v>
      </c>
      <c r="G1127" s="10">
        <v>1</v>
      </c>
      <c r="H1127" s="12">
        <v>22</v>
      </c>
      <c r="I1127" s="12">
        <f>VENTAS[[#This Row],[Cantidad]]*VENTAS[[#This Row],[Precio Venta]]</f>
        <v>22</v>
      </c>
      <c r="J1127" s="12">
        <f>IF(VENTAS[[#This Row],[Nombre del Gestor]]&gt;1,VENTAS[[#This Row],[Total]]*10%,0)</f>
        <v>0</v>
      </c>
      <c r="K1127" s="12">
        <f>IFERROR(VLOOKUP(VENTAS[[#This Row],[Código del producto Vendido]],STOCK[],16,FALSE)*VENTAS[[#This Row],[Cantidad]]+VLOOKUP(VENTAS[[#This Row],[Código del producto Vendido]],STOCK[],19,FALSE)*VENTAS[[#This Row],[Cantidad]],VENTAS[[#This Row],[Total]])</f>
        <v>13.352941176470591</v>
      </c>
      <c r="L1127" s="12">
        <f>VENTAS[[#This Row],[Total]]-VENTAS[[#This Row],[Comisión 10%]]-VENTAS[[#This Row],[Costo SIN Comision]]</f>
        <v>8.6470588235294095</v>
      </c>
      <c r="M1127" s="12"/>
      <c r="N1127" s="16"/>
    </row>
    <row r="1128" spans="1:14" ht="20" hidden="1" customHeight="1">
      <c r="A1128" s="9">
        <v>45497</v>
      </c>
      <c r="B1128" s="10"/>
      <c r="C1128" s="10"/>
      <c r="D1128" s="10" t="s">
        <v>4349</v>
      </c>
      <c r="E1128" s="10" t="s">
        <v>2130</v>
      </c>
      <c r="F1128" s="10" t="str">
        <f>IFERROR(VLOOKUP(VENTAS[[#This Row],[Código del producto Vendido]],STOCK[],5,FALSE),"-")</f>
        <v>Set de traje de baño 3 piezas Azul metalizado</v>
      </c>
      <c r="G1128" s="10">
        <v>1</v>
      </c>
      <c r="H1128" s="12">
        <v>22</v>
      </c>
      <c r="I1128" s="12">
        <f>VENTAS[[#This Row],[Cantidad]]*VENTAS[[#This Row],[Precio Venta]]</f>
        <v>22</v>
      </c>
      <c r="J1128" s="12">
        <f>IF(VENTAS[[#This Row],[Nombre del Gestor]]&gt;1,VENTAS[[#This Row],[Total]]*10%,0)</f>
        <v>2.2000000000000002</v>
      </c>
      <c r="K1128" s="12">
        <f>IFERROR(VLOOKUP(VENTAS[[#This Row],[Código del producto Vendido]],STOCK[],16,FALSE)*VENTAS[[#This Row],[Cantidad]]+VLOOKUP(VENTAS[[#This Row],[Código del producto Vendido]],STOCK[],19,FALSE)*VENTAS[[#This Row],[Cantidad]],VENTAS[[#This Row],[Total]])</f>
        <v>10.84</v>
      </c>
      <c r="L1128" s="12">
        <f>VENTAS[[#This Row],[Total]]-VENTAS[[#This Row],[Comisión 10%]]-VENTAS[[#This Row],[Costo SIN Comision]]</f>
        <v>8.9600000000000009</v>
      </c>
      <c r="M1128" s="12"/>
      <c r="N1128" s="16"/>
    </row>
    <row r="1129" spans="1:14" ht="20" hidden="1" customHeight="1">
      <c r="A1129" s="9">
        <v>45497</v>
      </c>
      <c r="B1129" s="10"/>
      <c r="C1129" s="10"/>
      <c r="D1129" s="10" t="s">
        <v>4349</v>
      </c>
      <c r="E1129" s="10" t="s">
        <v>2252</v>
      </c>
      <c r="F1129" s="10" t="str">
        <f>IFERROR(VLOOKUP(VENTAS[[#This Row],[Código del producto Vendido]],STOCK[],5,FALSE),"-")</f>
        <v>Bikini de cintura alta estampado clásico</v>
      </c>
      <c r="G1129" s="10">
        <v>1</v>
      </c>
      <c r="H1129" s="12">
        <v>20</v>
      </c>
      <c r="I1129" s="12">
        <f>VENTAS[[#This Row],[Cantidad]]*VENTAS[[#This Row],[Precio Venta]]</f>
        <v>20</v>
      </c>
      <c r="J1129" s="12">
        <f>IF(VENTAS[[#This Row],[Nombre del Gestor]]&gt;1,VENTAS[[#This Row],[Total]]*10%,0)</f>
        <v>2</v>
      </c>
      <c r="K1129" s="12">
        <f>IFERROR(VLOOKUP(VENTAS[[#This Row],[Código del producto Vendido]],STOCK[],16,FALSE)*VENTAS[[#This Row],[Cantidad]]+VLOOKUP(VENTAS[[#This Row],[Código del producto Vendido]],STOCK[],19,FALSE)*VENTAS[[#This Row],[Cantidad]],VENTAS[[#This Row],[Total]])</f>
        <v>8.66</v>
      </c>
      <c r="L1129" s="12">
        <f>VENTAS[[#This Row],[Total]]-VENTAS[[#This Row],[Comisión 10%]]-VENTAS[[#This Row],[Costo SIN Comision]]</f>
        <v>9.34</v>
      </c>
      <c r="M1129" s="12"/>
      <c r="N1129" s="16"/>
    </row>
    <row r="1130" spans="1:14" ht="20" hidden="1" customHeight="1">
      <c r="A1130" s="9">
        <v>45496</v>
      </c>
      <c r="B1130" s="10"/>
      <c r="C1130" s="10"/>
      <c r="D1130" s="10" t="s">
        <v>4349</v>
      </c>
      <c r="E1130" s="10" t="s">
        <v>2372</v>
      </c>
      <c r="F1130" s="10" t="str">
        <f>IFERROR(VLOOKUP(VENTAS[[#This Row],[Código del producto Vendido]],STOCK[],5,FALSE),"-")</f>
        <v>Blusa atada al frente de estilo casual</v>
      </c>
      <c r="G1130" s="10">
        <v>1</v>
      </c>
      <c r="H1130" s="12">
        <v>17</v>
      </c>
      <c r="I1130" s="12">
        <f>VENTAS[[#This Row],[Cantidad]]*VENTAS[[#This Row],[Precio Venta]]</f>
        <v>17</v>
      </c>
      <c r="J1130" s="12">
        <f>IF(VENTAS[[#This Row],[Nombre del Gestor]]&gt;1,VENTAS[[#This Row],[Total]]*10%,0)</f>
        <v>1.7000000000000002</v>
      </c>
      <c r="K1130" s="12">
        <f>IFERROR(VLOOKUP(VENTAS[[#This Row],[Código del producto Vendido]],STOCK[],16,FALSE)*VENTAS[[#This Row],[Cantidad]]+VLOOKUP(VENTAS[[#This Row],[Código del producto Vendido]],STOCK[],19,FALSE)*VENTAS[[#This Row],[Cantidad]],VENTAS[[#This Row],[Total]])</f>
        <v>10.821875</v>
      </c>
      <c r="L1130" s="12">
        <f>VENTAS[[#This Row],[Total]]-VENTAS[[#This Row],[Comisión 10%]]-VENTAS[[#This Row],[Costo SIN Comision]]</f>
        <v>4.4781250000000004</v>
      </c>
      <c r="M1130" s="12"/>
      <c r="N1130" s="16"/>
    </row>
    <row r="1131" spans="1:14" ht="20" hidden="1" customHeight="1">
      <c r="A1131" s="9">
        <v>45496</v>
      </c>
      <c r="B1131" s="10"/>
      <c r="C1131" s="10"/>
      <c r="D1131" s="10" t="s">
        <v>4349</v>
      </c>
      <c r="E1131" s="10" t="s">
        <v>2124</v>
      </c>
      <c r="F1131" s="10" t="str">
        <f>IFERROR(VLOOKUP(VENTAS[[#This Row],[Código del producto Vendido]],STOCK[],5,FALSE),"-")</f>
        <v>Set de traje de baño elegante 2 piezas con adorno en forma de V</v>
      </c>
      <c r="G1131" s="10">
        <v>1</v>
      </c>
      <c r="H1131" s="12">
        <v>25</v>
      </c>
      <c r="I1131" s="12">
        <f>VENTAS[[#This Row],[Cantidad]]*VENTAS[[#This Row],[Precio Venta]]</f>
        <v>25</v>
      </c>
      <c r="J1131" s="12">
        <f>IF(VENTAS[[#This Row],[Nombre del Gestor]]&gt;1,VENTAS[[#This Row],[Total]]*10%,0)</f>
        <v>2.5</v>
      </c>
      <c r="K1131" s="12">
        <f>IFERROR(VLOOKUP(VENTAS[[#This Row],[Código del producto Vendido]],STOCK[],16,FALSE)*VENTAS[[#This Row],[Cantidad]]+VLOOKUP(VENTAS[[#This Row],[Código del producto Vendido]],STOCK[],19,FALSE)*VENTAS[[#This Row],[Cantidad]],VENTAS[[#This Row],[Total]])</f>
        <v>11.209999999999999</v>
      </c>
      <c r="L1131" s="12">
        <f>VENTAS[[#This Row],[Total]]-VENTAS[[#This Row],[Comisión 10%]]-VENTAS[[#This Row],[Costo SIN Comision]]</f>
        <v>11.290000000000001</v>
      </c>
      <c r="M1131" s="12"/>
      <c r="N1131" s="16"/>
    </row>
    <row r="1132" spans="1:14" ht="20" hidden="1" customHeight="1">
      <c r="A1132" s="9">
        <v>45499</v>
      </c>
      <c r="B1132" s="10"/>
      <c r="C1132" s="10" t="s">
        <v>4406</v>
      </c>
      <c r="D1132" s="10"/>
      <c r="E1132" s="10" t="s">
        <v>2366</v>
      </c>
      <c r="F1132" s="10" t="str">
        <f>IFERROR(VLOOKUP(VENTAS[[#This Row],[Código del producto Vendido]],STOCK[],5,FALSE),"-")</f>
        <v>2 piezas bikini push up accesorio</v>
      </c>
      <c r="G1132" s="10">
        <v>1</v>
      </c>
      <c r="H1132" s="12">
        <v>4</v>
      </c>
      <c r="I1132" s="12">
        <f>VENTAS[[#This Row],[Cantidad]]*VENTAS[[#This Row],[Precio Venta]]</f>
        <v>4</v>
      </c>
      <c r="J1132" s="12">
        <f>IF(VENTAS[[#This Row],[Nombre del Gestor]]&gt;1,VENTAS[[#This Row],[Total]]*10%,0)</f>
        <v>0</v>
      </c>
      <c r="K1132" s="12">
        <f>IFERROR(VLOOKUP(VENTAS[[#This Row],[Código del producto Vendido]],STOCK[],16,FALSE)*VENTAS[[#This Row],[Cantidad]]+VLOOKUP(VENTAS[[#This Row],[Código del producto Vendido]],STOCK[],19,FALSE)*VENTAS[[#This Row],[Cantidad]],VENTAS[[#This Row],[Total]])</f>
        <v>3.3356249999999998</v>
      </c>
      <c r="L1132" s="12">
        <f>VENTAS[[#This Row],[Total]]-VENTAS[[#This Row],[Comisión 10%]]-VENTAS[[#This Row],[Costo SIN Comision]]</f>
        <v>0.66437500000000016</v>
      </c>
      <c r="M1132" s="12"/>
      <c r="N1132" s="16"/>
    </row>
    <row r="1133" spans="1:14" ht="20" hidden="1" customHeight="1">
      <c r="A1133" s="9">
        <v>45499</v>
      </c>
      <c r="B1133" s="10"/>
      <c r="C1133" s="10" t="s">
        <v>4406</v>
      </c>
      <c r="D1133" s="10"/>
      <c r="E1133" s="10" t="s">
        <v>2153</v>
      </c>
      <c r="F1133" s="10" t="str">
        <f>IFERROR(VLOOKUP(VENTAS[[#This Row],[Código del producto Vendido]],STOCK[],5,FALSE),"-")</f>
        <v>Set de 3 piezas de bikini con estampado floral</v>
      </c>
      <c r="G1133" s="10">
        <v>1</v>
      </c>
      <c r="H1133" s="12">
        <v>25</v>
      </c>
      <c r="I1133" s="12">
        <f>VENTAS[[#This Row],[Cantidad]]*VENTAS[[#This Row],[Precio Venta]]</f>
        <v>25</v>
      </c>
      <c r="J1133" s="12">
        <f>IF(VENTAS[[#This Row],[Nombre del Gestor]]&gt;1,VENTAS[[#This Row],[Total]]*10%,0)</f>
        <v>0</v>
      </c>
      <c r="K1133" s="12">
        <f>IFERROR(VLOOKUP(VENTAS[[#This Row],[Código del producto Vendido]],STOCK[],16,FALSE)*VENTAS[[#This Row],[Cantidad]]+VLOOKUP(VENTAS[[#This Row],[Código del producto Vendido]],STOCK[],19,FALSE)*VENTAS[[#This Row],[Cantidad]],VENTAS[[#This Row],[Total]])</f>
        <v>9.67</v>
      </c>
      <c r="L1133" s="12">
        <f>VENTAS[[#This Row],[Total]]-VENTAS[[#This Row],[Comisión 10%]]-VENTAS[[#This Row],[Costo SIN Comision]]</f>
        <v>15.33</v>
      </c>
      <c r="M1133" s="12"/>
      <c r="N1133" s="16"/>
    </row>
    <row r="1134" spans="1:14" ht="20" hidden="1" customHeight="1">
      <c r="A1134" s="9">
        <v>45498</v>
      </c>
      <c r="B1134" s="10"/>
      <c r="C1134" s="10" t="s">
        <v>4406</v>
      </c>
      <c r="D1134" s="10"/>
      <c r="E1134" s="10" t="s">
        <v>2401</v>
      </c>
      <c r="F1134" s="10" t="str">
        <f>IFERROR(VLOOKUP(VENTAS[[#This Row],[Código del producto Vendido]],STOCK[],5,FALSE),"-")</f>
        <v>Sandalias de tiras con tacón cuadrado</v>
      </c>
      <c r="G1134" s="10">
        <v>1</v>
      </c>
      <c r="H1134" s="12">
        <v>35</v>
      </c>
      <c r="I1134" s="12">
        <f>VENTAS[[#This Row],[Cantidad]]*VENTAS[[#This Row],[Precio Venta]]</f>
        <v>35</v>
      </c>
      <c r="J1134" s="12">
        <f>IF(VENTAS[[#This Row],[Nombre del Gestor]]&gt;1,VENTAS[[#This Row],[Total]]*10%,0)</f>
        <v>0</v>
      </c>
      <c r="K1134" s="12">
        <f>IFERROR(VLOOKUP(VENTAS[[#This Row],[Código del producto Vendido]],STOCK[],16,FALSE)*VENTAS[[#This Row],[Cantidad]]+VLOOKUP(VENTAS[[#This Row],[Código del producto Vendido]],STOCK[],19,FALSE)*VENTAS[[#This Row],[Cantidad]],VENTAS[[#This Row],[Total]])</f>
        <v>17.252021151586401</v>
      </c>
      <c r="L1134" s="12">
        <f>VENTAS[[#This Row],[Total]]-VENTAS[[#This Row],[Comisión 10%]]-VENTAS[[#This Row],[Costo SIN Comision]]</f>
        <v>17.747978848413599</v>
      </c>
      <c r="M1134" s="12"/>
      <c r="N1134" s="16"/>
    </row>
    <row r="1135" spans="1:14" ht="20" hidden="1" customHeight="1">
      <c r="A1135" s="9">
        <v>45498</v>
      </c>
      <c r="B1135" s="10"/>
      <c r="C1135" s="10" t="s">
        <v>4406</v>
      </c>
      <c r="D1135" s="10"/>
      <c r="E1135" s="10" t="s">
        <v>1170</v>
      </c>
      <c r="F1135" s="10" t="str">
        <f>IFERROR(VLOOKUP(VENTAS[[#This Row],[Código del producto Vendido]],STOCK[],5,FALSE),"-")</f>
        <v>Pullover Dazy cuello redondo Blanco</v>
      </c>
      <c r="G1135" s="10">
        <v>1</v>
      </c>
      <c r="H1135" s="12">
        <v>13</v>
      </c>
      <c r="I1135" s="12">
        <f>VENTAS[[#This Row],[Cantidad]]*VENTAS[[#This Row],[Precio Venta]]</f>
        <v>13</v>
      </c>
      <c r="J1135" s="12">
        <f>IF(VENTAS[[#This Row],[Nombre del Gestor]]&gt;1,VENTAS[[#This Row],[Total]]*10%,0)</f>
        <v>0</v>
      </c>
      <c r="K1135" s="12">
        <f>IFERROR(VLOOKUP(VENTAS[[#This Row],[Código del producto Vendido]],STOCK[],16,FALSE)*VENTAS[[#This Row],[Cantidad]]+VLOOKUP(VENTAS[[#This Row],[Código del producto Vendido]],STOCK[],19,FALSE)*VENTAS[[#This Row],[Cantidad]],VENTAS[[#This Row],[Total]])</f>
        <v>8.61</v>
      </c>
      <c r="L1135" s="12">
        <f>VENTAS[[#This Row],[Total]]-VENTAS[[#This Row],[Comisión 10%]]-VENTAS[[#This Row],[Costo SIN Comision]]</f>
        <v>4.3900000000000006</v>
      </c>
      <c r="M1135" s="12"/>
      <c r="N1135" s="16"/>
    </row>
    <row r="1136" spans="1:14" ht="20" hidden="1" customHeight="1">
      <c r="A1136" s="9">
        <v>45498</v>
      </c>
      <c r="B1136" s="10"/>
      <c r="C1136" s="10" t="s">
        <v>4406</v>
      </c>
      <c r="D1136" s="10"/>
      <c r="E1136" s="10" t="s">
        <v>2416</v>
      </c>
      <c r="F1136" s="10" t="str">
        <f>IFERROR(VLOOKUP(VENTAS[[#This Row],[Código del producto Vendido]],STOCK[],5,FALSE),"-")</f>
        <v>Pantalón de vestir de viscosa y lino (beige claro)</v>
      </c>
      <c r="G1136" s="10">
        <v>1</v>
      </c>
      <c r="H1136" s="12">
        <v>35</v>
      </c>
      <c r="I1136" s="12">
        <f>VENTAS[[#This Row],[Cantidad]]*VENTAS[[#This Row],[Precio Venta]]</f>
        <v>35</v>
      </c>
      <c r="J1136" s="12">
        <f>IF(VENTAS[[#This Row],[Nombre del Gestor]]&gt;1,VENTAS[[#This Row],[Total]]*10%,0)</f>
        <v>0</v>
      </c>
      <c r="K1136" s="12">
        <f>IFERROR(VLOOKUP(VENTAS[[#This Row],[Código del producto Vendido]],STOCK[],16,FALSE)*VENTAS[[#This Row],[Cantidad]]+VLOOKUP(VENTAS[[#This Row],[Código del producto Vendido]],STOCK[],19,FALSE)*VENTAS[[#This Row],[Cantidad]],VENTAS[[#This Row],[Total]])</f>
        <v>17.252021151586401</v>
      </c>
      <c r="L1136" s="12">
        <f>VENTAS[[#This Row],[Total]]-VENTAS[[#This Row],[Comisión 10%]]-VENTAS[[#This Row],[Costo SIN Comision]]</f>
        <v>17.747978848413599</v>
      </c>
      <c r="M1136" s="12"/>
      <c r="N1136" s="16"/>
    </row>
    <row r="1137" spans="1:14" ht="20" hidden="1" customHeight="1">
      <c r="A1137" s="9">
        <v>45496</v>
      </c>
      <c r="B1137" s="10"/>
      <c r="C1137" s="10"/>
      <c r="D1137" s="10" t="s">
        <v>4374</v>
      </c>
      <c r="E1137" s="10" t="s">
        <v>782</v>
      </c>
      <c r="F1137" s="10" t="str">
        <f>IFERROR(VLOOKUP(VENTAS[[#This Row],[Código del producto Vendido]],STOCK[],5,FALSE),"-")</f>
        <v>Top Amarillo en tela de algodón</v>
      </c>
      <c r="G1137" s="10">
        <v>1</v>
      </c>
      <c r="H1137" s="12">
        <v>10</v>
      </c>
      <c r="I1137" s="12">
        <f>VENTAS[[#This Row],[Cantidad]]*VENTAS[[#This Row],[Precio Venta]]</f>
        <v>10</v>
      </c>
      <c r="J1137" s="12">
        <f>IF(VENTAS[[#This Row],[Nombre del Gestor]]&gt;1,VENTAS[[#This Row],[Total]]*10%,0)</f>
        <v>1</v>
      </c>
      <c r="K1137" s="12">
        <f>IFERROR(VLOOKUP(VENTAS[[#This Row],[Código del producto Vendido]],STOCK[],16,FALSE)*VENTAS[[#This Row],[Cantidad]]+VLOOKUP(VENTAS[[#This Row],[Código del producto Vendido]],STOCK[],19,FALSE)*VENTAS[[#This Row],[Cantidad]],VENTAS[[#This Row],[Total]])</f>
        <v>6.0555555555555598</v>
      </c>
      <c r="L1137" s="12">
        <f>VENTAS[[#This Row],[Total]]-VENTAS[[#This Row],[Comisión 10%]]-VENTAS[[#This Row],[Costo SIN Comision]]</f>
        <v>2.9444444444444402</v>
      </c>
      <c r="M1137" s="12"/>
      <c r="N1137" s="16"/>
    </row>
    <row r="1138" spans="1:14" ht="20" hidden="1" customHeight="1">
      <c r="A1138" s="9">
        <v>45496</v>
      </c>
      <c r="B1138" s="10"/>
      <c r="C1138" s="10"/>
      <c r="D1138" s="10" t="s">
        <v>4374</v>
      </c>
      <c r="E1138" s="10" t="s">
        <v>597</v>
      </c>
      <c r="F1138" s="10" t="str">
        <f>IFERROR(VLOOKUP(VENTAS[[#This Row],[Código del producto Vendido]],STOCK[],5,FALSE),"-")</f>
        <v>Top cruzado naranja</v>
      </c>
      <c r="G1138" s="10">
        <v>1</v>
      </c>
      <c r="H1138" s="12">
        <v>8</v>
      </c>
      <c r="I1138" s="12">
        <f>VENTAS[[#This Row],[Cantidad]]*VENTAS[[#This Row],[Precio Venta]]</f>
        <v>8</v>
      </c>
      <c r="J1138" s="12">
        <f>IF(VENTAS[[#This Row],[Nombre del Gestor]]&gt;1,VENTAS[[#This Row],[Total]]*10%,0)</f>
        <v>0.8</v>
      </c>
      <c r="K1138" s="12">
        <f>IFERROR(VLOOKUP(VENTAS[[#This Row],[Código del producto Vendido]],STOCK[],16,FALSE)*VENTAS[[#This Row],[Cantidad]]+VLOOKUP(VENTAS[[#This Row],[Código del producto Vendido]],STOCK[],19,FALSE)*VENTAS[[#This Row],[Cantidad]],VENTAS[[#This Row],[Total]])</f>
        <v>5.0683333333333307</v>
      </c>
      <c r="L1138" s="12">
        <f>VENTAS[[#This Row],[Total]]-VENTAS[[#This Row],[Comisión 10%]]-VENTAS[[#This Row],[Costo SIN Comision]]</f>
        <v>2.1316666666666695</v>
      </c>
      <c r="M1138" s="12"/>
      <c r="N1138" s="16"/>
    </row>
    <row r="1139" spans="1:14" ht="20" hidden="1" customHeight="1">
      <c r="A1139" s="9">
        <v>45496</v>
      </c>
      <c r="B1139" s="10"/>
      <c r="C1139" s="10"/>
      <c r="D1139" s="10" t="s">
        <v>4374</v>
      </c>
      <c r="E1139" s="10" t="s">
        <v>674</v>
      </c>
      <c r="F1139" s="10" t="str">
        <f>IFERROR(VLOOKUP(VENTAS[[#This Row],[Código del producto Vendido]],STOCK[],5,FALSE),"-")</f>
        <v>Top Cruzado azul</v>
      </c>
      <c r="G1139" s="10">
        <v>1</v>
      </c>
      <c r="H1139" s="12">
        <v>8</v>
      </c>
      <c r="I1139" s="12">
        <f>VENTAS[[#This Row],[Cantidad]]*VENTAS[[#This Row],[Precio Venta]]</f>
        <v>8</v>
      </c>
      <c r="J1139" s="12">
        <f>IF(VENTAS[[#This Row],[Nombre del Gestor]]&gt;1,VENTAS[[#This Row],[Total]]*10%,0)</f>
        <v>0.8</v>
      </c>
      <c r="K1139" s="12">
        <f>IFERROR(VLOOKUP(VENTAS[[#This Row],[Código del producto Vendido]],STOCK[],16,FALSE)*VENTAS[[#This Row],[Cantidad]]+VLOOKUP(VENTAS[[#This Row],[Código del producto Vendido]],STOCK[],19,FALSE)*VENTAS[[#This Row],[Cantidad]],VENTAS[[#This Row],[Total]])</f>
        <v>5.26833333333333</v>
      </c>
      <c r="L1139" s="12">
        <f>VENTAS[[#This Row],[Total]]-VENTAS[[#This Row],[Comisión 10%]]-VENTAS[[#This Row],[Costo SIN Comision]]</f>
        <v>1.9316666666666702</v>
      </c>
      <c r="M1139" s="12"/>
      <c r="N1139" s="16"/>
    </row>
    <row r="1140" spans="1:14" ht="20" hidden="1" customHeight="1">
      <c r="A1140" s="9">
        <v>45495</v>
      </c>
      <c r="B1140" s="10"/>
      <c r="C1140" s="10"/>
      <c r="D1140" s="10" t="s">
        <v>4374</v>
      </c>
      <c r="E1140" s="10" t="s">
        <v>1008</v>
      </c>
      <c r="F1140" s="10" t="str">
        <f>IFERROR(VLOOKUP(VENTAS[[#This Row],[Código del producto Vendido]],STOCK[],5,FALSE),"-")</f>
        <v>Maxi Vestido con Bolsillo</v>
      </c>
      <c r="G1140" s="10">
        <v>1</v>
      </c>
      <c r="H1140" s="12">
        <v>35</v>
      </c>
      <c r="I1140" s="12">
        <f>VENTAS[[#This Row],[Cantidad]]*VENTAS[[#This Row],[Precio Venta]]</f>
        <v>35</v>
      </c>
      <c r="J1140" s="12">
        <f>IF(VENTAS[[#This Row],[Nombre del Gestor]]&gt;1,VENTAS[[#This Row],[Total]]*10%,0)</f>
        <v>3.5</v>
      </c>
      <c r="K1140" s="12">
        <f>IFERROR(VLOOKUP(VENTAS[[#This Row],[Código del producto Vendido]],STOCK[],16,FALSE)*VENTAS[[#This Row],[Cantidad]]+VLOOKUP(VENTAS[[#This Row],[Código del producto Vendido]],STOCK[],19,FALSE)*VENTAS[[#This Row],[Cantidad]],VENTAS[[#This Row],[Total]])</f>
        <v>24.729545454545502</v>
      </c>
      <c r="L1140" s="12">
        <f>VENTAS[[#This Row],[Total]]-VENTAS[[#This Row],[Comisión 10%]]-VENTAS[[#This Row],[Costo SIN Comision]]</f>
        <v>6.7704545454544984</v>
      </c>
      <c r="M1140" s="12"/>
      <c r="N1140" s="16"/>
    </row>
    <row r="1141" spans="1:14" ht="20" hidden="1" customHeight="1">
      <c r="A1141" s="9">
        <v>45495</v>
      </c>
      <c r="B1141" s="10"/>
      <c r="C1141" s="10"/>
      <c r="D1141" s="10" t="s">
        <v>4374</v>
      </c>
      <c r="E1141" s="10" t="s">
        <v>330</v>
      </c>
      <c r="F1141" s="10" t="str">
        <f>IFERROR(VLOOKUP(VENTAS[[#This Row],[Código del producto Vendido]],STOCK[],5,FALSE),"-")</f>
        <v>Vestido ajustado con abertura</v>
      </c>
      <c r="G1141" s="10">
        <v>1</v>
      </c>
      <c r="H1141" s="12">
        <v>18</v>
      </c>
      <c r="I1141" s="12">
        <f>VENTAS[[#This Row],[Cantidad]]*VENTAS[[#This Row],[Precio Venta]]</f>
        <v>18</v>
      </c>
      <c r="J1141" s="12">
        <f>IF(VENTAS[[#This Row],[Nombre del Gestor]]&gt;1,VENTAS[[#This Row],[Total]]*10%,0)</f>
        <v>1.8</v>
      </c>
      <c r="K1141" s="12">
        <f>IFERROR(VLOOKUP(VENTAS[[#This Row],[Código del producto Vendido]],STOCK[],16,FALSE)*VENTAS[[#This Row],[Cantidad]]+VLOOKUP(VENTAS[[#This Row],[Código del producto Vendido]],STOCK[],19,FALSE)*VENTAS[[#This Row],[Cantidad]],VENTAS[[#This Row],[Total]])</f>
        <v>12.14</v>
      </c>
      <c r="L1141" s="12">
        <f>VENTAS[[#This Row],[Total]]-VENTAS[[#This Row],[Comisión 10%]]-VENTAS[[#This Row],[Costo SIN Comision]]</f>
        <v>4.0599999999999987</v>
      </c>
      <c r="M1141" s="12"/>
      <c r="N1141" s="16"/>
    </row>
    <row r="1142" spans="1:14" ht="20" hidden="1" customHeight="1">
      <c r="A1142" s="9">
        <v>45495</v>
      </c>
      <c r="B1142" s="10"/>
      <c r="C1142" s="10"/>
      <c r="D1142" s="10" t="s">
        <v>4374</v>
      </c>
      <c r="E1142" s="10" t="s">
        <v>664</v>
      </c>
      <c r="F1142" s="10" t="str">
        <f>IFERROR(VLOOKUP(VENTAS[[#This Row],[Código del producto Vendido]],STOCK[],5,FALSE),"-")</f>
        <v>Top Cruzado negro</v>
      </c>
      <c r="G1142" s="10">
        <v>2</v>
      </c>
      <c r="H1142" s="12">
        <v>8</v>
      </c>
      <c r="I1142" s="12">
        <f>VENTAS[[#This Row],[Cantidad]]*VENTAS[[#This Row],[Precio Venta]]</f>
        <v>16</v>
      </c>
      <c r="J1142" s="12">
        <f>IF(VENTAS[[#This Row],[Nombre del Gestor]]&gt;1,VENTAS[[#This Row],[Total]]*10%,0)</f>
        <v>1.6</v>
      </c>
      <c r="K1142" s="12">
        <f>IFERROR(VLOOKUP(VENTAS[[#This Row],[Código del producto Vendido]],STOCK[],16,FALSE)*VENTAS[[#This Row],[Cantidad]]+VLOOKUP(VENTAS[[#This Row],[Código del producto Vendido]],STOCK[],19,FALSE)*VENTAS[[#This Row],[Cantidad]],VENTAS[[#This Row],[Total]])</f>
        <v>9.8033333333333399</v>
      </c>
      <c r="L1142" s="12">
        <f>VENTAS[[#This Row],[Total]]-VENTAS[[#This Row],[Comisión 10%]]-VENTAS[[#This Row],[Costo SIN Comision]]</f>
        <v>4.5966666666666605</v>
      </c>
      <c r="M1142" s="12"/>
      <c r="N1142" s="16"/>
    </row>
    <row r="1143" spans="1:14" ht="20" hidden="1" customHeight="1">
      <c r="A1143" s="9">
        <v>45495</v>
      </c>
      <c r="B1143" s="10"/>
      <c r="C1143" s="10"/>
      <c r="D1143" s="10" t="s">
        <v>4374</v>
      </c>
      <c r="E1143" s="10" t="s">
        <v>584</v>
      </c>
      <c r="F1143" s="10" t="str">
        <f>IFERROR(VLOOKUP(VENTAS[[#This Row],[Código del producto Vendido]],STOCK[],5,FALSE),"-")</f>
        <v>Top cruzado blanco</v>
      </c>
      <c r="G1143" s="10">
        <v>2</v>
      </c>
      <c r="H1143" s="12">
        <v>8</v>
      </c>
      <c r="I1143" s="12">
        <f>VENTAS[[#This Row],[Cantidad]]*VENTAS[[#This Row],[Precio Venta]]</f>
        <v>16</v>
      </c>
      <c r="J1143" s="12">
        <f>IF(VENTAS[[#This Row],[Nombre del Gestor]]&gt;1,VENTAS[[#This Row],[Total]]*10%,0)</f>
        <v>1.6</v>
      </c>
      <c r="K1143" s="12">
        <f>IFERROR(VLOOKUP(VENTAS[[#This Row],[Código del producto Vendido]],STOCK[],16,FALSE)*VENTAS[[#This Row],[Cantidad]]+VLOOKUP(VENTAS[[#This Row],[Código del producto Vendido]],STOCK[],19,FALSE)*VENTAS[[#This Row],[Cantidad]],VENTAS[[#This Row],[Total]])</f>
        <v>10.386666666666661</v>
      </c>
      <c r="L1143" s="12">
        <f>VENTAS[[#This Row],[Total]]-VENTAS[[#This Row],[Comisión 10%]]-VENTAS[[#This Row],[Costo SIN Comision]]</f>
        <v>4.013333333333339</v>
      </c>
      <c r="M1143" s="12"/>
      <c r="N1143" s="16"/>
    </row>
    <row r="1144" spans="1:14" ht="20" hidden="1" customHeight="1">
      <c r="A1144" s="9">
        <v>45495</v>
      </c>
      <c r="B1144" s="10"/>
      <c r="C1144" s="10"/>
      <c r="D1144" s="10" t="s">
        <v>4374</v>
      </c>
      <c r="E1144" s="10" t="s">
        <v>212</v>
      </c>
      <c r="F1144" s="10" t="str">
        <f>IFERROR(VLOOKUP(VENTAS[[#This Row],[Código del producto Vendido]],STOCK[],5,FALSE),"-")</f>
        <v>Maxi vestido con bajo floral</v>
      </c>
      <c r="G1144" s="10">
        <v>1</v>
      </c>
      <c r="H1144" s="12">
        <v>25</v>
      </c>
      <c r="I1144" s="12">
        <f>VENTAS[[#This Row],[Cantidad]]*VENTAS[[#This Row],[Precio Venta]]</f>
        <v>25</v>
      </c>
      <c r="J1144" s="12">
        <f>IF(VENTAS[[#This Row],[Nombre del Gestor]]&gt;1,VENTAS[[#This Row],[Total]]*10%,0)</f>
        <v>2.5</v>
      </c>
      <c r="K1144" s="12">
        <f>IFERROR(VLOOKUP(VENTAS[[#This Row],[Código del producto Vendido]],STOCK[],16,FALSE)*VENTAS[[#This Row],[Cantidad]]+VLOOKUP(VENTAS[[#This Row],[Código del producto Vendido]],STOCK[],19,FALSE)*VENTAS[[#This Row],[Cantidad]],VENTAS[[#This Row],[Total]])</f>
        <v>14.34</v>
      </c>
      <c r="L1144" s="12">
        <f>VENTAS[[#This Row],[Total]]-VENTAS[[#This Row],[Comisión 10%]]-VENTAS[[#This Row],[Costo SIN Comision]]</f>
        <v>8.16</v>
      </c>
      <c r="M1144" s="12"/>
      <c r="N1144" s="16"/>
    </row>
    <row r="1145" spans="1:14" ht="20" hidden="1" customHeight="1">
      <c r="A1145" s="9">
        <v>45500</v>
      </c>
      <c r="B1145" s="10"/>
      <c r="C1145" s="10" t="s">
        <v>4406</v>
      </c>
      <c r="D1145" s="10"/>
      <c r="E1145" s="10" t="s">
        <v>2481</v>
      </c>
      <c r="F1145" s="10" t="str">
        <f>IFERROR(VLOOKUP(VENTAS[[#This Row],[Código del producto Vendido]],STOCK[],5,FALSE),"-")</f>
        <v>Sandalias finas strappy rojas de tacón</v>
      </c>
      <c r="G1145" s="10">
        <v>1</v>
      </c>
      <c r="H1145" s="12">
        <v>40</v>
      </c>
      <c r="I1145" s="12">
        <f>VENTAS[[#This Row],[Cantidad]]*VENTAS[[#This Row],[Precio Venta]]</f>
        <v>40</v>
      </c>
      <c r="J1145" s="12">
        <f>IF(VENTAS[[#This Row],[Nombre del Gestor]]&gt;1,VENTAS[[#This Row],[Total]]*10%,0)</f>
        <v>0</v>
      </c>
      <c r="K1145" s="12">
        <f>IFERROR(VLOOKUP(VENTAS[[#This Row],[Código del producto Vendido]],STOCK[],16,FALSE)*VENTAS[[#This Row],[Cantidad]]+VLOOKUP(VENTAS[[#This Row],[Código del producto Vendido]],STOCK[],19,FALSE)*VENTAS[[#This Row],[Cantidad]],VENTAS[[#This Row],[Total]])</f>
        <v>20.81925</v>
      </c>
      <c r="L1145" s="12">
        <f>VENTAS[[#This Row],[Total]]-VENTAS[[#This Row],[Comisión 10%]]-VENTAS[[#This Row],[Costo SIN Comision]]</f>
        <v>19.18075</v>
      </c>
      <c r="M1145" s="12"/>
      <c r="N1145" s="16"/>
    </row>
    <row r="1146" spans="1:14" ht="20" hidden="1" customHeight="1">
      <c r="A1146" s="9">
        <v>45506</v>
      </c>
      <c r="B1146" s="10"/>
      <c r="C1146" s="10"/>
      <c r="D1146" s="10" t="s">
        <v>4330</v>
      </c>
      <c r="E1146" s="10" t="s">
        <v>2483</v>
      </c>
      <c r="F1146" s="10" t="str">
        <f>IFERROR(VLOOKUP(VENTAS[[#This Row],[Código del producto Vendido]],STOCK[],5,FALSE),"-")</f>
        <v>Sandalias finas strappy rojas de tacón</v>
      </c>
      <c r="G1146" s="10">
        <v>1</v>
      </c>
      <c r="H1146" s="12">
        <v>40</v>
      </c>
      <c r="I1146" s="12">
        <f>VENTAS[[#This Row],[Cantidad]]*VENTAS[[#This Row],[Precio Venta]]</f>
        <v>40</v>
      </c>
      <c r="J1146" s="12">
        <f>IF(VENTAS[[#This Row],[Nombre del Gestor]]&gt;1,VENTAS[[#This Row],[Total]]*10%,0)</f>
        <v>4</v>
      </c>
      <c r="K1146" s="12">
        <f>IFERROR(VLOOKUP(VENTAS[[#This Row],[Código del producto Vendido]],STOCK[],16,FALSE)*VENTAS[[#This Row],[Cantidad]]+VLOOKUP(VENTAS[[#This Row],[Código del producto Vendido]],STOCK[],19,FALSE)*VENTAS[[#This Row],[Cantidad]],VENTAS[[#This Row],[Total]])</f>
        <v>20.81925</v>
      </c>
      <c r="L1146" s="12">
        <f>VENTAS[[#This Row],[Total]]-VENTAS[[#This Row],[Comisión 10%]]-VENTAS[[#This Row],[Costo SIN Comision]]</f>
        <v>15.18075</v>
      </c>
      <c r="M1146" s="12"/>
      <c r="N1146" s="16"/>
    </row>
    <row r="1147" spans="1:14" ht="20" hidden="1" customHeight="1">
      <c r="A1147" s="9">
        <v>45507</v>
      </c>
      <c r="B1147" s="10"/>
      <c r="C1147" s="10"/>
      <c r="D1147" s="10" t="s">
        <v>4380</v>
      </c>
      <c r="E1147" s="10" t="s">
        <v>2467</v>
      </c>
      <c r="F1147" s="10" t="str">
        <f>IFERROR(VLOOKUP(VENTAS[[#This Row],[Código del producto Vendido]],STOCK[],5,FALSE),"-")</f>
        <v>Sandalias de plataforma en bloque de color</v>
      </c>
      <c r="G1147" s="10">
        <v>1</v>
      </c>
      <c r="H1147" s="12">
        <v>35</v>
      </c>
      <c r="I1147" s="12">
        <f>VENTAS[[#This Row],[Cantidad]]*VENTAS[[#This Row],[Precio Venta]]</f>
        <v>35</v>
      </c>
      <c r="J1147" s="12">
        <f>IF(VENTAS[[#This Row],[Nombre del Gestor]]&gt;1,VENTAS[[#This Row],[Total]]*10%,0)</f>
        <v>3.5</v>
      </c>
      <c r="K1147" s="12">
        <f>IFERROR(VLOOKUP(VENTAS[[#This Row],[Código del producto Vendido]],STOCK[],16,FALSE)*VENTAS[[#This Row],[Cantidad]]+VLOOKUP(VENTAS[[#This Row],[Código del producto Vendido]],STOCK[],19,FALSE)*VENTAS[[#This Row],[Cantidad]],VENTAS[[#This Row],[Total]])</f>
        <v>21.97</v>
      </c>
      <c r="L1147" s="12">
        <f>VENTAS[[#This Row],[Total]]-VENTAS[[#This Row],[Comisión 10%]]-VENTAS[[#This Row],[Costo SIN Comision]]</f>
        <v>9.5300000000000011</v>
      </c>
      <c r="M1147" s="12"/>
      <c r="N1147" s="16"/>
    </row>
    <row r="1148" spans="1:14" ht="20" hidden="1" customHeight="1">
      <c r="A1148" s="9">
        <v>45506</v>
      </c>
      <c r="B1148" s="10"/>
      <c r="C1148" s="10"/>
      <c r="D1148" s="10" t="s">
        <v>4380</v>
      </c>
      <c r="E1148" s="10" t="s">
        <v>2478</v>
      </c>
      <c r="F1148" s="10" t="str">
        <f>IFERROR(VLOOKUP(VENTAS[[#This Row],[Código del producto Vendido]],STOCK[],5,FALSE),"-")</f>
        <v>Sandalias espadriles nude</v>
      </c>
      <c r="G1148" s="10">
        <v>1</v>
      </c>
      <c r="H1148" s="12">
        <v>45</v>
      </c>
      <c r="I1148" s="12">
        <f>VENTAS[[#This Row],[Cantidad]]*VENTAS[[#This Row],[Precio Venta]]</f>
        <v>45</v>
      </c>
      <c r="J1148" s="12">
        <f>IF(VENTAS[[#This Row],[Nombre del Gestor]]&gt;1,VENTAS[[#This Row],[Total]]*10%,0)</f>
        <v>4.5</v>
      </c>
      <c r="K1148" s="12">
        <f>IFERROR(VLOOKUP(VENTAS[[#This Row],[Código del producto Vendido]],STOCK[],16,FALSE)*VENTAS[[#This Row],[Cantidad]]+VLOOKUP(VENTAS[[#This Row],[Código del producto Vendido]],STOCK[],19,FALSE)*VENTAS[[#This Row],[Cantidad]],VENTAS[[#This Row],[Total]])</f>
        <v>31.951699999999999</v>
      </c>
      <c r="L1148" s="12">
        <f>VENTAS[[#This Row],[Total]]-VENTAS[[#This Row],[Comisión 10%]]-VENTAS[[#This Row],[Costo SIN Comision]]</f>
        <v>8.5483000000000011</v>
      </c>
      <c r="M1148" s="12"/>
      <c r="N1148" s="16"/>
    </row>
    <row r="1149" spans="1:14" ht="20" hidden="1" customHeight="1">
      <c r="A1149" s="9">
        <v>45505</v>
      </c>
      <c r="B1149" s="10"/>
      <c r="C1149" s="10"/>
      <c r="D1149" s="10" t="s">
        <v>4380</v>
      </c>
      <c r="E1149" s="10" t="s">
        <v>1579</v>
      </c>
      <c r="F1149" s="10" t="str">
        <f>IFERROR(VLOOKUP(VENTAS[[#This Row],[Código del producto Vendido]],STOCK[],5,FALSE),"-")</f>
        <v>Sandalias de nudos</v>
      </c>
      <c r="G1149" s="10">
        <v>1</v>
      </c>
      <c r="H1149" s="12">
        <v>18</v>
      </c>
      <c r="I1149" s="12">
        <f>VENTAS[[#This Row],[Cantidad]]*VENTAS[[#This Row],[Precio Venta]]</f>
        <v>18</v>
      </c>
      <c r="J1149" s="12">
        <f>IF(VENTAS[[#This Row],[Nombre del Gestor]]&gt;1,VENTAS[[#This Row],[Total]]*10%,0)</f>
        <v>1.8</v>
      </c>
      <c r="K1149" s="12">
        <f>IFERROR(VLOOKUP(VENTAS[[#This Row],[Código del producto Vendido]],STOCK[],16,FALSE)*VENTAS[[#This Row],[Cantidad]]+VLOOKUP(VENTAS[[#This Row],[Código del producto Vendido]],STOCK[],19,FALSE)*VENTAS[[#This Row],[Cantidad]],VENTAS[[#This Row],[Total]])</f>
        <v>11</v>
      </c>
      <c r="L1149" s="12">
        <f>VENTAS[[#This Row],[Total]]-VENTAS[[#This Row],[Comisión 10%]]-VENTAS[[#This Row],[Costo SIN Comision]]</f>
        <v>5.1999999999999993</v>
      </c>
      <c r="M1149" s="12"/>
      <c r="N1149" s="16"/>
    </row>
    <row r="1150" spans="1:14" ht="20" hidden="1" customHeight="1">
      <c r="A1150" s="9">
        <v>45507</v>
      </c>
      <c r="B1150" s="10"/>
      <c r="C1150" s="10" t="s">
        <v>4318</v>
      </c>
      <c r="D1150" s="10"/>
      <c r="E1150" s="10" t="s">
        <v>1575</v>
      </c>
      <c r="F1150" s="10" t="str">
        <f>IFERROR(VLOOKUP(VENTAS[[#This Row],[Código del producto Vendido]],STOCK[],5,FALSE),"-")</f>
        <v>Sandalias de nudos</v>
      </c>
      <c r="G1150" s="10">
        <v>1</v>
      </c>
      <c r="H1150" s="12">
        <v>18</v>
      </c>
      <c r="I1150" s="12">
        <f>VENTAS[[#This Row],[Cantidad]]*VENTAS[[#This Row],[Precio Venta]]</f>
        <v>18</v>
      </c>
      <c r="J1150" s="12">
        <f>IF(VENTAS[[#This Row],[Nombre del Gestor]]&gt;1,VENTAS[[#This Row],[Total]]*10%,0)</f>
        <v>0</v>
      </c>
      <c r="K1150" s="12">
        <f>IFERROR(VLOOKUP(VENTAS[[#This Row],[Código del producto Vendido]],STOCK[],16,FALSE)*VENTAS[[#This Row],[Cantidad]]+VLOOKUP(VENTAS[[#This Row],[Código del producto Vendido]],STOCK[],19,FALSE)*VENTAS[[#This Row],[Cantidad]],VENTAS[[#This Row],[Total]])</f>
        <v>11</v>
      </c>
      <c r="L1150" s="12">
        <f>VENTAS[[#This Row],[Total]]-VENTAS[[#This Row],[Comisión 10%]]-VENTAS[[#This Row],[Costo SIN Comision]]</f>
        <v>7</v>
      </c>
      <c r="M1150" s="12"/>
      <c r="N1150" s="16"/>
    </row>
    <row r="1151" spans="1:14" ht="20" hidden="1" customHeight="1">
      <c r="A1151" s="9">
        <v>45507</v>
      </c>
      <c r="B1151" s="10"/>
      <c r="C1151" s="10" t="s">
        <v>4409</v>
      </c>
      <c r="D1151" s="10" t="s">
        <v>4408</v>
      </c>
      <c r="E1151" s="10" t="s">
        <v>1580</v>
      </c>
      <c r="F1151" s="10" t="str">
        <f>IFERROR(VLOOKUP(VENTAS[[#This Row],[Código del producto Vendido]],STOCK[],5,FALSE),"-")</f>
        <v xml:space="preserve">Sandalias Pop </v>
      </c>
      <c r="G1151" s="10">
        <v>1</v>
      </c>
      <c r="H1151" s="12">
        <v>50</v>
      </c>
      <c r="I1151" s="12">
        <f>VENTAS[[#This Row],[Cantidad]]*VENTAS[[#This Row],[Precio Venta]]</f>
        <v>50</v>
      </c>
      <c r="J1151" s="12">
        <f>IF(VENTAS[[#This Row],[Nombre del Gestor]]&gt;1,VENTAS[[#This Row],[Total]]*10%,0)</f>
        <v>5</v>
      </c>
      <c r="K1151" s="12">
        <f>IFERROR(VLOOKUP(VENTAS[[#This Row],[Código del producto Vendido]],STOCK[],16,FALSE)*VENTAS[[#This Row],[Cantidad]]+VLOOKUP(VENTAS[[#This Row],[Código del producto Vendido]],STOCK[],19,FALSE)*VENTAS[[#This Row],[Cantidad]],VENTAS[[#This Row],[Total]])</f>
        <v>28</v>
      </c>
      <c r="L1151" s="12">
        <f>VENTAS[[#This Row],[Total]]-VENTAS[[#This Row],[Comisión 10%]]-VENTAS[[#This Row],[Costo SIN Comision]]</f>
        <v>17</v>
      </c>
      <c r="M1151" s="12"/>
      <c r="N1151" s="16"/>
    </row>
    <row r="1152" spans="1:14" ht="20" hidden="1" customHeight="1">
      <c r="A1152" s="9">
        <v>45505</v>
      </c>
      <c r="B1152" s="10"/>
      <c r="C1152" s="10" t="s">
        <v>4410</v>
      </c>
      <c r="D1152" s="10" t="s">
        <v>4320</v>
      </c>
      <c r="E1152" s="10" t="s">
        <v>1580</v>
      </c>
      <c r="F1152" s="10" t="str">
        <f>IFERROR(VLOOKUP(VENTAS[[#This Row],[Código del producto Vendido]],STOCK[],5,FALSE),"-")</f>
        <v xml:space="preserve">Sandalias Pop </v>
      </c>
      <c r="G1152" s="10">
        <v>1</v>
      </c>
      <c r="H1152" s="12">
        <v>50</v>
      </c>
      <c r="I1152" s="12">
        <f>VENTAS[[#This Row],[Cantidad]]*VENTAS[[#This Row],[Precio Venta]]</f>
        <v>50</v>
      </c>
      <c r="J1152" s="12">
        <f>IF(VENTAS[[#This Row],[Nombre del Gestor]]&gt;1,VENTAS[[#This Row],[Total]]*10%,0)</f>
        <v>5</v>
      </c>
      <c r="K1152" s="12">
        <f>IFERROR(VLOOKUP(VENTAS[[#This Row],[Código del producto Vendido]],STOCK[],16,FALSE)*VENTAS[[#This Row],[Cantidad]]+VLOOKUP(VENTAS[[#This Row],[Código del producto Vendido]],STOCK[],19,FALSE)*VENTAS[[#This Row],[Cantidad]],VENTAS[[#This Row],[Total]])</f>
        <v>28</v>
      </c>
      <c r="L1152" s="12">
        <f>VENTAS[[#This Row],[Total]]-VENTAS[[#This Row],[Comisión 10%]]-VENTAS[[#This Row],[Costo SIN Comision]]</f>
        <v>17</v>
      </c>
      <c r="M1152" s="12"/>
      <c r="N1152" s="16"/>
    </row>
    <row r="1153" spans="1:14" ht="20" hidden="1" customHeight="1">
      <c r="A1153" s="9">
        <v>45505</v>
      </c>
      <c r="B1153" s="10"/>
      <c r="C1153" s="10" t="s">
        <v>4318</v>
      </c>
      <c r="D1153" s="10"/>
      <c r="E1153" s="10" t="s">
        <v>1582</v>
      </c>
      <c r="F1153" s="10" t="str">
        <f>IFERROR(VLOOKUP(VENTAS[[#This Row],[Código del producto Vendido]],STOCK[],5,FALSE),"-")</f>
        <v>Sandalias Pop</v>
      </c>
      <c r="G1153" s="10">
        <v>1</v>
      </c>
      <c r="H1153" s="12">
        <v>0</v>
      </c>
      <c r="I1153" s="12">
        <f>VENTAS[[#This Row],[Cantidad]]*VENTAS[[#This Row],[Precio Venta]]</f>
        <v>0</v>
      </c>
      <c r="J1153" s="12">
        <f>IF(VENTAS[[#This Row],[Nombre del Gestor]]&gt;1,VENTAS[[#This Row],[Total]]*10%,0)</f>
        <v>0</v>
      </c>
      <c r="K1153" s="12">
        <f>IFERROR(VLOOKUP(VENTAS[[#This Row],[Código del producto Vendido]],STOCK[],16,FALSE)*VENTAS[[#This Row],[Cantidad]]+VLOOKUP(VENTAS[[#This Row],[Código del producto Vendido]],STOCK[],19,FALSE)*VENTAS[[#This Row],[Cantidad]],VENTAS[[#This Row],[Total]])</f>
        <v>28</v>
      </c>
      <c r="L1153" s="12">
        <f>VENTAS[[#This Row],[Total]]-VENTAS[[#This Row],[Comisión 10%]]-VENTAS[[#This Row],[Costo SIN Comision]]</f>
        <v>-28</v>
      </c>
      <c r="M1153" s="12"/>
      <c r="N1153" s="16"/>
    </row>
    <row r="1154" spans="1:14" ht="20" hidden="1" customHeight="1">
      <c r="A1154" s="9">
        <v>45506</v>
      </c>
      <c r="B1154" s="10"/>
      <c r="C1154" s="10" t="s">
        <v>4411</v>
      </c>
      <c r="D1154" s="10" t="s">
        <v>4320</v>
      </c>
      <c r="E1154" s="10" t="s">
        <v>2468</v>
      </c>
      <c r="F1154" s="10" t="str">
        <f>IFERROR(VLOOKUP(VENTAS[[#This Row],[Código del producto Vendido]],STOCK[],5,FALSE),"-")</f>
        <v>Sandalias de plataforma en bloque de color</v>
      </c>
      <c r="G1154" s="10">
        <v>1</v>
      </c>
      <c r="H1154" s="12">
        <v>35</v>
      </c>
      <c r="I1154" s="12">
        <f>VENTAS[[#This Row],[Cantidad]]*VENTAS[[#This Row],[Precio Venta]]</f>
        <v>35</v>
      </c>
      <c r="J1154" s="12">
        <f>IF(VENTAS[[#This Row],[Nombre del Gestor]]&gt;1,VENTAS[[#This Row],[Total]]*10%,0)</f>
        <v>3.5</v>
      </c>
      <c r="K1154" s="12">
        <f>IFERROR(VLOOKUP(VENTAS[[#This Row],[Código del producto Vendido]],STOCK[],16,FALSE)*VENTAS[[#This Row],[Cantidad]]+VLOOKUP(VENTAS[[#This Row],[Código del producto Vendido]],STOCK[],19,FALSE)*VENTAS[[#This Row],[Cantidad]],VENTAS[[#This Row],[Total]])</f>
        <v>21.97</v>
      </c>
      <c r="L1154" s="12">
        <f>VENTAS[[#This Row],[Total]]-VENTAS[[#This Row],[Comisión 10%]]-VENTAS[[#This Row],[Costo SIN Comision]]</f>
        <v>9.5300000000000011</v>
      </c>
      <c r="M1154" s="12"/>
      <c r="N1154" s="16"/>
    </row>
    <row r="1155" spans="1:14" ht="20" hidden="1" customHeight="1">
      <c r="A1155" s="9">
        <v>45505</v>
      </c>
      <c r="B1155" s="10"/>
      <c r="C1155" s="10" t="s">
        <v>4412</v>
      </c>
      <c r="D1155" s="10" t="s">
        <v>4320</v>
      </c>
      <c r="E1155" s="10" t="s">
        <v>811</v>
      </c>
      <c r="F1155" s="10" t="str">
        <f>IFERROR(VLOOKUP(VENTAS[[#This Row],[Código del producto Vendido]],STOCK[],5,FALSE),"-")</f>
        <v>Vestido slip de espalda corrida</v>
      </c>
      <c r="G1155" s="10">
        <v>1</v>
      </c>
      <c r="H1155" s="12">
        <v>8</v>
      </c>
      <c r="I1155" s="12">
        <f>VENTAS[[#This Row],[Cantidad]]*VENTAS[[#This Row],[Precio Venta]]</f>
        <v>8</v>
      </c>
      <c r="J1155" s="12">
        <f>IF(VENTAS[[#This Row],[Nombre del Gestor]]&gt;1,VENTAS[[#This Row],[Total]]*10%,0)</f>
        <v>0.8</v>
      </c>
      <c r="K1155" s="12">
        <f>IFERROR(VLOOKUP(VENTAS[[#This Row],[Código del producto Vendido]],STOCK[],16,FALSE)*VENTAS[[#This Row],[Cantidad]]+VLOOKUP(VENTAS[[#This Row],[Código del producto Vendido]],STOCK[],19,FALSE)*VENTAS[[#This Row],[Cantidad]],VENTAS[[#This Row],[Total]])</f>
        <v>6.7777777777777803</v>
      </c>
      <c r="L1155" s="12">
        <f>VENTAS[[#This Row],[Total]]-VENTAS[[#This Row],[Comisión 10%]]-VENTAS[[#This Row],[Costo SIN Comision]]</f>
        <v>0.42222222222221983</v>
      </c>
      <c r="M1155" s="12"/>
      <c r="N1155" s="16"/>
    </row>
    <row r="1156" spans="1:14" ht="20" hidden="1" customHeight="1">
      <c r="A1156" s="9">
        <v>45505</v>
      </c>
      <c r="B1156" s="10"/>
      <c r="C1156" s="10" t="s">
        <v>4412</v>
      </c>
      <c r="D1156" s="10" t="s">
        <v>4320</v>
      </c>
      <c r="E1156" s="10" t="s">
        <v>648</v>
      </c>
      <c r="F1156" s="10" t="str">
        <f>IFERROR(VLOOKUP(VENTAS[[#This Row],[Código del producto Vendido]],STOCK[],5,FALSE),"-")</f>
        <v>Vestido con estampado jungla</v>
      </c>
      <c r="G1156" s="10">
        <v>1</v>
      </c>
      <c r="H1156" s="12">
        <v>13</v>
      </c>
      <c r="I1156" s="12">
        <f>VENTAS[[#This Row],[Cantidad]]*VENTAS[[#This Row],[Precio Venta]]</f>
        <v>13</v>
      </c>
      <c r="J1156" s="12">
        <f>IF(VENTAS[[#This Row],[Nombre del Gestor]]&gt;1,VENTAS[[#This Row],[Total]]*10%,0)</f>
        <v>1.3</v>
      </c>
      <c r="K1156" s="12">
        <f>IFERROR(VLOOKUP(VENTAS[[#This Row],[Código del producto Vendido]],STOCK[],16,FALSE)*VENTAS[[#This Row],[Cantidad]]+VLOOKUP(VENTAS[[#This Row],[Código del producto Vendido]],STOCK[],19,FALSE)*VENTAS[[#This Row],[Cantidad]],VENTAS[[#This Row],[Total]])</f>
        <v>10.72222222222222</v>
      </c>
      <c r="L1156" s="12">
        <f>VENTAS[[#This Row],[Total]]-VENTAS[[#This Row],[Comisión 10%]]-VENTAS[[#This Row],[Costo SIN Comision]]</f>
        <v>0.97777777777777963</v>
      </c>
      <c r="M1156" s="12"/>
      <c r="N1156" s="16"/>
    </row>
    <row r="1157" spans="1:14" ht="20" hidden="1" customHeight="1">
      <c r="A1157" s="9">
        <v>45514</v>
      </c>
      <c r="B1157" s="10"/>
      <c r="C1157" s="10" t="s">
        <v>4413</v>
      </c>
      <c r="D1157" s="10" t="s">
        <v>4320</v>
      </c>
      <c r="E1157" s="10" t="s">
        <v>1863</v>
      </c>
      <c r="F1157" s="10" t="str">
        <f>IFERROR(VLOOKUP(VENTAS[[#This Row],[Código del producto Vendido]],STOCK[],5,FALSE),"-")</f>
        <v>Bolso Baguette Negro</v>
      </c>
      <c r="G1157" s="10">
        <v>1</v>
      </c>
      <c r="H1157" s="12">
        <v>25</v>
      </c>
      <c r="I1157" s="12">
        <f>VENTAS[[#This Row],[Cantidad]]*VENTAS[[#This Row],[Precio Venta]]</f>
        <v>25</v>
      </c>
      <c r="J1157" s="12">
        <f>IF(VENTAS[[#This Row],[Nombre del Gestor]]&gt;1,VENTAS[[#This Row],[Total]]*10%,0)</f>
        <v>2.5</v>
      </c>
      <c r="K1157" s="12">
        <f>IFERROR(VLOOKUP(VENTAS[[#This Row],[Código del producto Vendido]],STOCK[],16,FALSE)*VENTAS[[#This Row],[Cantidad]]+VLOOKUP(VENTAS[[#This Row],[Código del producto Vendido]],STOCK[],19,FALSE)*VENTAS[[#This Row],[Cantidad]],VENTAS[[#This Row],[Total]])</f>
        <v>15.790000000000001</v>
      </c>
      <c r="L1157" s="12">
        <f>VENTAS[[#This Row],[Total]]-VENTAS[[#This Row],[Comisión 10%]]-VENTAS[[#This Row],[Costo SIN Comision]]</f>
        <v>6.7099999999999991</v>
      </c>
      <c r="M1157" s="12"/>
      <c r="N1157" s="16"/>
    </row>
    <row r="1158" spans="1:14" ht="20" hidden="1" customHeight="1">
      <c r="A1158" s="9">
        <v>45508</v>
      </c>
      <c r="B1158" s="10"/>
      <c r="C1158" s="10" t="s">
        <v>4406</v>
      </c>
      <c r="D1158" s="10"/>
      <c r="E1158" s="10" t="s">
        <v>2459</v>
      </c>
      <c r="F1158" s="10" t="str">
        <f>IFERROR(VLOOKUP(VENTAS[[#This Row],[Código del producto Vendido]],STOCK[],5,FALSE),"-")</f>
        <v>Sandalias prácticas Chunky Negras</v>
      </c>
      <c r="G1158" s="10">
        <v>1</v>
      </c>
      <c r="H1158" s="12">
        <v>35</v>
      </c>
      <c r="I1158" s="12">
        <f>VENTAS[[#This Row],[Cantidad]]*VENTAS[[#This Row],[Precio Venta]]</f>
        <v>35</v>
      </c>
      <c r="J1158" s="12">
        <f>IF(VENTAS[[#This Row],[Nombre del Gestor]]&gt;1,VENTAS[[#This Row],[Total]]*10%,0)</f>
        <v>0</v>
      </c>
      <c r="K1158" s="12">
        <f>IFERROR(VLOOKUP(VENTAS[[#This Row],[Código del producto Vendido]],STOCK[],16,FALSE)*VENTAS[[#This Row],[Cantidad]]+VLOOKUP(VENTAS[[#This Row],[Código del producto Vendido]],STOCK[],19,FALSE)*VENTAS[[#This Row],[Cantidad]],VENTAS[[#This Row],[Total]])</f>
        <v>21.97</v>
      </c>
      <c r="L1158" s="12">
        <f>VENTAS[[#This Row],[Total]]-VENTAS[[#This Row],[Comisión 10%]]-VENTAS[[#This Row],[Costo SIN Comision]]</f>
        <v>13.030000000000001</v>
      </c>
      <c r="M1158" s="12"/>
      <c r="N1158" s="16"/>
    </row>
    <row r="1159" spans="1:14" ht="20" hidden="1" customHeight="1">
      <c r="A1159" s="9">
        <v>45500</v>
      </c>
      <c r="B1159" s="10"/>
      <c r="C1159" s="10"/>
      <c r="D1159" s="10" t="s">
        <v>4374</v>
      </c>
      <c r="E1159" s="10" t="s">
        <v>2163</v>
      </c>
      <c r="F1159" s="10" t="str">
        <f>IFERROR(VLOOKUP(VENTAS[[#This Row],[Código del producto Vendido]],STOCK[],5,FALSE),"-")</f>
        <v xml:space="preserve">Bañador en color sólido sexy-elegante </v>
      </c>
      <c r="G1159" s="10">
        <v>1</v>
      </c>
      <c r="H1159" s="12">
        <v>20</v>
      </c>
      <c r="I1159" s="12">
        <f>VENTAS[[#This Row],[Cantidad]]*VENTAS[[#This Row],[Precio Venta]]</f>
        <v>20</v>
      </c>
      <c r="J1159" s="12">
        <f>IF(VENTAS[[#This Row],[Nombre del Gestor]]&gt;1,VENTAS[[#This Row],[Total]]*10%,0)</f>
        <v>2</v>
      </c>
      <c r="K1159" s="12">
        <f>IFERROR(VLOOKUP(VENTAS[[#This Row],[Código del producto Vendido]],STOCK[],16,FALSE)*VENTAS[[#This Row],[Cantidad]]+VLOOKUP(VENTAS[[#This Row],[Código del producto Vendido]],STOCK[],19,FALSE)*VENTAS[[#This Row],[Cantidad]],VENTAS[[#This Row],[Total]])</f>
        <v>8.24</v>
      </c>
      <c r="L1159" s="12">
        <f>VENTAS[[#This Row],[Total]]-VENTAS[[#This Row],[Comisión 10%]]-VENTAS[[#This Row],[Costo SIN Comision]]</f>
        <v>9.76</v>
      </c>
      <c r="M1159" s="12"/>
      <c r="N1159" s="16"/>
    </row>
    <row r="1160" spans="1:14" ht="20" hidden="1" customHeight="1">
      <c r="A1160" s="9">
        <v>45502</v>
      </c>
      <c r="B1160" s="10"/>
      <c r="C1160" s="10"/>
      <c r="D1160" s="10" t="s">
        <v>4374</v>
      </c>
      <c r="E1160" s="10" t="s">
        <v>2244</v>
      </c>
      <c r="F1160" s="10" t="str">
        <f>IFERROR(VLOOKUP(VENTAS[[#This Row],[Código del producto Vendido]],STOCK[],5,FALSE),"-")</f>
        <v>Set de traje de baño elegante 2 piezas con adorno en forma de V</v>
      </c>
      <c r="G1160" s="10">
        <v>1</v>
      </c>
      <c r="H1160" s="12">
        <v>25</v>
      </c>
      <c r="I1160" s="12">
        <f>VENTAS[[#This Row],[Cantidad]]*VENTAS[[#This Row],[Precio Venta]]</f>
        <v>25</v>
      </c>
      <c r="J1160" s="12">
        <f>IF(VENTAS[[#This Row],[Nombre del Gestor]]&gt;1,VENTAS[[#This Row],[Total]]*10%,0)</f>
        <v>2.5</v>
      </c>
      <c r="K1160" s="12">
        <f>IFERROR(VLOOKUP(VENTAS[[#This Row],[Código del producto Vendido]],STOCK[],16,FALSE)*VENTAS[[#This Row],[Cantidad]]+VLOOKUP(VENTAS[[#This Row],[Código del producto Vendido]],STOCK[],19,FALSE)*VENTAS[[#This Row],[Cantidad]],VENTAS[[#This Row],[Total]])</f>
        <v>10.79</v>
      </c>
      <c r="L1160" s="12">
        <f>VENTAS[[#This Row],[Total]]-VENTAS[[#This Row],[Comisión 10%]]-VENTAS[[#This Row],[Costo SIN Comision]]</f>
        <v>11.71</v>
      </c>
      <c r="M1160" s="12"/>
      <c r="N1160" s="16"/>
    </row>
    <row r="1161" spans="1:14" ht="20" hidden="1" customHeight="1">
      <c r="A1161" s="9">
        <v>45503</v>
      </c>
      <c r="B1161" s="10"/>
      <c r="C1161" s="10"/>
      <c r="D1161" s="10" t="s">
        <v>4374</v>
      </c>
      <c r="E1161" s="10" t="s">
        <v>2244</v>
      </c>
      <c r="F1161" s="10" t="str">
        <f>IFERROR(VLOOKUP(VENTAS[[#This Row],[Código del producto Vendido]],STOCK[],5,FALSE),"-")</f>
        <v>Set de traje de baño elegante 2 piezas con adorno en forma de V</v>
      </c>
      <c r="G1161" s="10">
        <v>1</v>
      </c>
      <c r="H1161" s="12">
        <v>25</v>
      </c>
      <c r="I1161" s="12">
        <f>VENTAS[[#This Row],[Cantidad]]*VENTAS[[#This Row],[Precio Venta]]</f>
        <v>25</v>
      </c>
      <c r="J1161" s="12">
        <f>IF(VENTAS[[#This Row],[Nombre del Gestor]]&gt;1,VENTAS[[#This Row],[Total]]*10%,0)</f>
        <v>2.5</v>
      </c>
      <c r="K1161" s="12">
        <f>IFERROR(VLOOKUP(VENTAS[[#This Row],[Código del producto Vendido]],STOCK[],16,FALSE)*VENTAS[[#This Row],[Cantidad]]+VLOOKUP(VENTAS[[#This Row],[Código del producto Vendido]],STOCK[],19,FALSE)*VENTAS[[#This Row],[Cantidad]],VENTAS[[#This Row],[Total]])</f>
        <v>10.79</v>
      </c>
      <c r="L1161" s="12">
        <f>VENTAS[[#This Row],[Total]]-VENTAS[[#This Row],[Comisión 10%]]-VENTAS[[#This Row],[Costo SIN Comision]]</f>
        <v>11.71</v>
      </c>
      <c r="M1161" s="12"/>
      <c r="N1161" s="16"/>
    </row>
    <row r="1162" spans="1:14" ht="20" hidden="1" customHeight="1">
      <c r="A1162" s="9">
        <v>45507</v>
      </c>
      <c r="B1162" s="10"/>
      <c r="C1162" s="10"/>
      <c r="D1162" s="10" t="s">
        <v>4374</v>
      </c>
      <c r="E1162" s="10" t="s">
        <v>1910</v>
      </c>
      <c r="F1162" s="10" t="str">
        <f>IFERROR(VLOOKUP(VENTAS[[#This Row],[Código del producto Vendido]],STOCK[],5,FALSE),"-")</f>
        <v>Gafas de Sol Retro Blanco</v>
      </c>
      <c r="G1162" s="10">
        <v>1</v>
      </c>
      <c r="H1162" s="12">
        <v>8</v>
      </c>
      <c r="I1162" s="12">
        <f>VENTAS[[#This Row],[Cantidad]]*VENTAS[[#This Row],[Precio Venta]]</f>
        <v>8</v>
      </c>
      <c r="J1162" s="12">
        <f>IF(VENTAS[[#This Row],[Nombre del Gestor]]&gt;1,VENTAS[[#This Row],[Total]]*10%,0)</f>
        <v>0.8</v>
      </c>
      <c r="K1162" s="12">
        <f>IFERROR(VLOOKUP(VENTAS[[#This Row],[Código del producto Vendido]],STOCK[],16,FALSE)*VENTAS[[#This Row],[Cantidad]]+VLOOKUP(VENTAS[[#This Row],[Código del producto Vendido]],STOCK[],19,FALSE)*VENTAS[[#This Row],[Cantidad]],VENTAS[[#This Row],[Total]])</f>
        <v>4.45</v>
      </c>
      <c r="L1162" s="12">
        <f>VENTAS[[#This Row],[Total]]-VENTAS[[#This Row],[Comisión 10%]]-VENTAS[[#This Row],[Costo SIN Comision]]</f>
        <v>2.75</v>
      </c>
      <c r="M1162" s="12"/>
      <c r="N1162" s="16"/>
    </row>
    <row r="1163" spans="1:14" ht="20" hidden="1" customHeight="1">
      <c r="A1163" s="9">
        <v>45507</v>
      </c>
      <c r="B1163" s="10"/>
      <c r="C1163" s="10"/>
      <c r="D1163" s="10" t="s">
        <v>4374</v>
      </c>
      <c r="E1163" s="10" t="s">
        <v>809</v>
      </c>
      <c r="F1163" s="10" t="str">
        <f>IFERROR(VLOOKUP(VENTAS[[#This Row],[Código del producto Vendido]],STOCK[],5,FALSE),"-")</f>
        <v>Bañador estampado en contraste</v>
      </c>
      <c r="G1163" s="10">
        <v>1</v>
      </c>
      <c r="H1163" s="12">
        <v>12</v>
      </c>
      <c r="I1163" s="12">
        <f>VENTAS[[#This Row],[Cantidad]]*VENTAS[[#This Row],[Precio Venta]]</f>
        <v>12</v>
      </c>
      <c r="J1163" s="12">
        <f>IF(VENTAS[[#This Row],[Nombre del Gestor]]&gt;1,VENTAS[[#This Row],[Total]]*10%,0)</f>
        <v>1.2000000000000002</v>
      </c>
      <c r="K1163" s="12">
        <f>IFERROR(VLOOKUP(VENTAS[[#This Row],[Código del producto Vendido]],STOCK[],16,FALSE)*VENTAS[[#This Row],[Cantidad]]+VLOOKUP(VENTAS[[#This Row],[Código del producto Vendido]],STOCK[],19,FALSE)*VENTAS[[#This Row],[Cantidad]],VENTAS[[#This Row],[Total]])</f>
        <v>7.8333333333333304</v>
      </c>
      <c r="L1163" s="12">
        <f>VENTAS[[#This Row],[Total]]-VENTAS[[#This Row],[Comisión 10%]]-VENTAS[[#This Row],[Costo SIN Comision]]</f>
        <v>2.9666666666666703</v>
      </c>
      <c r="M1163" s="12"/>
      <c r="N1163" s="16"/>
    </row>
    <row r="1164" spans="1:14" ht="20" hidden="1" customHeight="1">
      <c r="A1164" s="9">
        <v>45507</v>
      </c>
      <c r="B1164" s="10"/>
      <c r="C1164" s="10"/>
      <c r="D1164" s="10" t="s">
        <v>4374</v>
      </c>
      <c r="E1164" s="10" t="s">
        <v>2203</v>
      </c>
      <c r="F1164" s="10" t="str">
        <f>IFERROR(VLOOKUP(VENTAS[[#This Row],[Código del producto Vendido]],STOCK[],5,FALSE),"-")</f>
        <v>Vestido Boho de cuello healter</v>
      </c>
      <c r="G1164" s="10">
        <v>1</v>
      </c>
      <c r="H1164" s="12">
        <v>25</v>
      </c>
      <c r="I1164" s="12">
        <f>VENTAS[[#This Row],[Cantidad]]*VENTAS[[#This Row],[Precio Venta]]</f>
        <v>25</v>
      </c>
      <c r="J1164" s="12">
        <f>IF(VENTAS[[#This Row],[Nombre del Gestor]]&gt;1,VENTAS[[#This Row],[Total]]*10%,0)</f>
        <v>2.5</v>
      </c>
      <c r="K1164" s="12">
        <f>IFERROR(VLOOKUP(VENTAS[[#This Row],[Código del producto Vendido]],STOCK[],16,FALSE)*VENTAS[[#This Row],[Cantidad]]+VLOOKUP(VENTAS[[#This Row],[Código del producto Vendido]],STOCK[],19,FALSE)*VENTAS[[#This Row],[Cantidad]],VENTAS[[#This Row],[Total]])</f>
        <v>14.99</v>
      </c>
      <c r="L1164" s="12">
        <f>VENTAS[[#This Row],[Total]]-VENTAS[[#This Row],[Comisión 10%]]-VENTAS[[#This Row],[Costo SIN Comision]]</f>
        <v>7.51</v>
      </c>
      <c r="M1164" s="12"/>
      <c r="N1164" s="16"/>
    </row>
    <row r="1165" spans="1:14" ht="20" hidden="1" customHeight="1">
      <c r="A1165" s="9">
        <v>45502</v>
      </c>
      <c r="B1165" s="10"/>
      <c r="C1165" s="10"/>
      <c r="D1165" s="10" t="s">
        <v>4374</v>
      </c>
      <c r="E1165" s="10" t="s">
        <v>411</v>
      </c>
      <c r="F1165" s="10" t="str">
        <f>IFERROR(VLOOKUP(VENTAS[[#This Row],[Código del producto Vendido]],STOCK[],5,FALSE),"-")</f>
        <v>Bikini Floral</v>
      </c>
      <c r="G1165" s="10">
        <v>1</v>
      </c>
      <c r="H1165" s="12">
        <v>25</v>
      </c>
      <c r="I1165" s="12">
        <f>VENTAS[[#This Row],[Cantidad]]*VENTAS[[#This Row],[Precio Venta]]</f>
        <v>25</v>
      </c>
      <c r="J1165" s="12">
        <f>IF(VENTAS[[#This Row],[Nombre del Gestor]]&gt;1,VENTAS[[#This Row],[Total]]*10%,0)</f>
        <v>2.5</v>
      </c>
      <c r="K1165" s="12">
        <f>IFERROR(VLOOKUP(VENTAS[[#This Row],[Código del producto Vendido]],STOCK[],16,FALSE)*VENTAS[[#This Row],[Cantidad]]+VLOOKUP(VENTAS[[#This Row],[Código del producto Vendido]],STOCK[],19,FALSE)*VENTAS[[#This Row],[Cantidad]],VENTAS[[#This Row],[Total]])</f>
        <v>13.9444444444444</v>
      </c>
      <c r="L1165" s="12">
        <f>VENTAS[[#This Row],[Total]]-VENTAS[[#This Row],[Comisión 10%]]-VENTAS[[#This Row],[Costo SIN Comision]]</f>
        <v>8.5555555555555998</v>
      </c>
      <c r="M1165" s="12"/>
      <c r="N1165" s="16"/>
    </row>
    <row r="1166" spans="1:14" ht="20" hidden="1" customHeight="1">
      <c r="A1166" s="9">
        <v>45504</v>
      </c>
      <c r="B1166" s="10"/>
      <c r="C1166" s="10"/>
      <c r="D1166" s="10" t="s">
        <v>4349</v>
      </c>
      <c r="E1166" s="10" t="s">
        <v>2398</v>
      </c>
      <c r="F1166" s="10" t="str">
        <f>IFERROR(VLOOKUP(VENTAS[[#This Row],[Código del producto Vendido]],STOCK[],5,FALSE),"-")</f>
        <v>Sandalias de tiras con tacón cuadrado</v>
      </c>
      <c r="G1166" s="10">
        <v>1</v>
      </c>
      <c r="H1166" s="12">
        <v>35</v>
      </c>
      <c r="I1166" s="12">
        <f>VENTAS[[#This Row],[Cantidad]]*VENTAS[[#This Row],[Precio Venta]]</f>
        <v>35</v>
      </c>
      <c r="J1166" s="12">
        <f>IF(VENTAS[[#This Row],[Nombre del Gestor]]&gt;1,VENTAS[[#This Row],[Total]]*10%,0)</f>
        <v>3.5</v>
      </c>
      <c r="K1166" s="12">
        <f>IFERROR(VLOOKUP(VENTAS[[#This Row],[Código del producto Vendido]],STOCK[],16,FALSE)*VENTAS[[#This Row],[Cantidad]]+VLOOKUP(VENTAS[[#This Row],[Código del producto Vendido]],STOCK[],19,FALSE)*VENTAS[[#This Row],[Cantidad]],VENTAS[[#This Row],[Total]])</f>
        <v>17.252021151586401</v>
      </c>
      <c r="L1166" s="12">
        <f>VENTAS[[#This Row],[Total]]-VENTAS[[#This Row],[Comisión 10%]]-VENTAS[[#This Row],[Costo SIN Comision]]</f>
        <v>14.247978848413599</v>
      </c>
      <c r="M1166" s="12"/>
      <c r="N1166" s="16"/>
    </row>
    <row r="1167" spans="1:14" ht="20" hidden="1" customHeight="1">
      <c r="A1167" s="9">
        <v>45504</v>
      </c>
      <c r="B1167" s="10"/>
      <c r="C1167" s="10"/>
      <c r="D1167" s="10" t="s">
        <v>4380</v>
      </c>
      <c r="E1167" s="10" t="s">
        <v>2476</v>
      </c>
      <c r="F1167" s="10" t="str">
        <f>IFERROR(VLOOKUP(VENTAS[[#This Row],[Código del producto Vendido]],STOCK[],5,FALSE),"-")</f>
        <v>Sandalias espadriles nude</v>
      </c>
      <c r="G1167" s="10">
        <v>1</v>
      </c>
      <c r="H1167" s="12">
        <v>45</v>
      </c>
      <c r="I1167" s="12">
        <f>VENTAS[[#This Row],[Cantidad]]*VENTAS[[#This Row],[Precio Venta]]</f>
        <v>45</v>
      </c>
      <c r="J1167" s="12">
        <f>IF(VENTAS[[#This Row],[Nombre del Gestor]]&gt;1,VENTAS[[#This Row],[Total]]*10%,0)</f>
        <v>4.5</v>
      </c>
      <c r="K1167" s="12">
        <f>IFERROR(VLOOKUP(VENTAS[[#This Row],[Código del producto Vendido]],STOCK[],16,FALSE)*VENTAS[[#This Row],[Cantidad]]+VLOOKUP(VENTAS[[#This Row],[Código del producto Vendido]],STOCK[],19,FALSE)*VENTAS[[#This Row],[Cantidad]],VENTAS[[#This Row],[Total]])</f>
        <v>31.951699999999999</v>
      </c>
      <c r="L1167" s="12">
        <f>VENTAS[[#This Row],[Total]]-VENTAS[[#This Row],[Comisión 10%]]-VENTAS[[#This Row],[Costo SIN Comision]]</f>
        <v>8.5483000000000011</v>
      </c>
      <c r="M1167" s="12"/>
      <c r="N1167" s="16"/>
    </row>
    <row r="1168" spans="1:14" ht="20" hidden="1" customHeight="1">
      <c r="A1168" s="9">
        <v>45507</v>
      </c>
      <c r="B1168" s="10"/>
      <c r="C1168" s="10"/>
      <c r="D1168" s="10" t="s">
        <v>4392</v>
      </c>
      <c r="E1168" s="10" t="s">
        <v>2458</v>
      </c>
      <c r="F1168" s="10" t="str">
        <f>IFERROR(VLOOKUP(VENTAS[[#This Row],[Código del producto Vendido]],STOCK[],5,FALSE),"-")</f>
        <v>Sandalias prácticas Chunky Negras</v>
      </c>
      <c r="G1168" s="10">
        <v>1</v>
      </c>
      <c r="H1168" s="12">
        <v>35</v>
      </c>
      <c r="I1168" s="12">
        <f>VENTAS[[#This Row],[Cantidad]]*VENTAS[[#This Row],[Precio Venta]]</f>
        <v>35</v>
      </c>
      <c r="J1168" s="12">
        <f>IF(VENTAS[[#This Row],[Nombre del Gestor]]&gt;1,VENTAS[[#This Row],[Total]]*10%,0)</f>
        <v>3.5</v>
      </c>
      <c r="K1168" s="12">
        <f>IFERROR(VLOOKUP(VENTAS[[#This Row],[Código del producto Vendido]],STOCK[],16,FALSE)*VENTAS[[#This Row],[Cantidad]]+VLOOKUP(VENTAS[[#This Row],[Código del producto Vendido]],STOCK[],19,FALSE)*VENTAS[[#This Row],[Cantidad]],VENTAS[[#This Row],[Total]])</f>
        <v>21.97</v>
      </c>
      <c r="L1168" s="12">
        <f>VENTAS[[#This Row],[Total]]-VENTAS[[#This Row],[Comisión 10%]]-VENTAS[[#This Row],[Costo SIN Comision]]</f>
        <v>9.5300000000000011</v>
      </c>
      <c r="M1168" s="12"/>
      <c r="N1168" s="16"/>
    </row>
    <row r="1169" spans="1:14" ht="20" hidden="1" customHeight="1">
      <c r="A1169" s="9">
        <v>45500</v>
      </c>
      <c r="B1169" s="10"/>
      <c r="C1169" s="10"/>
      <c r="D1169" s="10" t="s">
        <v>4330</v>
      </c>
      <c r="E1169" s="10" t="s">
        <v>597</v>
      </c>
      <c r="F1169" s="10" t="str">
        <f>IFERROR(VLOOKUP(VENTAS[[#This Row],[Código del producto Vendido]],STOCK[],5,FALSE),"-")</f>
        <v>Top cruzado naranja</v>
      </c>
      <c r="G1169" s="10">
        <v>1</v>
      </c>
      <c r="H1169" s="12">
        <v>8</v>
      </c>
      <c r="I1169" s="12">
        <f>VENTAS[[#This Row],[Cantidad]]*VENTAS[[#This Row],[Precio Venta]]</f>
        <v>8</v>
      </c>
      <c r="J1169" s="12">
        <f>IF(VENTAS[[#This Row],[Nombre del Gestor]]&gt;1,VENTAS[[#This Row],[Total]]*10%,0)</f>
        <v>0.8</v>
      </c>
      <c r="K1169" s="12">
        <f>IFERROR(VLOOKUP(VENTAS[[#This Row],[Código del producto Vendido]],STOCK[],16,FALSE)*VENTAS[[#This Row],[Cantidad]]+VLOOKUP(VENTAS[[#This Row],[Código del producto Vendido]],STOCK[],19,FALSE)*VENTAS[[#This Row],[Cantidad]],VENTAS[[#This Row],[Total]])</f>
        <v>5.0683333333333307</v>
      </c>
      <c r="L1169" s="12">
        <f>VENTAS[[#This Row],[Total]]-VENTAS[[#This Row],[Comisión 10%]]-VENTAS[[#This Row],[Costo SIN Comision]]</f>
        <v>2.1316666666666695</v>
      </c>
      <c r="M1169" s="12"/>
      <c r="N1169" s="16"/>
    </row>
    <row r="1170" spans="1:14" ht="20" hidden="1" customHeight="1">
      <c r="A1170" s="9">
        <v>45500</v>
      </c>
      <c r="B1170" s="10"/>
      <c r="C1170" s="10"/>
      <c r="D1170" s="10" t="s">
        <v>4330</v>
      </c>
      <c r="E1170" s="10" t="s">
        <v>664</v>
      </c>
      <c r="F1170" s="10" t="str">
        <f>IFERROR(VLOOKUP(VENTAS[[#This Row],[Código del producto Vendido]],STOCK[],5,FALSE),"-")</f>
        <v>Top Cruzado negro</v>
      </c>
      <c r="G1170" s="10">
        <v>1</v>
      </c>
      <c r="H1170" s="12">
        <v>8</v>
      </c>
      <c r="I1170" s="12">
        <f>VENTAS[[#This Row],[Cantidad]]*VENTAS[[#This Row],[Precio Venta]]</f>
        <v>8</v>
      </c>
      <c r="J1170" s="12">
        <f>IF(VENTAS[[#This Row],[Nombre del Gestor]]&gt;1,VENTAS[[#This Row],[Total]]*10%,0)</f>
        <v>0.8</v>
      </c>
      <c r="K1170" s="12">
        <f>IFERROR(VLOOKUP(VENTAS[[#This Row],[Código del producto Vendido]],STOCK[],16,FALSE)*VENTAS[[#This Row],[Cantidad]]+VLOOKUP(VENTAS[[#This Row],[Código del producto Vendido]],STOCK[],19,FALSE)*VENTAS[[#This Row],[Cantidad]],VENTAS[[#This Row],[Total]])</f>
        <v>4.9016666666666699</v>
      </c>
      <c r="L1170" s="12">
        <f>VENTAS[[#This Row],[Total]]-VENTAS[[#This Row],[Comisión 10%]]-VENTAS[[#This Row],[Costo SIN Comision]]</f>
        <v>2.2983333333333302</v>
      </c>
      <c r="M1170" s="12"/>
      <c r="N1170" s="16"/>
    </row>
    <row r="1171" spans="1:14" ht="20" hidden="1" customHeight="1">
      <c r="A1171" s="9">
        <v>45511</v>
      </c>
      <c r="B1171" s="10"/>
      <c r="C1171" s="10" t="s">
        <v>4414</v>
      </c>
      <c r="D1171" s="10"/>
      <c r="E1171" s="10" t="s">
        <v>2467</v>
      </c>
      <c r="F1171" s="10" t="str">
        <f>IFERROR(VLOOKUP(VENTAS[[#This Row],[Código del producto Vendido]],STOCK[],5,FALSE),"-")</f>
        <v>Sandalias de plataforma en bloque de color</v>
      </c>
      <c r="G1171" s="10">
        <v>1</v>
      </c>
      <c r="H1171" s="12">
        <v>0</v>
      </c>
      <c r="I1171" s="12">
        <f>VENTAS[[#This Row],[Cantidad]]*VENTAS[[#This Row],[Precio Venta]]</f>
        <v>0</v>
      </c>
      <c r="J1171" s="12">
        <f>IF(VENTAS[[#This Row],[Nombre del Gestor]]&gt;1,VENTAS[[#This Row],[Total]]*10%,0)</f>
        <v>0</v>
      </c>
      <c r="K1171" s="12">
        <f>IFERROR(VLOOKUP(VENTAS[[#This Row],[Código del producto Vendido]],STOCK[],16,FALSE)*VENTAS[[#This Row],[Cantidad]]+VLOOKUP(VENTAS[[#This Row],[Código del producto Vendido]],STOCK[],19,FALSE)*VENTAS[[#This Row],[Cantidad]],VENTAS[[#This Row],[Total]])</f>
        <v>21.97</v>
      </c>
      <c r="L1171" s="12">
        <f>VENTAS[[#This Row],[Total]]-VENTAS[[#This Row],[Comisión 10%]]-VENTAS[[#This Row],[Costo SIN Comision]]</f>
        <v>-21.97</v>
      </c>
      <c r="M1171" s="12"/>
      <c r="N1171" s="16"/>
    </row>
    <row r="1172" spans="1:14" ht="20" hidden="1" customHeight="1">
      <c r="A1172" s="9">
        <v>45446</v>
      </c>
      <c r="B1172" s="10"/>
      <c r="C1172" s="10"/>
      <c r="D1172" s="10"/>
      <c r="E1172" s="10" t="s">
        <v>1826</v>
      </c>
      <c r="F1172" s="10" t="str">
        <f>IFERROR(VLOOKUP(VENTAS[[#This Row],[Código del producto Vendido]],STOCK[],5,FALSE),"-")</f>
        <v>Vestido Midi Elegante</v>
      </c>
      <c r="G1172" s="10">
        <v>1</v>
      </c>
      <c r="H1172" s="12">
        <v>22</v>
      </c>
      <c r="I1172" s="12">
        <f>VENTAS[[#This Row],[Cantidad]]*VENTAS[[#This Row],[Precio Venta]]</f>
        <v>22</v>
      </c>
      <c r="J1172" s="12">
        <f>IF(VENTAS[[#This Row],[Nombre del Gestor]]&gt;1,VENTAS[[#This Row],[Total]]*10%,0)</f>
        <v>0</v>
      </c>
      <c r="K1172" s="12">
        <f>IFERROR(VLOOKUP(VENTAS[[#This Row],[Código del producto Vendido]],STOCK[],16,FALSE)*VENTAS[[#This Row],[Cantidad]]+VLOOKUP(VENTAS[[#This Row],[Código del producto Vendido]],STOCK[],19,FALSE)*VENTAS[[#This Row],[Cantidad]],VENTAS[[#This Row],[Total]])</f>
        <v>10.790000000000001</v>
      </c>
      <c r="L1172" s="12">
        <f>VENTAS[[#This Row],[Total]]-VENTAS[[#This Row],[Comisión 10%]]-VENTAS[[#This Row],[Costo SIN Comision]]</f>
        <v>11.209999999999999</v>
      </c>
      <c r="M1172" s="12"/>
      <c r="N1172" s="16"/>
    </row>
    <row r="1173" spans="1:14" ht="20" hidden="1" customHeight="1">
      <c r="A1173" s="9">
        <v>45491</v>
      </c>
      <c r="B1173" s="10"/>
      <c r="C1173" s="10"/>
      <c r="D1173" s="10" t="s">
        <v>4349</v>
      </c>
      <c r="E1173" s="10" t="s">
        <v>1844</v>
      </c>
      <c r="F1173" s="10" t="str">
        <f>IFERROR(VLOOKUP(VENTAS[[#This Row],[Código del producto Vendido]],STOCK[],5,FALSE),"-")</f>
        <v xml:space="preserve">Maxi Vestido Bodycon </v>
      </c>
      <c r="G1173" s="10">
        <v>1</v>
      </c>
      <c r="H1173" s="12">
        <v>13</v>
      </c>
      <c r="I1173" s="12">
        <f>VENTAS[[#This Row],[Cantidad]]*VENTAS[[#This Row],[Precio Venta]]</f>
        <v>13</v>
      </c>
      <c r="J1173" s="12">
        <f>IF(VENTAS[[#This Row],[Nombre del Gestor]]&gt;1,VENTAS[[#This Row],[Total]]*10%,0)</f>
        <v>1.3</v>
      </c>
      <c r="K1173" s="12">
        <f>IFERROR(VLOOKUP(VENTAS[[#This Row],[Código del producto Vendido]],STOCK[],16,FALSE)*VENTAS[[#This Row],[Cantidad]]+VLOOKUP(VENTAS[[#This Row],[Código del producto Vendido]],STOCK[],19,FALSE)*VENTAS[[#This Row],[Cantidad]],VENTAS[[#This Row],[Total]])</f>
        <v>11.790000000000001</v>
      </c>
      <c r="L1173" s="12">
        <f>VENTAS[[#This Row],[Total]]-VENTAS[[#This Row],[Comisión 10%]]-VENTAS[[#This Row],[Costo SIN Comision]]</f>
        <v>-9.0000000000001634E-2</v>
      </c>
      <c r="M1173" s="12"/>
      <c r="N1173" s="16"/>
    </row>
    <row r="1174" spans="1:14" ht="20" hidden="1" customHeight="1">
      <c r="A1174" s="9">
        <v>45491</v>
      </c>
      <c r="B1174" s="10"/>
      <c r="C1174" s="10"/>
      <c r="D1174" s="10" t="s">
        <v>4374</v>
      </c>
      <c r="E1174" s="10" t="s">
        <v>2133</v>
      </c>
      <c r="F1174" s="10" t="str">
        <f>IFERROR(VLOOKUP(VENTAS[[#This Row],[Código del producto Vendido]],STOCK[],5,FALSE),"-")</f>
        <v xml:space="preserve">Set Chic de conjunto de 2 piezas </v>
      </c>
      <c r="G1174" s="10">
        <v>1</v>
      </c>
      <c r="H1174" s="12">
        <v>25</v>
      </c>
      <c r="I1174" s="12">
        <f>VENTAS[[#This Row],[Cantidad]]*VENTAS[[#This Row],[Precio Venta]]</f>
        <v>25</v>
      </c>
      <c r="J1174" s="12">
        <f>IF(VENTAS[[#This Row],[Nombre del Gestor]]&gt;1,VENTAS[[#This Row],[Total]]*10%,0)</f>
        <v>2.5</v>
      </c>
      <c r="K1174" s="12">
        <f>IFERROR(VLOOKUP(VENTAS[[#This Row],[Código del producto Vendido]],STOCK[],16,FALSE)*VENTAS[[#This Row],[Cantidad]]+VLOOKUP(VENTAS[[#This Row],[Código del producto Vendido]],STOCK[],19,FALSE)*VENTAS[[#This Row],[Cantidad]],VENTAS[[#This Row],[Total]])</f>
        <v>11.79</v>
      </c>
      <c r="L1174" s="12">
        <f>VENTAS[[#This Row],[Total]]-VENTAS[[#This Row],[Comisión 10%]]-VENTAS[[#This Row],[Costo SIN Comision]]</f>
        <v>10.71</v>
      </c>
      <c r="M1174" s="12"/>
      <c r="N1174" s="16"/>
    </row>
    <row r="1175" spans="1:14" ht="20" hidden="1" customHeight="1">
      <c r="A1175" s="9">
        <v>45491</v>
      </c>
      <c r="B1175" s="10"/>
      <c r="C1175" s="10"/>
      <c r="D1175" s="10" t="s">
        <v>4374</v>
      </c>
      <c r="E1175" s="10" t="s">
        <v>2431</v>
      </c>
      <c r="F1175" s="10" t="str">
        <f>IFERROR(VLOOKUP(VENTAS[[#This Row],[Código del producto Vendido]],STOCK[],5,FALSE),"-")</f>
        <v>Pantalón ancho con cordón ajustable</v>
      </c>
      <c r="G1175" s="10">
        <v>1</v>
      </c>
      <c r="H1175" s="12">
        <v>23</v>
      </c>
      <c r="I1175" s="12">
        <f>VENTAS[[#This Row],[Cantidad]]*VENTAS[[#This Row],[Precio Venta]]</f>
        <v>23</v>
      </c>
      <c r="J1175" s="12">
        <f>IF(VENTAS[[#This Row],[Nombre del Gestor]]&gt;1,VENTAS[[#This Row],[Total]]*10%,0)</f>
        <v>2.3000000000000003</v>
      </c>
      <c r="K1175" s="12">
        <f>IFERROR(VLOOKUP(VENTAS[[#This Row],[Código del producto Vendido]],STOCK[],16,FALSE)*VENTAS[[#This Row],[Cantidad]]+VLOOKUP(VENTAS[[#This Row],[Código del producto Vendido]],STOCK[],19,FALSE)*VENTAS[[#This Row],[Cantidad]],VENTAS[[#This Row],[Total]])</f>
        <v>11.43533490011751</v>
      </c>
      <c r="L1175" s="12">
        <f>VENTAS[[#This Row],[Total]]-VENTAS[[#This Row],[Comisión 10%]]-VENTAS[[#This Row],[Costo SIN Comision]]</f>
        <v>9.2646650998824889</v>
      </c>
      <c r="M1175" s="12"/>
      <c r="N1175" s="16"/>
    </row>
    <row r="1176" spans="1:14" ht="20" hidden="1" customHeight="1">
      <c r="A1176" s="9">
        <v>45491</v>
      </c>
      <c r="B1176" s="10"/>
      <c r="C1176" s="10"/>
      <c r="D1176" s="10" t="s">
        <v>4374</v>
      </c>
      <c r="E1176" s="10" t="s">
        <v>587</v>
      </c>
      <c r="F1176" s="10" t="str">
        <f>IFERROR(VLOOKUP(VENTAS[[#This Row],[Código del producto Vendido]],STOCK[],5,FALSE),"-")</f>
        <v>Top cruzado blanco</v>
      </c>
      <c r="G1176" s="10">
        <v>2</v>
      </c>
      <c r="H1176" s="12">
        <v>8</v>
      </c>
      <c r="I1176" s="12">
        <f>VENTAS[[#This Row],[Cantidad]]*VENTAS[[#This Row],[Precio Venta]]</f>
        <v>16</v>
      </c>
      <c r="J1176" s="12">
        <f>IF(VENTAS[[#This Row],[Nombre del Gestor]]&gt;1,VENTAS[[#This Row],[Total]]*10%,0)</f>
        <v>1.6</v>
      </c>
      <c r="K1176" s="12">
        <f>IFERROR(VLOOKUP(VENTAS[[#This Row],[Código del producto Vendido]],STOCK[],16,FALSE)*VENTAS[[#This Row],[Cantidad]]+VLOOKUP(VENTAS[[#This Row],[Código del producto Vendido]],STOCK[],19,FALSE)*VENTAS[[#This Row],[Cantidad]],VENTAS[[#This Row],[Total]])</f>
        <v>10.386666666666661</v>
      </c>
      <c r="L1176" s="12">
        <f>VENTAS[[#This Row],[Total]]-VENTAS[[#This Row],[Comisión 10%]]-VENTAS[[#This Row],[Costo SIN Comision]]</f>
        <v>4.013333333333339</v>
      </c>
      <c r="M1176" s="12"/>
      <c r="N1176" s="16"/>
    </row>
    <row r="1177" spans="1:14" ht="20" hidden="1" customHeight="1">
      <c r="A1177" s="9">
        <v>45491</v>
      </c>
      <c r="B1177" s="10"/>
      <c r="C1177" s="10"/>
      <c r="D1177" s="10" t="s">
        <v>4374</v>
      </c>
      <c r="E1177" s="10" t="s">
        <v>679</v>
      </c>
      <c r="F1177" s="10" t="str">
        <f>IFERROR(VLOOKUP(VENTAS[[#This Row],[Código del producto Vendido]],STOCK[],5,FALSE),"-")</f>
        <v>Blusa corta de manga farol</v>
      </c>
      <c r="G1177" s="10">
        <v>1</v>
      </c>
      <c r="H1177" s="12">
        <v>9</v>
      </c>
      <c r="I1177" s="12">
        <f>VENTAS[[#This Row],[Cantidad]]*VENTAS[[#This Row],[Precio Venta]]</f>
        <v>9</v>
      </c>
      <c r="J1177" s="12">
        <f>IF(VENTAS[[#This Row],[Nombre del Gestor]]&gt;1,VENTAS[[#This Row],[Total]]*10%,0)</f>
        <v>0.9</v>
      </c>
      <c r="K1177" s="12">
        <f>IFERROR(VLOOKUP(VENTAS[[#This Row],[Código del producto Vendido]],STOCK[],16,FALSE)*VENTAS[[#This Row],[Cantidad]]+VLOOKUP(VENTAS[[#This Row],[Código del producto Vendido]],STOCK[],19,FALSE)*VENTAS[[#This Row],[Cantidad]],VENTAS[[#This Row],[Total]])</f>
        <v>7.5266666666666699</v>
      </c>
      <c r="L1177" s="12">
        <f>VENTAS[[#This Row],[Total]]-VENTAS[[#This Row],[Comisión 10%]]-VENTAS[[#This Row],[Costo SIN Comision]]</f>
        <v>0.5733333333333297</v>
      </c>
      <c r="M1177" s="12"/>
      <c r="N1177" s="16"/>
    </row>
    <row r="1178" spans="1:14" ht="20" hidden="1" customHeight="1">
      <c r="A1178" s="9">
        <v>45493</v>
      </c>
      <c r="B1178" s="10"/>
      <c r="C1178" s="10"/>
      <c r="D1178" s="10" t="s">
        <v>4374</v>
      </c>
      <c r="E1178" s="10" t="s">
        <v>1290</v>
      </c>
      <c r="F1178" s="10" t="str">
        <f>IFERROR(VLOOKUP(VENTAS[[#This Row],[Código del producto Vendido]],STOCK[],5,FALSE),"-")</f>
        <v xml:space="preserve">Top corto asimétrico </v>
      </c>
      <c r="G1178" s="10">
        <v>1</v>
      </c>
      <c r="H1178" s="12">
        <v>10</v>
      </c>
      <c r="I1178" s="12">
        <f>VENTAS[[#This Row],[Cantidad]]*VENTAS[[#This Row],[Precio Venta]]</f>
        <v>10</v>
      </c>
      <c r="J1178" s="12">
        <f>IF(VENTAS[[#This Row],[Nombre del Gestor]]&gt;1,VENTAS[[#This Row],[Total]]*10%,0)</f>
        <v>1</v>
      </c>
      <c r="K1178" s="12">
        <f>IFERROR(VLOOKUP(VENTAS[[#This Row],[Código del producto Vendido]],STOCK[],16,FALSE)*VENTAS[[#This Row],[Cantidad]]+VLOOKUP(VENTAS[[#This Row],[Código del producto Vendido]],STOCK[],19,FALSE)*VENTAS[[#This Row],[Cantidad]],VENTAS[[#This Row],[Total]])</f>
        <v>6.73</v>
      </c>
      <c r="L1178" s="12">
        <f>VENTAS[[#This Row],[Total]]-VENTAS[[#This Row],[Comisión 10%]]-VENTAS[[#This Row],[Costo SIN Comision]]</f>
        <v>2.2699999999999996</v>
      </c>
      <c r="M1178" s="12"/>
      <c r="N1178" s="16"/>
    </row>
    <row r="1179" spans="1:14" ht="20" hidden="1" customHeight="1">
      <c r="A1179" s="9">
        <v>45494</v>
      </c>
      <c r="B1179" s="10"/>
      <c r="C1179" s="10"/>
      <c r="D1179" s="10" t="s">
        <v>4374</v>
      </c>
      <c r="E1179" s="10" t="s">
        <v>1640</v>
      </c>
      <c r="F1179" s="10" t="str">
        <f>IFERROR(VLOOKUP(VENTAS[[#This Row],[Código del producto Vendido]],STOCK[],5,FALSE),"-")</f>
        <v>Vestido Privé</v>
      </c>
      <c r="G1179" s="10">
        <v>1</v>
      </c>
      <c r="H1179" s="12">
        <v>15</v>
      </c>
      <c r="I1179" s="12">
        <f>VENTAS[[#This Row],[Cantidad]]*VENTAS[[#This Row],[Precio Venta]]</f>
        <v>15</v>
      </c>
      <c r="J1179" s="12">
        <f>IF(VENTAS[[#This Row],[Nombre del Gestor]]&gt;1,VENTAS[[#This Row],[Total]]*10%,0)</f>
        <v>1.5</v>
      </c>
      <c r="K1179" s="12">
        <f>IFERROR(VLOOKUP(VENTAS[[#This Row],[Código del producto Vendido]],STOCK[],16,FALSE)*VENTAS[[#This Row],[Cantidad]]+VLOOKUP(VENTAS[[#This Row],[Código del producto Vendido]],STOCK[],19,FALSE)*VENTAS[[#This Row],[Cantidad]],VENTAS[[#This Row],[Total]])</f>
        <v>11.1</v>
      </c>
      <c r="L1179" s="12">
        <f>VENTAS[[#This Row],[Total]]-VENTAS[[#This Row],[Comisión 10%]]-VENTAS[[#This Row],[Costo SIN Comision]]</f>
        <v>2.4000000000000004</v>
      </c>
      <c r="M1179" s="12"/>
      <c r="N1179" s="16"/>
    </row>
    <row r="1180" spans="1:14" ht="20" hidden="1" customHeight="1">
      <c r="A1180" s="9">
        <v>203</v>
      </c>
      <c r="B1180" s="10"/>
      <c r="C1180" s="10"/>
      <c r="D1180" s="10" t="s">
        <v>4374</v>
      </c>
      <c r="E1180" s="10" t="s">
        <v>1716</v>
      </c>
      <c r="F1180" s="10" t="str">
        <f>IFERROR(VLOOKUP(VENTAS[[#This Row],[Código del producto Vendido]],STOCK[],5,FALSE),"-")</f>
        <v>Vestido Asimétrico con cuerdas</v>
      </c>
      <c r="G1180" s="10">
        <v>1</v>
      </c>
      <c r="H1180" s="12">
        <v>13</v>
      </c>
      <c r="I1180" s="12">
        <f>VENTAS[[#This Row],[Cantidad]]*VENTAS[[#This Row],[Precio Venta]]</f>
        <v>13</v>
      </c>
      <c r="J1180" s="12">
        <f>IF(VENTAS[[#This Row],[Nombre del Gestor]]&gt;1,VENTAS[[#This Row],[Total]]*10%,0)</f>
        <v>1.3</v>
      </c>
      <c r="K1180" s="12">
        <f>IFERROR(VLOOKUP(VENTAS[[#This Row],[Código del producto Vendido]],STOCK[],16,FALSE)*VENTAS[[#This Row],[Cantidad]]+VLOOKUP(VENTAS[[#This Row],[Código del producto Vendido]],STOCK[],19,FALSE)*VENTAS[[#This Row],[Cantidad]],VENTAS[[#This Row],[Total]])</f>
        <v>12</v>
      </c>
      <c r="L1180" s="12">
        <f>VENTAS[[#This Row],[Total]]-VENTAS[[#This Row],[Comisión 10%]]-VENTAS[[#This Row],[Costo SIN Comision]]</f>
        <v>-0.30000000000000071</v>
      </c>
      <c r="M1180" s="12"/>
      <c r="N1180" s="16"/>
    </row>
    <row r="1181" spans="1:14" ht="20" hidden="1" customHeight="1">
      <c r="A1181" s="9">
        <v>45490</v>
      </c>
      <c r="B1181" s="10"/>
      <c r="C1181" s="10"/>
      <c r="D1181" s="10" t="s">
        <v>4374</v>
      </c>
      <c r="E1181" s="10" t="s">
        <v>1204</v>
      </c>
      <c r="F1181" s="10" t="str">
        <f>IFERROR(VLOOKUP(VENTAS[[#This Row],[Código del producto Vendido]],STOCK[],5,FALSE),"-")</f>
        <v>Camisa Blanca</v>
      </c>
      <c r="G1181" s="10">
        <v>1</v>
      </c>
      <c r="H1181" s="12">
        <v>22</v>
      </c>
      <c r="I1181" s="12">
        <f>VENTAS[[#This Row],[Cantidad]]*VENTAS[[#This Row],[Precio Venta]]</f>
        <v>22</v>
      </c>
      <c r="J1181" s="12">
        <f>IF(VENTAS[[#This Row],[Nombre del Gestor]]&gt;1,VENTAS[[#This Row],[Total]]*10%,0)</f>
        <v>2.2000000000000002</v>
      </c>
      <c r="K1181" s="12">
        <f>IFERROR(VLOOKUP(VENTAS[[#This Row],[Código del producto Vendido]],STOCK[],16,FALSE)*VENTAS[[#This Row],[Cantidad]]+VLOOKUP(VENTAS[[#This Row],[Código del producto Vendido]],STOCK[],19,FALSE)*VENTAS[[#This Row],[Cantidad]],VENTAS[[#This Row],[Total]])</f>
        <v>12.9</v>
      </c>
      <c r="L1181" s="12">
        <f>VENTAS[[#This Row],[Total]]-VENTAS[[#This Row],[Comisión 10%]]-VENTAS[[#This Row],[Costo SIN Comision]]</f>
        <v>6.9</v>
      </c>
      <c r="M1181" s="12"/>
      <c r="N1181" s="16"/>
    </row>
    <row r="1182" spans="1:14" ht="20" hidden="1" customHeight="1">
      <c r="A1182" s="9">
        <v>45490</v>
      </c>
      <c r="B1182" s="10"/>
      <c r="C1182" s="10"/>
      <c r="D1182" s="10" t="s">
        <v>4374</v>
      </c>
      <c r="E1182" s="10" t="s">
        <v>800</v>
      </c>
      <c r="F1182" s="10" t="str">
        <f>IFERROR(VLOOKUP(VENTAS[[#This Row],[Código del producto Vendido]],STOCK[],5,FALSE),"-")</f>
        <v>Short de cordón lateral</v>
      </c>
      <c r="G1182" s="10">
        <v>1</v>
      </c>
      <c r="H1182" s="12">
        <v>15</v>
      </c>
      <c r="I1182" s="12">
        <f>VENTAS[[#This Row],[Cantidad]]*VENTAS[[#This Row],[Precio Venta]]</f>
        <v>15</v>
      </c>
      <c r="J1182" s="12">
        <f>IF(VENTAS[[#This Row],[Nombre del Gestor]]&gt;1,VENTAS[[#This Row],[Total]]*10%,0)</f>
        <v>1.5</v>
      </c>
      <c r="K1182" s="12">
        <f>IFERROR(VLOOKUP(VENTAS[[#This Row],[Código del producto Vendido]],STOCK[],16,FALSE)*VENTAS[[#This Row],[Cantidad]]+VLOOKUP(VENTAS[[#This Row],[Código del producto Vendido]],STOCK[],19,FALSE)*VENTAS[[#This Row],[Cantidad]],VENTAS[[#This Row],[Total]])</f>
        <v>8.9444444444444393</v>
      </c>
      <c r="L1182" s="12">
        <f>VENTAS[[#This Row],[Total]]-VENTAS[[#This Row],[Comisión 10%]]-VENTAS[[#This Row],[Costo SIN Comision]]</f>
        <v>4.5555555555555607</v>
      </c>
      <c r="M1182" s="12"/>
      <c r="N1182" s="16"/>
    </row>
    <row r="1183" spans="1:14" ht="20" hidden="1" customHeight="1">
      <c r="A1183" s="9">
        <v>45490</v>
      </c>
      <c r="B1183" s="10"/>
      <c r="C1183" s="10"/>
      <c r="D1183" s="10" t="s">
        <v>4374</v>
      </c>
      <c r="E1183" s="10" t="s">
        <v>677</v>
      </c>
      <c r="F1183" s="10" t="str">
        <f>IFERROR(VLOOKUP(VENTAS[[#This Row],[Código del producto Vendido]],STOCK[],5,FALSE),"-")</f>
        <v>Blusa corta de manga farol</v>
      </c>
      <c r="G1183" s="10">
        <v>1</v>
      </c>
      <c r="H1183" s="12">
        <v>9</v>
      </c>
      <c r="I1183" s="12">
        <f>VENTAS[[#This Row],[Cantidad]]*VENTAS[[#This Row],[Precio Venta]]</f>
        <v>9</v>
      </c>
      <c r="J1183" s="12">
        <f>IF(VENTAS[[#This Row],[Nombre del Gestor]]&gt;1,VENTAS[[#This Row],[Total]]*10%,0)</f>
        <v>0.9</v>
      </c>
      <c r="K1183" s="12">
        <f>IFERROR(VLOOKUP(VENTAS[[#This Row],[Código del producto Vendido]],STOCK[],16,FALSE)*VENTAS[[#This Row],[Cantidad]]+VLOOKUP(VENTAS[[#This Row],[Código del producto Vendido]],STOCK[],19,FALSE)*VENTAS[[#This Row],[Cantidad]],VENTAS[[#This Row],[Total]])</f>
        <v>7.5266666666666699</v>
      </c>
      <c r="L1183" s="12">
        <f>VENTAS[[#This Row],[Total]]-VENTAS[[#This Row],[Comisión 10%]]-VENTAS[[#This Row],[Costo SIN Comision]]</f>
        <v>0.5733333333333297</v>
      </c>
      <c r="M1183" s="12"/>
      <c r="N1183" s="16"/>
    </row>
    <row r="1184" spans="1:14" ht="20" hidden="1" customHeight="1">
      <c r="A1184" s="9">
        <v>45480</v>
      </c>
      <c r="B1184" s="10"/>
      <c r="C1184" s="10"/>
      <c r="D1184" s="10" t="s">
        <v>4349</v>
      </c>
      <c r="E1184" s="10" t="s">
        <v>1192</v>
      </c>
      <c r="F1184" s="10" t="str">
        <f>IFERROR(VLOOKUP(VENTAS[[#This Row],[Código del producto Vendido]],STOCK[],5,FALSE),"-")</f>
        <v>Vestido ajustado con adorno de plumas</v>
      </c>
      <c r="G1184" s="10">
        <v>1</v>
      </c>
      <c r="H1184" s="12"/>
      <c r="I1184" s="12">
        <f>VENTAS[[#This Row],[Cantidad]]*VENTAS[[#This Row],[Precio Venta]]</f>
        <v>0</v>
      </c>
      <c r="J1184" s="12">
        <f>IF(VENTAS[[#This Row],[Nombre del Gestor]]&gt;1,VENTAS[[#This Row],[Total]]*10%,0)</f>
        <v>0</v>
      </c>
      <c r="K1184" s="12">
        <f>IFERROR(VLOOKUP(VENTAS[[#This Row],[Código del producto Vendido]],STOCK[],16,FALSE)*VENTAS[[#This Row],[Cantidad]]+VLOOKUP(VENTAS[[#This Row],[Código del producto Vendido]],STOCK[],19,FALSE)*VENTAS[[#This Row],[Cantidad]],VENTAS[[#This Row],[Total]])</f>
        <v>14.91</v>
      </c>
      <c r="L1184" s="12">
        <f>VENTAS[[#This Row],[Total]]-VENTAS[[#This Row],[Comisión 10%]]-VENTAS[[#This Row],[Costo SIN Comision]]</f>
        <v>-14.91</v>
      </c>
      <c r="M1184" s="12"/>
      <c r="N1184" s="16"/>
    </row>
    <row r="1185" spans="1:14" ht="20" hidden="1" customHeight="1">
      <c r="A1185" s="9">
        <v>45490</v>
      </c>
      <c r="B1185" s="10"/>
      <c r="C1185" s="10"/>
      <c r="D1185" s="10" t="s">
        <v>4374</v>
      </c>
      <c r="E1185" s="10" t="s">
        <v>596</v>
      </c>
      <c r="F1185" s="10" t="str">
        <f>IFERROR(VLOOKUP(VENTAS[[#This Row],[Código del producto Vendido]],STOCK[],5,FALSE),"-")</f>
        <v>Top cruzado naranja</v>
      </c>
      <c r="G1185" s="10">
        <v>2</v>
      </c>
      <c r="H1185" s="12">
        <v>8</v>
      </c>
      <c r="I1185" s="12">
        <f>VENTAS[[#This Row],[Cantidad]]*VENTAS[[#This Row],[Precio Venta]]</f>
        <v>16</v>
      </c>
      <c r="J1185" s="12">
        <f>IF(VENTAS[[#This Row],[Nombre del Gestor]]&gt;1,VENTAS[[#This Row],[Total]]*10%,0)</f>
        <v>1.6</v>
      </c>
      <c r="K1185" s="12">
        <f>IFERROR(VLOOKUP(VENTAS[[#This Row],[Código del producto Vendido]],STOCK[],16,FALSE)*VENTAS[[#This Row],[Cantidad]]+VLOOKUP(VENTAS[[#This Row],[Código del producto Vendido]],STOCK[],19,FALSE)*VENTAS[[#This Row],[Cantidad]],VENTAS[[#This Row],[Total]])</f>
        <v>10.136666666666661</v>
      </c>
      <c r="L1185" s="12">
        <f>VENTAS[[#This Row],[Total]]-VENTAS[[#This Row],[Comisión 10%]]-VENTAS[[#This Row],[Costo SIN Comision]]</f>
        <v>4.263333333333339</v>
      </c>
      <c r="M1185" s="12"/>
      <c r="N1185" s="16"/>
    </row>
    <row r="1186" spans="1:14" ht="20" hidden="1" customHeight="1">
      <c r="A1186" s="9">
        <v>45492</v>
      </c>
      <c r="B1186" s="10"/>
      <c r="C1186" s="10"/>
      <c r="D1186" s="10" t="s">
        <v>4349</v>
      </c>
      <c r="E1186" s="10" t="s">
        <v>2222</v>
      </c>
      <c r="F1186" s="10" t="str">
        <f>IFERROR(VLOOKUP(VENTAS[[#This Row],[Código del producto Vendido]],STOCK[],5,FALSE),"-")</f>
        <v>Set de bikini con cobertor de playa</v>
      </c>
      <c r="G1186" s="10">
        <v>1</v>
      </c>
      <c r="H1186" s="12">
        <v>25</v>
      </c>
      <c r="I1186" s="12">
        <f>VENTAS[[#This Row],[Cantidad]]*VENTAS[[#This Row],[Precio Venta]]</f>
        <v>25</v>
      </c>
      <c r="J1186" s="12">
        <f>IF(VENTAS[[#This Row],[Nombre del Gestor]]&gt;1,VENTAS[[#This Row],[Total]]*10%,0)</f>
        <v>2.5</v>
      </c>
      <c r="K1186" s="12">
        <f>IFERROR(VLOOKUP(VENTAS[[#This Row],[Código del producto Vendido]],STOCK[],16,FALSE)*VENTAS[[#This Row],[Cantidad]]+VLOOKUP(VENTAS[[#This Row],[Código del producto Vendido]],STOCK[],19,FALSE)*VENTAS[[#This Row],[Cantidad]],VENTAS[[#This Row],[Total]])</f>
        <v>11.65</v>
      </c>
      <c r="L1186" s="12">
        <f>VENTAS[[#This Row],[Total]]-VENTAS[[#This Row],[Comisión 10%]]-VENTAS[[#This Row],[Costo SIN Comision]]</f>
        <v>10.85</v>
      </c>
      <c r="M1186" s="12"/>
      <c r="N1186" s="16"/>
    </row>
    <row r="1187" spans="1:14" ht="20" hidden="1" customHeight="1">
      <c r="A1187" s="9">
        <v>45492</v>
      </c>
      <c r="B1187" s="10"/>
      <c r="C1187" s="10"/>
      <c r="D1187" s="10" t="s">
        <v>4349</v>
      </c>
      <c r="E1187" s="10" t="s">
        <v>2175</v>
      </c>
      <c r="F1187" s="10" t="str">
        <f>IFERROR(VLOOKUP(VENTAS[[#This Row],[Código del producto Vendido]],STOCK[],5,FALSE),"-")</f>
        <v>Bañador clásico cuello V</v>
      </c>
      <c r="G1187" s="10">
        <v>1</v>
      </c>
      <c r="H1187" s="12">
        <v>18</v>
      </c>
      <c r="I1187" s="12">
        <f>VENTAS[[#This Row],[Cantidad]]*VENTAS[[#This Row],[Precio Venta]]</f>
        <v>18</v>
      </c>
      <c r="J1187" s="12">
        <f>IF(VENTAS[[#This Row],[Nombre del Gestor]]&gt;1,VENTAS[[#This Row],[Total]]*10%,0)</f>
        <v>1.8</v>
      </c>
      <c r="K1187" s="12">
        <f>IFERROR(VLOOKUP(VENTAS[[#This Row],[Código del producto Vendido]],STOCK[],16,FALSE)*VENTAS[[#This Row],[Cantidad]]+VLOOKUP(VENTAS[[#This Row],[Código del producto Vendido]],STOCK[],19,FALSE)*VENTAS[[#This Row],[Cantidad]],VENTAS[[#This Row],[Total]])</f>
        <v>6.1099999999999994</v>
      </c>
      <c r="L1187" s="12">
        <f>VENTAS[[#This Row],[Total]]-VENTAS[[#This Row],[Comisión 10%]]-VENTAS[[#This Row],[Costo SIN Comision]]</f>
        <v>10.09</v>
      </c>
      <c r="M1187" s="12"/>
      <c r="N1187" s="16"/>
    </row>
    <row r="1188" spans="1:14" ht="20" hidden="1" customHeight="1">
      <c r="A1188" s="9">
        <v>45492</v>
      </c>
      <c r="B1188" s="10"/>
      <c r="C1188" s="10"/>
      <c r="D1188" s="10" t="s">
        <v>4349</v>
      </c>
      <c r="E1188" s="10" t="s">
        <v>1752</v>
      </c>
      <c r="F1188" s="10" t="str">
        <f>IFERROR(VLOOKUP(VENTAS[[#This Row],[Código del producto Vendido]],STOCK[],5,FALSE),"-")</f>
        <v>Traje de baño de mangas estampadas</v>
      </c>
      <c r="G1188" s="10">
        <v>1</v>
      </c>
      <c r="H1188" s="12">
        <v>25</v>
      </c>
      <c r="I1188" s="12">
        <f>VENTAS[[#This Row],[Cantidad]]*VENTAS[[#This Row],[Precio Venta]]</f>
        <v>25</v>
      </c>
      <c r="J1188" s="12">
        <f>IF(VENTAS[[#This Row],[Nombre del Gestor]]&gt;1,VENTAS[[#This Row],[Total]]*10%,0)</f>
        <v>2.5</v>
      </c>
      <c r="K1188" s="12">
        <f>IFERROR(VLOOKUP(VENTAS[[#This Row],[Código del producto Vendido]],STOCK[],16,FALSE)*VENTAS[[#This Row],[Cantidad]]+VLOOKUP(VENTAS[[#This Row],[Código del producto Vendido]],STOCK[],19,FALSE)*VENTAS[[#This Row],[Cantidad]],VENTAS[[#This Row],[Total]])</f>
        <v>12.411764705882399</v>
      </c>
      <c r="L1188" s="12">
        <f>VENTAS[[#This Row],[Total]]-VENTAS[[#This Row],[Comisión 10%]]-VENTAS[[#This Row],[Costo SIN Comision]]</f>
        <v>10.088235294117601</v>
      </c>
      <c r="M1188" s="12"/>
      <c r="N1188" s="16"/>
    </row>
    <row r="1189" spans="1:14" ht="20" hidden="1" customHeight="1">
      <c r="A1189" s="9">
        <v>45509</v>
      </c>
      <c r="B1189" s="10"/>
      <c r="C1189" s="10" t="s">
        <v>4415</v>
      </c>
      <c r="D1189" s="10" t="s">
        <v>4320</v>
      </c>
      <c r="E1189" s="10" t="s">
        <v>2426</v>
      </c>
      <c r="F1189" s="10" t="str">
        <f>IFERROR(VLOOKUP(VENTAS[[#This Row],[Código del producto Vendido]],STOCK[],5,FALSE),"-")</f>
        <v>Pantalón ancho con cordón ajustable</v>
      </c>
      <c r="G1189" s="10">
        <v>1</v>
      </c>
      <c r="H1189" s="12">
        <v>23</v>
      </c>
      <c r="I1189" s="12">
        <f>VENTAS[[#This Row],[Cantidad]]*VENTAS[[#This Row],[Precio Venta]]</f>
        <v>23</v>
      </c>
      <c r="J1189" s="12">
        <f>IF(VENTAS[[#This Row],[Nombre del Gestor]]&gt;1,VENTAS[[#This Row],[Total]]*10%,0)</f>
        <v>2.3000000000000003</v>
      </c>
      <c r="K1189" s="12">
        <f>IFERROR(VLOOKUP(VENTAS[[#This Row],[Código del producto Vendido]],STOCK[],16,FALSE)*VENTAS[[#This Row],[Cantidad]]+VLOOKUP(VENTAS[[#This Row],[Código del producto Vendido]],STOCK[],19,FALSE)*VENTAS[[#This Row],[Cantidad]],VENTAS[[#This Row],[Total]])</f>
        <v>11.43533490011751</v>
      </c>
      <c r="L1189" s="12">
        <f>VENTAS[[#This Row],[Total]]-VENTAS[[#This Row],[Comisión 10%]]-VENTAS[[#This Row],[Costo SIN Comision]]</f>
        <v>9.2646650998824889</v>
      </c>
      <c r="M1189" s="12"/>
      <c r="N1189" s="16"/>
    </row>
    <row r="1190" spans="1:14" ht="20" hidden="1" customHeight="1">
      <c r="A1190" s="9">
        <v>45509</v>
      </c>
      <c r="B1190" s="10"/>
      <c r="C1190" s="10" t="s">
        <v>4416</v>
      </c>
      <c r="D1190" s="10" t="s">
        <v>4320</v>
      </c>
      <c r="E1190" s="10" t="s">
        <v>2497</v>
      </c>
      <c r="F1190" s="10" t="str">
        <f>IFERROR(VLOOKUP(VENTAS[[#This Row],[Código del producto Vendido]],STOCK[],5,FALSE),"-")</f>
        <v>Bolso bandolera de rafia rígido de tamaño pequeño</v>
      </c>
      <c r="G1190" s="10">
        <v>1</v>
      </c>
      <c r="H1190" s="12">
        <v>25</v>
      </c>
      <c r="I1190" s="12">
        <f>VENTAS[[#This Row],[Cantidad]]*VENTAS[[#This Row],[Precio Venta]]</f>
        <v>25</v>
      </c>
      <c r="J1190" s="12">
        <f>IF(VENTAS[[#This Row],[Nombre del Gestor]]&gt;1,VENTAS[[#This Row],[Total]]*10%,0)</f>
        <v>2.5</v>
      </c>
      <c r="K1190" s="12">
        <f>IFERROR(VLOOKUP(VENTAS[[#This Row],[Código del producto Vendido]],STOCK[],16,FALSE)*VENTAS[[#This Row],[Cantidad]]+VLOOKUP(VENTAS[[#This Row],[Código del producto Vendido]],STOCK[],19,FALSE)*VENTAS[[#This Row],[Cantidad]],VENTAS[[#This Row],[Total]])</f>
        <v>11.39</v>
      </c>
      <c r="L1190" s="12">
        <f>VENTAS[[#This Row],[Total]]-VENTAS[[#This Row],[Comisión 10%]]-VENTAS[[#This Row],[Costo SIN Comision]]</f>
        <v>11.11</v>
      </c>
      <c r="M1190" s="12"/>
      <c r="N1190" s="16"/>
    </row>
    <row r="1191" spans="1:14" ht="20" hidden="1" customHeight="1">
      <c r="A1191" s="9">
        <v>45509</v>
      </c>
      <c r="B1191" s="10"/>
      <c r="C1191" s="10"/>
      <c r="D1191" s="10" t="s">
        <v>4349</v>
      </c>
      <c r="E1191" s="10" t="s">
        <v>2584</v>
      </c>
      <c r="F1191" s="10" t="str">
        <f>IFERROR(VLOOKUP(VENTAS[[#This Row],[Código del producto Vendido]],STOCK[],5,FALSE),"-")</f>
        <v>Vestido largo con cuello Healter</v>
      </c>
      <c r="G1191" s="10">
        <v>1</v>
      </c>
      <c r="H1191" s="12">
        <v>30</v>
      </c>
      <c r="I1191" s="12">
        <f>VENTAS[[#This Row],[Cantidad]]*VENTAS[[#This Row],[Precio Venta]]</f>
        <v>30</v>
      </c>
      <c r="J1191" s="12">
        <f>IF(VENTAS[[#This Row],[Nombre del Gestor]]&gt;1,VENTAS[[#This Row],[Total]]*10%,0)</f>
        <v>3</v>
      </c>
      <c r="K1191" s="12">
        <f>IFERROR(VLOOKUP(VENTAS[[#This Row],[Código del producto Vendido]],STOCK[],16,FALSE)*VENTAS[[#This Row],[Cantidad]]+VLOOKUP(VENTAS[[#This Row],[Código del producto Vendido]],STOCK[],19,FALSE)*VENTAS[[#This Row],[Cantidad]],VENTAS[[#This Row],[Total]])</f>
        <v>9.64</v>
      </c>
      <c r="L1191" s="12">
        <f>VENTAS[[#This Row],[Total]]-VENTAS[[#This Row],[Comisión 10%]]-VENTAS[[#This Row],[Costo SIN Comision]]</f>
        <v>17.36</v>
      </c>
      <c r="M1191" s="12"/>
      <c r="N1191" s="16"/>
    </row>
    <row r="1192" spans="1:14" ht="20" hidden="1" customHeight="1">
      <c r="A1192" s="9">
        <v>45509</v>
      </c>
      <c r="B1192" s="10"/>
      <c r="C1192" s="10" t="s">
        <v>4417</v>
      </c>
      <c r="D1192" s="10" t="s">
        <v>4349</v>
      </c>
      <c r="E1192" s="10" t="s">
        <v>2464</v>
      </c>
      <c r="F1192" s="10" t="str">
        <f>IFERROR(VLOOKUP(VENTAS[[#This Row],[Código del producto Vendido]],STOCK[],5,FALSE),"-")</f>
        <v>Sandalias de plataforma en bloque de color</v>
      </c>
      <c r="G1192" s="10">
        <v>1</v>
      </c>
      <c r="H1192" s="12">
        <v>35</v>
      </c>
      <c r="I1192" s="12">
        <f>VENTAS[[#This Row],[Cantidad]]*VENTAS[[#This Row],[Precio Venta]]</f>
        <v>35</v>
      </c>
      <c r="J1192" s="12">
        <f>IF(VENTAS[[#This Row],[Nombre del Gestor]]&gt;1,VENTAS[[#This Row],[Total]]*10%,0)</f>
        <v>3.5</v>
      </c>
      <c r="K1192" s="12">
        <f>IFERROR(VLOOKUP(VENTAS[[#This Row],[Código del producto Vendido]],STOCK[],16,FALSE)*VENTAS[[#This Row],[Cantidad]]+VLOOKUP(VENTAS[[#This Row],[Código del producto Vendido]],STOCK[],19,FALSE)*VENTAS[[#This Row],[Cantidad]],VENTAS[[#This Row],[Total]])</f>
        <v>21.97</v>
      </c>
      <c r="L1192" s="12">
        <f>VENTAS[[#This Row],[Total]]-VENTAS[[#This Row],[Comisión 10%]]-VENTAS[[#This Row],[Costo SIN Comision]]</f>
        <v>9.5300000000000011</v>
      </c>
      <c r="M1192" s="12"/>
      <c r="N1192" s="16"/>
    </row>
    <row r="1193" spans="1:14" ht="20" hidden="1" customHeight="1">
      <c r="A1193" s="9">
        <v>45509</v>
      </c>
      <c r="B1193" s="10"/>
      <c r="C1193" s="10"/>
      <c r="D1193" s="10" t="s">
        <v>4349</v>
      </c>
      <c r="E1193" s="10" t="s">
        <v>2334</v>
      </c>
      <c r="F1193" s="10" t="str">
        <f>IFERROR(VLOOKUP(VENTAS[[#This Row],[Código del producto Vendido]],STOCK[],5,FALSE),"-")</f>
        <v>Set de 3 piezas bikini con estampado floral</v>
      </c>
      <c r="G1193" s="10">
        <v>1</v>
      </c>
      <c r="H1193" s="12">
        <v>20</v>
      </c>
      <c r="I1193" s="12">
        <f>VENTAS[[#This Row],[Cantidad]]*VENTAS[[#This Row],[Precio Venta]]</f>
        <v>20</v>
      </c>
      <c r="J1193" s="12">
        <f>IF(VENTAS[[#This Row],[Nombre del Gestor]]&gt;1,VENTAS[[#This Row],[Total]]*10%,0)</f>
        <v>2</v>
      </c>
      <c r="K1193" s="12">
        <f>IFERROR(VLOOKUP(VENTAS[[#This Row],[Código del producto Vendido]],STOCK[],16,FALSE)*VENTAS[[#This Row],[Cantidad]]+VLOOKUP(VENTAS[[#This Row],[Código del producto Vendido]],STOCK[],19,FALSE)*VENTAS[[#This Row],[Cantidad]],VENTAS[[#This Row],[Total]])</f>
        <v>13.409375000000001</v>
      </c>
      <c r="L1193" s="12">
        <f>VENTAS[[#This Row],[Total]]-VENTAS[[#This Row],[Comisión 10%]]-VENTAS[[#This Row],[Costo SIN Comision]]</f>
        <v>4.5906249999999993</v>
      </c>
      <c r="M1193" s="12"/>
      <c r="N1193" s="16"/>
    </row>
    <row r="1194" spans="1:14" ht="20" hidden="1" customHeight="1">
      <c r="A1194" s="9">
        <v>45509</v>
      </c>
      <c r="B1194" s="10"/>
      <c r="C1194" s="10"/>
      <c r="D1194" s="10" t="s">
        <v>4349</v>
      </c>
      <c r="E1194" s="10" t="s">
        <v>2454</v>
      </c>
      <c r="F1194" s="10" t="str">
        <f>IFERROR(VLOOKUP(VENTAS[[#This Row],[Código del producto Vendido]],STOCK[],5,FALSE),"-")</f>
        <v>Sandalias carmelitas de moda con correa de velcro</v>
      </c>
      <c r="G1194" s="10">
        <v>1</v>
      </c>
      <c r="H1194" s="12">
        <v>35</v>
      </c>
      <c r="I1194" s="12">
        <f>VENTAS[[#This Row],[Cantidad]]*VENTAS[[#This Row],[Precio Venta]]</f>
        <v>35</v>
      </c>
      <c r="J1194" s="12">
        <f>IF(VENTAS[[#This Row],[Nombre del Gestor]]&gt;1,VENTAS[[#This Row],[Total]]*10%,0)</f>
        <v>3.5</v>
      </c>
      <c r="K1194" s="12">
        <f>IFERROR(VLOOKUP(VENTAS[[#This Row],[Código del producto Vendido]],STOCK[],16,FALSE)*VENTAS[[#This Row],[Cantidad]]+VLOOKUP(VENTAS[[#This Row],[Código del producto Vendido]],STOCK[],19,FALSE)*VENTAS[[#This Row],[Cantidad]],VENTAS[[#This Row],[Total]])</f>
        <v>19.47</v>
      </c>
      <c r="L1194" s="12">
        <f>VENTAS[[#This Row],[Total]]-VENTAS[[#This Row],[Comisión 10%]]-VENTAS[[#This Row],[Costo SIN Comision]]</f>
        <v>12.030000000000001</v>
      </c>
      <c r="M1194" s="12"/>
      <c r="N1194" s="16"/>
    </row>
    <row r="1195" spans="1:14" ht="20" hidden="1" customHeight="1">
      <c r="A1195" s="9">
        <v>45509</v>
      </c>
      <c r="B1195" s="10"/>
      <c r="C1195" s="10"/>
      <c r="D1195" s="10" t="s">
        <v>4349</v>
      </c>
      <c r="E1195" s="10" t="s">
        <v>4418</v>
      </c>
      <c r="F1195" s="10" t="str">
        <f>IFERROR(VLOOKUP(VENTAS[[#This Row],[Código del producto Vendido]],STOCK[],5,FALSE),"-")</f>
        <v>-</v>
      </c>
      <c r="G1195" s="10">
        <v>1</v>
      </c>
      <c r="H1195" s="12">
        <v>45</v>
      </c>
      <c r="I1195" s="12">
        <f>VENTAS[[#This Row],[Cantidad]]*VENTAS[[#This Row],[Precio Venta]]</f>
        <v>45</v>
      </c>
      <c r="J1195" s="12">
        <f>IF(VENTAS[[#This Row],[Nombre del Gestor]]&gt;1,VENTAS[[#This Row],[Total]]*10%,0)</f>
        <v>4.5</v>
      </c>
      <c r="K1195" s="12">
        <f>IFERROR(VLOOKUP(VENTAS[[#This Row],[Código del producto Vendido]],STOCK[],16,FALSE)*VENTAS[[#This Row],[Cantidad]]+VLOOKUP(VENTAS[[#This Row],[Código del producto Vendido]],STOCK[],19,FALSE)*VENTAS[[#This Row],[Cantidad]],VENTAS[[#This Row],[Total]])</f>
        <v>45</v>
      </c>
      <c r="L1195" s="12">
        <f>VENTAS[[#This Row],[Total]]-VENTAS[[#This Row],[Comisión 10%]]-VENTAS[[#This Row],[Costo SIN Comision]]</f>
        <v>-4.5</v>
      </c>
      <c r="M1195" s="12"/>
      <c r="N1195" s="16"/>
    </row>
    <row r="1196" spans="1:14" ht="20" hidden="1" customHeight="1">
      <c r="A1196" s="9">
        <v>45509</v>
      </c>
      <c r="B1196" s="10"/>
      <c r="C1196" s="10"/>
      <c r="D1196" s="10" t="s">
        <v>4349</v>
      </c>
      <c r="E1196" s="10" t="s">
        <v>2577</v>
      </c>
      <c r="F1196" s="10" t="str">
        <f>IFERROR(VLOOKUP(VENTAS[[#This Row],[Código del producto Vendido]],STOCK[],5,FALSE),"-")</f>
        <v>Vestido Largo con cinturón fruncido</v>
      </c>
      <c r="G1196" s="10">
        <v>0</v>
      </c>
      <c r="H1196" s="12">
        <v>30</v>
      </c>
      <c r="I1196" s="12">
        <f>VENTAS[[#This Row],[Cantidad]]*VENTAS[[#This Row],[Precio Venta]]</f>
        <v>0</v>
      </c>
      <c r="J1196" s="12">
        <f>IF(VENTAS[[#This Row],[Nombre del Gestor]]&gt;1,VENTAS[[#This Row],[Total]]*10%,0)</f>
        <v>0</v>
      </c>
      <c r="K1196" s="12">
        <f>IFERROR(VLOOKUP(VENTAS[[#This Row],[Código del producto Vendido]],STOCK[],16,FALSE)*VENTAS[[#This Row],[Cantidad]]+VLOOKUP(VENTAS[[#This Row],[Código del producto Vendido]],STOCK[],19,FALSE)*VENTAS[[#This Row],[Cantidad]],VENTAS[[#This Row],[Total]])</f>
        <v>0</v>
      </c>
      <c r="L1196" s="12">
        <f>VENTAS[[#This Row],[Total]]-VENTAS[[#This Row],[Comisión 10%]]-VENTAS[[#This Row],[Costo SIN Comision]]</f>
        <v>0</v>
      </c>
      <c r="M1196" s="12"/>
      <c r="N1196" s="16"/>
    </row>
    <row r="1197" spans="1:14" ht="20" hidden="1" customHeight="1">
      <c r="A1197" s="9">
        <v>45510</v>
      </c>
      <c r="B1197" s="10"/>
      <c r="C1197" s="10" t="s">
        <v>4407</v>
      </c>
      <c r="D1197" s="10" t="s">
        <v>4349</v>
      </c>
      <c r="E1197" s="10" t="s">
        <v>2516</v>
      </c>
      <c r="F1197" s="10" t="str">
        <f>IFERROR(VLOOKUP(VENTAS[[#This Row],[Código del producto Vendido]],STOCK[],5,FALSE),"-")</f>
        <v>Bolso pequeño estilo old money</v>
      </c>
      <c r="G1197" s="10">
        <v>1</v>
      </c>
      <c r="H1197" s="12">
        <v>20</v>
      </c>
      <c r="I1197" s="12">
        <f>VENTAS[[#This Row],[Cantidad]]*VENTAS[[#This Row],[Precio Venta]]</f>
        <v>20</v>
      </c>
      <c r="J1197" s="12">
        <f>IF(VENTAS[[#This Row],[Nombre del Gestor]]&gt;1,VENTAS[[#This Row],[Total]]*10%,0)</f>
        <v>2</v>
      </c>
      <c r="K1197" s="12">
        <f>IFERROR(VLOOKUP(VENTAS[[#This Row],[Código del producto Vendido]],STOCK[],16,FALSE)*VENTAS[[#This Row],[Cantidad]]+VLOOKUP(VENTAS[[#This Row],[Código del producto Vendido]],STOCK[],19,FALSE)*VENTAS[[#This Row],[Cantidad]],VENTAS[[#This Row],[Total]])</f>
        <v>11.49</v>
      </c>
      <c r="L1197" s="12">
        <f>VENTAS[[#This Row],[Total]]-VENTAS[[#This Row],[Comisión 10%]]-VENTAS[[#This Row],[Costo SIN Comision]]</f>
        <v>6.51</v>
      </c>
      <c r="M1197" s="12"/>
      <c r="N1197" s="16"/>
    </row>
    <row r="1198" spans="1:14" ht="20" hidden="1" customHeight="1">
      <c r="A1198" s="9">
        <v>45511</v>
      </c>
      <c r="B1198" s="10"/>
      <c r="C1198" s="10" t="s">
        <v>4419</v>
      </c>
      <c r="D1198" s="10" t="s">
        <v>4349</v>
      </c>
      <c r="E1198" s="10" t="s">
        <v>1469</v>
      </c>
      <c r="F1198" s="10" t="str">
        <f>IFERROR(VLOOKUP(VENTAS[[#This Row],[Código del producto Vendido]],STOCK[],5,FALSE),"-")</f>
        <v>Sandalias de tacón triangular</v>
      </c>
      <c r="G1198" s="10">
        <v>1</v>
      </c>
      <c r="H1198" s="12">
        <v>35</v>
      </c>
      <c r="I1198" s="12">
        <f>VENTAS[[#This Row],[Cantidad]]*VENTAS[[#This Row],[Precio Venta]]</f>
        <v>35</v>
      </c>
      <c r="J1198" s="12">
        <f>IF(VENTAS[[#This Row],[Nombre del Gestor]]&gt;1,VENTAS[[#This Row],[Total]]*10%,0)</f>
        <v>3.5</v>
      </c>
      <c r="K1198" s="12">
        <f>IFERROR(VLOOKUP(VENTAS[[#This Row],[Código del producto Vendido]],STOCK[],16,FALSE)*VENTAS[[#This Row],[Cantidad]]+VLOOKUP(VENTAS[[#This Row],[Código del producto Vendido]],STOCK[],19,FALSE)*VENTAS[[#This Row],[Cantidad]],VENTAS[[#This Row],[Total]])</f>
        <v>24</v>
      </c>
      <c r="L1198" s="12">
        <f>VENTAS[[#This Row],[Total]]-VENTAS[[#This Row],[Comisión 10%]]-VENTAS[[#This Row],[Costo SIN Comision]]</f>
        <v>7.5</v>
      </c>
      <c r="M1198" s="12"/>
      <c r="N1198" s="16"/>
    </row>
    <row r="1199" spans="1:14" ht="20" hidden="1" customHeight="1">
      <c r="A1199" s="9">
        <v>45510</v>
      </c>
      <c r="B1199" s="10"/>
      <c r="C1199" s="10" t="s">
        <v>4420</v>
      </c>
      <c r="D1199" s="10" t="s">
        <v>4349</v>
      </c>
      <c r="E1199" s="10" t="s">
        <v>1054</v>
      </c>
      <c r="F1199" s="10" t="str">
        <f>IFERROR(VLOOKUP(VENTAS[[#This Row],[Código del producto Vendido]],STOCK[],5,FALSE),"-")</f>
        <v>Vestido en punto Rosa</v>
      </c>
      <c r="G1199" s="10">
        <v>1</v>
      </c>
      <c r="H1199" s="12">
        <v>25</v>
      </c>
      <c r="I1199" s="12">
        <f>VENTAS[[#This Row],[Cantidad]]*VENTAS[[#This Row],[Precio Venta]]</f>
        <v>25</v>
      </c>
      <c r="J1199" s="12">
        <f>IF(VENTAS[[#This Row],[Nombre del Gestor]]&gt;1,VENTAS[[#This Row],[Total]]*10%,0)</f>
        <v>2.5</v>
      </c>
      <c r="K1199" s="12">
        <f>IFERROR(VLOOKUP(VENTAS[[#This Row],[Código del producto Vendido]],STOCK[],16,FALSE)*VENTAS[[#This Row],[Cantidad]]+VLOOKUP(VENTAS[[#This Row],[Código del producto Vendido]],STOCK[],19,FALSE)*VENTAS[[#This Row],[Cantidad]],VENTAS[[#This Row],[Total]])</f>
        <v>21.470454545454501</v>
      </c>
      <c r="L1199" s="12">
        <f>VENTAS[[#This Row],[Total]]-VENTAS[[#This Row],[Comisión 10%]]-VENTAS[[#This Row],[Costo SIN Comision]]</f>
        <v>1.0295454545454987</v>
      </c>
      <c r="M1199" s="12"/>
      <c r="N1199" s="16"/>
    </row>
    <row r="1200" spans="1:14" ht="20" hidden="1" customHeight="1">
      <c r="A1200" s="9">
        <v>45510</v>
      </c>
      <c r="B1200" s="10"/>
      <c r="C1200" s="10" t="s">
        <v>4421</v>
      </c>
      <c r="D1200" s="10" t="s">
        <v>4349</v>
      </c>
      <c r="E1200" s="10" t="s">
        <v>2643</v>
      </c>
      <c r="F1200" s="10" t="str">
        <f>IFERROR(VLOOKUP(VENTAS[[#This Row],[Código del producto Vendido]],STOCK[],5,FALSE),"-")</f>
        <v>Top de punto y cuello elegante negro H&amp;M</v>
      </c>
      <c r="G1200" s="10">
        <v>1</v>
      </c>
      <c r="H1200" s="12">
        <v>20</v>
      </c>
      <c r="I1200" s="12">
        <f>VENTAS[[#This Row],[Cantidad]]*VENTAS[[#This Row],[Precio Venta]]</f>
        <v>20</v>
      </c>
      <c r="J1200" s="12">
        <f>IF(VENTAS[[#This Row],[Nombre del Gestor]]&gt;1,VENTAS[[#This Row],[Total]]*10%,0)</f>
        <v>2</v>
      </c>
      <c r="K1200" s="12">
        <f>IFERROR(VLOOKUP(VENTAS[[#This Row],[Código del producto Vendido]],STOCK[],16,FALSE)*VENTAS[[#This Row],[Cantidad]]+VLOOKUP(VENTAS[[#This Row],[Código del producto Vendido]],STOCK[],19,FALSE)*VENTAS[[#This Row],[Cantidad]],VENTAS[[#This Row],[Total]])</f>
        <v>10.96</v>
      </c>
      <c r="L1200" s="12">
        <f>VENTAS[[#This Row],[Total]]-VENTAS[[#This Row],[Comisión 10%]]-VENTAS[[#This Row],[Costo SIN Comision]]</f>
        <v>7.0399999999999991</v>
      </c>
      <c r="M1200" s="12"/>
      <c r="N1200" s="16"/>
    </row>
    <row r="1201" spans="1:14" ht="20" hidden="1" customHeight="1">
      <c r="A1201" s="9">
        <v>45510</v>
      </c>
      <c r="B1201" s="10"/>
      <c r="C1201" s="10" t="s">
        <v>4421</v>
      </c>
      <c r="D1201" s="10" t="s">
        <v>4349</v>
      </c>
      <c r="E1201" s="10" t="s">
        <v>2646</v>
      </c>
      <c r="F1201" s="10" t="str">
        <f>IFERROR(VLOOKUP(VENTAS[[#This Row],[Código del producto Vendido]],STOCK[],5,FALSE),"-")</f>
        <v>Top de punto y cuello elegante blanco H&amp;M</v>
      </c>
      <c r="G1201" s="10">
        <v>1</v>
      </c>
      <c r="H1201" s="12">
        <v>20</v>
      </c>
      <c r="I1201" s="12">
        <f>VENTAS[[#This Row],[Cantidad]]*VENTAS[[#This Row],[Precio Venta]]</f>
        <v>20</v>
      </c>
      <c r="J1201" s="12">
        <f>IF(VENTAS[[#This Row],[Nombre del Gestor]]&gt;1,VENTAS[[#This Row],[Total]]*10%,0)</f>
        <v>2</v>
      </c>
      <c r="K1201" s="12">
        <f>IFERROR(VLOOKUP(VENTAS[[#This Row],[Código del producto Vendido]],STOCK[],16,FALSE)*VENTAS[[#This Row],[Cantidad]]+VLOOKUP(VENTAS[[#This Row],[Código del producto Vendido]],STOCK[],19,FALSE)*VENTAS[[#This Row],[Cantidad]],VENTAS[[#This Row],[Total]])</f>
        <v>10.96</v>
      </c>
      <c r="L1201" s="12">
        <f>VENTAS[[#This Row],[Total]]-VENTAS[[#This Row],[Comisión 10%]]-VENTAS[[#This Row],[Costo SIN Comision]]</f>
        <v>7.0399999999999991</v>
      </c>
      <c r="M1201" s="12"/>
      <c r="N1201" s="16"/>
    </row>
    <row r="1202" spans="1:14" ht="20" hidden="1" customHeight="1">
      <c r="A1202" s="9">
        <v>45511</v>
      </c>
      <c r="B1202" s="10"/>
      <c r="C1202" s="10" t="s">
        <v>4422</v>
      </c>
      <c r="D1202" s="10" t="s">
        <v>4349</v>
      </c>
      <c r="E1202" s="10" t="s">
        <v>1897</v>
      </c>
      <c r="F1202" s="10" t="str">
        <f>IFERROR(VLOOKUP(VENTAS[[#This Row],[Código del producto Vendido]],STOCK[],5,FALSE),"-")</f>
        <v>Set de bolso minimalista amarillo</v>
      </c>
      <c r="G1202" s="10">
        <v>1</v>
      </c>
      <c r="H1202" s="12">
        <v>20</v>
      </c>
      <c r="I1202" s="12">
        <f>VENTAS[[#This Row],[Cantidad]]*VENTAS[[#This Row],[Precio Venta]]</f>
        <v>20</v>
      </c>
      <c r="J1202" s="12">
        <f>IF(VENTAS[[#This Row],[Nombre del Gestor]]&gt;1,VENTAS[[#This Row],[Total]]*10%,0)</f>
        <v>2</v>
      </c>
      <c r="K1202" s="12">
        <f>IFERROR(VLOOKUP(VENTAS[[#This Row],[Código del producto Vendido]],STOCK[],16,FALSE)*VENTAS[[#This Row],[Cantidad]]+VLOOKUP(VENTAS[[#This Row],[Código del producto Vendido]],STOCK[],19,FALSE)*VENTAS[[#This Row],[Cantidad]],VENTAS[[#This Row],[Total]])</f>
        <v>12.75</v>
      </c>
      <c r="L1202" s="12">
        <f>VENTAS[[#This Row],[Total]]-VENTAS[[#This Row],[Comisión 10%]]-VENTAS[[#This Row],[Costo SIN Comision]]</f>
        <v>5.25</v>
      </c>
      <c r="M1202" s="12"/>
      <c r="N1202" s="16"/>
    </row>
    <row r="1203" spans="1:14" ht="20" hidden="1" customHeight="1">
      <c r="A1203" s="9">
        <v>45511</v>
      </c>
      <c r="B1203" s="10"/>
      <c r="C1203" s="10" t="s">
        <v>4422</v>
      </c>
      <c r="D1203" s="10" t="s">
        <v>4349</v>
      </c>
      <c r="E1203" s="10" t="s">
        <v>2500</v>
      </c>
      <c r="F1203" s="10" t="str">
        <f>IFERROR(VLOOKUP(VENTAS[[#This Row],[Código del producto Vendido]],STOCK[],5,FALSE),"-")</f>
        <v xml:space="preserve">Bolso tejido redondo de gran capidad </v>
      </c>
      <c r="G1203" s="10">
        <v>1</v>
      </c>
      <c r="H1203" s="12">
        <v>25</v>
      </c>
      <c r="I1203" s="12">
        <f>VENTAS[[#This Row],[Cantidad]]*VENTAS[[#This Row],[Precio Venta]]</f>
        <v>25</v>
      </c>
      <c r="J1203" s="12">
        <f>IF(VENTAS[[#This Row],[Nombre del Gestor]]&gt;1,VENTAS[[#This Row],[Total]]*10%,0)</f>
        <v>2.5</v>
      </c>
      <c r="K1203" s="12">
        <f>IFERROR(VLOOKUP(VENTAS[[#This Row],[Código del producto Vendido]],STOCK[],16,FALSE)*VENTAS[[#This Row],[Cantidad]]+VLOOKUP(VENTAS[[#This Row],[Código del producto Vendido]],STOCK[],19,FALSE)*VENTAS[[#This Row],[Cantidad]],VENTAS[[#This Row],[Total]])</f>
        <v>11.67</v>
      </c>
      <c r="L1203" s="12">
        <f>VENTAS[[#This Row],[Total]]-VENTAS[[#This Row],[Comisión 10%]]-VENTAS[[#This Row],[Costo SIN Comision]]</f>
        <v>10.83</v>
      </c>
      <c r="M1203" s="12"/>
      <c r="N1203" s="16"/>
    </row>
    <row r="1204" spans="1:14" ht="20" hidden="1" customHeight="1">
      <c r="A1204" s="9">
        <v>45511</v>
      </c>
      <c r="B1204" s="10"/>
      <c r="C1204" s="10" t="s">
        <v>4423</v>
      </c>
      <c r="D1204" s="10" t="s">
        <v>4349</v>
      </c>
      <c r="E1204" s="10" t="s">
        <v>2458</v>
      </c>
      <c r="F1204" s="10" t="str">
        <f>IFERROR(VLOOKUP(VENTAS[[#This Row],[Código del producto Vendido]],STOCK[],5,FALSE),"-")</f>
        <v>Sandalias prácticas Chunky Negras</v>
      </c>
      <c r="G1204" s="10">
        <v>1</v>
      </c>
      <c r="H1204" s="12">
        <v>35</v>
      </c>
      <c r="I1204" s="12">
        <f>VENTAS[[#This Row],[Cantidad]]*VENTAS[[#This Row],[Precio Venta]]</f>
        <v>35</v>
      </c>
      <c r="J1204" s="12">
        <f>IF(VENTAS[[#This Row],[Nombre del Gestor]]&gt;1,VENTAS[[#This Row],[Total]]*10%,0)</f>
        <v>3.5</v>
      </c>
      <c r="K1204" s="12">
        <f>IFERROR(VLOOKUP(VENTAS[[#This Row],[Código del producto Vendido]],STOCK[],16,FALSE)*VENTAS[[#This Row],[Cantidad]]+VLOOKUP(VENTAS[[#This Row],[Código del producto Vendido]],STOCK[],19,FALSE)*VENTAS[[#This Row],[Cantidad]],VENTAS[[#This Row],[Total]])</f>
        <v>21.97</v>
      </c>
      <c r="L1204" s="12">
        <f>VENTAS[[#This Row],[Total]]-VENTAS[[#This Row],[Comisión 10%]]-VENTAS[[#This Row],[Costo SIN Comision]]</f>
        <v>9.5300000000000011</v>
      </c>
      <c r="M1204" s="12"/>
      <c r="N1204" s="16"/>
    </row>
    <row r="1205" spans="1:14" ht="20" hidden="1" customHeight="1">
      <c r="A1205" s="9">
        <v>45511</v>
      </c>
      <c r="B1205" s="10"/>
      <c r="C1205" s="10" t="s">
        <v>4424</v>
      </c>
      <c r="D1205" s="10" t="s">
        <v>4349</v>
      </c>
      <c r="E1205" s="10" t="s">
        <v>2594</v>
      </c>
      <c r="F1205" s="10" t="str">
        <f>IFERROR(VLOOKUP(VENTAS[[#This Row],[Código del producto Vendido]],STOCK[],5,FALSE),"-")</f>
        <v>Vestido crochet playero de tirantes</v>
      </c>
      <c r="G1205" s="10">
        <v>1</v>
      </c>
      <c r="H1205" s="12">
        <v>30</v>
      </c>
      <c r="I1205" s="12">
        <f>VENTAS[[#This Row],[Cantidad]]*VENTAS[[#This Row],[Precio Venta]]</f>
        <v>30</v>
      </c>
      <c r="J1205" s="12">
        <f>IF(VENTAS[[#This Row],[Nombre del Gestor]]&gt;1,VENTAS[[#This Row],[Total]]*10%,0)</f>
        <v>3</v>
      </c>
      <c r="K1205" s="12">
        <f>IFERROR(VLOOKUP(VENTAS[[#This Row],[Código del producto Vendido]],STOCK[],16,FALSE)*VENTAS[[#This Row],[Cantidad]]+VLOOKUP(VENTAS[[#This Row],[Código del producto Vendido]],STOCK[],19,FALSE)*VENTAS[[#This Row],[Cantidad]],VENTAS[[#This Row],[Total]])</f>
        <v>13.56</v>
      </c>
      <c r="L1205" s="12">
        <f>VENTAS[[#This Row],[Total]]-VENTAS[[#This Row],[Comisión 10%]]-VENTAS[[#This Row],[Costo SIN Comision]]</f>
        <v>13.44</v>
      </c>
      <c r="M1205" s="12"/>
      <c r="N1205" s="16"/>
    </row>
    <row r="1206" spans="1:14" ht="20" hidden="1" customHeight="1">
      <c r="A1206" s="9">
        <v>45512</v>
      </c>
      <c r="B1206" s="10"/>
      <c r="C1206" s="10" t="s">
        <v>4425</v>
      </c>
      <c r="D1206" s="10" t="s">
        <v>4349</v>
      </c>
      <c r="E1206" s="10" t="s">
        <v>2604</v>
      </c>
      <c r="F1206" s="10" t="str">
        <f>IFERROR(VLOOKUP(VENTAS[[#This Row],[Código del producto Vendido]],STOCK[],5,FALSE),"-")</f>
        <v>Conjunto falda y top</v>
      </c>
      <c r="G1206" s="10">
        <v>1</v>
      </c>
      <c r="H1206" s="12">
        <v>35</v>
      </c>
      <c r="I1206" s="12">
        <f>VENTAS[[#This Row],[Cantidad]]*VENTAS[[#This Row],[Precio Venta]]</f>
        <v>35</v>
      </c>
      <c r="J1206" s="12">
        <f>IF(VENTAS[[#This Row],[Nombre del Gestor]]&gt;1,VENTAS[[#This Row],[Total]]*10%,0)</f>
        <v>3.5</v>
      </c>
      <c r="K1206" s="12">
        <f>IFERROR(VLOOKUP(VENTAS[[#This Row],[Código del producto Vendido]],STOCK[],16,FALSE)*VENTAS[[#This Row],[Cantidad]]+VLOOKUP(VENTAS[[#This Row],[Código del producto Vendido]],STOCK[],19,FALSE)*VENTAS[[#This Row],[Cantidad]],VENTAS[[#This Row],[Total]])</f>
        <v>13.56</v>
      </c>
      <c r="L1206" s="12">
        <f>VENTAS[[#This Row],[Total]]-VENTAS[[#This Row],[Comisión 10%]]-VENTAS[[#This Row],[Costo SIN Comision]]</f>
        <v>17.939999999999998</v>
      </c>
      <c r="M1206" s="12"/>
      <c r="N1206" s="16"/>
    </row>
    <row r="1207" spans="1:14" ht="20" hidden="1" customHeight="1">
      <c r="A1207" s="9">
        <v>45517</v>
      </c>
      <c r="B1207" s="10"/>
      <c r="C1207" s="10" t="s">
        <v>4426</v>
      </c>
      <c r="D1207" s="10" t="s">
        <v>4349</v>
      </c>
      <c r="E1207" s="10" t="s">
        <v>2661</v>
      </c>
      <c r="F1207" s="10" t="str">
        <f>IFERROR(VLOOKUP(VENTAS[[#This Row],[Código del producto Vendido]],STOCK[],5,FALSE),"-")</f>
        <v>Pullover blanco de algodón PRIMARK</v>
      </c>
      <c r="G1207" s="10">
        <v>1</v>
      </c>
      <c r="H1207" s="12">
        <v>12</v>
      </c>
      <c r="I1207" s="12">
        <f>VENTAS[[#This Row],[Cantidad]]*VENTAS[[#This Row],[Precio Venta]]</f>
        <v>12</v>
      </c>
      <c r="J1207" s="12">
        <f>IF(VENTAS[[#This Row],[Nombre del Gestor]]&gt;1,VENTAS[[#This Row],[Total]]*10%,0)</f>
        <v>1.2000000000000002</v>
      </c>
      <c r="K1207" s="12">
        <f>IFERROR(VLOOKUP(VENTAS[[#This Row],[Código del producto Vendido]],STOCK[],16,FALSE)*VENTAS[[#This Row],[Cantidad]]+VLOOKUP(VENTAS[[#This Row],[Código del producto Vendido]],STOCK[],19,FALSE)*VENTAS[[#This Row],[Cantidad]],VENTAS[[#This Row],[Total]])</f>
        <v>8.9700000000000006</v>
      </c>
      <c r="L1207" s="12">
        <f>VENTAS[[#This Row],[Total]]-VENTAS[[#This Row],[Comisión 10%]]-VENTAS[[#This Row],[Costo SIN Comision]]</f>
        <v>1.83</v>
      </c>
      <c r="M1207" s="12"/>
      <c r="N1207" s="16"/>
    </row>
    <row r="1208" spans="1:14" ht="20" hidden="1" customHeight="1">
      <c r="A1208" s="9">
        <v>45517</v>
      </c>
      <c r="B1208" s="10"/>
      <c r="C1208" s="10" t="s">
        <v>4426</v>
      </c>
      <c r="D1208" s="10" t="s">
        <v>4349</v>
      </c>
      <c r="E1208" s="10" t="s">
        <v>2663</v>
      </c>
      <c r="F1208" s="10" t="str">
        <f>IFERROR(VLOOKUP(VENTAS[[#This Row],[Código del producto Vendido]],STOCK[],5,FALSE),"-")</f>
        <v>Pullover blanco de algodón PRIMARK</v>
      </c>
      <c r="G1208" s="10">
        <v>1</v>
      </c>
      <c r="H1208" s="12">
        <v>12</v>
      </c>
      <c r="I1208" s="12">
        <f>VENTAS[[#This Row],[Cantidad]]*VENTAS[[#This Row],[Precio Venta]]</f>
        <v>12</v>
      </c>
      <c r="J1208" s="12">
        <f>IF(VENTAS[[#This Row],[Nombre del Gestor]]&gt;1,VENTAS[[#This Row],[Total]]*10%,0)</f>
        <v>1.2000000000000002</v>
      </c>
      <c r="K1208" s="12">
        <f>IFERROR(VLOOKUP(VENTAS[[#This Row],[Código del producto Vendido]],STOCK[],16,FALSE)*VENTAS[[#This Row],[Cantidad]]+VLOOKUP(VENTAS[[#This Row],[Código del producto Vendido]],STOCK[],19,FALSE)*VENTAS[[#This Row],[Cantidad]],VENTAS[[#This Row],[Total]])</f>
        <v>8.9700000000000006</v>
      </c>
      <c r="L1208" s="12">
        <f>VENTAS[[#This Row],[Total]]-VENTAS[[#This Row],[Comisión 10%]]-VENTAS[[#This Row],[Costo SIN Comision]]</f>
        <v>1.83</v>
      </c>
      <c r="M1208" s="12"/>
      <c r="N1208" s="16"/>
    </row>
    <row r="1209" spans="1:14" ht="20" hidden="1" customHeight="1">
      <c r="A1209" s="9">
        <v>45517</v>
      </c>
      <c r="B1209" s="10"/>
      <c r="C1209" s="10" t="s">
        <v>4427</v>
      </c>
      <c r="D1209" s="10" t="s">
        <v>4349</v>
      </c>
      <c r="E1209" s="10" t="s">
        <v>2592</v>
      </c>
      <c r="F1209" s="10" t="str">
        <f>IFERROR(VLOOKUP(VENTAS[[#This Row],[Código del producto Vendido]],STOCK[],5,FALSE),"-")</f>
        <v>Vestido crochet Playero espalda descubierta</v>
      </c>
      <c r="G1209" s="10">
        <v>1</v>
      </c>
      <c r="H1209" s="12">
        <v>30</v>
      </c>
      <c r="I1209" s="12">
        <f>VENTAS[[#This Row],[Cantidad]]*VENTAS[[#This Row],[Precio Venta]]</f>
        <v>30</v>
      </c>
      <c r="J1209" s="12">
        <f>IF(VENTAS[[#This Row],[Nombre del Gestor]]&gt;1,VENTAS[[#This Row],[Total]]*10%,0)</f>
        <v>3</v>
      </c>
      <c r="K1209" s="12">
        <f>IFERROR(VLOOKUP(VENTAS[[#This Row],[Código del producto Vendido]],STOCK[],16,FALSE)*VENTAS[[#This Row],[Cantidad]]+VLOOKUP(VENTAS[[#This Row],[Código del producto Vendido]],STOCK[],19,FALSE)*VENTAS[[#This Row],[Cantidad]],VENTAS[[#This Row],[Total]])</f>
        <v>14.020000000000001</v>
      </c>
      <c r="L1209" s="12">
        <f>VENTAS[[#This Row],[Total]]-VENTAS[[#This Row],[Comisión 10%]]-VENTAS[[#This Row],[Costo SIN Comision]]</f>
        <v>12.979999999999999</v>
      </c>
      <c r="M1209" s="12"/>
      <c r="N1209" s="16"/>
    </row>
    <row r="1210" spans="1:14" ht="20" hidden="1" customHeight="1">
      <c r="A1210" s="9">
        <v>45517</v>
      </c>
      <c r="B1210" s="10"/>
      <c r="C1210" s="10" t="s">
        <v>4427</v>
      </c>
      <c r="D1210" s="10" t="s">
        <v>4349</v>
      </c>
      <c r="E1210" s="10" t="s">
        <v>2107</v>
      </c>
      <c r="F1210" s="10" t="str">
        <f>IFERROR(VLOOKUP(VENTAS[[#This Row],[Código del producto Vendido]],STOCK[],5,FALSE),"-")</f>
        <v>Fashion TOTE bag tamaño de gran capacidad</v>
      </c>
      <c r="G1210" s="10">
        <v>1</v>
      </c>
      <c r="H1210" s="12">
        <v>18</v>
      </c>
      <c r="I1210" s="12">
        <f>VENTAS[[#This Row],[Cantidad]]*VENTAS[[#This Row],[Precio Venta]]</f>
        <v>18</v>
      </c>
      <c r="J1210" s="12">
        <f>IF(VENTAS[[#This Row],[Nombre del Gestor]]&gt;1,VENTAS[[#This Row],[Total]]*10%,0)</f>
        <v>1.8</v>
      </c>
      <c r="K1210" s="12">
        <f>IFERROR(VLOOKUP(VENTAS[[#This Row],[Código del producto Vendido]],STOCK[],16,FALSE)*VENTAS[[#This Row],[Cantidad]]+VLOOKUP(VENTAS[[#This Row],[Código del producto Vendido]],STOCK[],19,FALSE)*VENTAS[[#This Row],[Cantidad]],VENTAS[[#This Row],[Total]])</f>
        <v>7.59</v>
      </c>
      <c r="L1210" s="12">
        <f>VENTAS[[#This Row],[Total]]-VENTAS[[#This Row],[Comisión 10%]]-VENTAS[[#This Row],[Costo SIN Comision]]</f>
        <v>8.61</v>
      </c>
      <c r="M1210" s="12"/>
      <c r="N1210" s="16"/>
    </row>
    <row r="1211" spans="1:14" ht="20" hidden="1" customHeight="1">
      <c r="A1211" s="9">
        <v>45520</v>
      </c>
      <c r="B1211" s="10"/>
      <c r="C1211" s="10" t="s">
        <v>4428</v>
      </c>
      <c r="D1211" s="10" t="s">
        <v>4349</v>
      </c>
      <c r="E1211" s="10" t="s">
        <v>2488</v>
      </c>
      <c r="F1211" s="10" t="str">
        <f>IFERROR(VLOOKUP(VENTAS[[#This Row],[Código del producto Vendido]],STOCK[],5,FALSE),"-")</f>
        <v>Sandalias prácticas chunky blanco crema</v>
      </c>
      <c r="G1211" s="10">
        <v>1</v>
      </c>
      <c r="H1211" s="12">
        <v>35</v>
      </c>
      <c r="I1211" s="12">
        <f>VENTAS[[#This Row],[Cantidad]]*VENTAS[[#This Row],[Precio Venta]]</f>
        <v>35</v>
      </c>
      <c r="J1211" s="12">
        <f>IF(VENTAS[[#This Row],[Nombre del Gestor]]&gt;1,VENTAS[[#This Row],[Total]]*10%,0)</f>
        <v>3.5</v>
      </c>
      <c r="K1211" s="12">
        <f>IFERROR(VLOOKUP(VENTAS[[#This Row],[Código del producto Vendido]],STOCK[],16,FALSE)*VENTAS[[#This Row],[Cantidad]]+VLOOKUP(VENTAS[[#This Row],[Código del producto Vendido]],STOCK[],19,FALSE)*VENTAS[[#This Row],[Cantidad]],VENTAS[[#This Row],[Total]])</f>
        <v>24.217399999999998</v>
      </c>
      <c r="L1211" s="12">
        <f>VENTAS[[#This Row],[Total]]-VENTAS[[#This Row],[Comisión 10%]]-VENTAS[[#This Row],[Costo SIN Comision]]</f>
        <v>7.2826000000000022</v>
      </c>
      <c r="M1211" s="12"/>
      <c r="N1211" s="16"/>
    </row>
    <row r="1212" spans="1:14" ht="20" hidden="1" customHeight="1">
      <c r="A1212" s="9">
        <v>45523</v>
      </c>
      <c r="B1212" s="10"/>
      <c r="C1212" s="10" t="s">
        <v>4429</v>
      </c>
      <c r="D1212" s="10" t="s">
        <v>4349</v>
      </c>
      <c r="E1212" s="10" t="s">
        <v>2460</v>
      </c>
      <c r="F1212" s="10" t="str">
        <f>IFERROR(VLOOKUP(VENTAS[[#This Row],[Código del producto Vendido]],STOCK[],5,FALSE),"-")</f>
        <v>Sandalias prácticas Chunky Negras</v>
      </c>
      <c r="G1212" s="10">
        <v>1</v>
      </c>
      <c r="H1212" s="12">
        <v>35</v>
      </c>
      <c r="I1212" s="12">
        <f>VENTAS[[#This Row],[Cantidad]]*VENTAS[[#This Row],[Precio Venta]]</f>
        <v>35</v>
      </c>
      <c r="J1212" s="12">
        <f>IF(VENTAS[[#This Row],[Nombre del Gestor]]&gt;1,VENTAS[[#This Row],[Total]]*10%,0)</f>
        <v>3.5</v>
      </c>
      <c r="K1212" s="12">
        <f>IFERROR(VLOOKUP(VENTAS[[#This Row],[Código del producto Vendido]],STOCK[],16,FALSE)*VENTAS[[#This Row],[Cantidad]]+VLOOKUP(VENTAS[[#This Row],[Código del producto Vendido]],STOCK[],19,FALSE)*VENTAS[[#This Row],[Cantidad]],VENTAS[[#This Row],[Total]])</f>
        <v>21.97</v>
      </c>
      <c r="L1212" s="12">
        <f>VENTAS[[#This Row],[Total]]-VENTAS[[#This Row],[Comisión 10%]]-VENTAS[[#This Row],[Costo SIN Comision]]</f>
        <v>9.5300000000000011</v>
      </c>
      <c r="M1212" s="12"/>
      <c r="N1212" s="16"/>
    </row>
    <row r="1213" spans="1:14" ht="20" hidden="1" customHeight="1">
      <c r="A1213" s="9">
        <v>45526</v>
      </c>
      <c r="B1213" s="10"/>
      <c r="C1213" s="10" t="s">
        <v>4430</v>
      </c>
      <c r="D1213" s="10" t="s">
        <v>4349</v>
      </c>
      <c r="E1213" s="10" t="s">
        <v>1850</v>
      </c>
      <c r="F1213" s="10" t="str">
        <f>IFERROR(VLOOKUP(VENTAS[[#This Row],[Código del producto Vendido]],STOCK[],5,FALSE),"-")</f>
        <v xml:space="preserve">Crossbody Bag </v>
      </c>
      <c r="G1213" s="10">
        <v>1</v>
      </c>
      <c r="H1213" s="12">
        <v>18</v>
      </c>
      <c r="I1213" s="12">
        <f>VENTAS[[#This Row],[Cantidad]]*VENTAS[[#This Row],[Precio Venta]]</f>
        <v>18</v>
      </c>
      <c r="J1213" s="12">
        <f>IF(VENTAS[[#This Row],[Nombre del Gestor]]&gt;1,VENTAS[[#This Row],[Total]]*10%,0)</f>
        <v>1.8</v>
      </c>
      <c r="K1213" s="12">
        <f>IFERROR(VLOOKUP(VENTAS[[#This Row],[Código del producto Vendido]],STOCK[],16,FALSE)*VENTAS[[#This Row],[Cantidad]]+VLOOKUP(VENTAS[[#This Row],[Código del producto Vendido]],STOCK[],19,FALSE)*VENTAS[[#This Row],[Cantidad]],VENTAS[[#This Row],[Total]])</f>
        <v>10.790000000000001</v>
      </c>
      <c r="L1213" s="12">
        <f>VENTAS[[#This Row],[Total]]-VENTAS[[#This Row],[Comisión 10%]]-VENTAS[[#This Row],[Costo SIN Comision]]</f>
        <v>5.4099999999999984</v>
      </c>
      <c r="M1213" s="12"/>
      <c r="N1213" s="16"/>
    </row>
    <row r="1214" spans="1:14" ht="20" hidden="1" customHeight="1">
      <c r="A1214" s="9">
        <v>45526</v>
      </c>
      <c r="B1214" s="10"/>
      <c r="C1214" s="10" t="s">
        <v>4431</v>
      </c>
      <c r="D1214" s="10" t="s">
        <v>4349</v>
      </c>
      <c r="E1214" s="10" t="s">
        <v>1854</v>
      </c>
      <c r="F1214" s="10" t="str">
        <f>IFERROR(VLOOKUP(VENTAS[[#This Row],[Código del producto Vendido]],STOCK[],5,FALSE),"-")</f>
        <v>Crossbody Bag Negro Lacado</v>
      </c>
      <c r="G1214" s="10">
        <v>1</v>
      </c>
      <c r="H1214" s="12">
        <v>20</v>
      </c>
      <c r="I1214" s="12">
        <f>VENTAS[[#This Row],[Cantidad]]*VENTAS[[#This Row],[Precio Venta]]</f>
        <v>20</v>
      </c>
      <c r="J1214" s="12">
        <f>IF(VENTAS[[#This Row],[Nombre del Gestor]]&gt;1,VENTAS[[#This Row],[Total]]*10%,0)</f>
        <v>2</v>
      </c>
      <c r="K1214" s="12">
        <f>IFERROR(VLOOKUP(VENTAS[[#This Row],[Código del producto Vendido]],STOCK[],16,FALSE)*VENTAS[[#This Row],[Cantidad]]+VLOOKUP(VENTAS[[#This Row],[Código del producto Vendido]],STOCK[],19,FALSE)*VENTAS[[#This Row],[Cantidad]],VENTAS[[#This Row],[Total]])</f>
        <v>10.790000000000001</v>
      </c>
      <c r="L1214" s="12">
        <f>VENTAS[[#This Row],[Total]]-VENTAS[[#This Row],[Comisión 10%]]-VENTAS[[#This Row],[Costo SIN Comision]]</f>
        <v>7.2099999999999991</v>
      </c>
      <c r="M1214" s="12"/>
      <c r="N1214" s="16"/>
    </row>
    <row r="1215" spans="1:14" ht="20" hidden="1" customHeight="1">
      <c r="A1215" s="9">
        <v>45527</v>
      </c>
      <c r="B1215" s="10"/>
      <c r="C1215" s="10" t="s">
        <v>4432</v>
      </c>
      <c r="D1215" s="10" t="s">
        <v>4349</v>
      </c>
      <c r="E1215" s="10" t="s">
        <v>2678</v>
      </c>
      <c r="F1215" s="10" t="str">
        <f>IFERROR(VLOOKUP(VENTAS[[#This Row],[Código del producto Vendido]],STOCK[],5,FALSE),"-")</f>
        <v>Traje de baño clásico en bloque de color de talle alto</v>
      </c>
      <c r="G1215" s="10">
        <v>1</v>
      </c>
      <c r="H1215" s="12">
        <v>28</v>
      </c>
      <c r="I1215" s="12">
        <f>VENTAS[[#This Row],[Cantidad]]*VENTAS[[#This Row],[Precio Venta]]</f>
        <v>28</v>
      </c>
      <c r="J1215" s="12">
        <f>IF(VENTAS[[#This Row],[Nombre del Gestor]]&gt;1,VENTAS[[#This Row],[Total]]*10%,0)</f>
        <v>2.8000000000000003</v>
      </c>
      <c r="K1215" s="12">
        <f>IFERROR(VLOOKUP(VENTAS[[#This Row],[Código del producto Vendido]],STOCK[],16,FALSE)*VENTAS[[#This Row],[Cantidad]]+VLOOKUP(VENTAS[[#This Row],[Código del producto Vendido]],STOCK[],19,FALSE)*VENTAS[[#This Row],[Cantidad]],VENTAS[[#This Row],[Total]])</f>
        <v>10.4</v>
      </c>
      <c r="L1215" s="12">
        <f>VENTAS[[#This Row],[Total]]-VENTAS[[#This Row],[Comisión 10%]]-VENTAS[[#This Row],[Costo SIN Comision]]</f>
        <v>14.799999999999999</v>
      </c>
      <c r="M1215" s="12"/>
      <c r="N1215" s="16"/>
    </row>
    <row r="1216" spans="1:14" ht="20" hidden="1" customHeight="1">
      <c r="A1216" s="9">
        <v>45518</v>
      </c>
      <c r="B1216" s="10"/>
      <c r="C1216" s="10" t="s">
        <v>4433</v>
      </c>
      <c r="D1216" s="10" t="s">
        <v>4349</v>
      </c>
      <c r="E1216" s="10" t="s">
        <v>2602</v>
      </c>
      <c r="F1216" s="10" t="str">
        <f>IFERROR(VLOOKUP(VENTAS[[#This Row],[Código del producto Vendido]],STOCK[],5,FALSE),"-")</f>
        <v>Bolso verano de rafia en bloque de color</v>
      </c>
      <c r="G1216" s="10">
        <v>1</v>
      </c>
      <c r="H1216" s="12">
        <v>20</v>
      </c>
      <c r="I1216" s="12">
        <f>VENTAS[[#This Row],[Cantidad]]*VENTAS[[#This Row],[Precio Venta]]</f>
        <v>20</v>
      </c>
      <c r="J1216" s="12">
        <f>IF(VENTAS[[#This Row],[Nombre del Gestor]]&gt;1,VENTAS[[#This Row],[Total]]*10%,0)</f>
        <v>2</v>
      </c>
      <c r="K1216" s="12">
        <f>IFERROR(VLOOKUP(VENTAS[[#This Row],[Código del producto Vendido]],STOCK[],16,FALSE)*VENTAS[[#This Row],[Cantidad]]+VLOOKUP(VENTAS[[#This Row],[Código del producto Vendido]],STOCK[],19,FALSE)*VENTAS[[#This Row],[Cantidad]],VENTAS[[#This Row],[Total]])</f>
        <v>5.96</v>
      </c>
      <c r="L1216" s="12">
        <f>VENTAS[[#This Row],[Total]]-VENTAS[[#This Row],[Comisión 10%]]-VENTAS[[#This Row],[Costo SIN Comision]]</f>
        <v>12.04</v>
      </c>
      <c r="M1216" s="12"/>
      <c r="N1216" s="16"/>
    </row>
    <row r="1217" spans="1:14" ht="20" hidden="1" customHeight="1">
      <c r="A1217" s="9">
        <v>45518</v>
      </c>
      <c r="B1217" s="10"/>
      <c r="C1217" s="10" t="s">
        <v>4433</v>
      </c>
      <c r="D1217" s="10" t="s">
        <v>4349</v>
      </c>
      <c r="E1217" s="10" t="s">
        <v>2589</v>
      </c>
      <c r="F1217" s="10" t="str">
        <f>IFERROR(VLOOKUP(VENTAS[[#This Row],[Código del producto Vendido]],STOCK[],5,FALSE),"-")</f>
        <v>Vestido blanco espalda cruzada</v>
      </c>
      <c r="G1217" s="10">
        <v>1</v>
      </c>
      <c r="H1217" s="12">
        <v>30</v>
      </c>
      <c r="I1217" s="12">
        <f>VENTAS[[#This Row],[Cantidad]]*VENTAS[[#This Row],[Precio Venta]]</f>
        <v>30</v>
      </c>
      <c r="J1217" s="12">
        <f>IF(VENTAS[[#This Row],[Nombre del Gestor]]&gt;1,VENTAS[[#This Row],[Total]]*10%,0)</f>
        <v>3</v>
      </c>
      <c r="K1217" s="12">
        <f>IFERROR(VLOOKUP(VENTAS[[#This Row],[Código del producto Vendido]],STOCK[],16,FALSE)*VENTAS[[#This Row],[Cantidad]]+VLOOKUP(VENTAS[[#This Row],[Código del producto Vendido]],STOCK[],19,FALSE)*VENTAS[[#This Row],[Cantidad]],VENTAS[[#This Row],[Total]])</f>
        <v>15.440000000000001</v>
      </c>
      <c r="L1217" s="12">
        <f>VENTAS[[#This Row],[Total]]-VENTAS[[#This Row],[Comisión 10%]]-VENTAS[[#This Row],[Costo SIN Comision]]</f>
        <v>11.559999999999999</v>
      </c>
      <c r="M1217" s="12"/>
      <c r="N1217" s="16"/>
    </row>
    <row r="1218" spans="1:14" ht="20" hidden="1" customHeight="1">
      <c r="A1218" s="9">
        <v>45518</v>
      </c>
      <c r="B1218" s="10"/>
      <c r="C1218" s="10" t="s">
        <v>4433</v>
      </c>
      <c r="D1218" s="10" t="s">
        <v>4349</v>
      </c>
      <c r="E1218" s="10" t="s">
        <v>2586</v>
      </c>
      <c r="F1218" s="10" t="str">
        <f>IFERROR(VLOOKUP(VENTAS[[#This Row],[Código del producto Vendido]],STOCK[],5,FALSE),"-")</f>
        <v>Vestido negro espalda cruzada</v>
      </c>
      <c r="G1218" s="10">
        <v>1</v>
      </c>
      <c r="H1218" s="12">
        <v>30</v>
      </c>
      <c r="I1218" s="12">
        <f>VENTAS[[#This Row],[Cantidad]]*VENTAS[[#This Row],[Precio Venta]]</f>
        <v>30</v>
      </c>
      <c r="J1218" s="12">
        <f>IF(VENTAS[[#This Row],[Nombre del Gestor]]&gt;1,VENTAS[[#This Row],[Total]]*10%,0)</f>
        <v>3</v>
      </c>
      <c r="K1218" s="12">
        <f>IFERROR(VLOOKUP(VENTAS[[#This Row],[Código del producto Vendido]],STOCK[],16,FALSE)*VENTAS[[#This Row],[Cantidad]]+VLOOKUP(VENTAS[[#This Row],[Código del producto Vendido]],STOCK[],19,FALSE)*VENTAS[[#This Row],[Cantidad]],VENTAS[[#This Row],[Total]])</f>
        <v>15.440000000000001</v>
      </c>
      <c r="L1218" s="12">
        <f>VENTAS[[#This Row],[Total]]-VENTAS[[#This Row],[Comisión 10%]]-VENTAS[[#This Row],[Costo SIN Comision]]</f>
        <v>11.559999999999999</v>
      </c>
      <c r="M1218" s="12"/>
      <c r="N1218" s="16"/>
    </row>
    <row r="1219" spans="1:14" ht="20" hidden="1" customHeight="1">
      <c r="A1219" s="9">
        <v>45518</v>
      </c>
      <c r="B1219" s="10"/>
      <c r="C1219" s="10" t="s">
        <v>4433</v>
      </c>
      <c r="D1219" s="10" t="s">
        <v>4349</v>
      </c>
      <c r="E1219" s="10" t="s">
        <v>2318</v>
      </c>
      <c r="F1219" s="10" t="str">
        <f>IFERROR(VLOOKUP(VENTAS[[#This Row],[Código del producto Vendido]],STOCK[],5,FALSE),"-")</f>
        <v>Vestido color block  bohemio</v>
      </c>
      <c r="G1219" s="10">
        <v>1</v>
      </c>
      <c r="H1219" s="12">
        <v>30</v>
      </c>
      <c r="I1219" s="12">
        <f>VENTAS[[#This Row],[Cantidad]]*VENTAS[[#This Row],[Precio Venta]]</f>
        <v>30</v>
      </c>
      <c r="J1219" s="12">
        <f>IF(VENTAS[[#This Row],[Nombre del Gestor]]&gt;1,VENTAS[[#This Row],[Total]]*10%,0)</f>
        <v>3</v>
      </c>
      <c r="K1219" s="12">
        <f>IFERROR(VLOOKUP(VENTAS[[#This Row],[Código del producto Vendido]],STOCK[],16,FALSE)*VENTAS[[#This Row],[Cantidad]]+VLOOKUP(VENTAS[[#This Row],[Código del producto Vendido]],STOCK[],19,FALSE)*VENTAS[[#This Row],[Cantidad]],VENTAS[[#This Row],[Total]])</f>
        <v>14.684374999999999</v>
      </c>
      <c r="L1219" s="12">
        <f>VENTAS[[#This Row],[Total]]-VENTAS[[#This Row],[Comisión 10%]]-VENTAS[[#This Row],[Costo SIN Comision]]</f>
        <v>12.315625000000001</v>
      </c>
      <c r="M1219" s="12"/>
      <c r="N1219" s="16"/>
    </row>
    <row r="1220" spans="1:14" ht="20" hidden="1" customHeight="1">
      <c r="A1220" s="9">
        <v>45518</v>
      </c>
      <c r="B1220" s="10"/>
      <c r="C1220" s="10" t="s">
        <v>4433</v>
      </c>
      <c r="D1220" s="10" t="s">
        <v>4349</v>
      </c>
      <c r="E1220" s="10" t="s">
        <v>2460</v>
      </c>
      <c r="F1220" s="10" t="str">
        <f>IFERROR(VLOOKUP(VENTAS[[#This Row],[Código del producto Vendido]],STOCK[],5,FALSE),"-")</f>
        <v>Sandalias prácticas Chunky Negras</v>
      </c>
      <c r="G1220" s="10">
        <v>1</v>
      </c>
      <c r="H1220" s="12">
        <v>35</v>
      </c>
      <c r="I1220" s="12">
        <f>VENTAS[[#This Row],[Cantidad]]*VENTAS[[#This Row],[Precio Venta]]</f>
        <v>35</v>
      </c>
      <c r="J1220" s="12">
        <f>IF(VENTAS[[#This Row],[Nombre del Gestor]]&gt;1,VENTAS[[#This Row],[Total]]*10%,0)</f>
        <v>3.5</v>
      </c>
      <c r="K1220" s="12">
        <f>IFERROR(VLOOKUP(VENTAS[[#This Row],[Código del producto Vendido]],STOCK[],16,FALSE)*VENTAS[[#This Row],[Cantidad]]+VLOOKUP(VENTAS[[#This Row],[Código del producto Vendido]],STOCK[],19,FALSE)*VENTAS[[#This Row],[Cantidad]],VENTAS[[#This Row],[Total]])</f>
        <v>21.97</v>
      </c>
      <c r="L1220" s="12">
        <f>VENTAS[[#This Row],[Total]]-VENTAS[[#This Row],[Comisión 10%]]-VENTAS[[#This Row],[Costo SIN Comision]]</f>
        <v>9.5300000000000011</v>
      </c>
      <c r="M1220" s="12"/>
      <c r="N1220" s="16"/>
    </row>
    <row r="1221" spans="1:14" ht="20" hidden="1" customHeight="1">
      <c r="A1221" s="9">
        <v>45518</v>
      </c>
      <c r="B1221" s="10"/>
      <c r="C1221" s="10" t="s">
        <v>4433</v>
      </c>
      <c r="D1221" s="10" t="s">
        <v>4349</v>
      </c>
      <c r="E1221" s="10" t="s">
        <v>2642</v>
      </c>
      <c r="F1221" s="10" t="str">
        <f>IFERROR(VLOOKUP(VENTAS[[#This Row],[Código del producto Vendido]],STOCK[],5,FALSE),"-")</f>
        <v>Top de punto y cuello elegante negro H&amp;M</v>
      </c>
      <c r="G1221" s="10">
        <v>1</v>
      </c>
      <c r="H1221" s="12">
        <v>20</v>
      </c>
      <c r="I1221" s="12">
        <f>VENTAS[[#This Row],[Cantidad]]*VENTAS[[#This Row],[Precio Venta]]</f>
        <v>20</v>
      </c>
      <c r="J1221" s="12">
        <f>IF(VENTAS[[#This Row],[Nombre del Gestor]]&gt;1,VENTAS[[#This Row],[Total]]*10%,0)</f>
        <v>2</v>
      </c>
      <c r="K1221" s="12">
        <f>IFERROR(VLOOKUP(VENTAS[[#This Row],[Código del producto Vendido]],STOCK[],16,FALSE)*VENTAS[[#This Row],[Cantidad]]+VLOOKUP(VENTAS[[#This Row],[Código del producto Vendido]],STOCK[],19,FALSE)*VENTAS[[#This Row],[Cantidad]],VENTAS[[#This Row],[Total]])</f>
        <v>10.96</v>
      </c>
      <c r="L1221" s="12">
        <f>VENTAS[[#This Row],[Total]]-VENTAS[[#This Row],[Comisión 10%]]-VENTAS[[#This Row],[Costo SIN Comision]]</f>
        <v>7.0399999999999991</v>
      </c>
      <c r="M1221" s="12"/>
      <c r="N1221" s="16"/>
    </row>
    <row r="1222" spans="1:14" ht="20" hidden="1" customHeight="1">
      <c r="A1222" s="9">
        <v>45518</v>
      </c>
      <c r="B1222" s="10"/>
      <c r="C1222" s="10" t="s">
        <v>4433</v>
      </c>
      <c r="D1222" s="10" t="s">
        <v>4349</v>
      </c>
      <c r="E1222" s="10" t="s">
        <v>2644</v>
      </c>
      <c r="F1222" s="10" t="str">
        <f>IFERROR(VLOOKUP(VENTAS[[#This Row],[Código del producto Vendido]],STOCK[],5,FALSE),"-")</f>
        <v>Top de punto y cuello elegante blanco H&amp;M</v>
      </c>
      <c r="G1222" s="10">
        <v>1</v>
      </c>
      <c r="H1222" s="12">
        <v>20</v>
      </c>
      <c r="I1222" s="12">
        <f>VENTAS[[#This Row],[Cantidad]]*VENTAS[[#This Row],[Precio Venta]]</f>
        <v>20</v>
      </c>
      <c r="J1222" s="12">
        <f>IF(VENTAS[[#This Row],[Nombre del Gestor]]&gt;1,VENTAS[[#This Row],[Total]]*10%,0)</f>
        <v>2</v>
      </c>
      <c r="K1222" s="12">
        <f>IFERROR(VLOOKUP(VENTAS[[#This Row],[Código del producto Vendido]],STOCK[],16,FALSE)*VENTAS[[#This Row],[Cantidad]]+VLOOKUP(VENTAS[[#This Row],[Código del producto Vendido]],STOCK[],19,FALSE)*VENTAS[[#This Row],[Cantidad]],VENTAS[[#This Row],[Total]])</f>
        <v>10.96</v>
      </c>
      <c r="L1222" s="12">
        <f>VENTAS[[#This Row],[Total]]-VENTAS[[#This Row],[Comisión 10%]]-VENTAS[[#This Row],[Costo SIN Comision]]</f>
        <v>7.0399999999999991</v>
      </c>
      <c r="M1222" s="12"/>
      <c r="N1222" s="16"/>
    </row>
    <row r="1223" spans="1:14" ht="20" hidden="1" customHeight="1">
      <c r="A1223" s="9">
        <v>45518</v>
      </c>
      <c r="B1223" s="10"/>
      <c r="C1223" s="10" t="s">
        <v>4434</v>
      </c>
      <c r="D1223" s="10"/>
      <c r="E1223" s="10" t="s">
        <v>2646</v>
      </c>
      <c r="F1223" s="10" t="str">
        <f>IFERROR(VLOOKUP(VENTAS[[#This Row],[Código del producto Vendido]],STOCK[],5,FALSE),"-")</f>
        <v>Top de punto y cuello elegante blanco H&amp;M</v>
      </c>
      <c r="G1223" s="10">
        <v>1</v>
      </c>
      <c r="H1223" s="12">
        <v>0</v>
      </c>
      <c r="I1223" s="12">
        <f>VENTAS[[#This Row],[Cantidad]]*VENTAS[[#This Row],[Precio Venta]]</f>
        <v>0</v>
      </c>
      <c r="J1223" s="12">
        <f>IF(VENTAS[[#This Row],[Nombre del Gestor]]&gt;1,VENTAS[[#This Row],[Total]]*10%,0)</f>
        <v>0</v>
      </c>
      <c r="K1223" s="12">
        <f>IFERROR(VLOOKUP(VENTAS[[#This Row],[Código del producto Vendido]],STOCK[],16,FALSE)*VENTAS[[#This Row],[Cantidad]]+VLOOKUP(VENTAS[[#This Row],[Código del producto Vendido]],STOCK[],19,FALSE)*VENTAS[[#This Row],[Cantidad]],VENTAS[[#This Row],[Total]])</f>
        <v>10.96</v>
      </c>
      <c r="L1223" s="12">
        <f>VENTAS[[#This Row],[Total]]-VENTAS[[#This Row],[Comisión 10%]]-VENTAS[[#This Row],[Costo SIN Comision]]</f>
        <v>-10.96</v>
      </c>
      <c r="M1223" s="12"/>
      <c r="N1223" s="16"/>
    </row>
    <row r="1224" spans="1:14" ht="20" hidden="1" customHeight="1">
      <c r="A1224" s="9">
        <v>45512</v>
      </c>
      <c r="B1224" s="10"/>
      <c r="C1224" s="10" t="s">
        <v>4435</v>
      </c>
      <c r="D1224" s="10" t="s">
        <v>4408</v>
      </c>
      <c r="E1224" s="10" t="s">
        <v>2464</v>
      </c>
      <c r="F1224" s="10" t="str">
        <f>IFERROR(VLOOKUP(VENTAS[[#This Row],[Código del producto Vendido]],STOCK[],5,FALSE),"-")</f>
        <v>Sandalias de plataforma en bloque de color</v>
      </c>
      <c r="G1224" s="10">
        <v>1</v>
      </c>
      <c r="H1224" s="12">
        <v>35</v>
      </c>
      <c r="I1224" s="12">
        <f>VENTAS[[#This Row],[Cantidad]]*VENTAS[[#This Row],[Precio Venta]]</f>
        <v>35</v>
      </c>
      <c r="J1224" s="12">
        <f>IF(VENTAS[[#This Row],[Nombre del Gestor]]&gt;1,VENTAS[[#This Row],[Total]]*10%,0)</f>
        <v>3.5</v>
      </c>
      <c r="K1224" s="12">
        <f>IFERROR(VLOOKUP(VENTAS[[#This Row],[Código del producto Vendido]],STOCK[],16,FALSE)*VENTAS[[#This Row],[Cantidad]]+VLOOKUP(VENTAS[[#This Row],[Código del producto Vendido]],STOCK[],19,FALSE)*VENTAS[[#This Row],[Cantidad]],VENTAS[[#This Row],[Total]])</f>
        <v>21.97</v>
      </c>
      <c r="L1224" s="12">
        <f>VENTAS[[#This Row],[Total]]-VENTAS[[#This Row],[Comisión 10%]]-VENTAS[[#This Row],[Costo SIN Comision]]</f>
        <v>9.5300000000000011</v>
      </c>
      <c r="M1224" s="12"/>
      <c r="N1224" s="16"/>
    </row>
    <row r="1225" spans="1:14" ht="20" hidden="1" customHeight="1">
      <c r="A1225" s="9">
        <v>45518</v>
      </c>
      <c r="B1225" s="10"/>
      <c r="C1225" s="10" t="s">
        <v>4428</v>
      </c>
      <c r="D1225" s="10" t="s">
        <v>4408</v>
      </c>
      <c r="E1225" s="10" t="s">
        <v>2502</v>
      </c>
      <c r="F1225" s="10" t="str">
        <f>IFERROR(VLOOKUP(VENTAS[[#This Row],[Código del producto Vendido]],STOCK[],5,FALSE),"-")</f>
        <v>Bolso de playa con diseño de rayas tamaño mediano</v>
      </c>
      <c r="G1225" s="10">
        <v>1</v>
      </c>
      <c r="H1225" s="12">
        <v>22</v>
      </c>
      <c r="I1225" s="12">
        <f>VENTAS[[#This Row],[Cantidad]]*VENTAS[[#This Row],[Precio Venta]]</f>
        <v>22</v>
      </c>
      <c r="J1225" s="12">
        <f>IF(VENTAS[[#This Row],[Nombre del Gestor]]&gt;1,VENTAS[[#This Row],[Total]]*10%,0)</f>
        <v>2.2000000000000002</v>
      </c>
      <c r="K1225" s="12">
        <f>IFERROR(VLOOKUP(VENTAS[[#This Row],[Código del producto Vendido]],STOCK[],16,FALSE)*VENTAS[[#This Row],[Cantidad]]+VLOOKUP(VENTAS[[#This Row],[Código del producto Vendido]],STOCK[],19,FALSE)*VENTAS[[#This Row],[Cantidad]],VENTAS[[#This Row],[Total]])</f>
        <v>11.3</v>
      </c>
      <c r="L1225" s="12">
        <f>VENTAS[[#This Row],[Total]]-VENTAS[[#This Row],[Comisión 10%]]-VENTAS[[#This Row],[Costo SIN Comision]]</f>
        <v>8.5</v>
      </c>
      <c r="M1225" s="12"/>
      <c r="N1225" s="16"/>
    </row>
    <row r="1226" spans="1:14" ht="20" hidden="1" customHeight="1">
      <c r="A1226" s="9">
        <v>45520</v>
      </c>
      <c r="B1226" s="10"/>
      <c r="C1226" s="10" t="s">
        <v>4436</v>
      </c>
      <c r="D1226" s="10" t="s">
        <v>4408</v>
      </c>
      <c r="E1226" s="10" t="s">
        <v>2531</v>
      </c>
      <c r="F1226" s="10" t="str">
        <f>IFERROR(VLOOKUP(VENTAS[[#This Row],[Código del producto Vendido]],STOCK[],5,FALSE),"-")</f>
        <v>Blusa de lazos color negro</v>
      </c>
      <c r="G1226" s="10">
        <v>1</v>
      </c>
      <c r="H1226" s="12">
        <v>18</v>
      </c>
      <c r="I1226" s="12">
        <f>VENTAS[[#This Row],[Cantidad]]*VENTAS[[#This Row],[Precio Venta]]</f>
        <v>18</v>
      </c>
      <c r="J1226" s="12">
        <f>IF(VENTAS[[#This Row],[Nombre del Gestor]]&gt;1,VENTAS[[#This Row],[Total]]*10%,0)</f>
        <v>1.8</v>
      </c>
      <c r="K1226" s="12">
        <f>IFERROR(VLOOKUP(VENTAS[[#This Row],[Código del producto Vendido]],STOCK[],16,FALSE)*VENTAS[[#This Row],[Cantidad]]+VLOOKUP(VENTAS[[#This Row],[Código del producto Vendido]],STOCK[],19,FALSE)*VENTAS[[#This Row],[Cantidad]],VENTAS[[#This Row],[Total]])</f>
        <v>10.220000000000001</v>
      </c>
      <c r="L1226" s="12">
        <f>VENTAS[[#This Row],[Total]]-VENTAS[[#This Row],[Comisión 10%]]-VENTAS[[#This Row],[Costo SIN Comision]]</f>
        <v>5.9799999999999986</v>
      </c>
      <c r="M1226" s="12"/>
      <c r="N1226" s="16"/>
    </row>
    <row r="1227" spans="1:14" ht="20" hidden="1" customHeight="1">
      <c r="A1227" s="9">
        <v>45520</v>
      </c>
      <c r="B1227" s="10"/>
      <c r="C1227" s="10" t="s">
        <v>4437</v>
      </c>
      <c r="D1227" s="10" t="s">
        <v>4408</v>
      </c>
      <c r="E1227" s="10" t="s">
        <v>2466</v>
      </c>
      <c r="F1227" s="10" t="str">
        <f>IFERROR(VLOOKUP(VENTAS[[#This Row],[Código del producto Vendido]],STOCK[],5,FALSE),"-")</f>
        <v>Sandalias de plataforma en bloque de color</v>
      </c>
      <c r="G1227" s="10">
        <v>1</v>
      </c>
      <c r="H1227" s="12">
        <v>35</v>
      </c>
      <c r="I1227" s="12">
        <f>VENTAS[[#This Row],[Cantidad]]*VENTAS[[#This Row],[Precio Venta]]</f>
        <v>35</v>
      </c>
      <c r="J1227" s="12">
        <f>IF(VENTAS[[#This Row],[Nombre del Gestor]]&gt;1,VENTAS[[#This Row],[Total]]*10%,0)</f>
        <v>3.5</v>
      </c>
      <c r="K1227" s="12">
        <f>IFERROR(VLOOKUP(VENTAS[[#This Row],[Código del producto Vendido]],STOCK[],16,FALSE)*VENTAS[[#This Row],[Cantidad]]+VLOOKUP(VENTAS[[#This Row],[Código del producto Vendido]],STOCK[],19,FALSE)*VENTAS[[#This Row],[Cantidad]],VENTAS[[#This Row],[Total]])</f>
        <v>21.97</v>
      </c>
      <c r="L1227" s="12">
        <f>VENTAS[[#This Row],[Total]]-VENTAS[[#This Row],[Comisión 10%]]-VENTAS[[#This Row],[Costo SIN Comision]]</f>
        <v>9.5300000000000011</v>
      </c>
      <c r="M1227" s="12"/>
      <c r="N1227" s="16"/>
    </row>
    <row r="1228" spans="1:14" ht="20" hidden="1" customHeight="1">
      <c r="A1228" s="9">
        <v>45520</v>
      </c>
      <c r="B1228" s="10"/>
      <c r="C1228" s="10" t="s">
        <v>4438</v>
      </c>
      <c r="D1228" s="10" t="s">
        <v>4408</v>
      </c>
      <c r="E1228" s="10" t="s">
        <v>2678</v>
      </c>
      <c r="F1228" s="10" t="str">
        <f>IFERROR(VLOOKUP(VENTAS[[#This Row],[Código del producto Vendido]],STOCK[],5,FALSE),"-")</f>
        <v>Traje de baño clásico en bloque de color de talle alto</v>
      </c>
      <c r="G1228" s="10">
        <v>1</v>
      </c>
      <c r="H1228" s="12">
        <v>28</v>
      </c>
      <c r="I1228" s="12">
        <f>VENTAS[[#This Row],[Cantidad]]*VENTAS[[#This Row],[Precio Venta]]</f>
        <v>28</v>
      </c>
      <c r="J1228" s="12">
        <f>IF(VENTAS[[#This Row],[Nombre del Gestor]]&gt;1,VENTAS[[#This Row],[Total]]*10%,0)</f>
        <v>2.8000000000000003</v>
      </c>
      <c r="K1228" s="12">
        <f>IFERROR(VLOOKUP(VENTAS[[#This Row],[Código del producto Vendido]],STOCK[],16,FALSE)*VENTAS[[#This Row],[Cantidad]]+VLOOKUP(VENTAS[[#This Row],[Código del producto Vendido]],STOCK[],19,FALSE)*VENTAS[[#This Row],[Cantidad]],VENTAS[[#This Row],[Total]])</f>
        <v>10.4</v>
      </c>
      <c r="L1228" s="12">
        <f>VENTAS[[#This Row],[Total]]-VENTAS[[#This Row],[Comisión 10%]]-VENTAS[[#This Row],[Costo SIN Comision]]</f>
        <v>14.799999999999999</v>
      </c>
      <c r="M1228" s="12"/>
      <c r="N1228" s="16"/>
    </row>
    <row r="1229" spans="1:14" ht="20" hidden="1" customHeight="1">
      <c r="A1229" s="9">
        <v>45521</v>
      </c>
      <c r="B1229" s="10"/>
      <c r="C1229" s="10" t="s">
        <v>4423</v>
      </c>
      <c r="D1229" s="10" t="s">
        <v>4408</v>
      </c>
      <c r="E1229" s="10" t="s">
        <v>1842</v>
      </c>
      <c r="F1229" s="10" t="str">
        <f>IFERROR(VLOOKUP(VENTAS[[#This Row],[Código del producto Vendido]],STOCK[],5,FALSE),"-")</f>
        <v xml:space="preserve">Maxi Vestido Bodycon </v>
      </c>
      <c r="G1229" s="10">
        <v>1</v>
      </c>
      <c r="H1229" s="12">
        <v>20</v>
      </c>
      <c r="I1229" s="12">
        <f>VENTAS[[#This Row],[Cantidad]]*VENTAS[[#This Row],[Precio Venta]]</f>
        <v>20</v>
      </c>
      <c r="J1229" s="12">
        <f>IF(VENTAS[[#This Row],[Nombre del Gestor]]&gt;1,VENTAS[[#This Row],[Total]]*10%,0)</f>
        <v>2</v>
      </c>
      <c r="K1229" s="12">
        <f>IFERROR(VLOOKUP(VENTAS[[#This Row],[Código del producto Vendido]],STOCK[],16,FALSE)*VENTAS[[#This Row],[Cantidad]]+VLOOKUP(VENTAS[[#This Row],[Código del producto Vendido]],STOCK[],19,FALSE)*VENTAS[[#This Row],[Cantidad]],VENTAS[[#This Row],[Total]])</f>
        <v>11.790000000000001</v>
      </c>
      <c r="L1229" s="12">
        <f>VENTAS[[#This Row],[Total]]-VENTAS[[#This Row],[Comisión 10%]]-VENTAS[[#This Row],[Costo SIN Comision]]</f>
        <v>6.2099999999999991</v>
      </c>
      <c r="M1229" s="12"/>
      <c r="N1229" s="16"/>
    </row>
    <row r="1230" spans="1:14" ht="20" hidden="1" customHeight="1">
      <c r="A1230" s="9">
        <v>45521</v>
      </c>
      <c r="B1230" s="10"/>
      <c r="C1230" s="10" t="s">
        <v>4423</v>
      </c>
      <c r="D1230" s="10" t="s">
        <v>4408</v>
      </c>
      <c r="E1230" s="10" t="s">
        <v>1038</v>
      </c>
      <c r="F1230" s="10" t="str">
        <f>IFERROR(VLOOKUP(VENTAS[[#This Row],[Código del producto Vendido]],STOCK[],5,FALSE),"-")</f>
        <v>Falda plisada</v>
      </c>
      <c r="G1230" s="10">
        <v>1</v>
      </c>
      <c r="H1230" s="12">
        <v>25</v>
      </c>
      <c r="I1230" s="12">
        <f>VENTAS[[#This Row],[Cantidad]]*VENTAS[[#This Row],[Precio Venta]]</f>
        <v>25</v>
      </c>
      <c r="J1230" s="12">
        <f>IF(VENTAS[[#This Row],[Nombre del Gestor]]&gt;1,VENTAS[[#This Row],[Total]]*10%,0)</f>
        <v>2.5</v>
      </c>
      <c r="K1230" s="12">
        <f>IFERROR(VLOOKUP(VENTAS[[#This Row],[Código del producto Vendido]],STOCK[],16,FALSE)*VENTAS[[#This Row],[Cantidad]]+VLOOKUP(VENTAS[[#This Row],[Código del producto Vendido]],STOCK[],19,FALSE)*VENTAS[[#This Row],[Cantidad]],VENTAS[[#This Row],[Total]])</f>
        <v>14.625</v>
      </c>
      <c r="L1230" s="12">
        <f>VENTAS[[#This Row],[Total]]-VENTAS[[#This Row],[Comisión 10%]]-VENTAS[[#This Row],[Costo SIN Comision]]</f>
        <v>7.875</v>
      </c>
      <c r="M1230" s="12"/>
      <c r="N1230" s="16"/>
    </row>
    <row r="1231" spans="1:14" ht="20" hidden="1" customHeight="1">
      <c r="A1231" s="9">
        <v>45528</v>
      </c>
      <c r="B1231" s="10"/>
      <c r="C1231" s="10" t="s">
        <v>4439</v>
      </c>
      <c r="D1231" s="10" t="s">
        <v>4408</v>
      </c>
      <c r="E1231" s="10" t="s">
        <v>1126</v>
      </c>
      <c r="F1231" s="10" t="str">
        <f>IFERROR(VLOOKUP(VENTAS[[#This Row],[Código del producto Vendido]],STOCK[],5,FALSE),"-")</f>
        <v>Blusa elegante de cuello negro</v>
      </c>
      <c r="G1231" s="10">
        <v>1</v>
      </c>
      <c r="H1231" s="12">
        <v>15</v>
      </c>
      <c r="I1231" s="12">
        <f>VENTAS[[#This Row],[Cantidad]]*VENTAS[[#This Row],[Precio Venta]]</f>
        <v>15</v>
      </c>
      <c r="J1231" s="12">
        <f>IF(VENTAS[[#This Row],[Nombre del Gestor]]&gt;1,VENTAS[[#This Row],[Total]]*10%,0)</f>
        <v>1.5</v>
      </c>
      <c r="K1231" s="12">
        <f>IFERROR(VLOOKUP(VENTAS[[#This Row],[Código del producto Vendido]],STOCK[],16,FALSE)*VENTAS[[#This Row],[Cantidad]]+VLOOKUP(VENTAS[[#This Row],[Código del producto Vendido]],STOCK[],19,FALSE)*VENTAS[[#This Row],[Cantidad]],VENTAS[[#This Row],[Total]])</f>
        <v>12.09411764705882</v>
      </c>
      <c r="L1231" s="12">
        <f>VENTAS[[#This Row],[Total]]-VENTAS[[#This Row],[Comisión 10%]]-VENTAS[[#This Row],[Costo SIN Comision]]</f>
        <v>1.4058823529411804</v>
      </c>
      <c r="M1231" s="12"/>
      <c r="N1231" s="16"/>
    </row>
    <row r="1232" spans="1:14" ht="20" hidden="1" customHeight="1">
      <c r="A1232" s="9">
        <v>45528</v>
      </c>
      <c r="B1232" s="10"/>
      <c r="C1232" s="10" t="s">
        <v>4439</v>
      </c>
      <c r="D1232" s="10" t="s">
        <v>4408</v>
      </c>
      <c r="E1232" s="10" t="s">
        <v>185</v>
      </c>
      <c r="F1232" s="10" t="str">
        <f>IFERROR(VLOOKUP(VENTAS[[#This Row],[Código del producto Vendido]],STOCK[],5,FALSE),"-")</f>
        <v>Blusa espalda cruzada color rosa</v>
      </c>
      <c r="G1232" s="10">
        <v>1</v>
      </c>
      <c r="H1232" s="12">
        <v>12</v>
      </c>
      <c r="I1232" s="12">
        <f>VENTAS[[#This Row],[Cantidad]]*VENTAS[[#This Row],[Precio Venta]]</f>
        <v>12</v>
      </c>
      <c r="J1232" s="12">
        <f>IF(VENTAS[[#This Row],[Nombre del Gestor]]&gt;1,VENTAS[[#This Row],[Total]]*10%,0)</f>
        <v>1.2000000000000002</v>
      </c>
      <c r="K1232" s="12">
        <f>IFERROR(VLOOKUP(VENTAS[[#This Row],[Código del producto Vendido]],STOCK[],16,FALSE)*VENTAS[[#This Row],[Cantidad]]+VLOOKUP(VENTAS[[#This Row],[Código del producto Vendido]],STOCK[],19,FALSE)*VENTAS[[#This Row],[Cantidad]],VENTAS[[#This Row],[Total]])</f>
        <v>8.6577777777777811</v>
      </c>
      <c r="L1232" s="12">
        <f>VENTAS[[#This Row],[Total]]-VENTAS[[#This Row],[Comisión 10%]]-VENTAS[[#This Row],[Costo SIN Comision]]</f>
        <v>2.1422222222222196</v>
      </c>
      <c r="M1232" s="12"/>
      <c r="N1232" s="16"/>
    </row>
    <row r="1233" spans="1:14" ht="20" hidden="1" customHeight="1">
      <c r="A1233" s="9">
        <v>45528</v>
      </c>
      <c r="B1233" s="10"/>
      <c r="C1233" s="10" t="s">
        <v>4440</v>
      </c>
      <c r="D1233" s="10" t="s">
        <v>4349</v>
      </c>
      <c r="E1233" s="10" t="s">
        <v>912</v>
      </c>
      <c r="F1233" s="10" t="str">
        <f>IFERROR(VLOOKUP(VENTAS[[#This Row],[Código del producto Vendido]],STOCK[],5,FALSE),"-")</f>
        <v>Bañador de pierna alta</v>
      </c>
      <c r="G1233" s="10">
        <v>1</v>
      </c>
      <c r="H1233" s="12">
        <v>25</v>
      </c>
      <c r="I1233" s="12">
        <f>VENTAS[[#This Row],[Cantidad]]*VENTAS[[#This Row],[Precio Venta]]</f>
        <v>25</v>
      </c>
      <c r="J1233" s="12">
        <f>IF(VENTAS[[#This Row],[Nombre del Gestor]]&gt;1,VENTAS[[#This Row],[Total]]*10%,0)</f>
        <v>2.5</v>
      </c>
      <c r="K1233" s="12">
        <f>IFERROR(VLOOKUP(VENTAS[[#This Row],[Código del producto Vendido]],STOCK[],16,FALSE)*VENTAS[[#This Row],[Cantidad]]+VLOOKUP(VENTAS[[#This Row],[Código del producto Vendido]],STOCK[],19,FALSE)*VENTAS[[#This Row],[Cantidad]],VENTAS[[#This Row],[Total]])</f>
        <v>15.893181818181819</v>
      </c>
      <c r="L1233" s="12">
        <f>VENTAS[[#This Row],[Total]]-VENTAS[[#This Row],[Comisión 10%]]-VENTAS[[#This Row],[Costo SIN Comision]]</f>
        <v>6.6068181818181806</v>
      </c>
      <c r="M1233" s="12"/>
      <c r="N1233" s="16"/>
    </row>
    <row r="1234" spans="1:14" ht="20" hidden="1" customHeight="1">
      <c r="A1234" s="9">
        <v>45527</v>
      </c>
      <c r="B1234" s="10"/>
      <c r="C1234" s="10" t="s">
        <v>4441</v>
      </c>
      <c r="D1234" s="10"/>
      <c r="E1234" s="10" t="s">
        <v>1115</v>
      </c>
      <c r="F1234" s="10" t="str">
        <f>IFERROR(VLOOKUP(VENTAS[[#This Row],[Código del producto Vendido]],STOCK[],5,FALSE),"-")</f>
        <v xml:space="preserve">Set de lencería </v>
      </c>
      <c r="G1234" s="10">
        <v>1</v>
      </c>
      <c r="H1234" s="12">
        <v>0</v>
      </c>
      <c r="I1234" s="12">
        <f>VENTAS[[#This Row],[Cantidad]]*VENTAS[[#This Row],[Precio Venta]]</f>
        <v>0</v>
      </c>
      <c r="J1234" s="12">
        <f>IF(VENTAS[[#This Row],[Nombre del Gestor]]&gt;1,VENTAS[[#This Row],[Total]]*10%,0)</f>
        <v>0</v>
      </c>
      <c r="K1234" s="12">
        <f>IFERROR(VLOOKUP(VENTAS[[#This Row],[Código del producto Vendido]],STOCK[],16,FALSE)*VENTAS[[#This Row],[Cantidad]]+VLOOKUP(VENTAS[[#This Row],[Código del producto Vendido]],STOCK[],19,FALSE)*VENTAS[[#This Row],[Cantidad]],VENTAS[[#This Row],[Total]])</f>
        <v>6.4301470588235299</v>
      </c>
      <c r="L1234" s="12">
        <f>VENTAS[[#This Row],[Total]]-VENTAS[[#This Row],[Comisión 10%]]-VENTAS[[#This Row],[Costo SIN Comision]]</f>
        <v>-6.4301470588235299</v>
      </c>
      <c r="M1234" s="12"/>
      <c r="N1234" s="16"/>
    </row>
    <row r="1235" spans="1:14" ht="20" hidden="1" customHeight="1">
      <c r="A1235" s="9">
        <v>45527</v>
      </c>
      <c r="B1235" s="10"/>
      <c r="C1235" s="10" t="s">
        <v>4346</v>
      </c>
      <c r="D1235" s="10"/>
      <c r="E1235" s="10" t="s">
        <v>1233</v>
      </c>
      <c r="F1235" s="10" t="str">
        <f>IFERROR(VLOOKUP(VENTAS[[#This Row],[Código del producto Vendido]],STOCK[],5,FALSE),"-")</f>
        <v xml:space="preserve">Short elegante de pierna ancha con doblez </v>
      </c>
      <c r="G1235" s="10">
        <v>1</v>
      </c>
      <c r="H1235" s="12">
        <v>15</v>
      </c>
      <c r="I1235" s="12">
        <f>VENTAS[[#This Row],[Cantidad]]*VENTAS[[#This Row],[Precio Venta]]</f>
        <v>15</v>
      </c>
      <c r="J1235" s="12">
        <f>IF(VENTAS[[#This Row],[Nombre del Gestor]]&gt;1,VENTAS[[#This Row],[Total]]*10%,0)</f>
        <v>0</v>
      </c>
      <c r="K1235" s="12">
        <f>IFERROR(VLOOKUP(VENTAS[[#This Row],[Código del producto Vendido]],STOCK[],16,FALSE)*VENTAS[[#This Row],[Cantidad]]+VLOOKUP(VENTAS[[#This Row],[Código del producto Vendido]],STOCK[],19,FALSE)*VENTAS[[#This Row],[Cantidad]],VENTAS[[#This Row],[Total]])</f>
        <v>14.37</v>
      </c>
      <c r="L1235" s="12">
        <f>VENTAS[[#This Row],[Total]]-VENTAS[[#This Row],[Comisión 10%]]-VENTAS[[#This Row],[Costo SIN Comision]]</f>
        <v>0.63000000000000078</v>
      </c>
      <c r="M1235" s="12"/>
      <c r="N1235" s="16"/>
    </row>
    <row r="1236" spans="1:14" ht="20" hidden="1" customHeight="1">
      <c r="A1236" s="9">
        <v>45527</v>
      </c>
      <c r="B1236" s="10"/>
      <c r="C1236" s="10" t="s">
        <v>4442</v>
      </c>
      <c r="D1236" s="10"/>
      <c r="E1236" s="10" t="s">
        <v>1466</v>
      </c>
      <c r="F1236" s="10" t="str">
        <f>IFERROR(VLOOKUP(VENTAS[[#This Row],[Código del producto Vendido]],STOCK[],5,FALSE),"-")</f>
        <v>Bermuda negra denim</v>
      </c>
      <c r="G1236" s="10">
        <v>1</v>
      </c>
      <c r="H1236" s="12">
        <v>20</v>
      </c>
      <c r="I1236" s="12">
        <f>VENTAS[[#This Row],[Cantidad]]*VENTAS[[#This Row],[Precio Venta]]</f>
        <v>20</v>
      </c>
      <c r="J1236" s="12">
        <f>IF(VENTAS[[#This Row],[Nombre del Gestor]]&gt;1,VENTAS[[#This Row],[Total]]*10%,0)</f>
        <v>0</v>
      </c>
      <c r="K1236" s="12">
        <f>IFERROR(VLOOKUP(VENTAS[[#This Row],[Código del producto Vendido]],STOCK[],16,FALSE)*VENTAS[[#This Row],[Cantidad]]+VLOOKUP(VENTAS[[#This Row],[Código del producto Vendido]],STOCK[],19,FALSE)*VENTAS[[#This Row],[Cantidad]],VENTAS[[#This Row],[Total]])</f>
        <v>17</v>
      </c>
      <c r="L1236" s="12">
        <f>VENTAS[[#This Row],[Total]]-VENTAS[[#This Row],[Comisión 10%]]-VENTAS[[#This Row],[Costo SIN Comision]]</f>
        <v>3</v>
      </c>
      <c r="M1236" s="12"/>
      <c r="N1236" s="16"/>
    </row>
    <row r="1237" spans="1:14" ht="20" hidden="1" customHeight="1">
      <c r="A1237" s="9">
        <v>45527</v>
      </c>
      <c r="B1237" s="10"/>
      <c r="C1237" s="10"/>
      <c r="D1237" s="10" t="s">
        <v>4324</v>
      </c>
      <c r="E1237" s="10" t="s">
        <v>1499</v>
      </c>
      <c r="F1237" s="10" t="str">
        <f>IFERROR(VLOOKUP(VENTAS[[#This Row],[Código del producto Vendido]],STOCK[],5,FALSE),"-")</f>
        <v>Pullover Dazy cuello redondo Negro</v>
      </c>
      <c r="G1237" s="10">
        <v>1</v>
      </c>
      <c r="H1237" s="12">
        <v>13</v>
      </c>
      <c r="I1237" s="12">
        <f>VENTAS[[#This Row],[Cantidad]]*VENTAS[[#This Row],[Precio Venta]]</f>
        <v>13</v>
      </c>
      <c r="J1237" s="12">
        <f>IF(VENTAS[[#This Row],[Nombre del Gestor]]&gt;1,VENTAS[[#This Row],[Total]]*10%,0)</f>
        <v>1.3</v>
      </c>
      <c r="K1237" s="12">
        <f>IFERROR(VLOOKUP(VENTAS[[#This Row],[Código del producto Vendido]],STOCK[],16,FALSE)*VENTAS[[#This Row],[Cantidad]]+VLOOKUP(VENTAS[[#This Row],[Código del producto Vendido]],STOCK[],19,FALSE)*VENTAS[[#This Row],[Cantidad]],VENTAS[[#This Row],[Total]])</f>
        <v>7.5</v>
      </c>
      <c r="L1237" s="12">
        <f>VENTAS[[#This Row],[Total]]-VENTAS[[#This Row],[Comisión 10%]]-VENTAS[[#This Row],[Costo SIN Comision]]</f>
        <v>4.1999999999999993</v>
      </c>
      <c r="M1237" s="12"/>
      <c r="N1237" s="16"/>
    </row>
    <row r="1238" spans="1:14" ht="20" hidden="1" customHeight="1">
      <c r="A1238" s="9">
        <v>45527</v>
      </c>
      <c r="B1238" s="10"/>
      <c r="C1238" s="10" t="s">
        <v>4406</v>
      </c>
      <c r="D1238" s="10"/>
      <c r="E1238" s="10" t="s">
        <v>1814</v>
      </c>
      <c r="F1238" s="10" t="str">
        <f>IFERROR(VLOOKUP(VENTAS[[#This Row],[Código del producto Vendido]],STOCK[],5,FALSE),"-")</f>
        <v xml:space="preserve">Vestido chaleco blazer </v>
      </c>
      <c r="G1238" s="10">
        <v>1</v>
      </c>
      <c r="H1238" s="12">
        <v>35</v>
      </c>
      <c r="I1238" s="12">
        <f>VENTAS[[#This Row],[Cantidad]]*VENTAS[[#This Row],[Precio Venta]]</f>
        <v>35</v>
      </c>
      <c r="J1238" s="12">
        <f>IF(VENTAS[[#This Row],[Nombre del Gestor]]&gt;1,VENTAS[[#This Row],[Total]]*10%,0)</f>
        <v>0</v>
      </c>
      <c r="K1238" s="12">
        <f>IFERROR(VLOOKUP(VENTAS[[#This Row],[Código del producto Vendido]],STOCK[],16,FALSE)*VENTAS[[#This Row],[Cantidad]]+VLOOKUP(VENTAS[[#This Row],[Código del producto Vendido]],STOCK[],19,FALSE)*VENTAS[[#This Row],[Cantidad]],VENTAS[[#This Row],[Total]])</f>
        <v>22.9411764705882</v>
      </c>
      <c r="L1238" s="12">
        <f>VENTAS[[#This Row],[Total]]-VENTAS[[#This Row],[Comisión 10%]]-VENTAS[[#This Row],[Costo SIN Comision]]</f>
        <v>12.0588235294118</v>
      </c>
      <c r="M1238" s="12"/>
      <c r="N1238" s="16"/>
    </row>
    <row r="1239" spans="1:14" ht="20" hidden="1" customHeight="1">
      <c r="A1239" s="9">
        <v>45508</v>
      </c>
      <c r="B1239" s="10"/>
      <c r="C1239" s="10" t="s">
        <v>4443</v>
      </c>
      <c r="D1239" s="10" t="s">
        <v>4374</v>
      </c>
      <c r="E1239" s="10" t="s">
        <v>1758</v>
      </c>
      <c r="F1239" s="10" t="str">
        <f>IFERROR(VLOOKUP(VENTAS[[#This Row],[Código del producto Vendido]],STOCK[],5,FALSE),"-")</f>
        <v>Zapatillas blanco casual</v>
      </c>
      <c r="G1239" s="10">
        <v>1</v>
      </c>
      <c r="H1239" s="12">
        <v>32</v>
      </c>
      <c r="I1239" s="12">
        <f>VENTAS[[#This Row],[Cantidad]]*VENTAS[[#This Row],[Precio Venta]]</f>
        <v>32</v>
      </c>
      <c r="J1239" s="12">
        <f>IF(VENTAS[[#This Row],[Nombre del Gestor]]&gt;1,VENTAS[[#This Row],[Total]]*10%,0)</f>
        <v>3.2</v>
      </c>
      <c r="K1239" s="12">
        <f>IFERROR(VLOOKUP(VENTAS[[#This Row],[Código del producto Vendido]],STOCK[],16,FALSE)*VENTAS[[#This Row],[Cantidad]]+VLOOKUP(VENTAS[[#This Row],[Código del producto Vendido]],STOCK[],19,FALSE)*VENTAS[[#This Row],[Cantidad]],VENTAS[[#This Row],[Total]])</f>
        <v>24.470588235294102</v>
      </c>
      <c r="L1239" s="12">
        <f>VENTAS[[#This Row],[Total]]-VENTAS[[#This Row],[Comisión 10%]]-VENTAS[[#This Row],[Costo SIN Comision]]</f>
        <v>4.3294117647058989</v>
      </c>
      <c r="M1239" s="12"/>
      <c r="N1239" s="16"/>
    </row>
    <row r="1240" spans="1:14" ht="20" hidden="1" customHeight="1">
      <c r="A1240" s="9">
        <v>45508</v>
      </c>
      <c r="B1240" s="10"/>
      <c r="C1240" s="10" t="s">
        <v>4444</v>
      </c>
      <c r="D1240" s="10" t="s">
        <v>4374</v>
      </c>
      <c r="E1240" s="10" t="s">
        <v>2449</v>
      </c>
      <c r="F1240" s="10" t="str">
        <f>IFERROR(VLOOKUP(VENTAS[[#This Row],[Código del producto Vendido]],STOCK[],5,FALSE),"-")</f>
        <v>Sandalias carmelitas de moda con correa de velcro</v>
      </c>
      <c r="G1240" s="10">
        <v>1</v>
      </c>
      <c r="H1240" s="12">
        <v>35</v>
      </c>
      <c r="I1240" s="12">
        <f>VENTAS[[#This Row],[Cantidad]]*VENTAS[[#This Row],[Precio Venta]]</f>
        <v>35</v>
      </c>
      <c r="J1240" s="12">
        <f>IF(VENTAS[[#This Row],[Nombre del Gestor]]&gt;1,VENTAS[[#This Row],[Total]]*10%,0)</f>
        <v>3.5</v>
      </c>
      <c r="K1240" s="12">
        <f>IFERROR(VLOOKUP(VENTAS[[#This Row],[Código del producto Vendido]],STOCK[],16,FALSE)*VENTAS[[#This Row],[Cantidad]]+VLOOKUP(VENTAS[[#This Row],[Código del producto Vendido]],STOCK[],19,FALSE)*VENTAS[[#This Row],[Cantidad]],VENTAS[[#This Row],[Total]])</f>
        <v>19.47</v>
      </c>
      <c r="L1240" s="12">
        <f>VENTAS[[#This Row],[Total]]-VENTAS[[#This Row],[Comisión 10%]]-VENTAS[[#This Row],[Costo SIN Comision]]</f>
        <v>12.030000000000001</v>
      </c>
      <c r="M1240" s="12"/>
      <c r="N1240" s="16"/>
    </row>
    <row r="1241" spans="1:14" ht="20" hidden="1" customHeight="1">
      <c r="A1241" s="9">
        <v>45509</v>
      </c>
      <c r="B1241" s="10"/>
      <c r="C1241" s="10" t="s">
        <v>4445</v>
      </c>
      <c r="D1241" s="10" t="s">
        <v>4374</v>
      </c>
      <c r="E1241" s="10" t="s">
        <v>605</v>
      </c>
      <c r="F1241" s="10" t="str">
        <f>IFERROR(VLOOKUP(VENTAS[[#This Row],[Código del producto Vendido]],STOCK[],5,FALSE),"-")</f>
        <v>Vestido floral de mangas farol</v>
      </c>
      <c r="G1241" s="10">
        <v>1</v>
      </c>
      <c r="H1241" s="12">
        <v>20</v>
      </c>
      <c r="I1241" s="12">
        <f>VENTAS[[#This Row],[Cantidad]]*VENTAS[[#This Row],[Precio Venta]]</f>
        <v>20</v>
      </c>
      <c r="J1241" s="12">
        <f>IF(VENTAS[[#This Row],[Nombre del Gestor]]&gt;1,VENTAS[[#This Row],[Total]]*10%,0)</f>
        <v>2</v>
      </c>
      <c r="K1241" s="12">
        <f>IFERROR(VLOOKUP(VENTAS[[#This Row],[Código del producto Vendido]],STOCK[],16,FALSE)*VENTAS[[#This Row],[Cantidad]]+VLOOKUP(VENTAS[[#This Row],[Código del producto Vendido]],STOCK[],19,FALSE)*VENTAS[[#This Row],[Cantidad]],VENTAS[[#This Row],[Total]])</f>
        <v>10.72222222222222</v>
      </c>
      <c r="L1241" s="12">
        <f>VENTAS[[#This Row],[Total]]-VENTAS[[#This Row],[Comisión 10%]]-VENTAS[[#This Row],[Costo SIN Comision]]</f>
        <v>7.2777777777777803</v>
      </c>
      <c r="M1241" s="12"/>
      <c r="N1241" s="16"/>
    </row>
    <row r="1242" spans="1:14" ht="20" hidden="1" customHeight="1">
      <c r="A1242" s="9">
        <v>45509</v>
      </c>
      <c r="B1242" s="10"/>
      <c r="C1242" s="10" t="s">
        <v>4446</v>
      </c>
      <c r="D1242" s="10" t="s">
        <v>4374</v>
      </c>
      <c r="E1242" s="10" t="s">
        <v>1710</v>
      </c>
      <c r="F1242" s="10" t="str">
        <f>IFERROR(VLOOKUP(VENTAS[[#This Row],[Código del producto Vendido]],STOCK[],5,FALSE),"-")</f>
        <v>Vestido acanalado de manga larga</v>
      </c>
      <c r="G1242" s="10">
        <v>1</v>
      </c>
      <c r="H1242" s="12">
        <v>25</v>
      </c>
      <c r="I1242" s="12">
        <f>VENTAS[[#This Row],[Cantidad]]*VENTAS[[#This Row],[Precio Venta]]</f>
        <v>25</v>
      </c>
      <c r="J1242" s="12">
        <f>IF(VENTAS[[#This Row],[Nombre del Gestor]]&gt;1,VENTAS[[#This Row],[Total]]*10%,0)</f>
        <v>2.5</v>
      </c>
      <c r="K1242" s="12">
        <f>IFERROR(VLOOKUP(VENTAS[[#This Row],[Código del producto Vendido]],STOCK[],16,FALSE)*VENTAS[[#This Row],[Cantidad]]+VLOOKUP(VENTAS[[#This Row],[Código del producto Vendido]],STOCK[],19,FALSE)*VENTAS[[#This Row],[Cantidad]],VENTAS[[#This Row],[Total]])</f>
        <v>18.100000000000001</v>
      </c>
      <c r="L1242" s="12">
        <f>VENTAS[[#This Row],[Total]]-VENTAS[[#This Row],[Comisión 10%]]-VENTAS[[#This Row],[Costo SIN Comision]]</f>
        <v>4.3999999999999986</v>
      </c>
      <c r="M1242" s="12"/>
      <c r="N1242" s="16"/>
    </row>
    <row r="1243" spans="1:14" ht="20" hidden="1" customHeight="1">
      <c r="A1243" s="9">
        <v>45510</v>
      </c>
      <c r="B1243" s="10"/>
      <c r="C1243" s="10" t="s">
        <v>4447</v>
      </c>
      <c r="D1243" s="10" t="s">
        <v>4374</v>
      </c>
      <c r="E1243" s="10" t="s">
        <v>2562</v>
      </c>
      <c r="F1243" s="10" t="str">
        <f>IFERROR(VLOOKUP(VENTAS[[#This Row],[Código del producto Vendido]],STOCK[],5,FALSE),"-")</f>
        <v>Sombrero Visera de Verano</v>
      </c>
      <c r="G1243" s="10">
        <v>1</v>
      </c>
      <c r="H1243" s="12">
        <v>15</v>
      </c>
      <c r="I1243" s="12">
        <f>VENTAS[[#This Row],[Cantidad]]*VENTAS[[#This Row],[Precio Venta]]</f>
        <v>15</v>
      </c>
      <c r="J1243" s="12">
        <f>IF(VENTAS[[#This Row],[Nombre del Gestor]]&gt;1,VENTAS[[#This Row],[Total]]*10%,0)</f>
        <v>1.5</v>
      </c>
      <c r="K1243" s="12">
        <f>IFERROR(VLOOKUP(VENTAS[[#This Row],[Código del producto Vendido]],STOCK[],16,FALSE)*VENTAS[[#This Row],[Cantidad]]+VLOOKUP(VENTAS[[#This Row],[Código del producto Vendido]],STOCK[],19,FALSE)*VENTAS[[#This Row],[Cantidad]],VENTAS[[#This Row],[Total]])</f>
        <v>6.3599999999999994</v>
      </c>
      <c r="L1243" s="12">
        <f>VENTAS[[#This Row],[Total]]-VENTAS[[#This Row],[Comisión 10%]]-VENTAS[[#This Row],[Costo SIN Comision]]</f>
        <v>7.1400000000000006</v>
      </c>
      <c r="M1243" s="12"/>
      <c r="N1243" s="16"/>
    </row>
    <row r="1244" spans="1:14" ht="20" hidden="1" customHeight="1">
      <c r="A1244" s="9">
        <v>45510</v>
      </c>
      <c r="B1244" s="10"/>
      <c r="C1244" s="10" t="s">
        <v>4447</v>
      </c>
      <c r="D1244" s="10" t="s">
        <v>4374</v>
      </c>
      <c r="E1244" s="10" t="s">
        <v>2286</v>
      </c>
      <c r="F1244" s="10" t="str">
        <f>IFERROR(VLOOKUP(VENTAS[[#This Row],[Código del producto Vendido]],STOCK[],5,FALSE),"-")</f>
        <v>Bolso de lienzo estampado de corazón</v>
      </c>
      <c r="G1244" s="10">
        <v>1</v>
      </c>
      <c r="H1244" s="12">
        <v>12</v>
      </c>
      <c r="I1244" s="12">
        <f>VENTAS[[#This Row],[Cantidad]]*VENTAS[[#This Row],[Precio Venta]]</f>
        <v>12</v>
      </c>
      <c r="J1244" s="12">
        <f>IF(VENTAS[[#This Row],[Nombre del Gestor]]&gt;1,VENTAS[[#This Row],[Total]]*10%,0)</f>
        <v>1.2000000000000002</v>
      </c>
      <c r="K1244" s="12">
        <f>IFERROR(VLOOKUP(VENTAS[[#This Row],[Código del producto Vendido]],STOCK[],16,FALSE)*VENTAS[[#This Row],[Cantidad]]+VLOOKUP(VENTAS[[#This Row],[Código del producto Vendido]],STOCK[],19,FALSE)*VENTAS[[#This Row],[Cantidad]],VENTAS[[#This Row],[Total]])</f>
        <v>4.2299999999999995</v>
      </c>
      <c r="L1244" s="12">
        <f>VENTAS[[#This Row],[Total]]-VENTAS[[#This Row],[Comisión 10%]]-VENTAS[[#This Row],[Costo SIN Comision]]</f>
        <v>6.5700000000000012</v>
      </c>
      <c r="M1244" s="12"/>
      <c r="N1244" s="16"/>
    </row>
    <row r="1245" spans="1:14" ht="20" hidden="1" customHeight="1">
      <c r="A1245" s="9">
        <v>45511</v>
      </c>
      <c r="B1245" s="10"/>
      <c r="C1245" s="10" t="s">
        <v>4448</v>
      </c>
      <c r="D1245" s="10" t="s">
        <v>4374</v>
      </c>
      <c r="E1245" s="10" t="s">
        <v>2534</v>
      </c>
      <c r="F1245" s="10" t="str">
        <f>IFERROR(VLOOKUP(VENTAS[[#This Row],[Código del producto Vendido]],STOCK[],5,FALSE),"-")</f>
        <v>Pullover corto unicolor carmelita</v>
      </c>
      <c r="G1245" s="10">
        <v>1</v>
      </c>
      <c r="H1245" s="12">
        <v>10</v>
      </c>
      <c r="I1245" s="12">
        <f>VENTAS[[#This Row],[Cantidad]]*VENTAS[[#This Row],[Precio Venta]]</f>
        <v>10</v>
      </c>
      <c r="J1245" s="12">
        <f>IF(VENTAS[[#This Row],[Nombre del Gestor]]&gt;1,VENTAS[[#This Row],[Total]]*10%,0)</f>
        <v>1</v>
      </c>
      <c r="K1245" s="12">
        <f>IFERROR(VLOOKUP(VENTAS[[#This Row],[Código del producto Vendido]],STOCK[],16,FALSE)*VENTAS[[#This Row],[Cantidad]]+VLOOKUP(VENTAS[[#This Row],[Código del producto Vendido]],STOCK[],19,FALSE)*VENTAS[[#This Row],[Cantidad]],VENTAS[[#This Row],[Total]])</f>
        <v>4.32</v>
      </c>
      <c r="L1245" s="12">
        <f>VENTAS[[#This Row],[Total]]-VENTAS[[#This Row],[Comisión 10%]]-VENTAS[[#This Row],[Costo SIN Comision]]</f>
        <v>4.68</v>
      </c>
      <c r="M1245" s="12"/>
      <c r="N1245" s="16"/>
    </row>
    <row r="1246" spans="1:14" ht="20" hidden="1" customHeight="1">
      <c r="A1246" s="9">
        <v>45511</v>
      </c>
      <c r="B1246" s="10"/>
      <c r="C1246" s="10" t="s">
        <v>4448</v>
      </c>
      <c r="D1246" s="10" t="s">
        <v>4374</v>
      </c>
      <c r="E1246" s="10" t="s">
        <v>2543</v>
      </c>
      <c r="F1246" s="10" t="str">
        <f>IFERROR(VLOOKUP(VENTAS[[#This Row],[Código del producto Vendido]],STOCK[],5,FALSE),"-")</f>
        <v>Pullover corto unicolor beige</v>
      </c>
      <c r="G1246" s="10">
        <v>0</v>
      </c>
      <c r="H1246" s="12">
        <v>10</v>
      </c>
      <c r="I1246" s="12">
        <f>VENTAS[[#This Row],[Cantidad]]*VENTAS[[#This Row],[Precio Venta]]</f>
        <v>0</v>
      </c>
      <c r="J1246" s="12">
        <f>IF(VENTAS[[#This Row],[Nombre del Gestor]]&gt;1,VENTAS[[#This Row],[Total]]*10%,0)</f>
        <v>0</v>
      </c>
      <c r="K1246" s="12">
        <f>IFERROR(VLOOKUP(VENTAS[[#This Row],[Código del producto Vendido]],STOCK[],16,FALSE)*VENTAS[[#This Row],[Cantidad]]+VLOOKUP(VENTAS[[#This Row],[Código del producto Vendido]],STOCK[],19,FALSE)*VENTAS[[#This Row],[Cantidad]],VENTAS[[#This Row],[Total]])</f>
        <v>0</v>
      </c>
      <c r="L1246" s="12">
        <f>VENTAS[[#This Row],[Total]]-VENTAS[[#This Row],[Comisión 10%]]-VENTAS[[#This Row],[Costo SIN Comision]]</f>
        <v>0</v>
      </c>
      <c r="M1246" s="12"/>
      <c r="N1246" s="16"/>
    </row>
    <row r="1247" spans="1:14" ht="20" hidden="1" customHeight="1">
      <c r="A1247" s="9">
        <v>45511</v>
      </c>
      <c r="B1247" s="10"/>
      <c r="C1247" s="10" t="s">
        <v>4449</v>
      </c>
      <c r="D1247" s="10" t="s">
        <v>4374</v>
      </c>
      <c r="E1247" s="10" t="s">
        <v>598</v>
      </c>
      <c r="F1247" s="10" t="str">
        <f>IFERROR(VLOOKUP(VENTAS[[#This Row],[Código del producto Vendido]],STOCK[],5,FALSE),"-")</f>
        <v>Top corsetero asimétrico</v>
      </c>
      <c r="G1247" s="10">
        <v>1</v>
      </c>
      <c r="H1247" s="12">
        <v>9</v>
      </c>
      <c r="I1247" s="12">
        <f>VENTAS[[#This Row],[Cantidad]]*VENTAS[[#This Row],[Precio Venta]]</f>
        <v>9</v>
      </c>
      <c r="J1247" s="12">
        <f>IF(VENTAS[[#This Row],[Nombre del Gestor]]&gt;1,VENTAS[[#This Row],[Total]]*10%,0)</f>
        <v>0.9</v>
      </c>
      <c r="K1247" s="12">
        <f>IFERROR(VLOOKUP(VENTAS[[#This Row],[Código del producto Vendido]],STOCK[],16,FALSE)*VENTAS[[#This Row],[Cantidad]]+VLOOKUP(VENTAS[[#This Row],[Código del producto Vendido]],STOCK[],19,FALSE)*VENTAS[[#This Row],[Cantidad]],VENTAS[[#This Row],[Total]])</f>
        <v>5.5683333333333307</v>
      </c>
      <c r="L1247" s="12">
        <f>VENTAS[[#This Row],[Total]]-VENTAS[[#This Row],[Comisión 10%]]-VENTAS[[#This Row],[Costo SIN Comision]]</f>
        <v>2.531666666666669</v>
      </c>
      <c r="M1247" s="12"/>
      <c r="N1247" s="16"/>
    </row>
    <row r="1248" spans="1:14" ht="20" hidden="1" customHeight="1">
      <c r="A1248" s="9">
        <v>45516</v>
      </c>
      <c r="B1248" s="10"/>
      <c r="C1248" s="10" t="s">
        <v>4450</v>
      </c>
      <c r="D1248" s="10" t="s">
        <v>4374</v>
      </c>
      <c r="E1248" s="10" t="s">
        <v>2495</v>
      </c>
      <c r="F1248" s="10" t="str">
        <f>IFERROR(VLOOKUP(VENTAS[[#This Row],[Código del producto Vendido]],STOCK[],5,FALSE),"-")</f>
        <v>Blusa blanca de lazos y manga abullonada</v>
      </c>
      <c r="G1248" s="10">
        <v>1</v>
      </c>
      <c r="H1248" s="12">
        <v>18</v>
      </c>
      <c r="I1248" s="12">
        <f>VENTAS[[#This Row],[Cantidad]]*VENTAS[[#This Row],[Precio Venta]]</f>
        <v>18</v>
      </c>
      <c r="J1248" s="12">
        <f>IF(VENTAS[[#This Row],[Nombre del Gestor]]&gt;1,VENTAS[[#This Row],[Total]]*10%,0)</f>
        <v>1.8</v>
      </c>
      <c r="K1248" s="12">
        <f>IFERROR(VLOOKUP(VENTAS[[#This Row],[Código del producto Vendido]],STOCK[],16,FALSE)*VENTAS[[#This Row],[Cantidad]]+VLOOKUP(VENTAS[[#This Row],[Código del producto Vendido]],STOCK[],19,FALSE)*VENTAS[[#This Row],[Cantidad]],VENTAS[[#This Row],[Total]])</f>
        <v>10.940000000000001</v>
      </c>
      <c r="L1248" s="12">
        <f>VENTAS[[#This Row],[Total]]-VENTAS[[#This Row],[Comisión 10%]]-VENTAS[[#This Row],[Costo SIN Comision]]</f>
        <v>5.259999999999998</v>
      </c>
      <c r="M1248" s="12"/>
      <c r="N1248" s="16"/>
    </row>
    <row r="1249" spans="1:14" ht="20" hidden="1" customHeight="1">
      <c r="A1249" s="9">
        <v>45521</v>
      </c>
      <c r="B1249" s="10"/>
      <c r="C1249" s="10" t="s">
        <v>4451</v>
      </c>
      <c r="D1249" s="10" t="s">
        <v>4374</v>
      </c>
      <c r="E1249" s="10" t="s">
        <v>2580</v>
      </c>
      <c r="F1249" s="10" t="str">
        <f>IFERROR(VLOOKUP(VENTAS[[#This Row],[Código del producto Vendido]],STOCK[],5,FALSE),"-")</f>
        <v>Vestido Camisola con estampado de flores y tirantes cruzados</v>
      </c>
      <c r="G1249" s="10">
        <v>1</v>
      </c>
      <c r="H1249" s="12">
        <v>25</v>
      </c>
      <c r="I1249" s="12">
        <f>VENTAS[[#This Row],[Cantidad]]*VENTAS[[#This Row],[Precio Venta]]</f>
        <v>25</v>
      </c>
      <c r="J1249" s="12">
        <f>IF(VENTAS[[#This Row],[Nombre del Gestor]]&gt;1,VENTAS[[#This Row],[Total]]*10%,0)</f>
        <v>2.5</v>
      </c>
      <c r="K1249" s="12">
        <f>IFERROR(VLOOKUP(VENTAS[[#This Row],[Código del producto Vendido]],STOCK[],16,FALSE)*VENTAS[[#This Row],[Cantidad]]+VLOOKUP(VENTAS[[#This Row],[Código del producto Vendido]],STOCK[],19,FALSE)*VENTAS[[#This Row],[Cantidad]],VENTAS[[#This Row],[Total]])</f>
        <v>12.940000000000001</v>
      </c>
      <c r="L1249" s="12">
        <f>VENTAS[[#This Row],[Total]]-VENTAS[[#This Row],[Comisión 10%]]-VENTAS[[#This Row],[Costo SIN Comision]]</f>
        <v>9.5599999999999987</v>
      </c>
      <c r="M1249" s="12"/>
      <c r="N1249" s="16"/>
    </row>
    <row r="1250" spans="1:14" ht="20" hidden="1" customHeight="1">
      <c r="A1250" s="9">
        <v>45523</v>
      </c>
      <c r="B1250" s="10"/>
      <c r="C1250" s="10" t="s">
        <v>4452</v>
      </c>
      <c r="D1250" s="10" t="s">
        <v>4374</v>
      </c>
      <c r="E1250" s="10" t="s">
        <v>322</v>
      </c>
      <c r="F1250" s="10" t="str">
        <f>IFERROR(VLOOKUP(VENTAS[[#This Row],[Código del producto Vendido]],STOCK[],5,FALSE),"-")</f>
        <v>Conjunto top corto y pantalones</v>
      </c>
      <c r="G1250" s="10">
        <v>1</v>
      </c>
      <c r="H1250" s="12">
        <v>28</v>
      </c>
      <c r="I1250" s="12">
        <f>VENTAS[[#This Row],[Cantidad]]*VENTAS[[#This Row],[Precio Venta]]</f>
        <v>28</v>
      </c>
      <c r="J1250" s="12">
        <f>IF(VENTAS[[#This Row],[Nombre del Gestor]]&gt;1,VENTAS[[#This Row],[Total]]*10%,0)</f>
        <v>2.8000000000000003</v>
      </c>
      <c r="K1250" s="12">
        <f>IFERROR(VLOOKUP(VENTAS[[#This Row],[Código del producto Vendido]],STOCK[],16,FALSE)*VENTAS[[#This Row],[Cantidad]]+VLOOKUP(VENTAS[[#This Row],[Código del producto Vendido]],STOCK[],19,FALSE)*VENTAS[[#This Row],[Cantidad]],VENTAS[[#This Row],[Total]])</f>
        <v>18</v>
      </c>
      <c r="L1250" s="12">
        <f>VENTAS[[#This Row],[Total]]-VENTAS[[#This Row],[Comisión 10%]]-VENTAS[[#This Row],[Costo SIN Comision]]</f>
        <v>7.1999999999999993</v>
      </c>
      <c r="M1250" s="12"/>
      <c r="N1250" s="16"/>
    </row>
    <row r="1251" spans="1:14" ht="20" hidden="1" customHeight="1">
      <c r="A1251" s="9">
        <v>45524</v>
      </c>
      <c r="B1251" s="10"/>
      <c r="C1251" s="10" t="s">
        <v>4411</v>
      </c>
      <c r="D1251" s="10" t="s">
        <v>4374</v>
      </c>
      <c r="E1251" s="10" t="s">
        <v>1814</v>
      </c>
      <c r="F1251" s="10" t="str">
        <f>IFERROR(VLOOKUP(VENTAS[[#This Row],[Código del producto Vendido]],STOCK[],5,FALSE),"-")</f>
        <v xml:space="preserve">Vestido chaleco blazer </v>
      </c>
      <c r="G1251" s="10">
        <v>1</v>
      </c>
      <c r="H1251" s="12">
        <v>35</v>
      </c>
      <c r="I1251" s="12">
        <f>VENTAS[[#This Row],[Cantidad]]*VENTAS[[#This Row],[Precio Venta]]</f>
        <v>35</v>
      </c>
      <c r="J1251" s="12">
        <f>IF(VENTAS[[#This Row],[Nombre del Gestor]]&gt;1,VENTAS[[#This Row],[Total]]*10%,0)</f>
        <v>3.5</v>
      </c>
      <c r="K1251" s="12">
        <f>IFERROR(VLOOKUP(VENTAS[[#This Row],[Código del producto Vendido]],STOCK[],16,FALSE)*VENTAS[[#This Row],[Cantidad]]+VLOOKUP(VENTAS[[#This Row],[Código del producto Vendido]],STOCK[],19,FALSE)*VENTAS[[#This Row],[Cantidad]],VENTAS[[#This Row],[Total]])</f>
        <v>22.9411764705882</v>
      </c>
      <c r="L1251" s="12">
        <f>VENTAS[[#This Row],[Total]]-VENTAS[[#This Row],[Comisión 10%]]-VENTAS[[#This Row],[Costo SIN Comision]]</f>
        <v>8.5588235294118</v>
      </c>
      <c r="M1251" s="12"/>
      <c r="N1251" s="16"/>
    </row>
    <row r="1252" spans="1:14" ht="20" hidden="1" customHeight="1">
      <c r="A1252" s="9">
        <v>45525</v>
      </c>
      <c r="B1252" s="10"/>
      <c r="C1252" s="10" t="s">
        <v>4453</v>
      </c>
      <c r="D1252" s="10" t="s">
        <v>4374</v>
      </c>
      <c r="E1252" s="10" t="s">
        <v>2583</v>
      </c>
      <c r="F1252" s="10" t="str">
        <f>IFERROR(VLOOKUP(VENTAS[[#This Row],[Código del producto Vendido]],STOCK[],5,FALSE),"-")</f>
        <v>Vestido Camisola con estampado de flores y tirantes cruzados</v>
      </c>
      <c r="G1252" s="10">
        <v>1</v>
      </c>
      <c r="H1252" s="12">
        <v>25</v>
      </c>
      <c r="I1252" s="12">
        <f>VENTAS[[#This Row],[Cantidad]]*VENTAS[[#This Row],[Precio Venta]]</f>
        <v>25</v>
      </c>
      <c r="J1252" s="12">
        <f>IF(VENTAS[[#This Row],[Nombre del Gestor]]&gt;1,VENTAS[[#This Row],[Total]]*10%,0)</f>
        <v>2.5</v>
      </c>
      <c r="K1252" s="12">
        <f>IFERROR(VLOOKUP(VENTAS[[#This Row],[Código del producto Vendido]],STOCK[],16,FALSE)*VENTAS[[#This Row],[Cantidad]]+VLOOKUP(VENTAS[[#This Row],[Código del producto Vendido]],STOCK[],19,FALSE)*VENTAS[[#This Row],[Cantidad]],VENTAS[[#This Row],[Total]])</f>
        <v>12.940000000000001</v>
      </c>
      <c r="L1252" s="12">
        <f>VENTAS[[#This Row],[Total]]-VENTAS[[#This Row],[Comisión 10%]]-VENTAS[[#This Row],[Costo SIN Comision]]</f>
        <v>9.5599999999999987</v>
      </c>
      <c r="M1252" s="12"/>
      <c r="N1252" s="16"/>
    </row>
    <row r="1253" spans="1:14" ht="20" hidden="1" customHeight="1">
      <c r="A1253" s="9">
        <v>45527</v>
      </c>
      <c r="B1253" s="10"/>
      <c r="C1253" s="10" t="s">
        <v>4454</v>
      </c>
      <c r="D1253" s="10" t="s">
        <v>4374</v>
      </c>
      <c r="E1253" s="10" t="s">
        <v>2536</v>
      </c>
      <c r="F1253" s="10" t="str">
        <f>IFERROR(VLOOKUP(VENTAS[[#This Row],[Código del producto Vendido]],STOCK[],5,FALSE),"-")</f>
        <v>Pullover corto unicolor blanco</v>
      </c>
      <c r="G1253" s="10">
        <v>1</v>
      </c>
      <c r="H1253" s="12">
        <v>10</v>
      </c>
      <c r="I1253" s="12">
        <f>VENTAS[[#This Row],[Cantidad]]*VENTAS[[#This Row],[Precio Venta]]</f>
        <v>10</v>
      </c>
      <c r="J1253" s="12">
        <f>IF(VENTAS[[#This Row],[Nombre del Gestor]]&gt;1,VENTAS[[#This Row],[Total]]*10%,0)</f>
        <v>1</v>
      </c>
      <c r="K1253" s="12">
        <f>IFERROR(VLOOKUP(VENTAS[[#This Row],[Código del producto Vendido]],STOCK[],16,FALSE)*VENTAS[[#This Row],[Cantidad]]+VLOOKUP(VENTAS[[#This Row],[Código del producto Vendido]],STOCK[],19,FALSE)*VENTAS[[#This Row],[Cantidad]],VENTAS[[#This Row],[Total]])</f>
        <v>4.32</v>
      </c>
      <c r="L1253" s="12">
        <f>VENTAS[[#This Row],[Total]]-VENTAS[[#This Row],[Comisión 10%]]-VENTAS[[#This Row],[Costo SIN Comision]]</f>
        <v>4.68</v>
      </c>
      <c r="M1253" s="12"/>
      <c r="N1253" s="16"/>
    </row>
    <row r="1254" spans="1:14" ht="20" hidden="1" customHeight="1">
      <c r="A1254" s="9">
        <v>45527</v>
      </c>
      <c r="B1254" s="10"/>
      <c r="C1254" s="10" t="s">
        <v>4454</v>
      </c>
      <c r="D1254" s="10" t="s">
        <v>4374</v>
      </c>
      <c r="E1254" s="10" t="s">
        <v>1710</v>
      </c>
      <c r="F1254" s="10" t="str">
        <f>IFERROR(VLOOKUP(VENTAS[[#This Row],[Código del producto Vendido]],STOCK[],5,FALSE),"-")</f>
        <v>Vestido acanalado de manga larga</v>
      </c>
      <c r="G1254" s="10">
        <v>1</v>
      </c>
      <c r="H1254" s="12">
        <v>25</v>
      </c>
      <c r="I1254" s="12">
        <f>VENTAS[[#This Row],[Cantidad]]*VENTAS[[#This Row],[Precio Venta]]</f>
        <v>25</v>
      </c>
      <c r="J1254" s="12">
        <f>IF(VENTAS[[#This Row],[Nombre del Gestor]]&gt;1,VENTAS[[#This Row],[Total]]*10%,0)</f>
        <v>2.5</v>
      </c>
      <c r="K1254" s="12">
        <f>IFERROR(VLOOKUP(VENTAS[[#This Row],[Código del producto Vendido]],STOCK[],16,FALSE)*VENTAS[[#This Row],[Cantidad]]+VLOOKUP(VENTAS[[#This Row],[Código del producto Vendido]],STOCK[],19,FALSE)*VENTAS[[#This Row],[Cantidad]],VENTAS[[#This Row],[Total]])</f>
        <v>18.100000000000001</v>
      </c>
      <c r="L1254" s="12">
        <f>VENTAS[[#This Row],[Total]]-VENTAS[[#This Row],[Comisión 10%]]-VENTAS[[#This Row],[Costo SIN Comision]]</f>
        <v>4.3999999999999986</v>
      </c>
      <c r="M1254" s="12"/>
      <c r="N1254" s="16"/>
    </row>
    <row r="1255" spans="1:14" ht="20" hidden="1" customHeight="1">
      <c r="A1255" s="9">
        <v>45528</v>
      </c>
      <c r="B1255" s="10"/>
      <c r="C1255" s="10" t="s">
        <v>4455</v>
      </c>
      <c r="D1255" s="10" t="s">
        <v>4374</v>
      </c>
      <c r="E1255" s="10" t="s">
        <v>860</v>
      </c>
      <c r="F1255" s="10" t="str">
        <f>IFERROR(VLOOKUP(VENTAS[[#This Row],[Código del producto Vendido]],STOCK[],5,FALSE),"-")</f>
        <v>Vestido venturina</v>
      </c>
      <c r="G1255" s="10">
        <v>1</v>
      </c>
      <c r="H1255" s="12">
        <v>16</v>
      </c>
      <c r="I1255" s="12">
        <f>VENTAS[[#This Row],[Cantidad]]*VENTAS[[#This Row],[Precio Venta]]</f>
        <v>16</v>
      </c>
      <c r="J1255" s="12">
        <f>IF(VENTAS[[#This Row],[Nombre del Gestor]]&gt;1,VENTAS[[#This Row],[Total]]*10%,0)</f>
        <v>1.6</v>
      </c>
      <c r="K1255" s="12">
        <f>IFERROR(VLOOKUP(VENTAS[[#This Row],[Código del producto Vendido]],STOCK[],16,FALSE)*VENTAS[[#This Row],[Cantidad]]+VLOOKUP(VENTAS[[#This Row],[Código del producto Vendido]],STOCK[],19,FALSE)*VENTAS[[#This Row],[Cantidad]],VENTAS[[#This Row],[Total]])</f>
        <v>9.1111111111111107</v>
      </c>
      <c r="L1255" s="12">
        <f>VENTAS[[#This Row],[Total]]-VENTAS[[#This Row],[Comisión 10%]]-VENTAS[[#This Row],[Costo SIN Comision]]</f>
        <v>5.2888888888888896</v>
      </c>
      <c r="M1255" s="12"/>
      <c r="N1255" s="16"/>
    </row>
    <row r="1256" spans="1:14" ht="20" hidden="1" customHeight="1">
      <c r="A1256" s="9">
        <v>45509</v>
      </c>
      <c r="B1256" s="10"/>
      <c r="C1256" s="10" t="s">
        <v>4456</v>
      </c>
      <c r="D1256" s="10" t="s">
        <v>4380</v>
      </c>
      <c r="E1256" s="10" t="s">
        <v>2516</v>
      </c>
      <c r="F1256" s="10" t="str">
        <f>IFERROR(VLOOKUP(VENTAS[[#This Row],[Código del producto Vendido]],STOCK[],5,FALSE),"-")</f>
        <v>Bolso pequeño estilo old money</v>
      </c>
      <c r="G1256" s="10">
        <v>1</v>
      </c>
      <c r="H1256" s="12">
        <v>20</v>
      </c>
      <c r="I1256" s="12">
        <f>VENTAS[[#This Row],[Cantidad]]*VENTAS[[#This Row],[Precio Venta]]</f>
        <v>20</v>
      </c>
      <c r="J1256" s="12">
        <f>IF(VENTAS[[#This Row],[Nombre del Gestor]]&gt;1,VENTAS[[#This Row],[Total]]*10%,0)</f>
        <v>2</v>
      </c>
      <c r="K1256" s="12">
        <f>IFERROR(VLOOKUP(VENTAS[[#This Row],[Código del producto Vendido]],STOCK[],16,FALSE)*VENTAS[[#This Row],[Cantidad]]+VLOOKUP(VENTAS[[#This Row],[Código del producto Vendido]],STOCK[],19,FALSE)*VENTAS[[#This Row],[Cantidad]],VENTAS[[#This Row],[Total]])</f>
        <v>11.49</v>
      </c>
      <c r="L1256" s="12">
        <f>VENTAS[[#This Row],[Total]]-VENTAS[[#This Row],[Comisión 10%]]-VENTAS[[#This Row],[Costo SIN Comision]]</f>
        <v>6.51</v>
      </c>
      <c r="M1256" s="12"/>
      <c r="N1256" s="16"/>
    </row>
    <row r="1257" spans="1:14" ht="20" hidden="1" customHeight="1">
      <c r="A1257" s="9">
        <v>45526</v>
      </c>
      <c r="B1257" s="10"/>
      <c r="C1257" s="10" t="s">
        <v>4442</v>
      </c>
      <c r="D1257" s="10"/>
      <c r="E1257" s="10" t="s">
        <v>2518</v>
      </c>
      <c r="F1257" s="10" t="str">
        <f>IFERROR(VLOOKUP(VENTAS[[#This Row],[Código del producto Vendido]],STOCK[],5,FALSE),"-")</f>
        <v>Bolso media luna de rafia de tamaño medio</v>
      </c>
      <c r="G1257" s="10">
        <v>1</v>
      </c>
      <c r="H1257" s="12">
        <v>22</v>
      </c>
      <c r="I1257" s="12">
        <f>VENTAS[[#This Row],[Cantidad]]*VENTAS[[#This Row],[Precio Venta]]</f>
        <v>22</v>
      </c>
      <c r="J1257" s="12">
        <f>IF(VENTAS[[#This Row],[Nombre del Gestor]]&gt;1,VENTAS[[#This Row],[Total]]*10%,0)</f>
        <v>0</v>
      </c>
      <c r="K1257" s="12">
        <f>IFERROR(VLOOKUP(VENTAS[[#This Row],[Código del producto Vendido]],STOCK[],16,FALSE)*VENTAS[[#This Row],[Cantidad]]+VLOOKUP(VENTAS[[#This Row],[Código del producto Vendido]],STOCK[],19,FALSE)*VENTAS[[#This Row],[Cantidad]],VENTAS[[#This Row],[Total]])</f>
        <v>12.83</v>
      </c>
      <c r="L1257" s="12">
        <f>VENTAS[[#This Row],[Total]]-VENTAS[[#This Row],[Comisión 10%]]-VENTAS[[#This Row],[Costo SIN Comision]]</f>
        <v>9.17</v>
      </c>
      <c r="M1257" s="12"/>
      <c r="N1257" s="16"/>
    </row>
    <row r="1258" spans="1:14" ht="20" hidden="1" customHeight="1">
      <c r="A1258" s="9">
        <v>45509</v>
      </c>
      <c r="B1258" s="10"/>
      <c r="C1258" s="10" t="s">
        <v>4456</v>
      </c>
      <c r="D1258" s="10" t="s">
        <v>4380</v>
      </c>
      <c r="E1258" s="10" t="s">
        <v>2500</v>
      </c>
      <c r="F1258" s="10" t="str">
        <f>IFERROR(VLOOKUP(VENTAS[[#This Row],[Código del producto Vendido]],STOCK[],5,FALSE),"-")</f>
        <v xml:space="preserve">Bolso tejido redondo de gran capidad </v>
      </c>
      <c r="G1258" s="10">
        <v>1</v>
      </c>
      <c r="H1258" s="12">
        <v>25</v>
      </c>
      <c r="I1258" s="12">
        <f>VENTAS[[#This Row],[Cantidad]]*VENTAS[[#This Row],[Precio Venta]]</f>
        <v>25</v>
      </c>
      <c r="J1258" s="12">
        <f>IF(VENTAS[[#This Row],[Nombre del Gestor]]&gt;1,VENTAS[[#This Row],[Total]]*10%,0)</f>
        <v>2.5</v>
      </c>
      <c r="K1258" s="12">
        <f>IFERROR(VLOOKUP(VENTAS[[#This Row],[Código del producto Vendido]],STOCK[],16,FALSE)*VENTAS[[#This Row],[Cantidad]]+VLOOKUP(VENTAS[[#This Row],[Código del producto Vendido]],STOCK[],19,FALSE)*VENTAS[[#This Row],[Cantidad]],VENTAS[[#This Row],[Total]])</f>
        <v>11.67</v>
      </c>
      <c r="L1258" s="12">
        <f>VENTAS[[#This Row],[Total]]-VENTAS[[#This Row],[Comisión 10%]]-VENTAS[[#This Row],[Costo SIN Comision]]</f>
        <v>10.83</v>
      </c>
      <c r="M1258" s="12"/>
      <c r="N1258" s="16"/>
    </row>
    <row r="1259" spans="1:14" ht="20" hidden="1" customHeight="1">
      <c r="A1259" s="9">
        <v>45520</v>
      </c>
      <c r="B1259" s="10"/>
      <c r="C1259" s="10" t="s">
        <v>4457</v>
      </c>
      <c r="D1259" s="10" t="s">
        <v>4380</v>
      </c>
      <c r="E1259" s="10" t="s">
        <v>2222</v>
      </c>
      <c r="F1259" s="10" t="str">
        <f>IFERROR(VLOOKUP(VENTAS[[#This Row],[Código del producto Vendido]],STOCK[],5,FALSE),"-")</f>
        <v>Set de bikini con cobertor de playa</v>
      </c>
      <c r="G1259" s="10">
        <v>1</v>
      </c>
      <c r="H1259" s="12">
        <v>25</v>
      </c>
      <c r="I1259" s="12">
        <f>VENTAS[[#This Row],[Cantidad]]*VENTAS[[#This Row],[Precio Venta]]</f>
        <v>25</v>
      </c>
      <c r="J1259" s="12">
        <f>IF(VENTAS[[#This Row],[Nombre del Gestor]]&gt;1,VENTAS[[#This Row],[Total]]*10%,0)</f>
        <v>2.5</v>
      </c>
      <c r="K1259" s="12">
        <f>IFERROR(VLOOKUP(VENTAS[[#This Row],[Código del producto Vendido]],STOCK[],16,FALSE)*VENTAS[[#This Row],[Cantidad]]+VLOOKUP(VENTAS[[#This Row],[Código del producto Vendido]],STOCK[],19,FALSE)*VENTAS[[#This Row],[Cantidad]],VENTAS[[#This Row],[Total]])</f>
        <v>11.65</v>
      </c>
      <c r="L1259" s="12">
        <f>VENTAS[[#This Row],[Total]]-VENTAS[[#This Row],[Comisión 10%]]-VENTAS[[#This Row],[Costo SIN Comision]]</f>
        <v>10.85</v>
      </c>
      <c r="M1259" s="12"/>
      <c r="N1259" s="16"/>
    </row>
    <row r="1260" spans="1:14" ht="20" hidden="1" customHeight="1">
      <c r="A1260" s="9">
        <v>45513</v>
      </c>
      <c r="B1260" s="10"/>
      <c r="C1260" s="10" t="s">
        <v>4458</v>
      </c>
      <c r="D1260" s="10" t="s">
        <v>4381</v>
      </c>
      <c r="E1260" s="10" t="s">
        <v>2602</v>
      </c>
      <c r="F1260" s="10" t="str">
        <f>IFERROR(VLOOKUP(VENTAS[[#This Row],[Código del producto Vendido]],STOCK[],5,FALSE),"-")</f>
        <v>Bolso verano de rafia en bloque de color</v>
      </c>
      <c r="G1260" s="10">
        <v>1</v>
      </c>
      <c r="H1260" s="12">
        <v>22</v>
      </c>
      <c r="I1260" s="12">
        <f>VENTAS[[#This Row],[Cantidad]]*VENTAS[[#This Row],[Precio Venta]]</f>
        <v>22</v>
      </c>
      <c r="J1260" s="12">
        <f>IF(VENTAS[[#This Row],[Nombre del Gestor]]&gt;1,VENTAS[[#This Row],[Total]]*10%,0)</f>
        <v>2.2000000000000002</v>
      </c>
      <c r="K1260" s="12">
        <f>IFERROR(VLOOKUP(VENTAS[[#This Row],[Código del producto Vendido]],STOCK[],16,FALSE)*VENTAS[[#This Row],[Cantidad]]+VLOOKUP(VENTAS[[#This Row],[Código del producto Vendido]],STOCK[],19,FALSE)*VENTAS[[#This Row],[Cantidad]],VENTAS[[#This Row],[Total]])</f>
        <v>5.96</v>
      </c>
      <c r="L1260" s="12">
        <f>VENTAS[[#This Row],[Total]]-VENTAS[[#This Row],[Comisión 10%]]-VENTAS[[#This Row],[Costo SIN Comision]]</f>
        <v>13.84</v>
      </c>
      <c r="M1260" s="12"/>
      <c r="N1260" s="16"/>
    </row>
    <row r="1261" spans="1:14" ht="20" hidden="1" customHeight="1">
      <c r="A1261" s="9">
        <v>45508</v>
      </c>
      <c r="B1261" s="10"/>
      <c r="C1261" s="10" t="s">
        <v>4459</v>
      </c>
      <c r="D1261" s="10" t="s">
        <v>4380</v>
      </c>
      <c r="E1261" s="10" t="s">
        <v>2676</v>
      </c>
      <c r="F1261" s="10" t="str">
        <f>IFERROR(VLOOKUP(VENTAS[[#This Row],[Código del producto Vendido]],STOCK[],5,FALSE),"-")</f>
        <v>Traje de baño clásico en bloque de color de talle alto</v>
      </c>
      <c r="G1261" s="10">
        <v>1</v>
      </c>
      <c r="H1261" s="12">
        <v>28</v>
      </c>
      <c r="I1261" s="12">
        <f>VENTAS[[#This Row],[Cantidad]]*VENTAS[[#This Row],[Precio Venta]]</f>
        <v>28</v>
      </c>
      <c r="J1261" s="12">
        <f>IF(VENTAS[[#This Row],[Nombre del Gestor]]&gt;1,VENTAS[[#This Row],[Total]]*10%,0)</f>
        <v>2.8000000000000003</v>
      </c>
      <c r="K1261" s="12">
        <f>IFERROR(VLOOKUP(VENTAS[[#This Row],[Código del producto Vendido]],STOCK[],16,FALSE)*VENTAS[[#This Row],[Cantidad]]+VLOOKUP(VENTAS[[#This Row],[Código del producto Vendido]],STOCK[],19,FALSE)*VENTAS[[#This Row],[Cantidad]],VENTAS[[#This Row],[Total]])</f>
        <v>10.4</v>
      </c>
      <c r="L1261" s="12">
        <f>VENTAS[[#This Row],[Total]]-VENTAS[[#This Row],[Comisión 10%]]-VENTAS[[#This Row],[Costo SIN Comision]]</f>
        <v>14.799999999999999</v>
      </c>
      <c r="M1261" s="12"/>
      <c r="N1261" s="16"/>
    </row>
    <row r="1262" spans="1:14" ht="20" hidden="1" customHeight="1">
      <c r="A1262" s="9">
        <v>45512</v>
      </c>
      <c r="B1262" s="10"/>
      <c r="C1262" s="10" t="s">
        <v>4460</v>
      </c>
      <c r="D1262" s="10" t="s">
        <v>4380</v>
      </c>
      <c r="E1262" s="10" t="s">
        <v>2495</v>
      </c>
      <c r="F1262" s="10" t="str">
        <f>IFERROR(VLOOKUP(VENTAS[[#This Row],[Código del producto Vendido]],STOCK[],5,FALSE),"-")</f>
        <v>Blusa blanca de lazos y manga abullonada</v>
      </c>
      <c r="G1262" s="10">
        <v>1</v>
      </c>
      <c r="H1262" s="12">
        <v>18</v>
      </c>
      <c r="I1262" s="12">
        <f>VENTAS[[#This Row],[Cantidad]]*VENTAS[[#This Row],[Precio Venta]]</f>
        <v>18</v>
      </c>
      <c r="J1262" s="12">
        <f>IF(VENTAS[[#This Row],[Nombre del Gestor]]&gt;1,VENTAS[[#This Row],[Total]]*10%,0)</f>
        <v>1.8</v>
      </c>
      <c r="K1262" s="12">
        <f>IFERROR(VLOOKUP(VENTAS[[#This Row],[Código del producto Vendido]],STOCK[],16,FALSE)*VENTAS[[#This Row],[Cantidad]]+VLOOKUP(VENTAS[[#This Row],[Código del producto Vendido]],STOCK[],19,FALSE)*VENTAS[[#This Row],[Cantidad]],VENTAS[[#This Row],[Total]])</f>
        <v>10.940000000000001</v>
      </c>
      <c r="L1262" s="12">
        <f>VENTAS[[#This Row],[Total]]-VENTAS[[#This Row],[Comisión 10%]]-VENTAS[[#This Row],[Costo SIN Comision]]</f>
        <v>5.259999999999998</v>
      </c>
      <c r="M1262" s="12"/>
      <c r="N1262" s="16"/>
    </row>
    <row r="1263" spans="1:14" ht="20" hidden="1" customHeight="1">
      <c r="A1263" s="9">
        <v>45523</v>
      </c>
      <c r="B1263" s="10"/>
      <c r="C1263" s="10" t="s">
        <v>4461</v>
      </c>
      <c r="D1263" s="10" t="s">
        <v>4380</v>
      </c>
      <c r="E1263" s="10" t="s">
        <v>111</v>
      </c>
      <c r="F1263" s="10" t="str">
        <f>IFERROR(VLOOKUP(VENTAS[[#This Row],[Código del producto Vendido]],STOCK[],5,FALSE),"-")</f>
        <v>Bañador de zíper en color combinado</v>
      </c>
      <c r="G1263" s="10">
        <v>1</v>
      </c>
      <c r="H1263" s="12">
        <v>25</v>
      </c>
      <c r="I1263" s="12">
        <f>VENTAS[[#This Row],[Cantidad]]*VENTAS[[#This Row],[Precio Venta]]</f>
        <v>25</v>
      </c>
      <c r="J1263" s="12">
        <f>IF(VENTAS[[#This Row],[Nombre del Gestor]]&gt;1,VENTAS[[#This Row],[Total]]*10%,0)</f>
        <v>2.5</v>
      </c>
      <c r="K1263" s="12">
        <f>IFERROR(VLOOKUP(VENTAS[[#This Row],[Código del producto Vendido]],STOCK[],16,FALSE)*VENTAS[[#This Row],[Cantidad]]+VLOOKUP(VENTAS[[#This Row],[Código del producto Vendido]],STOCK[],19,FALSE)*VENTAS[[#This Row],[Cantidad]],VENTAS[[#This Row],[Total]])</f>
        <v>19.1588888888889</v>
      </c>
      <c r="L1263" s="12">
        <f>VENTAS[[#This Row],[Total]]-VENTAS[[#This Row],[Comisión 10%]]-VENTAS[[#This Row],[Costo SIN Comision]]</f>
        <v>3.3411111111111005</v>
      </c>
      <c r="M1263" s="12"/>
      <c r="N1263" s="16"/>
    </row>
    <row r="1264" spans="1:14" ht="20" hidden="1" customHeight="1">
      <c r="A1264" s="9">
        <v>45527</v>
      </c>
      <c r="B1264" s="10"/>
      <c r="C1264" s="10" t="s">
        <v>4462</v>
      </c>
      <c r="D1264" s="10" t="s">
        <v>4381</v>
      </c>
      <c r="E1264" s="10" t="s">
        <v>2695</v>
      </c>
      <c r="F1264" s="10" t="str">
        <f>IFERROR(VLOOKUP(VENTAS[[#This Row],[Código del producto Vendido]],STOCK[],5,FALSE),"-")</f>
        <v>Set de Splash y crema de Victoria Secret (Original) Bare Vainilla</v>
      </c>
      <c r="G1264" s="10">
        <v>1</v>
      </c>
      <c r="H1264" s="12">
        <v>40</v>
      </c>
      <c r="I1264" s="12">
        <f>VENTAS[[#This Row],[Cantidad]]*VENTAS[[#This Row],[Precio Venta]]</f>
        <v>40</v>
      </c>
      <c r="J1264" s="12">
        <f>IF(VENTAS[[#This Row],[Nombre del Gestor]]&gt;1,VENTAS[[#This Row],[Total]]*10%,0)</f>
        <v>4</v>
      </c>
      <c r="K1264" s="12">
        <f>IFERROR(VLOOKUP(VENTAS[[#This Row],[Código del producto Vendido]],STOCK[],16,FALSE)*VENTAS[[#This Row],[Cantidad]]+VLOOKUP(VENTAS[[#This Row],[Código del producto Vendido]],STOCK[],19,FALSE)*VENTAS[[#This Row],[Cantidad]],VENTAS[[#This Row],[Total]])</f>
        <v>16.37</v>
      </c>
      <c r="L1264" s="12">
        <f>VENTAS[[#This Row],[Total]]-VENTAS[[#This Row],[Comisión 10%]]-VENTAS[[#This Row],[Costo SIN Comision]]</f>
        <v>19.63</v>
      </c>
      <c r="M1264" s="12"/>
      <c r="N1264" s="16"/>
    </row>
    <row r="1265" spans="1:14" ht="20" hidden="1" customHeight="1">
      <c r="A1265" s="9">
        <v>45510</v>
      </c>
      <c r="B1265" s="10"/>
      <c r="C1265" s="10" t="s">
        <v>4463</v>
      </c>
      <c r="D1265" s="10" t="s">
        <v>4320</v>
      </c>
      <c r="E1265" s="10" t="s">
        <v>2588</v>
      </c>
      <c r="F1265" s="10" t="str">
        <f>IFERROR(VLOOKUP(VENTAS[[#This Row],[Código del producto Vendido]],STOCK[],5,FALSE),"-")</f>
        <v>Vestido blanco espalda cruzada</v>
      </c>
      <c r="G1265" s="10">
        <v>1</v>
      </c>
      <c r="H1265" s="12">
        <v>30</v>
      </c>
      <c r="I1265" s="12">
        <f>VENTAS[[#This Row],[Cantidad]]*VENTAS[[#This Row],[Precio Venta]]</f>
        <v>30</v>
      </c>
      <c r="J1265" s="12">
        <f>IF(VENTAS[[#This Row],[Nombre del Gestor]]&gt;1,VENTAS[[#This Row],[Total]]*10%,0)</f>
        <v>3</v>
      </c>
      <c r="K1265" s="12">
        <f>IFERROR(VLOOKUP(VENTAS[[#This Row],[Código del producto Vendido]],STOCK[],16,FALSE)*VENTAS[[#This Row],[Cantidad]]+VLOOKUP(VENTAS[[#This Row],[Código del producto Vendido]],STOCK[],19,FALSE)*VENTAS[[#This Row],[Cantidad]],VENTAS[[#This Row],[Total]])</f>
        <v>15.440000000000001</v>
      </c>
      <c r="L1265" s="12">
        <f>VENTAS[[#This Row],[Total]]-VENTAS[[#This Row],[Comisión 10%]]-VENTAS[[#This Row],[Costo SIN Comision]]</f>
        <v>11.559999999999999</v>
      </c>
      <c r="M1265" s="12"/>
      <c r="N1265" s="16"/>
    </row>
    <row r="1266" spans="1:14" ht="20" hidden="1" customHeight="1">
      <c r="A1266" s="9">
        <v>45511</v>
      </c>
      <c r="B1266" s="10"/>
      <c r="C1266" s="10" t="s">
        <v>4464</v>
      </c>
      <c r="D1266" s="10" t="s">
        <v>4320</v>
      </c>
      <c r="E1266" s="10" t="s">
        <v>2500</v>
      </c>
      <c r="F1266" s="10" t="str">
        <f>IFERROR(VLOOKUP(VENTAS[[#This Row],[Código del producto Vendido]],STOCK[],5,FALSE),"-")</f>
        <v xml:space="preserve">Bolso tejido redondo de gran capidad </v>
      </c>
      <c r="G1266" s="10">
        <v>1</v>
      </c>
      <c r="H1266" s="12">
        <v>25</v>
      </c>
      <c r="I1266" s="12">
        <f>VENTAS[[#This Row],[Cantidad]]*VENTAS[[#This Row],[Precio Venta]]</f>
        <v>25</v>
      </c>
      <c r="J1266" s="12">
        <f>IF(VENTAS[[#This Row],[Nombre del Gestor]]&gt;1,VENTAS[[#This Row],[Total]]*10%,0)</f>
        <v>2.5</v>
      </c>
      <c r="K1266" s="12">
        <f>IFERROR(VLOOKUP(VENTAS[[#This Row],[Código del producto Vendido]],STOCK[],16,FALSE)*VENTAS[[#This Row],[Cantidad]]+VLOOKUP(VENTAS[[#This Row],[Código del producto Vendido]],STOCK[],19,FALSE)*VENTAS[[#This Row],[Cantidad]],VENTAS[[#This Row],[Total]])</f>
        <v>11.67</v>
      </c>
      <c r="L1266" s="12">
        <f>VENTAS[[#This Row],[Total]]-VENTAS[[#This Row],[Comisión 10%]]-VENTAS[[#This Row],[Costo SIN Comision]]</f>
        <v>10.83</v>
      </c>
      <c r="M1266" s="12"/>
      <c r="N1266" s="16"/>
    </row>
    <row r="1267" spans="1:14" ht="20" hidden="1" customHeight="1">
      <c r="A1267" s="9">
        <v>45527</v>
      </c>
      <c r="B1267" s="10"/>
      <c r="C1267" s="10" t="s">
        <v>4409</v>
      </c>
      <c r="D1267" s="10" t="s">
        <v>4320</v>
      </c>
      <c r="E1267" s="10" t="s">
        <v>2511</v>
      </c>
      <c r="F1267" s="10" t="str">
        <f>IFERROR(VLOOKUP(VENTAS[[#This Row],[Código del producto Vendido]],STOCK[],5,FALSE),"-")</f>
        <v>Falda Pantalón de mezclilla</v>
      </c>
      <c r="G1267" s="10">
        <v>1</v>
      </c>
      <c r="H1267" s="12">
        <v>30</v>
      </c>
      <c r="I1267" s="12">
        <f>VENTAS[[#This Row],[Cantidad]]*VENTAS[[#This Row],[Precio Venta]]</f>
        <v>30</v>
      </c>
      <c r="J1267" s="12">
        <f>IF(VENTAS[[#This Row],[Nombre del Gestor]]&gt;1,VENTAS[[#This Row],[Total]]*10%,0)</f>
        <v>3</v>
      </c>
      <c r="K1267" s="12">
        <f>IFERROR(VLOOKUP(VENTAS[[#This Row],[Código del producto Vendido]],STOCK[],16,FALSE)*VENTAS[[#This Row],[Cantidad]]+VLOOKUP(VENTAS[[#This Row],[Código del producto Vendido]],STOCK[],19,FALSE)*VENTAS[[#This Row],[Cantidad]],VENTAS[[#This Row],[Total]])</f>
        <v>19.189999999999998</v>
      </c>
      <c r="L1267" s="12">
        <f>VENTAS[[#This Row],[Total]]-VENTAS[[#This Row],[Comisión 10%]]-VENTAS[[#This Row],[Costo SIN Comision]]</f>
        <v>7.8100000000000023</v>
      </c>
      <c r="M1267" s="12"/>
      <c r="N1267" s="16"/>
    </row>
    <row r="1268" spans="1:14" ht="20" hidden="1" customHeight="1">
      <c r="A1268" s="9">
        <v>45527</v>
      </c>
      <c r="B1268" s="10"/>
      <c r="C1268" s="10" t="s">
        <v>4409</v>
      </c>
      <c r="D1268" s="10" t="s">
        <v>4320</v>
      </c>
      <c r="E1268" s="10" t="s">
        <v>102</v>
      </c>
      <c r="F1268" s="10" t="str">
        <f>IFERROR(VLOOKUP(VENTAS[[#This Row],[Código del producto Vendido]],STOCK[],5,FALSE),"-")</f>
        <v>Pareo pantalón de malla</v>
      </c>
      <c r="G1268" s="10">
        <v>1</v>
      </c>
      <c r="H1268" s="12">
        <v>15</v>
      </c>
      <c r="I1268" s="12">
        <f>VENTAS[[#This Row],[Cantidad]]*VENTAS[[#This Row],[Precio Venta]]</f>
        <v>15</v>
      </c>
      <c r="J1268" s="12">
        <f>IF(VENTAS[[#This Row],[Nombre del Gestor]]&gt;1,VENTAS[[#This Row],[Total]]*10%,0)</f>
        <v>1.5</v>
      </c>
      <c r="K1268" s="12">
        <f>IFERROR(VLOOKUP(VENTAS[[#This Row],[Código del producto Vendido]],STOCK[],16,FALSE)*VENTAS[[#This Row],[Cantidad]]+VLOOKUP(VENTAS[[#This Row],[Código del producto Vendido]],STOCK[],19,FALSE)*VENTAS[[#This Row],[Cantidad]],VENTAS[[#This Row],[Total]])</f>
        <v>9.7855555555555593</v>
      </c>
      <c r="L1268" s="12">
        <f>VENTAS[[#This Row],[Total]]-VENTAS[[#This Row],[Comisión 10%]]-VENTAS[[#This Row],[Costo SIN Comision]]</f>
        <v>3.7144444444444407</v>
      </c>
      <c r="M1268" s="12"/>
      <c r="N1268" s="16"/>
    </row>
    <row r="1269" spans="1:14" ht="20" hidden="1" customHeight="1">
      <c r="A1269" s="9">
        <v>45526</v>
      </c>
      <c r="B1269" s="10"/>
      <c r="C1269" s="10" t="s">
        <v>4465</v>
      </c>
      <c r="D1269" s="10" t="s">
        <v>4320</v>
      </c>
      <c r="E1269" s="10" t="s">
        <v>2490</v>
      </c>
      <c r="F1269" s="10" t="str">
        <f>IFERROR(VLOOKUP(VENTAS[[#This Row],[Código del producto Vendido]],STOCK[],5,FALSE),"-")</f>
        <v>Sandalias prácticas chunky blanco crema</v>
      </c>
      <c r="G1269" s="10">
        <v>1</v>
      </c>
      <c r="H1269" s="12">
        <v>35</v>
      </c>
      <c r="I1269" s="12">
        <f>VENTAS[[#This Row],[Cantidad]]*VENTAS[[#This Row],[Precio Venta]]</f>
        <v>35</v>
      </c>
      <c r="J1269" s="12">
        <f>IF(VENTAS[[#This Row],[Nombre del Gestor]]&gt;1,VENTAS[[#This Row],[Total]]*10%,0)</f>
        <v>3.5</v>
      </c>
      <c r="K1269" s="12">
        <f>IFERROR(VLOOKUP(VENTAS[[#This Row],[Código del producto Vendido]],STOCK[],16,FALSE)*VENTAS[[#This Row],[Cantidad]]+VLOOKUP(VENTAS[[#This Row],[Código del producto Vendido]],STOCK[],19,FALSE)*VENTAS[[#This Row],[Cantidad]],VENTAS[[#This Row],[Total]])</f>
        <v>24.217399999999998</v>
      </c>
      <c r="L1269" s="12">
        <f>VENTAS[[#This Row],[Total]]-VENTAS[[#This Row],[Comisión 10%]]-VENTAS[[#This Row],[Costo SIN Comision]]</f>
        <v>7.2826000000000022</v>
      </c>
      <c r="M1269" s="12"/>
      <c r="N1269" s="16"/>
    </row>
    <row r="1270" spans="1:14" ht="20" hidden="1" customHeight="1">
      <c r="A1270" s="9">
        <v>45514</v>
      </c>
      <c r="B1270" s="10"/>
      <c r="C1270" s="10" t="s">
        <v>4413</v>
      </c>
      <c r="D1270" s="10" t="s">
        <v>4320</v>
      </c>
      <c r="E1270" s="10" t="s">
        <v>2528</v>
      </c>
      <c r="F1270" s="10" t="str">
        <f>IFERROR(VLOOKUP(VENTAS[[#This Row],[Código del producto Vendido]],STOCK[],5,FALSE),"-")</f>
        <v>Blusa de lazos color negro</v>
      </c>
      <c r="G1270" s="10">
        <v>1</v>
      </c>
      <c r="H1270" s="12">
        <v>18</v>
      </c>
      <c r="I1270" s="12">
        <f>VENTAS[[#This Row],[Cantidad]]*VENTAS[[#This Row],[Precio Venta]]</f>
        <v>18</v>
      </c>
      <c r="J1270" s="12">
        <f>IF(VENTAS[[#This Row],[Nombre del Gestor]]&gt;1,VENTAS[[#This Row],[Total]]*10%,0)</f>
        <v>1.8</v>
      </c>
      <c r="K1270" s="12">
        <f>IFERROR(VLOOKUP(VENTAS[[#This Row],[Código del producto Vendido]],STOCK[],16,FALSE)*VENTAS[[#This Row],[Cantidad]]+VLOOKUP(VENTAS[[#This Row],[Código del producto Vendido]],STOCK[],19,FALSE)*VENTAS[[#This Row],[Cantidad]],VENTAS[[#This Row],[Total]])</f>
        <v>10.220000000000001</v>
      </c>
      <c r="L1270" s="12">
        <f>VENTAS[[#This Row],[Total]]-VENTAS[[#This Row],[Comisión 10%]]-VENTAS[[#This Row],[Costo SIN Comision]]</f>
        <v>5.9799999999999986</v>
      </c>
      <c r="M1270" s="12"/>
      <c r="N1270" s="16"/>
    </row>
    <row r="1271" spans="1:14" ht="20" hidden="1" customHeight="1">
      <c r="A1271" s="9">
        <v>45513</v>
      </c>
      <c r="B1271" s="10"/>
      <c r="C1271" s="10" t="s">
        <v>4466</v>
      </c>
      <c r="D1271" s="10" t="s">
        <v>4320</v>
      </c>
      <c r="E1271" s="10" t="s">
        <v>2588</v>
      </c>
      <c r="F1271" s="10" t="str">
        <f>IFERROR(VLOOKUP(VENTAS[[#This Row],[Código del producto Vendido]],STOCK[],5,FALSE),"-")</f>
        <v>Vestido blanco espalda cruzada</v>
      </c>
      <c r="G1271" s="10">
        <v>1</v>
      </c>
      <c r="H1271" s="12">
        <v>30</v>
      </c>
      <c r="I1271" s="12">
        <f>VENTAS[[#This Row],[Cantidad]]*VENTAS[[#This Row],[Precio Venta]]</f>
        <v>30</v>
      </c>
      <c r="J1271" s="12">
        <f>IF(VENTAS[[#This Row],[Nombre del Gestor]]&gt;1,VENTAS[[#This Row],[Total]]*10%,0)</f>
        <v>3</v>
      </c>
      <c r="K1271" s="12">
        <f>IFERROR(VLOOKUP(VENTAS[[#This Row],[Código del producto Vendido]],STOCK[],16,FALSE)*VENTAS[[#This Row],[Cantidad]]+VLOOKUP(VENTAS[[#This Row],[Código del producto Vendido]],STOCK[],19,FALSE)*VENTAS[[#This Row],[Cantidad]],VENTAS[[#This Row],[Total]])</f>
        <v>15.440000000000001</v>
      </c>
      <c r="L1271" s="12">
        <f>VENTAS[[#This Row],[Total]]-VENTAS[[#This Row],[Comisión 10%]]-VENTAS[[#This Row],[Costo SIN Comision]]</f>
        <v>11.559999999999999</v>
      </c>
      <c r="M1271" s="12"/>
      <c r="N1271" s="16"/>
    </row>
    <row r="1272" spans="1:14" ht="20" hidden="1" customHeight="1">
      <c r="A1272" s="9">
        <v>45514</v>
      </c>
      <c r="B1272" s="10"/>
      <c r="C1272" s="10" t="s">
        <v>4467</v>
      </c>
      <c r="D1272" s="10" t="s">
        <v>4320</v>
      </c>
      <c r="E1272" s="10" t="s">
        <v>2466</v>
      </c>
      <c r="F1272" s="10" t="str">
        <f>IFERROR(VLOOKUP(VENTAS[[#This Row],[Código del producto Vendido]],STOCK[],5,FALSE),"-")</f>
        <v>Sandalias de plataforma en bloque de color</v>
      </c>
      <c r="G1272" s="10">
        <v>1</v>
      </c>
      <c r="H1272" s="12">
        <v>35</v>
      </c>
      <c r="I1272" s="12">
        <f>VENTAS[[#This Row],[Cantidad]]*VENTAS[[#This Row],[Precio Venta]]</f>
        <v>35</v>
      </c>
      <c r="J1272" s="12">
        <f>IF(VENTAS[[#This Row],[Nombre del Gestor]]&gt;1,VENTAS[[#This Row],[Total]]*10%,0)</f>
        <v>3.5</v>
      </c>
      <c r="K1272" s="12">
        <f>IFERROR(VLOOKUP(VENTAS[[#This Row],[Código del producto Vendido]],STOCK[],16,FALSE)*VENTAS[[#This Row],[Cantidad]]+VLOOKUP(VENTAS[[#This Row],[Código del producto Vendido]],STOCK[],19,FALSE)*VENTAS[[#This Row],[Cantidad]],VENTAS[[#This Row],[Total]])</f>
        <v>21.97</v>
      </c>
      <c r="L1272" s="12">
        <f>VENTAS[[#This Row],[Total]]-VENTAS[[#This Row],[Comisión 10%]]-VENTAS[[#This Row],[Costo SIN Comision]]</f>
        <v>9.5300000000000011</v>
      </c>
      <c r="M1272" s="12"/>
      <c r="N1272" s="16"/>
    </row>
    <row r="1273" spans="1:14" ht="20" hidden="1" customHeight="1">
      <c r="A1273" s="9">
        <v>45521</v>
      </c>
      <c r="B1273" s="10"/>
      <c r="C1273" s="10" t="s">
        <v>4319</v>
      </c>
      <c r="D1273" s="10" t="s">
        <v>4320</v>
      </c>
      <c r="E1273" s="10" t="s">
        <v>1124</v>
      </c>
      <c r="F1273" s="10" t="str">
        <f>IFERROR(VLOOKUP(VENTAS[[#This Row],[Código del producto Vendido]],STOCK[],5,FALSE),"-")</f>
        <v xml:space="preserve">Sandalias de tacón con tiras </v>
      </c>
      <c r="G1273" s="10">
        <v>1</v>
      </c>
      <c r="H1273" s="12">
        <v>40</v>
      </c>
      <c r="I1273" s="12">
        <f>VENTAS[[#This Row],[Cantidad]]*VENTAS[[#This Row],[Precio Venta]]</f>
        <v>40</v>
      </c>
      <c r="J1273" s="12">
        <f>IF(VENTAS[[#This Row],[Nombre del Gestor]]&gt;1,VENTAS[[#This Row],[Total]]*10%,0)</f>
        <v>4</v>
      </c>
      <c r="K1273" s="12">
        <f>IFERROR(VLOOKUP(VENTAS[[#This Row],[Código del producto Vendido]],STOCK[],16,FALSE)*VENTAS[[#This Row],[Cantidad]]+VLOOKUP(VENTAS[[#This Row],[Código del producto Vendido]],STOCK[],19,FALSE)*VENTAS[[#This Row],[Cantidad]],VENTAS[[#This Row],[Total]])</f>
        <v>27.152941176470602</v>
      </c>
      <c r="L1273" s="12">
        <f>VENTAS[[#This Row],[Total]]-VENTAS[[#This Row],[Comisión 10%]]-VENTAS[[#This Row],[Costo SIN Comision]]</f>
        <v>8.8470588235293981</v>
      </c>
      <c r="M1273" s="12"/>
      <c r="N1273" s="16"/>
    </row>
    <row r="1274" spans="1:14" ht="20" hidden="1" customHeight="1">
      <c r="A1274" s="9">
        <v>45523</v>
      </c>
      <c r="B1274" s="10"/>
      <c r="C1274" s="10" t="s">
        <v>4468</v>
      </c>
      <c r="D1274" s="10" t="s">
        <v>4320</v>
      </c>
      <c r="E1274" s="10" t="s">
        <v>1739</v>
      </c>
      <c r="F1274" s="10" t="str">
        <f>IFERROR(VLOOKUP(VENTAS[[#This Row],[Código del producto Vendido]],STOCK[],5,FALSE),"-")</f>
        <v>Chaleco de traje Negro</v>
      </c>
      <c r="G1274" s="10">
        <v>1</v>
      </c>
      <c r="H1274" s="12">
        <v>25</v>
      </c>
      <c r="I1274" s="12">
        <f>VENTAS[[#This Row],[Cantidad]]*VENTAS[[#This Row],[Precio Venta]]</f>
        <v>25</v>
      </c>
      <c r="J1274" s="12">
        <f>IF(VENTAS[[#This Row],[Nombre del Gestor]]&gt;1,VENTAS[[#This Row],[Total]]*10%,0)</f>
        <v>2.5</v>
      </c>
      <c r="K1274" s="12">
        <f>IFERROR(VLOOKUP(VENTAS[[#This Row],[Código del producto Vendido]],STOCK[],16,FALSE)*VENTAS[[#This Row],[Cantidad]]+VLOOKUP(VENTAS[[#This Row],[Código del producto Vendido]],STOCK[],19,FALSE)*VENTAS[[#This Row],[Cantidad]],VENTAS[[#This Row],[Total]])</f>
        <v>17.9411764705882</v>
      </c>
      <c r="L1274" s="12">
        <f>VENTAS[[#This Row],[Total]]-VENTAS[[#This Row],[Comisión 10%]]-VENTAS[[#This Row],[Costo SIN Comision]]</f>
        <v>4.5588235294118</v>
      </c>
      <c r="M1274" s="12"/>
      <c r="N1274" s="16"/>
    </row>
    <row r="1275" spans="1:14" ht="20" hidden="1" customHeight="1">
      <c r="A1275" s="9">
        <v>45513</v>
      </c>
      <c r="B1275" s="10"/>
      <c r="C1275" s="10" t="s">
        <v>4469</v>
      </c>
      <c r="D1275" s="10" t="s">
        <v>4320</v>
      </c>
      <c r="E1275" s="10" t="s">
        <v>2629</v>
      </c>
      <c r="F1275" s="10" t="str">
        <f>IFERROR(VLOOKUP(VENTAS[[#This Row],[Código del producto Vendido]],STOCK[],5,FALSE),"-")</f>
        <v>Vestido verde cruzado H&amp;M</v>
      </c>
      <c r="G1275" s="10">
        <v>1</v>
      </c>
      <c r="H1275" s="12">
        <v>28</v>
      </c>
      <c r="I1275" s="12">
        <f>VENTAS[[#This Row],[Cantidad]]*VENTAS[[#This Row],[Precio Venta]]</f>
        <v>28</v>
      </c>
      <c r="J1275" s="12">
        <f>IF(VENTAS[[#This Row],[Nombre del Gestor]]&gt;1,VENTAS[[#This Row],[Total]]*10%,0)</f>
        <v>2.8000000000000003</v>
      </c>
      <c r="K1275" s="12">
        <f>IFERROR(VLOOKUP(VENTAS[[#This Row],[Código del producto Vendido]],STOCK[],16,FALSE)*VENTAS[[#This Row],[Cantidad]]+VLOOKUP(VENTAS[[#This Row],[Código del producto Vendido]],STOCK[],19,FALSE)*VENTAS[[#This Row],[Cantidad]],VENTAS[[#This Row],[Total]])</f>
        <v>13.96</v>
      </c>
      <c r="L1275" s="12">
        <f>VENTAS[[#This Row],[Total]]-VENTAS[[#This Row],[Comisión 10%]]-VENTAS[[#This Row],[Costo SIN Comision]]</f>
        <v>11.239999999999998</v>
      </c>
      <c r="M1275" s="12"/>
      <c r="N1275" s="16"/>
    </row>
    <row r="1276" spans="1:14" ht="20" hidden="1" customHeight="1">
      <c r="A1276" s="9">
        <v>45513</v>
      </c>
      <c r="B1276" s="10"/>
      <c r="C1276" s="10" t="s">
        <v>4469</v>
      </c>
      <c r="D1276" s="10" t="s">
        <v>4320</v>
      </c>
      <c r="E1276" s="10" t="s">
        <v>2615</v>
      </c>
      <c r="F1276" s="10" t="str">
        <f>IFERROR(VLOOKUP(VENTAS[[#This Row],[Código del producto Vendido]],STOCK[],5,FALSE),"-")</f>
        <v>Vestido Maxi Negro Ajustado Elegante de hombro atado</v>
      </c>
      <c r="G1276" s="10">
        <v>1</v>
      </c>
      <c r="H1276" s="12">
        <v>25</v>
      </c>
      <c r="I1276" s="12">
        <f>VENTAS[[#This Row],[Cantidad]]*VENTAS[[#This Row],[Precio Venta]]</f>
        <v>25</v>
      </c>
      <c r="J1276" s="12">
        <f>IF(VENTAS[[#This Row],[Nombre del Gestor]]&gt;1,VENTAS[[#This Row],[Total]]*10%,0)</f>
        <v>2.5</v>
      </c>
      <c r="K1276" s="12">
        <f>IFERROR(VLOOKUP(VENTAS[[#This Row],[Código del producto Vendido]],STOCK[],16,FALSE)*VENTAS[[#This Row],[Cantidad]]+VLOOKUP(VENTAS[[#This Row],[Código del producto Vendido]],STOCK[],19,FALSE)*VENTAS[[#This Row],[Cantidad]],VENTAS[[#This Row],[Total]])</f>
        <v>13.14</v>
      </c>
      <c r="L1276" s="12">
        <f>VENTAS[[#This Row],[Total]]-VENTAS[[#This Row],[Comisión 10%]]-VENTAS[[#This Row],[Costo SIN Comision]]</f>
        <v>9.36</v>
      </c>
      <c r="M1276" s="12"/>
      <c r="N1276" s="16"/>
    </row>
    <row r="1277" spans="1:14" ht="20" hidden="1" customHeight="1">
      <c r="A1277" s="9">
        <v>45527</v>
      </c>
      <c r="B1277" s="10"/>
      <c r="C1277" s="10" t="s">
        <v>4470</v>
      </c>
      <c r="D1277" s="10" t="s">
        <v>4471</v>
      </c>
      <c r="E1277" s="10" t="s">
        <v>2565</v>
      </c>
      <c r="F1277" s="10" t="str">
        <f>IFERROR(VLOOKUP(VENTAS[[#This Row],[Código del producto Vendido]],STOCK[],5,FALSE),"-")</f>
        <v xml:space="preserve">Top corto de lazo delantero </v>
      </c>
      <c r="G1277" s="10">
        <v>1</v>
      </c>
      <c r="H1277" s="12">
        <v>17</v>
      </c>
      <c r="I1277" s="12">
        <f>VENTAS[[#This Row],[Cantidad]]*VENTAS[[#This Row],[Precio Venta]]</f>
        <v>17</v>
      </c>
      <c r="J1277" s="12">
        <f>IF(VENTAS[[#This Row],[Nombre del Gestor]]&gt;1,VENTAS[[#This Row],[Total]]*10%,0)</f>
        <v>1.7000000000000002</v>
      </c>
      <c r="K1277" s="12">
        <f>IFERROR(VLOOKUP(VENTAS[[#This Row],[Código del producto Vendido]],STOCK[],16,FALSE)*VENTAS[[#This Row],[Cantidad]]+VLOOKUP(VENTAS[[#This Row],[Código del producto Vendido]],STOCK[],19,FALSE)*VENTAS[[#This Row],[Cantidad]],VENTAS[[#This Row],[Total]])</f>
        <v>11.450000000000001</v>
      </c>
      <c r="L1277" s="12">
        <f>VENTAS[[#This Row],[Total]]-VENTAS[[#This Row],[Comisión 10%]]-VENTAS[[#This Row],[Costo SIN Comision]]</f>
        <v>3.8499999999999996</v>
      </c>
      <c r="M1277" s="12"/>
      <c r="N1277" s="16"/>
    </row>
    <row r="1278" spans="1:14" ht="20" hidden="1" customHeight="1">
      <c r="A1278" s="9">
        <v>45527</v>
      </c>
      <c r="B1278" s="10"/>
      <c r="C1278" s="10" t="s">
        <v>4472</v>
      </c>
      <c r="D1278" s="10" t="s">
        <v>4473</v>
      </c>
      <c r="E1278" s="10" t="s">
        <v>2307</v>
      </c>
      <c r="F1278" s="10" t="str">
        <f>IFERROR(VLOOKUP(VENTAS[[#This Row],[Código del producto Vendido]],STOCK[],5,FALSE),"-")</f>
        <v>Bikini atado a los lados con estampado de cerezas</v>
      </c>
      <c r="G1278" s="10">
        <v>1</v>
      </c>
      <c r="H1278" s="12">
        <v>18</v>
      </c>
      <c r="I1278" s="12">
        <f>VENTAS[[#This Row],[Cantidad]]*VENTAS[[#This Row],[Precio Venta]]</f>
        <v>18</v>
      </c>
      <c r="J1278" s="12">
        <f>IF(VENTAS[[#This Row],[Nombre del Gestor]]&gt;1,VENTAS[[#This Row],[Total]]*10%,0)</f>
        <v>1.8</v>
      </c>
      <c r="K1278" s="12">
        <f>IFERROR(VLOOKUP(VENTAS[[#This Row],[Código del producto Vendido]],STOCK[],16,FALSE)*VENTAS[[#This Row],[Cantidad]]+VLOOKUP(VENTAS[[#This Row],[Código del producto Vendido]],STOCK[],19,FALSE)*VENTAS[[#This Row],[Cantidad]],VENTAS[[#This Row],[Total]])</f>
        <v>11.009375</v>
      </c>
      <c r="L1278" s="12">
        <f>VENTAS[[#This Row],[Total]]-VENTAS[[#This Row],[Comisión 10%]]-VENTAS[[#This Row],[Costo SIN Comision]]</f>
        <v>5.1906249999999989</v>
      </c>
      <c r="M1278" s="12"/>
      <c r="N1278" s="16"/>
    </row>
    <row r="1279" spans="1:14" ht="20" hidden="1" customHeight="1">
      <c r="A1279" s="9">
        <v>45527</v>
      </c>
      <c r="B1279" s="10"/>
      <c r="C1279" s="10" t="s">
        <v>4472</v>
      </c>
      <c r="D1279" s="10" t="s">
        <v>4473</v>
      </c>
      <c r="E1279" s="10" t="s">
        <v>2352</v>
      </c>
      <c r="F1279" s="10" t="str">
        <f>IFERROR(VLOOKUP(VENTAS[[#This Row],[Código del producto Vendido]],STOCK[],5,FALSE),"-")</f>
        <v>Set de 3 piezas bikini de moda estampado de hoja</v>
      </c>
      <c r="G1279" s="10">
        <v>1</v>
      </c>
      <c r="H1279" s="12">
        <v>28</v>
      </c>
      <c r="I1279" s="12">
        <f>VENTAS[[#This Row],[Cantidad]]*VENTAS[[#This Row],[Precio Venta]]</f>
        <v>28</v>
      </c>
      <c r="J1279" s="12">
        <f>IF(VENTAS[[#This Row],[Nombre del Gestor]]&gt;1,VENTAS[[#This Row],[Total]]*10%,0)</f>
        <v>2.8000000000000003</v>
      </c>
      <c r="K1279" s="12">
        <f>IFERROR(VLOOKUP(VENTAS[[#This Row],[Código del producto Vendido]],STOCK[],16,FALSE)*VENTAS[[#This Row],[Cantidad]]+VLOOKUP(VENTAS[[#This Row],[Código del producto Vendido]],STOCK[],19,FALSE)*VENTAS[[#This Row],[Cantidad]],VENTAS[[#This Row],[Total]])</f>
        <v>17.665624999999999</v>
      </c>
      <c r="L1279" s="12">
        <f>VENTAS[[#This Row],[Total]]-VENTAS[[#This Row],[Comisión 10%]]-VENTAS[[#This Row],[Costo SIN Comision]]</f>
        <v>7.5343750000000007</v>
      </c>
      <c r="M1279" s="12"/>
      <c r="N1279" s="16"/>
    </row>
    <row r="1280" spans="1:14" ht="20" hidden="1" customHeight="1">
      <c r="A1280" s="9">
        <v>45522</v>
      </c>
      <c r="B1280" s="10"/>
      <c r="C1280" s="10" t="s">
        <v>4474</v>
      </c>
      <c r="D1280" s="10" t="s">
        <v>4473</v>
      </c>
      <c r="E1280" s="10" t="s">
        <v>2524</v>
      </c>
      <c r="F1280" s="10" t="str">
        <f>IFERROR(VLOOKUP(VENTAS[[#This Row],[Código del producto Vendido]],STOCK[],5,FALSE),"-")</f>
        <v>Cinturón fino de hebilla de estilo elegante negro</v>
      </c>
      <c r="G1280" s="10">
        <v>1</v>
      </c>
      <c r="H1280" s="12">
        <v>12</v>
      </c>
      <c r="I1280" s="12">
        <f>VENTAS[[#This Row],[Cantidad]]*VENTAS[[#This Row],[Precio Venta]]</f>
        <v>12</v>
      </c>
      <c r="J1280" s="12">
        <f>IF(VENTAS[[#This Row],[Nombre del Gestor]]&gt;1,VENTAS[[#This Row],[Total]]*10%,0)</f>
        <v>1.2000000000000002</v>
      </c>
      <c r="K1280" s="12">
        <f>IFERROR(VLOOKUP(VENTAS[[#This Row],[Código del producto Vendido]],STOCK[],16,FALSE)*VENTAS[[#This Row],[Cantidad]]+VLOOKUP(VENTAS[[#This Row],[Código del producto Vendido]],STOCK[],19,FALSE)*VENTAS[[#This Row],[Cantidad]],VENTAS[[#This Row],[Total]])</f>
        <v>5.13</v>
      </c>
      <c r="L1280" s="12">
        <f>VENTAS[[#This Row],[Total]]-VENTAS[[#This Row],[Comisión 10%]]-VENTAS[[#This Row],[Costo SIN Comision]]</f>
        <v>5.6700000000000008</v>
      </c>
      <c r="M1280" s="12"/>
      <c r="N1280" s="16"/>
    </row>
    <row r="1281" spans="1:14" ht="20" hidden="1" customHeight="1">
      <c r="A1281" s="9">
        <v>45522</v>
      </c>
      <c r="B1281" s="10"/>
      <c r="C1281" s="10" t="s">
        <v>4474</v>
      </c>
      <c r="D1281" s="10" t="s">
        <v>4473</v>
      </c>
      <c r="E1281" s="10" t="s">
        <v>2679</v>
      </c>
      <c r="F1281" s="10" t="str">
        <f>IFERROR(VLOOKUP(VENTAS[[#This Row],[Código del producto Vendido]],STOCK[],5,FALSE),"-")</f>
        <v>Traje de baño clásico en bloque de color de talle alto</v>
      </c>
      <c r="G1281" s="10">
        <v>1</v>
      </c>
      <c r="H1281" s="12">
        <v>28</v>
      </c>
      <c r="I1281" s="12">
        <f>VENTAS[[#This Row],[Cantidad]]*VENTAS[[#This Row],[Precio Venta]]</f>
        <v>28</v>
      </c>
      <c r="J1281" s="12">
        <f>IF(VENTAS[[#This Row],[Nombre del Gestor]]&gt;1,VENTAS[[#This Row],[Total]]*10%,0)</f>
        <v>2.8000000000000003</v>
      </c>
      <c r="K1281" s="12">
        <f>IFERROR(VLOOKUP(VENTAS[[#This Row],[Código del producto Vendido]],STOCK[],16,FALSE)*VENTAS[[#This Row],[Cantidad]]+VLOOKUP(VENTAS[[#This Row],[Código del producto Vendido]],STOCK[],19,FALSE)*VENTAS[[#This Row],[Cantidad]],VENTAS[[#This Row],[Total]])</f>
        <v>10.41</v>
      </c>
      <c r="L1281" s="12">
        <f>VENTAS[[#This Row],[Total]]-VENTAS[[#This Row],[Comisión 10%]]-VENTAS[[#This Row],[Costo SIN Comision]]</f>
        <v>14.79</v>
      </c>
      <c r="M1281" s="12"/>
      <c r="N1281" s="16"/>
    </row>
    <row r="1282" spans="1:14" ht="20" hidden="1" customHeight="1">
      <c r="A1282" s="9">
        <v>45519</v>
      </c>
      <c r="B1282" s="10"/>
      <c r="C1282" s="10" t="s">
        <v>4475</v>
      </c>
      <c r="D1282" s="10" t="s">
        <v>4473</v>
      </c>
      <c r="E1282" s="10" t="s">
        <v>2680</v>
      </c>
      <c r="F1282" s="10" t="str">
        <f>IFERROR(VLOOKUP(VENTAS[[#This Row],[Código del producto Vendido]],STOCK[],5,FALSE),"-")</f>
        <v>Traje de baño clásico en bloque de color de talle alto</v>
      </c>
      <c r="G1282" s="10">
        <v>1</v>
      </c>
      <c r="H1282" s="12">
        <v>28</v>
      </c>
      <c r="I1282" s="12">
        <f>VENTAS[[#This Row],[Cantidad]]*VENTAS[[#This Row],[Precio Venta]]</f>
        <v>28</v>
      </c>
      <c r="J1282" s="12">
        <f>IF(VENTAS[[#This Row],[Nombre del Gestor]]&gt;1,VENTAS[[#This Row],[Total]]*10%,0)</f>
        <v>2.8000000000000003</v>
      </c>
      <c r="K1282" s="12">
        <f>IFERROR(VLOOKUP(VENTAS[[#This Row],[Código del producto Vendido]],STOCK[],16,FALSE)*VENTAS[[#This Row],[Cantidad]]+VLOOKUP(VENTAS[[#This Row],[Código del producto Vendido]],STOCK[],19,FALSE)*VENTAS[[#This Row],[Cantidad]],VENTAS[[#This Row],[Total]])</f>
        <v>10.4</v>
      </c>
      <c r="L1282" s="12">
        <f>VENTAS[[#This Row],[Total]]-VENTAS[[#This Row],[Comisión 10%]]-VENTAS[[#This Row],[Costo SIN Comision]]</f>
        <v>14.799999999999999</v>
      </c>
      <c r="M1282" s="12"/>
      <c r="N1282" s="16"/>
    </row>
    <row r="1283" spans="1:14" ht="20" hidden="1" customHeight="1">
      <c r="A1283" s="9">
        <v>45518</v>
      </c>
      <c r="B1283" s="10"/>
      <c r="C1283" s="10" t="s">
        <v>4476</v>
      </c>
      <c r="D1283" s="10" t="s">
        <v>4473</v>
      </c>
      <c r="E1283" s="10" t="s">
        <v>2478</v>
      </c>
      <c r="F1283" s="10" t="str">
        <f>IFERROR(VLOOKUP(VENTAS[[#This Row],[Código del producto Vendido]],STOCK[],5,FALSE),"-")</f>
        <v>Sandalias espadriles nude</v>
      </c>
      <c r="G1283" s="10">
        <v>1</v>
      </c>
      <c r="H1283" s="12">
        <v>45</v>
      </c>
      <c r="I1283" s="12">
        <f>VENTAS[[#This Row],[Cantidad]]*VENTAS[[#This Row],[Precio Venta]]</f>
        <v>45</v>
      </c>
      <c r="J1283" s="12">
        <f>IF(VENTAS[[#This Row],[Nombre del Gestor]]&gt;1,VENTAS[[#This Row],[Total]]*10%,0)</f>
        <v>4.5</v>
      </c>
      <c r="K1283" s="12">
        <f>IFERROR(VLOOKUP(VENTAS[[#This Row],[Código del producto Vendido]],STOCK[],16,FALSE)*VENTAS[[#This Row],[Cantidad]]+VLOOKUP(VENTAS[[#This Row],[Código del producto Vendido]],STOCK[],19,FALSE)*VENTAS[[#This Row],[Cantidad]],VENTAS[[#This Row],[Total]])</f>
        <v>31.951699999999999</v>
      </c>
      <c r="L1283" s="12">
        <f>VENTAS[[#This Row],[Total]]-VENTAS[[#This Row],[Comisión 10%]]-VENTAS[[#This Row],[Costo SIN Comision]]</f>
        <v>8.5483000000000011</v>
      </c>
      <c r="M1283" s="12"/>
      <c r="N1283" s="16"/>
    </row>
    <row r="1284" spans="1:14" ht="20" hidden="1" customHeight="1">
      <c r="A1284" s="9">
        <v>45517</v>
      </c>
      <c r="B1284" s="10"/>
      <c r="C1284" s="10" t="s">
        <v>4477</v>
      </c>
      <c r="D1284" s="10" t="s">
        <v>4473</v>
      </c>
      <c r="E1284" s="10" t="s">
        <v>1779</v>
      </c>
      <c r="F1284" s="10" t="str">
        <f>IFERROR(VLOOKUP(VENTAS[[#This Row],[Código del producto Vendido]],STOCK[],5,FALSE),"-")</f>
        <v>Conjunto de bikini</v>
      </c>
      <c r="G1284" s="10">
        <v>1</v>
      </c>
      <c r="H1284" s="12">
        <v>20</v>
      </c>
      <c r="I1284" s="12">
        <f>VENTAS[[#This Row],[Cantidad]]*VENTAS[[#This Row],[Precio Venta]]</f>
        <v>20</v>
      </c>
      <c r="J1284" s="12">
        <f>IF(VENTAS[[#This Row],[Nombre del Gestor]]&gt;1,VENTAS[[#This Row],[Total]]*10%,0)</f>
        <v>2</v>
      </c>
      <c r="K1284" s="12">
        <f>IFERROR(VLOOKUP(VENTAS[[#This Row],[Código del producto Vendido]],STOCK[],16,FALSE)*VENTAS[[#This Row],[Cantidad]]+VLOOKUP(VENTAS[[#This Row],[Código del producto Vendido]],STOCK[],19,FALSE)*VENTAS[[#This Row],[Cantidad]],VENTAS[[#This Row],[Total]])</f>
        <v>12.352941176470591</v>
      </c>
      <c r="L1284" s="12">
        <f>VENTAS[[#This Row],[Total]]-VENTAS[[#This Row],[Comisión 10%]]-VENTAS[[#This Row],[Costo SIN Comision]]</f>
        <v>5.6470588235294095</v>
      </c>
      <c r="M1284" s="12"/>
      <c r="N1284" s="16"/>
    </row>
    <row r="1285" spans="1:14" ht="20" hidden="1" customHeight="1">
      <c r="A1285" s="9">
        <v>45517</v>
      </c>
      <c r="B1285" s="10"/>
      <c r="C1285" s="10" t="s">
        <v>4478</v>
      </c>
      <c r="D1285" s="10" t="s">
        <v>4473</v>
      </c>
      <c r="E1285" s="10" t="s">
        <v>2539</v>
      </c>
      <c r="F1285" s="10" t="str">
        <f>IFERROR(VLOOKUP(VENTAS[[#This Row],[Código del producto Vendido]],STOCK[],5,FALSE),"-")</f>
        <v>Pullover corto unicolor blanco</v>
      </c>
      <c r="G1285" s="10">
        <v>1</v>
      </c>
      <c r="H1285" s="12">
        <v>10</v>
      </c>
      <c r="I1285" s="12">
        <f>VENTAS[[#This Row],[Cantidad]]*VENTAS[[#This Row],[Precio Venta]]</f>
        <v>10</v>
      </c>
      <c r="J1285" s="12">
        <f>IF(VENTAS[[#This Row],[Nombre del Gestor]]&gt;1,VENTAS[[#This Row],[Total]]*10%,0)</f>
        <v>1</v>
      </c>
      <c r="K1285" s="12">
        <f>IFERROR(VLOOKUP(VENTAS[[#This Row],[Código del producto Vendido]],STOCK[],16,FALSE)*VENTAS[[#This Row],[Cantidad]]+VLOOKUP(VENTAS[[#This Row],[Código del producto Vendido]],STOCK[],19,FALSE)*VENTAS[[#This Row],[Cantidad]],VENTAS[[#This Row],[Total]])</f>
        <v>4.32</v>
      </c>
      <c r="L1285" s="12">
        <f>VENTAS[[#This Row],[Total]]-VENTAS[[#This Row],[Comisión 10%]]-VENTAS[[#This Row],[Costo SIN Comision]]</f>
        <v>4.68</v>
      </c>
      <c r="M1285" s="12"/>
      <c r="N1285" s="16"/>
    </row>
    <row r="1286" spans="1:14" ht="20" hidden="1" customHeight="1">
      <c r="A1286" s="9">
        <v>45509</v>
      </c>
      <c r="B1286" s="10"/>
      <c r="C1286" s="10" t="s">
        <v>4479</v>
      </c>
      <c r="D1286" s="10" t="s">
        <v>4473</v>
      </c>
      <c r="E1286" s="10" t="s">
        <v>2540</v>
      </c>
      <c r="F1286" s="10" t="str">
        <f>IFERROR(VLOOKUP(VENTAS[[#This Row],[Código del producto Vendido]],STOCK[],5,FALSE),"-")</f>
        <v>Pullover corto unicolor beige</v>
      </c>
      <c r="G1286" s="10">
        <v>1</v>
      </c>
      <c r="H1286" s="12">
        <v>10</v>
      </c>
      <c r="I1286" s="12">
        <f>VENTAS[[#This Row],[Cantidad]]*VENTAS[[#This Row],[Precio Venta]]</f>
        <v>10</v>
      </c>
      <c r="J1286" s="12">
        <f>IF(VENTAS[[#This Row],[Nombre del Gestor]]&gt;1,VENTAS[[#This Row],[Total]]*10%,0)</f>
        <v>1</v>
      </c>
      <c r="K1286" s="12">
        <f>IFERROR(VLOOKUP(VENTAS[[#This Row],[Código del producto Vendido]],STOCK[],16,FALSE)*VENTAS[[#This Row],[Cantidad]]+VLOOKUP(VENTAS[[#This Row],[Código del producto Vendido]],STOCK[],19,FALSE)*VENTAS[[#This Row],[Cantidad]],VENTAS[[#This Row],[Total]])</f>
        <v>2.35</v>
      </c>
      <c r="L1286" s="12">
        <f>VENTAS[[#This Row],[Total]]-VENTAS[[#This Row],[Comisión 10%]]-VENTAS[[#This Row],[Costo SIN Comision]]</f>
        <v>6.65</v>
      </c>
      <c r="M1286" s="12"/>
      <c r="N1286" s="16"/>
    </row>
    <row r="1287" spans="1:14" ht="20" hidden="1" customHeight="1">
      <c r="A1287" s="9">
        <v>45509</v>
      </c>
      <c r="B1287" s="10"/>
      <c r="C1287" s="10" t="s">
        <v>4479</v>
      </c>
      <c r="D1287" s="10" t="s">
        <v>4473</v>
      </c>
      <c r="E1287" s="10" t="s">
        <v>2539</v>
      </c>
      <c r="F1287" s="10" t="str">
        <f>IFERROR(VLOOKUP(VENTAS[[#This Row],[Código del producto Vendido]],STOCK[],5,FALSE),"-")</f>
        <v>Pullover corto unicolor blanco</v>
      </c>
      <c r="G1287" s="10">
        <v>1</v>
      </c>
      <c r="H1287" s="12">
        <v>10</v>
      </c>
      <c r="I1287" s="12">
        <f>VENTAS[[#This Row],[Cantidad]]*VENTAS[[#This Row],[Precio Venta]]</f>
        <v>10</v>
      </c>
      <c r="J1287" s="12">
        <f>IF(VENTAS[[#This Row],[Nombre del Gestor]]&gt;1,VENTAS[[#This Row],[Total]]*10%,0)</f>
        <v>1</v>
      </c>
      <c r="K1287" s="12">
        <f>IFERROR(VLOOKUP(VENTAS[[#This Row],[Código del producto Vendido]],STOCK[],16,FALSE)*VENTAS[[#This Row],[Cantidad]]+VLOOKUP(VENTAS[[#This Row],[Código del producto Vendido]],STOCK[],19,FALSE)*VENTAS[[#This Row],[Cantidad]],VENTAS[[#This Row],[Total]])</f>
        <v>4.32</v>
      </c>
      <c r="L1287" s="12">
        <f>VENTAS[[#This Row],[Total]]-VENTAS[[#This Row],[Comisión 10%]]-VENTAS[[#This Row],[Costo SIN Comision]]</f>
        <v>4.68</v>
      </c>
      <c r="M1287" s="12"/>
      <c r="N1287" s="16"/>
    </row>
    <row r="1288" spans="1:14" ht="20" hidden="1" customHeight="1">
      <c r="A1288" s="9">
        <v>45509</v>
      </c>
      <c r="B1288" s="10"/>
      <c r="C1288" s="10" t="s">
        <v>4479</v>
      </c>
      <c r="D1288" s="10" t="s">
        <v>4473</v>
      </c>
      <c r="E1288" s="10" t="s">
        <v>2535</v>
      </c>
      <c r="F1288" s="10" t="str">
        <f>IFERROR(VLOOKUP(VENTAS[[#This Row],[Código del producto Vendido]],STOCK[],5,FALSE),"-")</f>
        <v>Pullover corto unicolor carmelita</v>
      </c>
      <c r="G1288" s="10">
        <v>1</v>
      </c>
      <c r="H1288" s="12">
        <v>10</v>
      </c>
      <c r="I1288" s="12">
        <f>VENTAS[[#This Row],[Cantidad]]*VENTAS[[#This Row],[Precio Venta]]</f>
        <v>10</v>
      </c>
      <c r="J1288" s="12">
        <f>IF(VENTAS[[#This Row],[Nombre del Gestor]]&gt;1,VENTAS[[#This Row],[Total]]*10%,0)</f>
        <v>1</v>
      </c>
      <c r="K1288" s="12">
        <f>IFERROR(VLOOKUP(VENTAS[[#This Row],[Código del producto Vendido]],STOCK[],16,FALSE)*VENTAS[[#This Row],[Cantidad]]+VLOOKUP(VENTAS[[#This Row],[Código del producto Vendido]],STOCK[],19,FALSE)*VENTAS[[#This Row],[Cantidad]],VENTAS[[#This Row],[Total]])</f>
        <v>4.32</v>
      </c>
      <c r="L1288" s="12">
        <f>VENTAS[[#This Row],[Total]]-VENTAS[[#This Row],[Comisión 10%]]-VENTAS[[#This Row],[Costo SIN Comision]]</f>
        <v>4.68</v>
      </c>
      <c r="M1288" s="12"/>
      <c r="N1288" s="16"/>
    </row>
    <row r="1289" spans="1:14" ht="20" hidden="1" customHeight="1">
      <c r="A1289" s="9">
        <v>45511</v>
      </c>
      <c r="B1289" s="10"/>
      <c r="C1289" s="10" t="s">
        <v>4480</v>
      </c>
      <c r="D1289" s="10" t="s">
        <v>4473</v>
      </c>
      <c r="E1289" s="10" t="s">
        <v>2524</v>
      </c>
      <c r="F1289" s="10" t="str">
        <f>IFERROR(VLOOKUP(VENTAS[[#This Row],[Código del producto Vendido]],STOCK[],5,FALSE),"-")</f>
        <v>Cinturón fino de hebilla de estilo elegante negro</v>
      </c>
      <c r="G1289" s="10">
        <v>1</v>
      </c>
      <c r="H1289" s="12">
        <v>12</v>
      </c>
      <c r="I1289" s="12">
        <f>VENTAS[[#This Row],[Cantidad]]*VENTAS[[#This Row],[Precio Venta]]</f>
        <v>12</v>
      </c>
      <c r="J1289" s="12">
        <f>IF(VENTAS[[#This Row],[Nombre del Gestor]]&gt;1,VENTAS[[#This Row],[Total]]*10%,0)</f>
        <v>1.2000000000000002</v>
      </c>
      <c r="K1289" s="12">
        <f>IFERROR(VLOOKUP(VENTAS[[#This Row],[Código del producto Vendido]],STOCK[],16,FALSE)*VENTAS[[#This Row],[Cantidad]]+VLOOKUP(VENTAS[[#This Row],[Código del producto Vendido]],STOCK[],19,FALSE)*VENTAS[[#This Row],[Cantidad]],VENTAS[[#This Row],[Total]])</f>
        <v>5.13</v>
      </c>
      <c r="L1289" s="12">
        <f>VENTAS[[#This Row],[Total]]-VENTAS[[#This Row],[Comisión 10%]]-VENTAS[[#This Row],[Costo SIN Comision]]</f>
        <v>5.6700000000000008</v>
      </c>
      <c r="M1289" s="12"/>
      <c r="N1289" s="16"/>
    </row>
    <row r="1290" spans="1:14" ht="20" hidden="1" customHeight="1">
      <c r="A1290" s="9">
        <v>45511</v>
      </c>
      <c r="B1290" s="10"/>
      <c r="C1290" s="10" t="s">
        <v>4480</v>
      </c>
      <c r="D1290" s="10" t="s">
        <v>4473</v>
      </c>
      <c r="E1290" s="10" t="s">
        <v>2510</v>
      </c>
      <c r="F1290" s="10" t="str">
        <f>IFERROR(VLOOKUP(VENTAS[[#This Row],[Código del producto Vendido]],STOCK[],5,FALSE),"-")</f>
        <v>Falda Pantalón de mezclilla</v>
      </c>
      <c r="G1290" s="10">
        <v>1</v>
      </c>
      <c r="H1290" s="12">
        <v>30</v>
      </c>
      <c r="I1290" s="12">
        <f>VENTAS[[#This Row],[Cantidad]]*VENTAS[[#This Row],[Precio Venta]]</f>
        <v>30</v>
      </c>
      <c r="J1290" s="12">
        <f>IF(VENTAS[[#This Row],[Nombre del Gestor]]&gt;1,VENTAS[[#This Row],[Total]]*10%,0)</f>
        <v>3</v>
      </c>
      <c r="K1290" s="12">
        <f>IFERROR(VLOOKUP(VENTAS[[#This Row],[Código del producto Vendido]],STOCK[],16,FALSE)*VENTAS[[#This Row],[Cantidad]]+VLOOKUP(VENTAS[[#This Row],[Código del producto Vendido]],STOCK[],19,FALSE)*VENTAS[[#This Row],[Cantidad]],VENTAS[[#This Row],[Total]])</f>
        <v>19.189999999999998</v>
      </c>
      <c r="L1290" s="12">
        <f>VENTAS[[#This Row],[Total]]-VENTAS[[#This Row],[Comisión 10%]]-VENTAS[[#This Row],[Costo SIN Comision]]</f>
        <v>7.8100000000000023</v>
      </c>
      <c r="M1290" s="12"/>
      <c r="N1290" s="16"/>
    </row>
    <row r="1291" spans="1:14" ht="20" hidden="1" customHeight="1">
      <c r="A1291" s="9">
        <v>45505</v>
      </c>
      <c r="B1291" s="10"/>
      <c r="C1291" s="10" t="s">
        <v>4481</v>
      </c>
      <c r="D1291" s="10" t="s">
        <v>4473</v>
      </c>
      <c r="E1291" s="10" t="s">
        <v>734</v>
      </c>
      <c r="F1291" s="10" t="str">
        <f>IFERROR(VLOOKUP(VENTAS[[#This Row],[Código del producto Vendido]],STOCK[],5,FALSE),"-")</f>
        <v>Vestido corto azul real</v>
      </c>
      <c r="G1291" s="10">
        <v>1</v>
      </c>
      <c r="H1291" s="12">
        <v>13</v>
      </c>
      <c r="I1291" s="12">
        <f>VENTAS[[#This Row],[Cantidad]]*VENTAS[[#This Row],[Precio Venta]]</f>
        <v>13</v>
      </c>
      <c r="J1291" s="12">
        <f>IF(VENTAS[[#This Row],[Nombre del Gestor]]&gt;1,VENTAS[[#This Row],[Total]]*10%,0)</f>
        <v>1.3</v>
      </c>
      <c r="K1291" s="12">
        <f>IFERROR(VLOOKUP(VENTAS[[#This Row],[Código del producto Vendido]],STOCK[],16,FALSE)*VENTAS[[#This Row],[Cantidad]]+VLOOKUP(VENTAS[[#This Row],[Código del producto Vendido]],STOCK[],19,FALSE)*VENTAS[[#This Row],[Cantidad]],VENTAS[[#This Row],[Total]])</f>
        <v>11.944444444444439</v>
      </c>
      <c r="L1291" s="12">
        <f>VENTAS[[#This Row],[Total]]-VENTAS[[#This Row],[Comisión 10%]]-VENTAS[[#This Row],[Costo SIN Comision]]</f>
        <v>-0.24444444444444002</v>
      </c>
      <c r="M1291" s="12"/>
      <c r="N1291" s="16"/>
    </row>
    <row r="1292" spans="1:14" ht="20" hidden="1" customHeight="1">
      <c r="A1292" s="9">
        <v>45505</v>
      </c>
      <c r="B1292" s="10"/>
      <c r="C1292" s="10" t="s">
        <v>4481</v>
      </c>
      <c r="D1292" s="10" t="s">
        <v>4473</v>
      </c>
      <c r="E1292" s="10" t="s">
        <v>2151</v>
      </c>
      <c r="F1292" s="10" t="str">
        <f>IFERROR(VLOOKUP(VENTAS[[#This Row],[Código del producto Vendido]],STOCK[],5,FALSE),"-")</f>
        <v>Set de 3 piezas de bikini con estampado floral</v>
      </c>
      <c r="G1292" s="10">
        <v>1</v>
      </c>
      <c r="H1292" s="12">
        <v>25</v>
      </c>
      <c r="I1292" s="12">
        <f>VENTAS[[#This Row],[Cantidad]]*VENTAS[[#This Row],[Precio Venta]]</f>
        <v>25</v>
      </c>
      <c r="J1292" s="12">
        <f>IF(VENTAS[[#This Row],[Nombre del Gestor]]&gt;1,VENTAS[[#This Row],[Total]]*10%,0)</f>
        <v>2.5</v>
      </c>
      <c r="K1292" s="12">
        <f>IFERROR(VLOOKUP(VENTAS[[#This Row],[Código del producto Vendido]],STOCK[],16,FALSE)*VENTAS[[#This Row],[Cantidad]]+VLOOKUP(VENTAS[[#This Row],[Código del producto Vendido]],STOCK[],19,FALSE)*VENTAS[[#This Row],[Cantidad]],VENTAS[[#This Row],[Total]])</f>
        <v>9.67</v>
      </c>
      <c r="L1292" s="12">
        <f>VENTAS[[#This Row],[Total]]-VENTAS[[#This Row],[Comisión 10%]]-VENTAS[[#This Row],[Costo SIN Comision]]</f>
        <v>12.83</v>
      </c>
      <c r="M1292" s="12"/>
      <c r="N1292" s="16"/>
    </row>
    <row r="1293" spans="1:14" ht="20" hidden="1" customHeight="1">
      <c r="A1293" s="9">
        <v>45505</v>
      </c>
      <c r="B1293" s="10"/>
      <c r="C1293" s="10" t="s">
        <v>4482</v>
      </c>
      <c r="D1293" s="10" t="s">
        <v>4473</v>
      </c>
      <c r="E1293" s="10" t="s">
        <v>831</v>
      </c>
      <c r="F1293" s="10" t="str">
        <f>IFERROR(VLOOKUP(VENTAS[[#This Row],[Código del producto Vendido]],STOCK[],5,FALSE),"-")</f>
        <v>Vestido estampado malva</v>
      </c>
      <c r="G1293" s="10">
        <v>1</v>
      </c>
      <c r="H1293" s="12">
        <v>12</v>
      </c>
      <c r="I1293" s="12">
        <f>VENTAS[[#This Row],[Cantidad]]*VENTAS[[#This Row],[Precio Venta]]</f>
        <v>12</v>
      </c>
      <c r="J1293" s="12">
        <f>IF(VENTAS[[#This Row],[Nombre del Gestor]]&gt;1,VENTAS[[#This Row],[Total]]*10%,0)</f>
        <v>1.2000000000000002</v>
      </c>
      <c r="K1293" s="12">
        <f>IFERROR(VLOOKUP(VENTAS[[#This Row],[Código del producto Vendido]],STOCK[],16,FALSE)*VENTAS[[#This Row],[Cantidad]]+VLOOKUP(VENTAS[[#This Row],[Código del producto Vendido]],STOCK[],19,FALSE)*VENTAS[[#This Row],[Cantidad]],VENTAS[[#This Row],[Total]])</f>
        <v>9.3333333333333304</v>
      </c>
      <c r="L1293" s="12">
        <f>VENTAS[[#This Row],[Total]]-VENTAS[[#This Row],[Comisión 10%]]-VENTAS[[#This Row],[Costo SIN Comision]]</f>
        <v>1.4666666666666703</v>
      </c>
      <c r="M1293" s="12"/>
      <c r="N1293" s="16"/>
    </row>
    <row r="1294" spans="1:14" ht="20" hidden="1" customHeight="1">
      <c r="A1294" s="9">
        <v>45505</v>
      </c>
      <c r="B1294" s="10"/>
      <c r="C1294" s="10" t="s">
        <v>4482</v>
      </c>
      <c r="D1294" s="10" t="s">
        <v>4473</v>
      </c>
      <c r="E1294" s="10" t="s">
        <v>1710</v>
      </c>
      <c r="F1294" s="10" t="str">
        <f>IFERROR(VLOOKUP(VENTAS[[#This Row],[Código del producto Vendido]],STOCK[],5,FALSE),"-")</f>
        <v>Vestido acanalado de manga larga</v>
      </c>
      <c r="G1294" s="10">
        <v>1</v>
      </c>
      <c r="H1294" s="12">
        <v>25</v>
      </c>
      <c r="I1294" s="12">
        <f>VENTAS[[#This Row],[Cantidad]]*VENTAS[[#This Row],[Precio Venta]]</f>
        <v>25</v>
      </c>
      <c r="J1294" s="12">
        <f>IF(VENTAS[[#This Row],[Nombre del Gestor]]&gt;1,VENTAS[[#This Row],[Total]]*10%,0)</f>
        <v>2.5</v>
      </c>
      <c r="K1294" s="12">
        <f>IFERROR(VLOOKUP(VENTAS[[#This Row],[Código del producto Vendido]],STOCK[],16,FALSE)*VENTAS[[#This Row],[Cantidad]]+VLOOKUP(VENTAS[[#This Row],[Código del producto Vendido]],STOCK[],19,FALSE)*VENTAS[[#This Row],[Cantidad]],VENTAS[[#This Row],[Total]])</f>
        <v>18.100000000000001</v>
      </c>
      <c r="L1294" s="12">
        <f>VENTAS[[#This Row],[Total]]-VENTAS[[#This Row],[Comisión 10%]]-VENTAS[[#This Row],[Costo SIN Comision]]</f>
        <v>4.3999999999999986</v>
      </c>
      <c r="M1294" s="12"/>
      <c r="N1294" s="16"/>
    </row>
    <row r="1295" spans="1:14" ht="20" hidden="1" customHeight="1">
      <c r="A1295" s="9">
        <v>45526</v>
      </c>
      <c r="B1295" s="10"/>
      <c r="C1295" s="10" t="s">
        <v>4483</v>
      </c>
      <c r="D1295" s="10" t="s">
        <v>4484</v>
      </c>
      <c r="E1295" s="10" t="s">
        <v>2697</v>
      </c>
      <c r="F1295" s="10" t="str">
        <f>IFERROR(VLOOKUP(VENTAS[[#This Row],[Código del producto Vendido]],STOCK[],5,FALSE),"-")</f>
        <v>Set de Splash y crema de Victoria Secret (Original) Aqua Kiss</v>
      </c>
      <c r="G1295" s="10">
        <v>1</v>
      </c>
      <c r="H1295" s="12">
        <v>40</v>
      </c>
      <c r="I1295" s="12">
        <f>VENTAS[[#This Row],[Cantidad]]*VENTAS[[#This Row],[Precio Venta]]</f>
        <v>40</v>
      </c>
      <c r="J1295" s="12">
        <f>IF(VENTAS[[#This Row],[Nombre del Gestor]]&gt;1,VENTAS[[#This Row],[Total]]*10%,0)</f>
        <v>4</v>
      </c>
      <c r="K1295" s="12">
        <f>IFERROR(VLOOKUP(VENTAS[[#This Row],[Código del producto Vendido]],STOCK[],16,FALSE)*VENTAS[[#This Row],[Cantidad]]+VLOOKUP(VENTAS[[#This Row],[Código del producto Vendido]],STOCK[],19,FALSE)*VENTAS[[#This Row],[Cantidad]],VENTAS[[#This Row],[Total]])</f>
        <v>16.37</v>
      </c>
      <c r="L1295" s="12">
        <f>VENTAS[[#This Row],[Total]]-VENTAS[[#This Row],[Comisión 10%]]-VENTAS[[#This Row],[Costo SIN Comision]]</f>
        <v>19.63</v>
      </c>
      <c r="M1295" s="12"/>
      <c r="N1295" s="16"/>
    </row>
    <row r="1296" spans="1:14" ht="20" hidden="1" customHeight="1">
      <c r="A1296" s="9">
        <v>45528</v>
      </c>
      <c r="B1296" s="10"/>
      <c r="C1296" s="10" t="s">
        <v>4455</v>
      </c>
      <c r="D1296" s="10" t="s">
        <v>4374</v>
      </c>
      <c r="E1296" s="10" t="s">
        <v>860</v>
      </c>
      <c r="F1296" s="10" t="str">
        <f>IFERROR(VLOOKUP(VENTAS[[#This Row],[Código del producto Vendido]],STOCK[],5,FALSE),"-")</f>
        <v>Vestido venturina</v>
      </c>
      <c r="G1296" s="10">
        <v>0</v>
      </c>
      <c r="H1296" s="12">
        <v>0</v>
      </c>
      <c r="I1296" s="12">
        <f>VENTAS[[#This Row],[Cantidad]]*VENTAS[[#This Row],[Precio Venta]]</f>
        <v>0</v>
      </c>
      <c r="J1296" s="12">
        <f>IF(VENTAS[[#This Row],[Nombre del Gestor]]&gt;1,VENTAS[[#This Row],[Total]]*10%,0)</f>
        <v>0</v>
      </c>
      <c r="K1296" s="12">
        <f>IFERROR(VLOOKUP(VENTAS[[#This Row],[Código del producto Vendido]],STOCK[],16,FALSE)*VENTAS[[#This Row],[Cantidad]]+VLOOKUP(VENTAS[[#This Row],[Código del producto Vendido]],STOCK[],19,FALSE)*VENTAS[[#This Row],[Cantidad]],VENTAS[[#This Row],[Total]])</f>
        <v>0</v>
      </c>
      <c r="L1296" s="12">
        <f>VENTAS[[#This Row],[Total]]-VENTAS[[#This Row],[Comisión 10%]]-VENTAS[[#This Row],[Costo SIN Comision]]</f>
        <v>0</v>
      </c>
      <c r="M1296" s="12"/>
      <c r="N1296" s="16"/>
    </row>
    <row r="1297" spans="1:14" ht="20" hidden="1" customHeight="1">
      <c r="A1297" s="9">
        <v>45529</v>
      </c>
      <c r="B1297" s="10"/>
      <c r="C1297" s="10" t="s">
        <v>4485</v>
      </c>
      <c r="D1297" s="10" t="s">
        <v>4349</v>
      </c>
      <c r="E1297" s="10" t="s">
        <v>2490</v>
      </c>
      <c r="F1297" s="10" t="str">
        <f>IFERROR(VLOOKUP(VENTAS[[#This Row],[Código del producto Vendido]],STOCK[],5,FALSE),"-")</f>
        <v>Sandalias prácticas chunky blanco crema</v>
      </c>
      <c r="G1297" s="10">
        <v>1</v>
      </c>
      <c r="H1297" s="12">
        <v>35</v>
      </c>
      <c r="I1297" s="12">
        <f>VENTAS[[#This Row],[Cantidad]]*VENTAS[[#This Row],[Precio Venta]]</f>
        <v>35</v>
      </c>
      <c r="J1297" s="12">
        <f>IF(VENTAS[[#This Row],[Nombre del Gestor]]&gt;1,VENTAS[[#This Row],[Total]]*10%,0)</f>
        <v>3.5</v>
      </c>
      <c r="K1297" s="12">
        <f>IFERROR(VLOOKUP(VENTAS[[#This Row],[Código del producto Vendido]],STOCK[],16,FALSE)*VENTAS[[#This Row],[Cantidad]]+VLOOKUP(VENTAS[[#This Row],[Código del producto Vendido]],STOCK[],19,FALSE)*VENTAS[[#This Row],[Cantidad]],VENTAS[[#This Row],[Total]])</f>
        <v>24.217399999999998</v>
      </c>
      <c r="L1297" s="12">
        <f>VENTAS[[#This Row],[Total]]-VENTAS[[#This Row],[Comisión 10%]]-VENTAS[[#This Row],[Costo SIN Comision]]</f>
        <v>7.2826000000000022</v>
      </c>
      <c r="M1297" s="12"/>
      <c r="N1297" s="16"/>
    </row>
    <row r="1298" spans="1:14" ht="20" hidden="1" customHeight="1">
      <c r="A1298" s="9">
        <v>45529</v>
      </c>
      <c r="B1298" s="10"/>
      <c r="C1298" s="10" t="s">
        <v>4486</v>
      </c>
      <c r="D1298" s="10" t="s">
        <v>4349</v>
      </c>
      <c r="E1298" s="10" t="s">
        <v>1205</v>
      </c>
      <c r="F1298" s="10" t="str">
        <f>IFERROR(VLOOKUP(VENTAS[[#This Row],[Código del producto Vendido]],STOCK[],5,FALSE),"-")</f>
        <v>Camisa Blanca</v>
      </c>
      <c r="G1298" s="10">
        <v>1</v>
      </c>
      <c r="H1298" s="12">
        <v>22</v>
      </c>
      <c r="I1298" s="12">
        <f>VENTAS[[#This Row],[Cantidad]]*VENTAS[[#This Row],[Precio Venta]]</f>
        <v>22</v>
      </c>
      <c r="J1298" s="12">
        <f>IF(VENTAS[[#This Row],[Nombre del Gestor]]&gt;1,VENTAS[[#This Row],[Total]]*10%,0)</f>
        <v>2.2000000000000002</v>
      </c>
      <c r="K1298" s="12">
        <f>IFERROR(VLOOKUP(VENTAS[[#This Row],[Código del producto Vendido]],STOCK[],16,FALSE)*VENTAS[[#This Row],[Cantidad]]+VLOOKUP(VENTAS[[#This Row],[Código del producto Vendido]],STOCK[],19,FALSE)*VENTAS[[#This Row],[Cantidad]],VENTAS[[#This Row],[Total]])</f>
        <v>12.9</v>
      </c>
      <c r="L1298" s="12">
        <f>VENTAS[[#This Row],[Total]]-VENTAS[[#This Row],[Comisión 10%]]-VENTAS[[#This Row],[Costo SIN Comision]]</f>
        <v>6.9</v>
      </c>
      <c r="M1298" s="12"/>
      <c r="N1298" s="16"/>
    </row>
    <row r="1299" spans="1:14" ht="20" hidden="1" customHeight="1">
      <c r="A1299" s="9">
        <v>45529</v>
      </c>
      <c r="B1299" s="10"/>
      <c r="C1299" s="10" t="s">
        <v>4469</v>
      </c>
      <c r="D1299" s="10" t="s">
        <v>4349</v>
      </c>
      <c r="E1299" s="10" t="s">
        <v>2148</v>
      </c>
      <c r="F1299" s="10" t="str">
        <f>IFERROR(VLOOKUP(VENTAS[[#This Row],[Código del producto Vendido]],STOCK[],5,FALSE),"-")</f>
        <v>Set de 3 piezas de bikini con estampado floral</v>
      </c>
      <c r="G1299" s="10">
        <v>1</v>
      </c>
      <c r="H1299" s="12">
        <v>25</v>
      </c>
      <c r="I1299" s="12">
        <f>VENTAS[[#This Row],[Cantidad]]*VENTAS[[#This Row],[Precio Venta]]</f>
        <v>25</v>
      </c>
      <c r="J1299" s="12">
        <f>IF(VENTAS[[#This Row],[Nombre del Gestor]]&gt;1,VENTAS[[#This Row],[Total]]*10%,0)</f>
        <v>2.5</v>
      </c>
      <c r="K1299" s="12">
        <f>IFERROR(VLOOKUP(VENTAS[[#This Row],[Código del producto Vendido]],STOCK[],16,FALSE)*VENTAS[[#This Row],[Cantidad]]+VLOOKUP(VENTAS[[#This Row],[Código del producto Vendido]],STOCK[],19,FALSE)*VENTAS[[#This Row],[Cantidad]],VENTAS[[#This Row],[Total]])</f>
        <v>9.67</v>
      </c>
      <c r="L1299" s="12">
        <f>VENTAS[[#This Row],[Total]]-VENTAS[[#This Row],[Comisión 10%]]-VENTAS[[#This Row],[Costo SIN Comision]]</f>
        <v>12.83</v>
      </c>
      <c r="M1299" s="12"/>
      <c r="N1299" s="16"/>
    </row>
    <row r="1300" spans="1:14" ht="20" hidden="1" customHeight="1">
      <c r="A1300" s="9">
        <v>45529</v>
      </c>
      <c r="B1300" s="10" t="s">
        <v>4487</v>
      </c>
      <c r="C1300" s="10" t="s">
        <v>4488</v>
      </c>
      <c r="D1300" s="10" t="s">
        <v>4184</v>
      </c>
      <c r="E1300" s="10" t="s">
        <v>2522</v>
      </c>
      <c r="F1300" s="10" t="str">
        <f>IFERROR(VLOOKUP(VENTAS[[#This Row],[Código del producto Vendido]],STOCK[],5,FALSE),"-")</f>
        <v>Pantalones cortos de mezclilla de moda</v>
      </c>
      <c r="G1300" s="10">
        <v>1</v>
      </c>
      <c r="H1300" s="12">
        <v>0</v>
      </c>
      <c r="I1300" s="12">
        <f>VENTAS[[#This Row],[Cantidad]]*VENTAS[[#This Row],[Precio Venta]]</f>
        <v>0</v>
      </c>
      <c r="J1300" s="12">
        <f>IF(VENTAS[[#This Row],[Nombre del Gestor]]&gt;1,VENTAS[[#This Row],[Total]]*10%,0)</f>
        <v>0</v>
      </c>
      <c r="K1300" s="12">
        <f>IFERROR(VLOOKUP(VENTAS[[#This Row],[Código del producto Vendido]],STOCK[],16,FALSE)*VENTAS[[#This Row],[Cantidad]]+VLOOKUP(VENTAS[[#This Row],[Código del producto Vendido]],STOCK[],19,FALSE)*VENTAS[[#This Row],[Cantidad]],VENTAS[[#This Row],[Total]])</f>
        <v>15.790000000000001</v>
      </c>
      <c r="L1300" s="12">
        <f>VENTAS[[#This Row],[Total]]-VENTAS[[#This Row],[Comisión 10%]]-VENTAS[[#This Row],[Costo SIN Comision]]</f>
        <v>-15.790000000000001</v>
      </c>
      <c r="M1300" s="12"/>
      <c r="N1300" s="16"/>
    </row>
    <row r="1301" spans="1:14" ht="20" hidden="1" customHeight="1">
      <c r="A1301" s="9">
        <v>45529</v>
      </c>
      <c r="B1301" s="10"/>
      <c r="C1301" s="10" t="s">
        <v>4489</v>
      </c>
      <c r="D1301" s="10" t="s">
        <v>4380</v>
      </c>
      <c r="E1301" s="10" t="s">
        <v>2363</v>
      </c>
      <c r="F1301" s="10" t="str">
        <f>IFERROR(VLOOKUP(VENTAS[[#This Row],[Código del producto Vendido]],STOCK[],5,FALSE),"-")</f>
        <v>Espejuelos estilo cat eye</v>
      </c>
      <c r="G1301" s="10">
        <v>0</v>
      </c>
      <c r="H1301" s="12">
        <v>10</v>
      </c>
      <c r="I1301" s="12">
        <f>VENTAS[[#This Row],[Cantidad]]*VENTAS[[#This Row],[Precio Venta]]</f>
        <v>0</v>
      </c>
      <c r="J1301" s="12">
        <f>IF(VENTAS[[#This Row],[Nombre del Gestor]]&gt;1,VENTAS[[#This Row],[Total]]*10%,0)</f>
        <v>0</v>
      </c>
      <c r="K1301" s="12">
        <f>IFERROR(VLOOKUP(VENTAS[[#This Row],[Código del producto Vendido]],STOCK[],16,FALSE)*VENTAS[[#This Row],[Cantidad]]+VLOOKUP(VENTAS[[#This Row],[Código del producto Vendido]],STOCK[],19,FALSE)*VENTAS[[#This Row],[Cantidad]],VENTAS[[#This Row],[Total]])</f>
        <v>0</v>
      </c>
      <c r="L1301" s="12">
        <f>VENTAS[[#This Row],[Total]]-VENTAS[[#This Row],[Comisión 10%]]-VENTAS[[#This Row],[Costo SIN Comision]]</f>
        <v>0</v>
      </c>
      <c r="M1301" s="12"/>
      <c r="N1301" s="16"/>
    </row>
    <row r="1302" spans="1:14" ht="20" hidden="1" customHeight="1">
      <c r="A1302" s="9">
        <v>45507</v>
      </c>
      <c r="B1302" s="10"/>
      <c r="C1302" s="10" t="s">
        <v>4490</v>
      </c>
      <c r="D1302" s="10" t="s">
        <v>4330</v>
      </c>
      <c r="E1302" s="10" t="s">
        <v>2562</v>
      </c>
      <c r="F1302" s="10" t="str">
        <f>IFERROR(VLOOKUP(VENTAS[[#This Row],[Código del producto Vendido]],STOCK[],5,FALSE),"-")</f>
        <v>Sombrero Visera de Verano</v>
      </c>
      <c r="G1302" s="10">
        <v>1</v>
      </c>
      <c r="H1302" s="12">
        <v>15</v>
      </c>
      <c r="I1302" s="12">
        <f>VENTAS[[#This Row],[Cantidad]]*VENTAS[[#This Row],[Precio Venta]]</f>
        <v>15</v>
      </c>
      <c r="J1302" s="12">
        <f>IF(VENTAS[[#This Row],[Nombre del Gestor]]&gt;1,VENTAS[[#This Row],[Total]]*10%,0)</f>
        <v>1.5</v>
      </c>
      <c r="K1302" s="12">
        <f>IFERROR(VLOOKUP(VENTAS[[#This Row],[Código del producto Vendido]],STOCK[],16,FALSE)*VENTAS[[#This Row],[Cantidad]]+VLOOKUP(VENTAS[[#This Row],[Código del producto Vendido]],STOCK[],19,FALSE)*VENTAS[[#This Row],[Cantidad]],VENTAS[[#This Row],[Total]])</f>
        <v>6.3599999999999994</v>
      </c>
      <c r="L1302" s="12">
        <f>VENTAS[[#This Row],[Total]]-VENTAS[[#This Row],[Comisión 10%]]-VENTAS[[#This Row],[Costo SIN Comision]]</f>
        <v>7.1400000000000006</v>
      </c>
      <c r="M1302" s="12"/>
      <c r="N1302" s="16"/>
    </row>
    <row r="1303" spans="1:14" ht="20" hidden="1" customHeight="1">
      <c r="A1303" s="9">
        <v>45509</v>
      </c>
      <c r="B1303" s="10"/>
      <c r="C1303" s="10" t="s">
        <v>4491</v>
      </c>
      <c r="D1303" s="10" t="s">
        <v>4330</v>
      </c>
      <c r="E1303" s="10" t="s">
        <v>2502</v>
      </c>
      <c r="F1303" s="10" t="str">
        <f>IFERROR(VLOOKUP(VENTAS[[#This Row],[Código del producto Vendido]],STOCK[],5,FALSE),"-")</f>
        <v>Bolso de playa con diseño de rayas tamaño mediano</v>
      </c>
      <c r="G1303" s="10">
        <v>1</v>
      </c>
      <c r="H1303" s="12">
        <v>22</v>
      </c>
      <c r="I1303" s="12">
        <f>VENTAS[[#This Row],[Cantidad]]*VENTAS[[#This Row],[Precio Venta]]</f>
        <v>22</v>
      </c>
      <c r="J1303" s="12">
        <f>IF(VENTAS[[#This Row],[Nombre del Gestor]]&gt;1,VENTAS[[#This Row],[Total]]*10%,0)</f>
        <v>2.2000000000000002</v>
      </c>
      <c r="K1303" s="12">
        <f>IFERROR(VLOOKUP(VENTAS[[#This Row],[Código del producto Vendido]],STOCK[],16,FALSE)*VENTAS[[#This Row],[Cantidad]]+VLOOKUP(VENTAS[[#This Row],[Código del producto Vendido]],STOCK[],19,FALSE)*VENTAS[[#This Row],[Cantidad]],VENTAS[[#This Row],[Total]])</f>
        <v>11.3</v>
      </c>
      <c r="L1303" s="12">
        <f>VENTAS[[#This Row],[Total]]-VENTAS[[#This Row],[Comisión 10%]]-VENTAS[[#This Row],[Costo SIN Comision]]</f>
        <v>8.5</v>
      </c>
      <c r="M1303" s="12"/>
      <c r="N1303" s="16"/>
    </row>
    <row r="1304" spans="1:14" ht="20" hidden="1" customHeight="1">
      <c r="A1304" s="9">
        <v>45509</v>
      </c>
      <c r="B1304" s="10"/>
      <c r="C1304" s="10" t="s">
        <v>4492</v>
      </c>
      <c r="D1304" s="10" t="s">
        <v>4330</v>
      </c>
      <c r="E1304" s="10" t="s">
        <v>2502</v>
      </c>
      <c r="F1304" s="10" t="str">
        <f>IFERROR(VLOOKUP(VENTAS[[#This Row],[Código del producto Vendido]],STOCK[],5,FALSE),"-")</f>
        <v>Bolso de playa con diseño de rayas tamaño mediano</v>
      </c>
      <c r="G1304" s="10">
        <v>1</v>
      </c>
      <c r="H1304" s="12">
        <v>22</v>
      </c>
      <c r="I1304" s="12">
        <f>VENTAS[[#This Row],[Cantidad]]*VENTAS[[#This Row],[Precio Venta]]</f>
        <v>22</v>
      </c>
      <c r="J1304" s="12">
        <f>IF(VENTAS[[#This Row],[Nombre del Gestor]]&gt;1,VENTAS[[#This Row],[Total]]*10%,0)</f>
        <v>2.2000000000000002</v>
      </c>
      <c r="K1304" s="12">
        <f>IFERROR(VLOOKUP(VENTAS[[#This Row],[Código del producto Vendido]],STOCK[],16,FALSE)*VENTAS[[#This Row],[Cantidad]]+VLOOKUP(VENTAS[[#This Row],[Código del producto Vendido]],STOCK[],19,FALSE)*VENTAS[[#This Row],[Cantidad]],VENTAS[[#This Row],[Total]])</f>
        <v>11.3</v>
      </c>
      <c r="L1304" s="12">
        <f>VENTAS[[#This Row],[Total]]-VENTAS[[#This Row],[Comisión 10%]]-VENTAS[[#This Row],[Costo SIN Comision]]</f>
        <v>8.5</v>
      </c>
      <c r="M1304" s="12"/>
      <c r="N1304" s="16"/>
    </row>
    <row r="1305" spans="1:14" ht="20" hidden="1" customHeight="1">
      <c r="A1305" s="9">
        <v>45511</v>
      </c>
      <c r="B1305" s="10"/>
      <c r="C1305" s="10" t="s">
        <v>4493</v>
      </c>
      <c r="D1305" s="10" t="s">
        <v>4494</v>
      </c>
      <c r="E1305" s="10" t="s">
        <v>2546</v>
      </c>
      <c r="F1305" s="10" t="str">
        <f>IFERROR(VLOOKUP(VENTAS[[#This Row],[Código del producto Vendido]],STOCK[],5,FALSE),"-")</f>
        <v>Pullover largo unicolor tela traslúcida negro</v>
      </c>
      <c r="G1305" s="10">
        <v>0</v>
      </c>
      <c r="H1305" s="12">
        <v>10</v>
      </c>
      <c r="I1305" s="12">
        <f>VENTAS[[#This Row],[Cantidad]]*VENTAS[[#This Row],[Precio Venta]]</f>
        <v>0</v>
      </c>
      <c r="J1305" s="12">
        <f>IF(VENTAS[[#This Row],[Nombre del Gestor]]&gt;1,VENTAS[[#This Row],[Total]]*10%,0)</f>
        <v>0</v>
      </c>
      <c r="K1305" s="12">
        <f>IFERROR(VLOOKUP(VENTAS[[#This Row],[Código del producto Vendido]],STOCK[],16,FALSE)*VENTAS[[#This Row],[Cantidad]]+VLOOKUP(VENTAS[[#This Row],[Código del producto Vendido]],STOCK[],19,FALSE)*VENTAS[[#This Row],[Cantidad]],VENTAS[[#This Row],[Total]])</f>
        <v>0</v>
      </c>
      <c r="L1305" s="12">
        <f>VENTAS[[#This Row],[Total]]-VENTAS[[#This Row],[Comisión 10%]]-VENTAS[[#This Row],[Costo SIN Comision]]</f>
        <v>0</v>
      </c>
      <c r="M1305" s="12"/>
      <c r="N1305" s="16"/>
    </row>
    <row r="1306" spans="1:14" ht="20" hidden="1" customHeight="1">
      <c r="A1306" s="9">
        <v>45511</v>
      </c>
      <c r="B1306" s="10"/>
      <c r="C1306" s="10" t="s">
        <v>4495</v>
      </c>
      <c r="D1306" s="10" t="s">
        <v>4494</v>
      </c>
      <c r="E1306" s="10" t="s">
        <v>2500</v>
      </c>
      <c r="F1306" s="10" t="str">
        <f>IFERROR(VLOOKUP(VENTAS[[#This Row],[Código del producto Vendido]],STOCK[],5,FALSE),"-")</f>
        <v xml:space="preserve">Bolso tejido redondo de gran capidad </v>
      </c>
      <c r="G1306" s="10">
        <v>1</v>
      </c>
      <c r="H1306" s="12">
        <v>25</v>
      </c>
      <c r="I1306" s="12">
        <f>VENTAS[[#This Row],[Cantidad]]*VENTAS[[#This Row],[Precio Venta]]</f>
        <v>25</v>
      </c>
      <c r="J1306" s="12">
        <f>IF(VENTAS[[#This Row],[Nombre del Gestor]]&gt;1,VENTAS[[#This Row],[Total]]*10%,0)</f>
        <v>2.5</v>
      </c>
      <c r="K1306" s="12">
        <f>IFERROR(VLOOKUP(VENTAS[[#This Row],[Código del producto Vendido]],STOCK[],16,FALSE)*VENTAS[[#This Row],[Cantidad]]+VLOOKUP(VENTAS[[#This Row],[Código del producto Vendido]],STOCK[],19,FALSE)*VENTAS[[#This Row],[Cantidad]],VENTAS[[#This Row],[Total]])</f>
        <v>11.67</v>
      </c>
      <c r="L1306" s="12">
        <f>VENTAS[[#This Row],[Total]]-VENTAS[[#This Row],[Comisión 10%]]-VENTAS[[#This Row],[Costo SIN Comision]]</f>
        <v>10.83</v>
      </c>
      <c r="M1306" s="12"/>
      <c r="N1306" s="16"/>
    </row>
    <row r="1307" spans="1:14" ht="20" hidden="1" customHeight="1">
      <c r="A1307" s="9">
        <v>45511</v>
      </c>
      <c r="B1307" s="10"/>
      <c r="C1307" s="10" t="s">
        <v>4495</v>
      </c>
      <c r="D1307" s="10" t="s">
        <v>4330</v>
      </c>
      <c r="E1307" s="10" t="s">
        <v>1211</v>
      </c>
      <c r="F1307" s="10" t="str">
        <f>IFERROR(VLOOKUP(VENTAS[[#This Row],[Código del producto Vendido]],STOCK[],5,FALSE),"-")</f>
        <v>Falda negra con flores y abertura</v>
      </c>
      <c r="G1307" s="10">
        <v>1</v>
      </c>
      <c r="H1307" s="12">
        <v>18</v>
      </c>
      <c r="I1307" s="12">
        <f>VENTAS[[#This Row],[Cantidad]]*VENTAS[[#This Row],[Precio Venta]]</f>
        <v>18</v>
      </c>
      <c r="J1307" s="12">
        <f>IF(VENTAS[[#This Row],[Nombre del Gestor]]&gt;1,VENTAS[[#This Row],[Total]]*10%,0)</f>
        <v>1.8</v>
      </c>
      <c r="K1307" s="12">
        <f>IFERROR(VLOOKUP(VENTAS[[#This Row],[Código del producto Vendido]],STOCK[],16,FALSE)*VENTAS[[#This Row],[Cantidad]]+VLOOKUP(VENTAS[[#This Row],[Código del producto Vendido]],STOCK[],19,FALSE)*VENTAS[[#This Row],[Cantidad]],VENTAS[[#This Row],[Total]])</f>
        <v>10.77</v>
      </c>
      <c r="L1307" s="12">
        <f>VENTAS[[#This Row],[Total]]-VENTAS[[#This Row],[Comisión 10%]]-VENTAS[[#This Row],[Costo SIN Comision]]</f>
        <v>5.43</v>
      </c>
      <c r="M1307" s="12"/>
      <c r="N1307" s="16"/>
    </row>
    <row r="1308" spans="1:14" ht="20" hidden="1" customHeight="1">
      <c r="A1308" s="9">
        <v>45514</v>
      </c>
      <c r="B1308" s="10"/>
      <c r="C1308" s="10" t="s">
        <v>4454</v>
      </c>
      <c r="D1308" s="10" t="s">
        <v>4330</v>
      </c>
      <c r="E1308" s="10" t="s">
        <v>2496</v>
      </c>
      <c r="F1308" s="10" t="str">
        <f>IFERROR(VLOOKUP(VENTAS[[#This Row],[Código del producto Vendido]],STOCK[],5,FALSE),"-")</f>
        <v>Blusa blanca de lazos y manga abullonada</v>
      </c>
      <c r="G1308" s="10">
        <v>1</v>
      </c>
      <c r="H1308" s="12">
        <v>18</v>
      </c>
      <c r="I1308" s="12">
        <f>VENTAS[[#This Row],[Cantidad]]*VENTAS[[#This Row],[Precio Venta]]</f>
        <v>18</v>
      </c>
      <c r="J1308" s="12">
        <f>IF(VENTAS[[#This Row],[Nombre del Gestor]]&gt;1,VENTAS[[#This Row],[Total]]*10%,0)</f>
        <v>1.8</v>
      </c>
      <c r="K1308" s="12">
        <f>IFERROR(VLOOKUP(VENTAS[[#This Row],[Código del producto Vendido]],STOCK[],16,FALSE)*VENTAS[[#This Row],[Cantidad]]+VLOOKUP(VENTAS[[#This Row],[Código del producto Vendido]],STOCK[],19,FALSE)*VENTAS[[#This Row],[Cantidad]],VENTAS[[#This Row],[Total]])</f>
        <v>10.940000000000001</v>
      </c>
      <c r="L1308" s="12">
        <f>VENTAS[[#This Row],[Total]]-VENTAS[[#This Row],[Comisión 10%]]-VENTAS[[#This Row],[Costo SIN Comision]]</f>
        <v>5.259999999999998</v>
      </c>
      <c r="M1308" s="12"/>
      <c r="N1308" s="16"/>
    </row>
    <row r="1309" spans="1:14" ht="20" hidden="1" customHeight="1">
      <c r="A1309" s="9">
        <v>45514</v>
      </c>
      <c r="B1309" s="10"/>
      <c r="C1309" s="10" t="s">
        <v>4496</v>
      </c>
      <c r="D1309" s="10" t="s">
        <v>4330</v>
      </c>
      <c r="E1309" s="10" t="s">
        <v>2474</v>
      </c>
      <c r="F1309" s="10" t="str">
        <f>IFERROR(VLOOKUP(VENTAS[[#This Row],[Código del producto Vendido]],STOCK[],5,FALSE),"-")</f>
        <v>Sandalias de plataforma de tacón grueso</v>
      </c>
      <c r="G1309" s="10">
        <v>1</v>
      </c>
      <c r="H1309" s="12">
        <v>50</v>
      </c>
      <c r="I1309" s="12">
        <f>VENTAS[[#This Row],[Cantidad]]*VENTAS[[#This Row],[Precio Venta]]</f>
        <v>50</v>
      </c>
      <c r="J1309" s="12">
        <f>IF(VENTAS[[#This Row],[Nombre del Gestor]]&gt;1,VENTAS[[#This Row],[Total]]*10%,0)</f>
        <v>5</v>
      </c>
      <c r="K1309" s="12">
        <f>IFERROR(VLOOKUP(VENTAS[[#This Row],[Código del producto Vendido]],STOCK[],16,FALSE)*VENTAS[[#This Row],[Cantidad]]+VLOOKUP(VENTAS[[#This Row],[Código del producto Vendido]],STOCK[],19,FALSE)*VENTAS[[#This Row],[Cantidad]],VENTAS[[#This Row],[Total]])</f>
        <v>29.47</v>
      </c>
      <c r="L1309" s="12">
        <f>VENTAS[[#This Row],[Total]]-VENTAS[[#This Row],[Comisión 10%]]-VENTAS[[#This Row],[Costo SIN Comision]]</f>
        <v>15.530000000000001</v>
      </c>
      <c r="M1309" s="12"/>
      <c r="N1309" s="16"/>
    </row>
    <row r="1310" spans="1:14" ht="20" hidden="1" customHeight="1">
      <c r="A1310" s="9">
        <v>45514</v>
      </c>
      <c r="B1310" s="10"/>
      <c r="C1310" s="10" t="s">
        <v>4410</v>
      </c>
      <c r="D1310" s="10" t="s">
        <v>4330</v>
      </c>
      <c r="E1310" s="10" t="s">
        <v>1429</v>
      </c>
      <c r="F1310" s="10" t="str">
        <f>IFERROR(VLOOKUP(VENTAS[[#This Row],[Código del producto Vendido]],STOCK[],5,FALSE),"-")</f>
        <v>Sandalias blancas cruzadas</v>
      </c>
      <c r="G1310" s="10">
        <v>1</v>
      </c>
      <c r="H1310" s="12">
        <v>18</v>
      </c>
      <c r="I1310" s="12">
        <f>VENTAS[[#This Row],[Cantidad]]*VENTAS[[#This Row],[Precio Venta]]</f>
        <v>18</v>
      </c>
      <c r="J1310" s="12">
        <f>IF(VENTAS[[#This Row],[Nombre del Gestor]]&gt;1,VENTAS[[#This Row],[Total]]*10%,0)</f>
        <v>1.8</v>
      </c>
      <c r="K1310" s="12">
        <f>IFERROR(VLOOKUP(VENTAS[[#This Row],[Código del producto Vendido]],STOCK[],16,FALSE)*VENTAS[[#This Row],[Cantidad]]+VLOOKUP(VENTAS[[#This Row],[Código del producto Vendido]],STOCK[],19,FALSE)*VENTAS[[#This Row],[Cantidad]],VENTAS[[#This Row],[Total]])</f>
        <v>11.49</v>
      </c>
      <c r="L1310" s="12">
        <f>VENTAS[[#This Row],[Total]]-VENTAS[[#This Row],[Comisión 10%]]-VENTAS[[#This Row],[Costo SIN Comision]]</f>
        <v>4.7099999999999991</v>
      </c>
      <c r="M1310" s="12"/>
      <c r="N1310" s="16"/>
    </row>
    <row r="1311" spans="1:14" ht="20" hidden="1" customHeight="1">
      <c r="A1311" s="9">
        <v>45518</v>
      </c>
      <c r="B1311" s="10"/>
      <c r="C1311" s="10" t="s">
        <v>4497</v>
      </c>
      <c r="D1311" s="10" t="s">
        <v>4330</v>
      </c>
      <c r="E1311" s="10" t="s">
        <v>2530</v>
      </c>
      <c r="F1311" s="10" t="str">
        <f>IFERROR(VLOOKUP(VENTAS[[#This Row],[Código del producto Vendido]],STOCK[],5,FALSE),"-")</f>
        <v>Blusa de lazos color negro</v>
      </c>
      <c r="G1311" s="10">
        <v>1</v>
      </c>
      <c r="H1311" s="12">
        <v>18</v>
      </c>
      <c r="I1311" s="12">
        <f>VENTAS[[#This Row],[Cantidad]]*VENTAS[[#This Row],[Precio Venta]]</f>
        <v>18</v>
      </c>
      <c r="J1311" s="12">
        <f>IF(VENTAS[[#This Row],[Nombre del Gestor]]&gt;1,VENTAS[[#This Row],[Total]]*10%,0)</f>
        <v>1.8</v>
      </c>
      <c r="K1311" s="12">
        <f>IFERROR(VLOOKUP(VENTAS[[#This Row],[Código del producto Vendido]],STOCK[],16,FALSE)*VENTAS[[#This Row],[Cantidad]]+VLOOKUP(VENTAS[[#This Row],[Código del producto Vendido]],STOCK[],19,FALSE)*VENTAS[[#This Row],[Cantidad]],VENTAS[[#This Row],[Total]])</f>
        <v>10.220000000000001</v>
      </c>
      <c r="L1311" s="12">
        <f>VENTAS[[#This Row],[Total]]-VENTAS[[#This Row],[Comisión 10%]]-VENTAS[[#This Row],[Costo SIN Comision]]</f>
        <v>5.9799999999999986</v>
      </c>
      <c r="M1311" s="12"/>
      <c r="N1311" s="16"/>
    </row>
    <row r="1312" spans="1:14" ht="20" hidden="1" customHeight="1">
      <c r="A1312" s="9">
        <v>45519</v>
      </c>
      <c r="B1312" s="10"/>
      <c r="C1312" s="10" t="s">
        <v>4498</v>
      </c>
      <c r="D1312" s="10" t="s">
        <v>4330</v>
      </c>
      <c r="E1312" s="10" t="s">
        <v>2714</v>
      </c>
      <c r="F1312" s="10" t="str">
        <f>IFERROR(VLOOKUP(VENTAS[[#This Row],[Código del producto Vendido]],STOCK[],5,FALSE),"-")</f>
        <v>Set de Splash y crema de Victoria Secret (Original) Midnigth Bloom</v>
      </c>
      <c r="G1312" s="10">
        <v>1</v>
      </c>
      <c r="H1312" s="12">
        <v>40</v>
      </c>
      <c r="I1312" s="12">
        <f>VENTAS[[#This Row],[Cantidad]]*VENTAS[[#This Row],[Precio Venta]]</f>
        <v>40</v>
      </c>
      <c r="J1312" s="12">
        <f>IF(VENTAS[[#This Row],[Nombre del Gestor]]&gt;1,VENTAS[[#This Row],[Total]]*10%,0)</f>
        <v>4</v>
      </c>
      <c r="K1312" s="12">
        <f>IFERROR(VLOOKUP(VENTAS[[#This Row],[Código del producto Vendido]],STOCK[],16,FALSE)*VENTAS[[#This Row],[Cantidad]]+VLOOKUP(VENTAS[[#This Row],[Código del producto Vendido]],STOCK[],19,FALSE)*VENTAS[[#This Row],[Cantidad]],VENTAS[[#This Row],[Total]])</f>
        <v>16.37</v>
      </c>
      <c r="L1312" s="12">
        <f>VENTAS[[#This Row],[Total]]-VENTAS[[#This Row],[Comisión 10%]]-VENTAS[[#This Row],[Costo SIN Comision]]</f>
        <v>19.63</v>
      </c>
      <c r="M1312" s="12"/>
      <c r="N1312" s="16"/>
    </row>
    <row r="1313" spans="1:14" ht="20" hidden="1" customHeight="1">
      <c r="A1313" s="9">
        <v>45512</v>
      </c>
      <c r="B1313" s="10"/>
      <c r="C1313" s="10" t="s">
        <v>4499</v>
      </c>
      <c r="D1313" s="10" t="s">
        <v>4378</v>
      </c>
      <c r="E1313" s="10" t="s">
        <v>2185</v>
      </c>
      <c r="F1313" s="10" t="str">
        <f>IFERROR(VLOOKUP(VENTAS[[#This Row],[Código del producto Vendido]],STOCK[],5,FALSE),"-")</f>
        <v>Bikini sexy de pierna alta en tendencia</v>
      </c>
      <c r="G1313" s="10">
        <v>1</v>
      </c>
      <c r="H1313" s="12">
        <v>20</v>
      </c>
      <c r="I1313" s="12">
        <f>VENTAS[[#This Row],[Cantidad]]*VENTAS[[#This Row],[Precio Venta]]</f>
        <v>20</v>
      </c>
      <c r="J1313" s="12">
        <f>IF(VENTAS[[#This Row],[Nombre del Gestor]]&gt;1,VENTAS[[#This Row],[Total]]*10%,0)</f>
        <v>2</v>
      </c>
      <c r="K1313" s="12">
        <f>IFERROR(VLOOKUP(VENTAS[[#This Row],[Código del producto Vendido]],STOCK[],16,FALSE)*VENTAS[[#This Row],[Cantidad]]+VLOOKUP(VENTAS[[#This Row],[Código del producto Vendido]],STOCK[],19,FALSE)*VENTAS[[#This Row],[Cantidad]],VENTAS[[#This Row],[Total]])</f>
        <v>6.6199999999999992</v>
      </c>
      <c r="L1313" s="12">
        <f>VENTAS[[#This Row],[Total]]-VENTAS[[#This Row],[Comisión 10%]]-VENTAS[[#This Row],[Costo SIN Comision]]</f>
        <v>11.38</v>
      </c>
      <c r="M1313" s="12"/>
      <c r="N1313" s="16"/>
    </row>
    <row r="1314" spans="1:14" ht="20" hidden="1" customHeight="1">
      <c r="A1314" s="9">
        <v>45512</v>
      </c>
      <c r="B1314" s="10"/>
      <c r="C1314" s="10"/>
      <c r="D1314" s="10" t="s">
        <v>4324</v>
      </c>
      <c r="E1314" s="10" t="s">
        <v>2189</v>
      </c>
      <c r="F1314" s="10" t="str">
        <f>IFERROR(VLOOKUP(VENTAS[[#This Row],[Código del producto Vendido]],STOCK[],5,FALSE),"-")</f>
        <v>Conjunto Playero color verde 2 piezas</v>
      </c>
      <c r="G1314" s="10">
        <v>1</v>
      </c>
      <c r="H1314" s="12">
        <v>25</v>
      </c>
      <c r="I1314" s="12">
        <f>VENTAS[[#This Row],[Cantidad]]*VENTAS[[#This Row],[Precio Venta]]</f>
        <v>25</v>
      </c>
      <c r="J1314" s="12">
        <f>IF(VENTAS[[#This Row],[Nombre del Gestor]]&gt;1,VENTAS[[#This Row],[Total]]*10%,0)</f>
        <v>2.5</v>
      </c>
      <c r="K1314" s="12">
        <f>IFERROR(VLOOKUP(VENTAS[[#This Row],[Código del producto Vendido]],STOCK[],16,FALSE)*VENTAS[[#This Row],[Cantidad]]+VLOOKUP(VENTAS[[#This Row],[Código del producto Vendido]],STOCK[],19,FALSE)*VENTAS[[#This Row],[Cantidad]],VENTAS[[#This Row],[Total]])</f>
        <v>12.48</v>
      </c>
      <c r="L1314" s="12">
        <f>VENTAS[[#This Row],[Total]]-VENTAS[[#This Row],[Comisión 10%]]-VENTAS[[#This Row],[Costo SIN Comision]]</f>
        <v>10.02</v>
      </c>
      <c r="M1314" s="12"/>
      <c r="N1314" s="16"/>
    </row>
    <row r="1315" spans="1:14" ht="20" hidden="1" customHeight="1">
      <c r="A1315" s="9">
        <v>45512</v>
      </c>
      <c r="B1315" s="10"/>
      <c r="C1315" s="10"/>
      <c r="D1315" s="10" t="s">
        <v>4324</v>
      </c>
      <c r="E1315" s="10" t="s">
        <v>1172</v>
      </c>
      <c r="F1315" s="10" t="str">
        <f>IFERROR(VLOOKUP(VENTAS[[#This Row],[Código del producto Vendido]],STOCK[],5,FALSE),"-")</f>
        <v>Pullover Dazy cuello redondo Blanco</v>
      </c>
      <c r="G1315" s="10">
        <v>1</v>
      </c>
      <c r="H1315" s="12">
        <v>13</v>
      </c>
      <c r="I1315" s="12">
        <f>VENTAS[[#This Row],[Cantidad]]*VENTAS[[#This Row],[Precio Venta]]</f>
        <v>13</v>
      </c>
      <c r="J1315" s="12">
        <f>IF(VENTAS[[#This Row],[Nombre del Gestor]]&gt;1,VENTAS[[#This Row],[Total]]*10%,0)</f>
        <v>1.3</v>
      </c>
      <c r="K1315" s="12">
        <f>IFERROR(VLOOKUP(VENTAS[[#This Row],[Código del producto Vendido]],STOCK[],16,FALSE)*VENTAS[[#This Row],[Cantidad]]+VLOOKUP(VENTAS[[#This Row],[Código del producto Vendido]],STOCK[],19,FALSE)*VENTAS[[#This Row],[Cantidad]],VENTAS[[#This Row],[Total]])</f>
        <v>8.61</v>
      </c>
      <c r="L1315" s="12">
        <f>VENTAS[[#This Row],[Total]]-VENTAS[[#This Row],[Comisión 10%]]-VENTAS[[#This Row],[Costo SIN Comision]]</f>
        <v>3.09</v>
      </c>
      <c r="M1315" s="12"/>
      <c r="N1315" s="16"/>
    </row>
    <row r="1316" spans="1:14" ht="20" hidden="1" customHeight="1">
      <c r="A1316" s="9">
        <v>45507</v>
      </c>
      <c r="B1316" s="10"/>
      <c r="C1316" s="10" t="s">
        <v>4500</v>
      </c>
      <c r="D1316" s="10" t="s">
        <v>4184</v>
      </c>
      <c r="E1316" s="10" t="s">
        <v>2363</v>
      </c>
      <c r="F1316" s="10" t="str">
        <f>IFERROR(VLOOKUP(VENTAS[[#This Row],[Código del producto Vendido]],STOCK[],5,FALSE),"-")</f>
        <v>Espejuelos estilo cat eye</v>
      </c>
      <c r="G1316" s="10">
        <v>1</v>
      </c>
      <c r="H1316" s="12">
        <v>10</v>
      </c>
      <c r="I1316" s="12">
        <f>VENTAS[[#This Row],[Cantidad]]*VENTAS[[#This Row],[Precio Venta]]</f>
        <v>10</v>
      </c>
      <c r="J1316" s="12">
        <f>IF(VENTAS[[#This Row],[Nombre del Gestor]]&gt;1,VENTAS[[#This Row],[Total]]*10%,0)</f>
        <v>1</v>
      </c>
      <c r="K1316" s="12">
        <f>IFERROR(VLOOKUP(VENTAS[[#This Row],[Código del producto Vendido]],STOCK[],16,FALSE)*VENTAS[[#This Row],[Cantidad]]+VLOOKUP(VENTAS[[#This Row],[Código del producto Vendido]],STOCK[],19,FALSE)*VENTAS[[#This Row],[Cantidad]],VENTAS[[#This Row],[Total]])</f>
        <v>5.1218750000000002</v>
      </c>
      <c r="L1316" s="12">
        <f>VENTAS[[#This Row],[Total]]-VENTAS[[#This Row],[Comisión 10%]]-VENTAS[[#This Row],[Costo SIN Comision]]</f>
        <v>3.8781249999999998</v>
      </c>
      <c r="M1316" s="12"/>
      <c r="N1316" s="16"/>
    </row>
    <row r="1317" spans="1:14" ht="20" hidden="1" customHeight="1">
      <c r="A1317" s="9">
        <v>45509</v>
      </c>
      <c r="B1317" s="10"/>
      <c r="C1317" s="10" t="s">
        <v>4446</v>
      </c>
      <c r="D1317" s="10" t="s">
        <v>4184</v>
      </c>
      <c r="E1317" s="10" t="s">
        <v>2602</v>
      </c>
      <c r="F1317" s="10" t="str">
        <f>IFERROR(VLOOKUP(VENTAS[[#This Row],[Código del producto Vendido]],STOCK[],5,FALSE),"-")</f>
        <v>Bolso verano de rafia en bloque de color</v>
      </c>
      <c r="G1317" s="10">
        <v>1</v>
      </c>
      <c r="H1317" s="12">
        <v>22</v>
      </c>
      <c r="I1317" s="12">
        <f>VENTAS[[#This Row],[Cantidad]]*VENTAS[[#This Row],[Precio Venta]]</f>
        <v>22</v>
      </c>
      <c r="J1317" s="12">
        <f>IF(VENTAS[[#This Row],[Nombre del Gestor]]&gt;1,VENTAS[[#This Row],[Total]]*10%,0)</f>
        <v>2.2000000000000002</v>
      </c>
      <c r="K1317" s="12">
        <f>IFERROR(VLOOKUP(VENTAS[[#This Row],[Código del producto Vendido]],STOCK[],16,FALSE)*VENTAS[[#This Row],[Cantidad]]+VLOOKUP(VENTAS[[#This Row],[Código del producto Vendido]],STOCK[],19,FALSE)*VENTAS[[#This Row],[Cantidad]],VENTAS[[#This Row],[Total]])</f>
        <v>5.96</v>
      </c>
      <c r="L1317" s="12">
        <f>VENTAS[[#This Row],[Total]]-VENTAS[[#This Row],[Comisión 10%]]-VENTAS[[#This Row],[Costo SIN Comision]]</f>
        <v>13.84</v>
      </c>
      <c r="M1317" s="12"/>
      <c r="N1317" s="16"/>
    </row>
    <row r="1318" spans="1:14" ht="20" hidden="1" customHeight="1">
      <c r="A1318" s="9">
        <v>45516</v>
      </c>
      <c r="B1318" s="10"/>
      <c r="C1318" s="10" t="s">
        <v>4501</v>
      </c>
      <c r="D1318" s="10" t="s">
        <v>4184</v>
      </c>
      <c r="E1318" s="10" t="s">
        <v>487</v>
      </c>
      <c r="F1318" s="10" t="str">
        <f>IFERROR(VLOOKUP(VENTAS[[#This Row],[Código del producto Vendido]],STOCK[],5,FALSE),"-")</f>
        <v>Bolsa bandolera</v>
      </c>
      <c r="G1318" s="10">
        <v>1</v>
      </c>
      <c r="H1318" s="12">
        <v>12</v>
      </c>
      <c r="I1318" s="12">
        <f>VENTAS[[#This Row],[Cantidad]]*VENTAS[[#This Row],[Precio Venta]]</f>
        <v>12</v>
      </c>
      <c r="J1318" s="12">
        <f>IF(VENTAS[[#This Row],[Nombre del Gestor]]&gt;1,VENTAS[[#This Row],[Total]]*10%,0)</f>
        <v>1.2000000000000002</v>
      </c>
      <c r="K1318" s="12">
        <f>IFERROR(VLOOKUP(VENTAS[[#This Row],[Código del producto Vendido]],STOCK[],16,FALSE)*VENTAS[[#This Row],[Cantidad]]+VLOOKUP(VENTAS[[#This Row],[Código del producto Vendido]],STOCK[],19,FALSE)*VENTAS[[#This Row],[Cantidad]],VENTAS[[#This Row],[Total]])</f>
        <v>8.9444444444444393</v>
      </c>
      <c r="L1318" s="12">
        <f>VENTAS[[#This Row],[Total]]-VENTAS[[#This Row],[Comisión 10%]]-VENTAS[[#This Row],[Costo SIN Comision]]</f>
        <v>1.8555555555555614</v>
      </c>
      <c r="M1318" s="12"/>
      <c r="N1318" s="16"/>
    </row>
    <row r="1319" spans="1:14" ht="20" hidden="1" customHeight="1">
      <c r="A1319" s="9">
        <v>45518</v>
      </c>
      <c r="B1319" s="10"/>
      <c r="C1319" s="10" t="s">
        <v>4502</v>
      </c>
      <c r="D1319" s="10" t="s">
        <v>4184</v>
      </c>
      <c r="E1319" s="10" t="s">
        <v>1982</v>
      </c>
      <c r="F1319" s="10" t="str">
        <f>IFERROR(VLOOKUP(VENTAS[[#This Row],[Código del producto Vendido]],STOCK[],5,FALSE),"-")</f>
        <v>Bermuda denim curvy</v>
      </c>
      <c r="G1319" s="10">
        <v>1</v>
      </c>
      <c r="H1319" s="12">
        <v>7.5</v>
      </c>
      <c r="I1319" s="12">
        <f>VENTAS[[#This Row],[Cantidad]]*VENTAS[[#This Row],[Precio Venta]]</f>
        <v>7.5</v>
      </c>
      <c r="J1319" s="12">
        <f>IF(VENTAS[[#This Row],[Nombre del Gestor]]&gt;1,VENTAS[[#This Row],[Total]]*10%,0)</f>
        <v>0.75</v>
      </c>
      <c r="K1319" s="12">
        <f>IFERROR(VLOOKUP(VENTAS[[#This Row],[Código del producto Vendido]],STOCK[],16,FALSE)*VENTAS[[#This Row],[Cantidad]]+VLOOKUP(VENTAS[[#This Row],[Código del producto Vendido]],STOCK[],19,FALSE)*VENTAS[[#This Row],[Cantidad]],VENTAS[[#This Row],[Total]])</f>
        <v>5</v>
      </c>
      <c r="L1319" s="12">
        <f>VENTAS[[#This Row],[Total]]-VENTAS[[#This Row],[Comisión 10%]]-VENTAS[[#This Row],[Costo SIN Comision]]</f>
        <v>1.75</v>
      </c>
      <c r="M1319" s="12"/>
      <c r="N1319" s="16"/>
    </row>
    <row r="1320" spans="1:14" ht="20" hidden="1" customHeight="1">
      <c r="A1320" s="9">
        <v>45511</v>
      </c>
      <c r="B1320" s="10"/>
      <c r="C1320" s="10" t="s">
        <v>4429</v>
      </c>
      <c r="D1320" s="10" t="s">
        <v>4237</v>
      </c>
      <c r="E1320" s="10" t="s">
        <v>2516</v>
      </c>
      <c r="F1320" s="10" t="str">
        <f>IFERROR(VLOOKUP(VENTAS[[#This Row],[Código del producto Vendido]],STOCK[],5,FALSE),"-")</f>
        <v>Bolso pequeño estilo old money</v>
      </c>
      <c r="G1320" s="10">
        <v>1</v>
      </c>
      <c r="H1320" s="12">
        <v>20</v>
      </c>
      <c r="I1320" s="12">
        <f>VENTAS[[#This Row],[Cantidad]]*VENTAS[[#This Row],[Precio Venta]]</f>
        <v>20</v>
      </c>
      <c r="J1320" s="12">
        <f>IF(VENTAS[[#This Row],[Nombre del Gestor]]&gt;1,VENTAS[[#This Row],[Total]]*10%,0)</f>
        <v>2</v>
      </c>
      <c r="K1320" s="12">
        <f>IFERROR(VLOOKUP(VENTAS[[#This Row],[Código del producto Vendido]],STOCK[],16,FALSE)*VENTAS[[#This Row],[Cantidad]]+VLOOKUP(VENTAS[[#This Row],[Código del producto Vendido]],STOCK[],19,FALSE)*VENTAS[[#This Row],[Cantidad]],VENTAS[[#This Row],[Total]])</f>
        <v>11.49</v>
      </c>
      <c r="L1320" s="12">
        <f>VENTAS[[#This Row],[Total]]-VENTAS[[#This Row],[Comisión 10%]]-VENTAS[[#This Row],[Costo SIN Comision]]</f>
        <v>6.51</v>
      </c>
      <c r="M1320" s="12"/>
      <c r="N1320" s="16"/>
    </row>
    <row r="1321" spans="1:14" ht="20" hidden="1" customHeight="1">
      <c r="A1321" s="9">
        <v>45505</v>
      </c>
      <c r="B1321" s="10"/>
      <c r="C1321" s="10"/>
      <c r="D1321" s="10"/>
      <c r="E1321" s="10"/>
      <c r="F1321" s="10" t="str">
        <f>IFERROR(VLOOKUP(VENTAS[[#This Row],[Código del producto Vendido]],STOCK[],5,FALSE),"-")</f>
        <v>-</v>
      </c>
      <c r="G1321" s="10">
        <v>1</v>
      </c>
      <c r="H1321" s="12">
        <v>13</v>
      </c>
      <c r="I1321" s="12">
        <f>VENTAS[[#This Row],[Cantidad]]*VENTAS[[#This Row],[Precio Venta]]</f>
        <v>13</v>
      </c>
      <c r="J1321" s="12">
        <f>IF(VENTAS[[#This Row],[Nombre del Gestor]]&gt;1,VENTAS[[#This Row],[Total]]*10%,0)</f>
        <v>0</v>
      </c>
      <c r="K1321" s="12">
        <f>IFERROR(VLOOKUP(VENTAS[[#This Row],[Código del producto Vendido]],STOCK[],16,FALSE)*VENTAS[[#This Row],[Cantidad]]+VLOOKUP(VENTAS[[#This Row],[Código del producto Vendido]],STOCK[],19,FALSE)*VENTAS[[#This Row],[Cantidad]],VENTAS[[#This Row],[Total]])</f>
        <v>13</v>
      </c>
      <c r="L1321" s="12">
        <f>VENTAS[[#This Row],[Total]]-VENTAS[[#This Row],[Comisión 10%]]-VENTAS[[#This Row],[Costo SIN Comision]]</f>
        <v>0</v>
      </c>
      <c r="M1321" s="12"/>
      <c r="N1321" s="16"/>
    </row>
    <row r="1322" spans="1:14" ht="20" hidden="1" customHeight="1">
      <c r="A1322" s="9">
        <v>45512</v>
      </c>
      <c r="B1322" s="10"/>
      <c r="C1322" s="10"/>
      <c r="D1322" s="10" t="s">
        <v>4349</v>
      </c>
      <c r="E1322" s="10" t="s">
        <v>2468</v>
      </c>
      <c r="F1322" s="10" t="str">
        <f>IFERROR(VLOOKUP(VENTAS[[#This Row],[Código del producto Vendido]],STOCK[],5,FALSE),"-")</f>
        <v>Sandalias de plataforma en bloque de color</v>
      </c>
      <c r="G1322" s="10">
        <v>1</v>
      </c>
      <c r="H1322" s="12">
        <v>35</v>
      </c>
      <c r="I1322" s="12">
        <f>VENTAS[[#This Row],[Cantidad]]*VENTAS[[#This Row],[Precio Venta]]</f>
        <v>35</v>
      </c>
      <c r="J1322" s="12">
        <f>IF(VENTAS[[#This Row],[Nombre del Gestor]]&gt;1,VENTAS[[#This Row],[Total]]*10%,0)</f>
        <v>3.5</v>
      </c>
      <c r="K1322" s="12">
        <f>IFERROR(VLOOKUP(VENTAS[[#This Row],[Código del producto Vendido]],STOCK[],16,FALSE)*VENTAS[[#This Row],[Cantidad]]+VLOOKUP(VENTAS[[#This Row],[Código del producto Vendido]],STOCK[],19,FALSE)*VENTAS[[#This Row],[Cantidad]],VENTAS[[#This Row],[Total]])</f>
        <v>21.97</v>
      </c>
      <c r="L1322" s="12">
        <f>VENTAS[[#This Row],[Total]]-VENTAS[[#This Row],[Comisión 10%]]-VENTAS[[#This Row],[Costo SIN Comision]]</f>
        <v>9.5300000000000011</v>
      </c>
      <c r="M1322" s="12"/>
      <c r="N1322" s="16"/>
    </row>
    <row r="1323" spans="1:14" ht="20" hidden="1" customHeight="1">
      <c r="A1323" s="9">
        <v>45512</v>
      </c>
      <c r="B1323" s="10" t="s">
        <v>4503</v>
      </c>
      <c r="C1323" s="10"/>
      <c r="D1323" s="10"/>
      <c r="E1323" s="10" t="s">
        <v>2497</v>
      </c>
      <c r="F1323" s="10" t="str">
        <f>IFERROR(VLOOKUP(VENTAS[[#This Row],[Código del producto Vendido]],STOCK[],5,FALSE),"-")</f>
        <v>Bolso bandolera de rafia rígido de tamaño pequeño</v>
      </c>
      <c r="G1323" s="10">
        <v>1</v>
      </c>
      <c r="H1323" s="12">
        <v>12</v>
      </c>
      <c r="I1323" s="12">
        <f>VENTAS[[#This Row],[Cantidad]]*VENTAS[[#This Row],[Precio Venta]]</f>
        <v>12</v>
      </c>
      <c r="J1323" s="12">
        <f>IF(VENTAS[[#This Row],[Nombre del Gestor]]&gt;1,VENTAS[[#This Row],[Total]]*10%,0)</f>
        <v>0</v>
      </c>
      <c r="K1323" s="12">
        <f>IFERROR(VLOOKUP(VENTAS[[#This Row],[Código del producto Vendido]],STOCK[],16,FALSE)*VENTAS[[#This Row],[Cantidad]]+VLOOKUP(VENTAS[[#This Row],[Código del producto Vendido]],STOCK[],19,FALSE)*VENTAS[[#This Row],[Cantidad]],VENTAS[[#This Row],[Total]])</f>
        <v>11.39</v>
      </c>
      <c r="L1323" s="12">
        <f>VENTAS[[#This Row],[Total]]-VENTAS[[#This Row],[Comisión 10%]]-VENTAS[[#This Row],[Costo SIN Comision]]</f>
        <v>0.60999999999999943</v>
      </c>
      <c r="M1323" s="12"/>
      <c r="N1323" s="16"/>
    </row>
    <row r="1324" spans="1:14" ht="20" hidden="1" customHeight="1">
      <c r="A1324" s="9">
        <v>45518</v>
      </c>
      <c r="B1324" s="10"/>
      <c r="C1324" s="10" t="s">
        <v>4504</v>
      </c>
      <c r="D1324" s="10" t="s">
        <v>4408</v>
      </c>
      <c r="E1324" s="10" t="s">
        <v>2518</v>
      </c>
      <c r="F1324" s="10" t="str">
        <f>IFERROR(VLOOKUP(VENTAS[[#This Row],[Código del producto Vendido]],STOCK[],5,FALSE),"-")</f>
        <v>Bolso media luna de rafia de tamaño medio</v>
      </c>
      <c r="G1324" s="10">
        <v>1</v>
      </c>
      <c r="H1324" s="12">
        <v>22</v>
      </c>
      <c r="I1324" s="12">
        <f>VENTAS[[#This Row],[Cantidad]]*VENTAS[[#This Row],[Precio Venta]]</f>
        <v>22</v>
      </c>
      <c r="J1324" s="12">
        <f>IF(VENTAS[[#This Row],[Nombre del Gestor]]&gt;1,VENTAS[[#This Row],[Total]]*10%,0)</f>
        <v>2.2000000000000002</v>
      </c>
      <c r="K1324" s="12">
        <f>IFERROR(VLOOKUP(VENTAS[[#This Row],[Código del producto Vendido]],STOCK[],16,FALSE)*VENTAS[[#This Row],[Cantidad]]+VLOOKUP(VENTAS[[#This Row],[Código del producto Vendido]],STOCK[],19,FALSE)*VENTAS[[#This Row],[Cantidad]],VENTAS[[#This Row],[Total]])</f>
        <v>12.83</v>
      </c>
      <c r="L1324" s="12">
        <f>VENTAS[[#This Row],[Total]]-VENTAS[[#This Row],[Comisión 10%]]-VENTAS[[#This Row],[Costo SIN Comision]]</f>
        <v>6.9700000000000006</v>
      </c>
      <c r="M1324" s="12"/>
      <c r="N1324" s="16"/>
    </row>
    <row r="1325" spans="1:14" ht="20" hidden="1" customHeight="1">
      <c r="A1325" s="9">
        <v>45512</v>
      </c>
      <c r="B1325" s="10"/>
      <c r="C1325" s="10"/>
      <c r="D1325" s="10" t="s">
        <v>4349</v>
      </c>
      <c r="E1325" s="10" t="s">
        <v>4418</v>
      </c>
      <c r="F1325" s="10" t="str">
        <f>IFERROR(VLOOKUP(VENTAS[[#This Row],[Código del producto Vendido]],STOCK[],5,FALSE),"-")</f>
        <v>-</v>
      </c>
      <c r="G1325" s="10">
        <v>1</v>
      </c>
      <c r="H1325" s="12">
        <v>45</v>
      </c>
      <c r="I1325" s="12">
        <f>VENTAS[[#This Row],[Cantidad]]*VENTAS[[#This Row],[Precio Venta]]</f>
        <v>45</v>
      </c>
      <c r="J1325" s="12">
        <f>IF(VENTAS[[#This Row],[Nombre del Gestor]]&gt;1,VENTAS[[#This Row],[Total]]*10%,0)</f>
        <v>4.5</v>
      </c>
      <c r="K1325" s="12">
        <f>IFERROR(VLOOKUP(VENTAS[[#This Row],[Código del producto Vendido]],STOCK[],16,FALSE)*VENTAS[[#This Row],[Cantidad]]+VLOOKUP(VENTAS[[#This Row],[Código del producto Vendido]],STOCK[],19,FALSE)*VENTAS[[#This Row],[Cantidad]],VENTAS[[#This Row],[Total]])</f>
        <v>45</v>
      </c>
      <c r="L1325" s="12">
        <f>VENTAS[[#This Row],[Total]]-VENTAS[[#This Row],[Comisión 10%]]-VENTAS[[#This Row],[Costo SIN Comision]]</f>
        <v>-4.5</v>
      </c>
      <c r="M1325" s="12"/>
      <c r="N1325" s="16"/>
    </row>
    <row r="1326" spans="1:14" ht="20" hidden="1" customHeight="1">
      <c r="A1326" s="9">
        <v>45512</v>
      </c>
      <c r="B1326" s="10"/>
      <c r="C1326" s="10"/>
      <c r="D1326" s="10"/>
      <c r="E1326" s="10" t="s">
        <v>2491</v>
      </c>
      <c r="F1326" s="10" t="str">
        <f>IFERROR(VLOOKUP(VENTAS[[#This Row],[Código del producto Vendido]],STOCK[],5,FALSE),"-")</f>
        <v>Sandalias prácticas chunky blanco crema</v>
      </c>
      <c r="G1326" s="10">
        <v>1</v>
      </c>
      <c r="H1326" s="12"/>
      <c r="I1326" s="12">
        <f>VENTAS[[#This Row],[Cantidad]]*VENTAS[[#This Row],[Precio Venta]]</f>
        <v>0</v>
      </c>
      <c r="J1326" s="12">
        <f>IF(VENTAS[[#This Row],[Nombre del Gestor]]&gt;1,VENTAS[[#This Row],[Total]]*10%,0)</f>
        <v>0</v>
      </c>
      <c r="K1326" s="12">
        <f>IFERROR(VLOOKUP(VENTAS[[#This Row],[Código del producto Vendido]],STOCK[],16,FALSE)*VENTAS[[#This Row],[Cantidad]]+VLOOKUP(VENTAS[[#This Row],[Código del producto Vendido]],STOCK[],19,FALSE)*VENTAS[[#This Row],[Cantidad]],VENTAS[[#This Row],[Total]])</f>
        <v>24.217399999999998</v>
      </c>
      <c r="L1326" s="12">
        <f>VENTAS[[#This Row],[Total]]-VENTAS[[#This Row],[Comisión 10%]]-VENTAS[[#This Row],[Costo SIN Comision]]</f>
        <v>-24.217399999999998</v>
      </c>
      <c r="M1326" s="12"/>
      <c r="N1326" s="16"/>
    </row>
    <row r="1327" spans="1:14" ht="20" hidden="1" customHeight="1">
      <c r="A1327" s="9">
        <v>45512</v>
      </c>
      <c r="B1327" s="10"/>
      <c r="C1327" s="10" t="s">
        <v>4505</v>
      </c>
      <c r="D1327" s="10"/>
      <c r="E1327" s="10" t="s">
        <v>2657</v>
      </c>
      <c r="F1327" s="10" t="str">
        <f>IFERROR(VLOOKUP(VENTAS[[#This Row],[Código del producto Vendido]],STOCK[],5,FALSE),"-")</f>
        <v>Sandalias Pull&amp;Bear (encargo mónica)</v>
      </c>
      <c r="G1327" s="10">
        <v>1</v>
      </c>
      <c r="H1327" s="12">
        <v>35</v>
      </c>
      <c r="I1327" s="12">
        <f>VENTAS[[#This Row],[Cantidad]]*VENTAS[[#This Row],[Precio Venta]]</f>
        <v>35</v>
      </c>
      <c r="J1327" s="12">
        <f>IF(VENTAS[[#This Row],[Nombre del Gestor]]&gt;1,VENTAS[[#This Row],[Total]]*10%,0)</f>
        <v>0</v>
      </c>
      <c r="K1327" s="12">
        <f>IFERROR(VLOOKUP(VENTAS[[#This Row],[Código del producto Vendido]],STOCK[],16,FALSE)*VENTAS[[#This Row],[Cantidad]]+VLOOKUP(VENTAS[[#This Row],[Código del producto Vendido]],STOCK[],19,FALSE)*VENTAS[[#This Row],[Cantidad]],VENTAS[[#This Row],[Total]])</f>
        <v>21</v>
      </c>
      <c r="L1327" s="12">
        <f>VENTAS[[#This Row],[Total]]-VENTAS[[#This Row],[Comisión 10%]]-VENTAS[[#This Row],[Costo SIN Comision]]</f>
        <v>14</v>
      </c>
      <c r="M1327" s="12"/>
      <c r="N1327" s="16"/>
    </row>
    <row r="1328" spans="1:14" ht="20" hidden="1" customHeight="1">
      <c r="A1328" s="9">
        <v>45512</v>
      </c>
      <c r="B1328" s="10"/>
      <c r="C1328" s="10"/>
      <c r="D1328" s="10"/>
      <c r="E1328" s="10" t="s">
        <v>627</v>
      </c>
      <c r="F1328" s="10" t="str">
        <f>IFERROR(VLOOKUP(VENTAS[[#This Row],[Código del producto Vendido]],STOCK[],5,FALSE),"-")</f>
        <v>Vestido vaporoso</v>
      </c>
      <c r="G1328" s="10">
        <v>1</v>
      </c>
      <c r="H1328" s="12"/>
      <c r="I1328" s="12">
        <f>VENTAS[[#This Row],[Cantidad]]*VENTAS[[#This Row],[Precio Venta]]</f>
        <v>0</v>
      </c>
      <c r="J1328" s="12">
        <f>IF(VENTAS[[#This Row],[Nombre del Gestor]]&gt;1,VENTAS[[#This Row],[Total]]*10%,0)</f>
        <v>0</v>
      </c>
      <c r="K1328" s="12">
        <f>IFERROR(VLOOKUP(VENTAS[[#This Row],[Código del producto Vendido]],STOCK[],16,FALSE)*VENTAS[[#This Row],[Cantidad]]+VLOOKUP(VENTAS[[#This Row],[Código del producto Vendido]],STOCK[],19,FALSE)*VENTAS[[#This Row],[Cantidad]],VENTAS[[#This Row],[Total]])</f>
        <v>10.72222222222222</v>
      </c>
      <c r="L1328" s="12">
        <f>VENTAS[[#This Row],[Total]]-VENTAS[[#This Row],[Comisión 10%]]-VENTAS[[#This Row],[Costo SIN Comision]]</f>
        <v>-10.72222222222222</v>
      </c>
      <c r="M1328" s="12"/>
      <c r="N1328" s="16"/>
    </row>
    <row r="1329" spans="1:14" ht="20" hidden="1" customHeight="1">
      <c r="A1329" s="9">
        <v>45512</v>
      </c>
      <c r="B1329" s="10"/>
      <c r="C1329" s="10" t="s">
        <v>4506</v>
      </c>
      <c r="D1329" s="10" t="s">
        <v>4320</v>
      </c>
      <c r="E1329" s="10" t="s">
        <v>1259</v>
      </c>
      <c r="F1329" s="10" t="str">
        <f>IFERROR(VLOOKUP(VENTAS[[#This Row],[Código del producto Vendido]],STOCK[],5,FALSE),"-")</f>
        <v>Maxi vestido de espalda cruzada</v>
      </c>
      <c r="G1329" s="10">
        <v>1</v>
      </c>
      <c r="H1329" s="12">
        <v>30</v>
      </c>
      <c r="I1329" s="12">
        <f>VENTAS[[#This Row],[Cantidad]]*VENTAS[[#This Row],[Precio Venta]]</f>
        <v>30</v>
      </c>
      <c r="J1329" s="12">
        <f>IF(VENTAS[[#This Row],[Nombre del Gestor]]&gt;1,VENTAS[[#This Row],[Total]]*10%,0)</f>
        <v>3</v>
      </c>
      <c r="K1329" s="12">
        <f>IFERROR(VLOOKUP(VENTAS[[#This Row],[Código del producto Vendido]],STOCK[],16,FALSE)*VENTAS[[#This Row],[Cantidad]]+VLOOKUP(VENTAS[[#This Row],[Código del producto Vendido]],STOCK[],19,FALSE)*VENTAS[[#This Row],[Cantidad]],VENTAS[[#This Row],[Total]])</f>
        <v>23.95</v>
      </c>
      <c r="L1329" s="12">
        <f>VENTAS[[#This Row],[Total]]-VENTAS[[#This Row],[Comisión 10%]]-VENTAS[[#This Row],[Costo SIN Comision]]</f>
        <v>3.0500000000000007</v>
      </c>
      <c r="M1329" s="12"/>
      <c r="N1329" s="16"/>
    </row>
    <row r="1330" spans="1:14" ht="20" hidden="1" customHeight="1">
      <c r="A1330" s="9">
        <v>45512</v>
      </c>
      <c r="B1330" s="10"/>
      <c r="C1330" s="10"/>
      <c r="D1330" s="10"/>
      <c r="E1330" s="10" t="s">
        <v>1623</v>
      </c>
      <c r="F1330" s="10" t="str">
        <f>IFERROR(VLOOKUP(VENTAS[[#This Row],[Código del producto Vendido]],STOCK[],5,FALSE),"-")</f>
        <v>Vestido Becka</v>
      </c>
      <c r="G1330" s="10">
        <v>1</v>
      </c>
      <c r="H1330" s="12">
        <v>30</v>
      </c>
      <c r="I1330" s="12">
        <f>VENTAS[[#This Row],[Cantidad]]*VENTAS[[#This Row],[Precio Venta]]</f>
        <v>30</v>
      </c>
      <c r="J1330" s="12">
        <f>IF(VENTAS[[#This Row],[Nombre del Gestor]]&gt;1,VENTAS[[#This Row],[Total]]*10%,0)</f>
        <v>0</v>
      </c>
      <c r="K1330" s="12">
        <f>IFERROR(VLOOKUP(VENTAS[[#This Row],[Código del producto Vendido]],STOCK[],16,FALSE)*VENTAS[[#This Row],[Cantidad]]+VLOOKUP(VENTAS[[#This Row],[Código del producto Vendido]],STOCK[],19,FALSE)*VENTAS[[#This Row],[Cantidad]],VENTAS[[#This Row],[Total]])</f>
        <v>12.4</v>
      </c>
      <c r="L1330" s="12">
        <f>VENTAS[[#This Row],[Total]]-VENTAS[[#This Row],[Comisión 10%]]-VENTAS[[#This Row],[Costo SIN Comision]]</f>
        <v>17.600000000000001</v>
      </c>
      <c r="M1330" s="12"/>
      <c r="N1330" s="16"/>
    </row>
    <row r="1331" spans="1:14" ht="20" hidden="1" customHeight="1">
      <c r="A1331" s="9">
        <v>45512</v>
      </c>
      <c r="B1331" s="10"/>
      <c r="C1331" s="10"/>
      <c r="D1331" s="10"/>
      <c r="E1331" s="10" t="s">
        <v>1660</v>
      </c>
      <c r="F1331" s="10" t="str">
        <f>IFERROR(VLOOKUP(VENTAS[[#This Row],[Código del producto Vendido]],STOCK[],5,FALSE),"-")</f>
        <v>Suéter cuello de Cisne</v>
      </c>
      <c r="G1331" s="10">
        <v>1</v>
      </c>
      <c r="H1331" s="12">
        <v>18</v>
      </c>
      <c r="I1331" s="12">
        <f>VENTAS[[#This Row],[Cantidad]]*VENTAS[[#This Row],[Precio Venta]]</f>
        <v>18</v>
      </c>
      <c r="J1331" s="12">
        <f>IF(VENTAS[[#This Row],[Nombre del Gestor]]&gt;1,VENTAS[[#This Row],[Total]]*10%,0)</f>
        <v>0</v>
      </c>
      <c r="K1331" s="12">
        <f>IFERROR(VLOOKUP(VENTAS[[#This Row],[Código del producto Vendido]],STOCK[],16,FALSE)*VENTAS[[#This Row],[Cantidad]]+VLOOKUP(VENTAS[[#This Row],[Código del producto Vendido]],STOCK[],19,FALSE)*VENTAS[[#This Row],[Cantidad]],VENTAS[[#This Row],[Total]])</f>
        <v>5.78</v>
      </c>
      <c r="L1331" s="12">
        <f>VENTAS[[#This Row],[Total]]-VENTAS[[#This Row],[Comisión 10%]]-VENTAS[[#This Row],[Costo SIN Comision]]</f>
        <v>12.219999999999999</v>
      </c>
      <c r="M1331" s="12"/>
      <c r="N1331" s="16"/>
    </row>
    <row r="1332" spans="1:14" ht="20" hidden="1" customHeight="1">
      <c r="A1332" s="9">
        <v>45512</v>
      </c>
      <c r="B1332" s="10"/>
      <c r="C1332" s="10" t="s">
        <v>4507</v>
      </c>
      <c r="D1332" s="10" t="s">
        <v>4320</v>
      </c>
      <c r="E1332" s="10" t="s">
        <v>2442</v>
      </c>
      <c r="F1332" s="10" t="str">
        <f>IFERROR(VLOOKUP(VENTAS[[#This Row],[Código del producto Vendido]],STOCK[],5,FALSE),"-")</f>
        <v>Pantalón de vestir de viscosa y lino negro</v>
      </c>
      <c r="G1332" s="10">
        <v>1</v>
      </c>
      <c r="H1332" s="12">
        <v>35</v>
      </c>
      <c r="I1332" s="12">
        <f>VENTAS[[#This Row],[Cantidad]]*VENTAS[[#This Row],[Precio Venta]]</f>
        <v>35</v>
      </c>
      <c r="J1332" s="12">
        <f>IF(VENTAS[[#This Row],[Nombre del Gestor]]&gt;1,VENTAS[[#This Row],[Total]]*10%,0)</f>
        <v>3.5</v>
      </c>
      <c r="K1332" s="12">
        <f>IFERROR(VLOOKUP(VENTAS[[#This Row],[Código del producto Vendido]],STOCK[],16,FALSE)*VENTAS[[#This Row],[Cantidad]]+VLOOKUP(VENTAS[[#This Row],[Código del producto Vendido]],STOCK[],19,FALSE)*VENTAS[[#This Row],[Cantidad]],VENTAS[[#This Row],[Total]])</f>
        <v>15.282021151586401</v>
      </c>
      <c r="L1332" s="12">
        <f>VENTAS[[#This Row],[Total]]-VENTAS[[#This Row],[Comisión 10%]]-VENTAS[[#This Row],[Costo SIN Comision]]</f>
        <v>16.217978848413601</v>
      </c>
      <c r="M1332" s="12"/>
      <c r="N1332" s="16"/>
    </row>
    <row r="1333" spans="1:14" ht="20" hidden="1" customHeight="1">
      <c r="A1333" s="9">
        <v>45512</v>
      </c>
      <c r="B1333" s="10"/>
      <c r="C1333" s="10" t="s">
        <v>4505</v>
      </c>
      <c r="D1333" s="10"/>
      <c r="E1333" s="10" t="s">
        <v>2653</v>
      </c>
      <c r="F1333" s="10" t="str">
        <f>IFERROR(VLOOKUP(VENTAS[[#This Row],[Código del producto Vendido]],STOCK[],5,FALSE),"-")</f>
        <v>Cinto de piel (encargo mónica)</v>
      </c>
      <c r="G1333" s="10">
        <v>1</v>
      </c>
      <c r="H1333" s="12">
        <v>19</v>
      </c>
      <c r="I1333" s="12">
        <f>VENTAS[[#This Row],[Cantidad]]*VENTAS[[#This Row],[Precio Venta]]</f>
        <v>19</v>
      </c>
      <c r="J1333" s="12">
        <f>IF(VENTAS[[#This Row],[Nombre del Gestor]]&gt;1,VENTAS[[#This Row],[Total]]*10%,0)</f>
        <v>0</v>
      </c>
      <c r="K1333" s="12">
        <f>IFERROR(VLOOKUP(VENTAS[[#This Row],[Código del producto Vendido]],STOCK[],16,FALSE)*VENTAS[[#This Row],[Cantidad]]+VLOOKUP(VENTAS[[#This Row],[Código del producto Vendido]],STOCK[],19,FALSE)*VENTAS[[#This Row],[Cantidad]],VENTAS[[#This Row],[Total]])</f>
        <v>14.96</v>
      </c>
      <c r="L1333" s="12">
        <f>VENTAS[[#This Row],[Total]]-VENTAS[[#This Row],[Comisión 10%]]-VENTAS[[#This Row],[Costo SIN Comision]]</f>
        <v>4.0399999999999991</v>
      </c>
      <c r="M1333" s="12"/>
      <c r="N1333" s="16"/>
    </row>
    <row r="1334" spans="1:14" ht="20" hidden="1" customHeight="1">
      <c r="A1334" s="9">
        <v>45512</v>
      </c>
      <c r="B1334" s="10"/>
      <c r="C1334" s="10"/>
      <c r="D1334" s="10" t="s">
        <v>4349</v>
      </c>
      <c r="E1334" s="10" t="s">
        <v>2562</v>
      </c>
      <c r="F1334" s="10" t="str">
        <f>IFERROR(VLOOKUP(VENTAS[[#This Row],[Código del producto Vendido]],STOCK[],5,FALSE),"-")</f>
        <v>Sombrero Visera de Verano</v>
      </c>
      <c r="G1334" s="10">
        <v>1</v>
      </c>
      <c r="H1334" s="12">
        <v>15</v>
      </c>
      <c r="I1334" s="12">
        <f>VENTAS[[#This Row],[Cantidad]]*VENTAS[[#This Row],[Precio Venta]]</f>
        <v>15</v>
      </c>
      <c r="J1334" s="12">
        <f>IF(VENTAS[[#This Row],[Nombre del Gestor]]&gt;1,VENTAS[[#This Row],[Total]]*10%,0)</f>
        <v>1.5</v>
      </c>
      <c r="K1334" s="12">
        <f>IFERROR(VLOOKUP(VENTAS[[#This Row],[Código del producto Vendido]],STOCK[],16,FALSE)*VENTAS[[#This Row],[Cantidad]]+VLOOKUP(VENTAS[[#This Row],[Código del producto Vendido]],STOCK[],19,FALSE)*VENTAS[[#This Row],[Cantidad]],VENTAS[[#This Row],[Total]])</f>
        <v>6.3599999999999994</v>
      </c>
      <c r="L1334" s="12">
        <f>VENTAS[[#This Row],[Total]]-VENTAS[[#This Row],[Comisión 10%]]-VENTAS[[#This Row],[Costo SIN Comision]]</f>
        <v>7.1400000000000006</v>
      </c>
      <c r="M1334" s="12"/>
      <c r="N1334" s="16"/>
    </row>
    <row r="1335" spans="1:14" ht="20" hidden="1" customHeight="1">
      <c r="A1335" s="9">
        <v>45512</v>
      </c>
      <c r="B1335" s="10"/>
      <c r="C1335" s="10"/>
      <c r="D1335" s="10"/>
      <c r="E1335" s="10" t="s">
        <v>2526</v>
      </c>
      <c r="F1335" s="10" t="str">
        <f>IFERROR(VLOOKUP(VENTAS[[#This Row],[Código del producto Vendido]],STOCK[],5,FALSE),"-")</f>
        <v>Cinturón fino de hebilla de estilo elegante carmelita</v>
      </c>
      <c r="G1335" s="10">
        <v>1</v>
      </c>
      <c r="H1335" s="12">
        <v>12</v>
      </c>
      <c r="I1335" s="12">
        <f>VENTAS[[#This Row],[Cantidad]]*VENTAS[[#This Row],[Precio Venta]]</f>
        <v>12</v>
      </c>
      <c r="J1335" s="12">
        <f>IF(VENTAS[[#This Row],[Nombre del Gestor]]&gt;1,VENTAS[[#This Row],[Total]]*10%,0)</f>
        <v>0</v>
      </c>
      <c r="K1335" s="12">
        <f>IFERROR(VLOOKUP(VENTAS[[#This Row],[Código del producto Vendido]],STOCK[],16,FALSE)*VENTAS[[#This Row],[Cantidad]]+VLOOKUP(VENTAS[[#This Row],[Código del producto Vendido]],STOCK[],19,FALSE)*VENTAS[[#This Row],[Cantidad]],VENTAS[[#This Row],[Total]])</f>
        <v>5.13</v>
      </c>
      <c r="L1335" s="12">
        <f>VENTAS[[#This Row],[Total]]-VENTAS[[#This Row],[Comisión 10%]]-VENTAS[[#This Row],[Costo SIN Comision]]</f>
        <v>6.87</v>
      </c>
      <c r="M1335" s="12"/>
      <c r="N1335" s="16"/>
    </row>
    <row r="1336" spans="1:14" ht="20" hidden="1" customHeight="1">
      <c r="A1336" s="9">
        <v>45512</v>
      </c>
      <c r="B1336" s="10"/>
      <c r="C1336" s="10"/>
      <c r="D1336" s="10"/>
      <c r="E1336" s="10" t="s">
        <v>2209</v>
      </c>
      <c r="F1336" s="10" t="str">
        <f>IFERROR(VLOOKUP(VENTAS[[#This Row],[Código del producto Vendido]],STOCK[],5,FALSE),"-")</f>
        <v xml:space="preserve">Bolso TOTE arcoíris trending </v>
      </c>
      <c r="G1336" s="10">
        <v>1</v>
      </c>
      <c r="H1336" s="12">
        <v>12</v>
      </c>
      <c r="I1336" s="12">
        <f>VENTAS[[#This Row],[Cantidad]]*VENTAS[[#This Row],[Precio Venta]]</f>
        <v>12</v>
      </c>
      <c r="J1336" s="12">
        <f>IF(VENTAS[[#This Row],[Nombre del Gestor]]&gt;1,VENTAS[[#This Row],[Total]]*10%,0)</f>
        <v>0</v>
      </c>
      <c r="K1336" s="12">
        <f>IFERROR(VLOOKUP(VENTAS[[#This Row],[Código del producto Vendido]],STOCK[],16,FALSE)*VENTAS[[#This Row],[Cantidad]]+VLOOKUP(VENTAS[[#This Row],[Código del producto Vendido]],STOCK[],19,FALSE)*VENTAS[[#This Row],[Cantidad]],VENTAS[[#This Row],[Total]])</f>
        <v>5.84</v>
      </c>
      <c r="L1336" s="12">
        <f>VENTAS[[#This Row],[Total]]-VENTAS[[#This Row],[Comisión 10%]]-VENTAS[[#This Row],[Costo SIN Comision]]</f>
        <v>6.16</v>
      </c>
      <c r="M1336" s="12"/>
      <c r="N1336" s="16"/>
    </row>
    <row r="1337" spans="1:14" ht="20" hidden="1" customHeight="1">
      <c r="A1337" s="9">
        <v>45512</v>
      </c>
      <c r="B1337" s="10"/>
      <c r="C1337" s="10"/>
      <c r="D1337" s="10" t="s">
        <v>4349</v>
      </c>
      <c r="E1337" s="10" t="s">
        <v>1828</v>
      </c>
      <c r="F1337" s="10" t="str">
        <f>IFERROR(VLOOKUP(VENTAS[[#This Row],[Código del producto Vendido]],STOCK[],5,FALSE),"-")</f>
        <v>Bolso Crossbody en detalle de cocodrilo</v>
      </c>
      <c r="G1337" s="10">
        <v>1</v>
      </c>
      <c r="H1337" s="12">
        <v>25</v>
      </c>
      <c r="I1337" s="12">
        <f>VENTAS[[#This Row],[Cantidad]]*VENTAS[[#This Row],[Precio Venta]]</f>
        <v>25</v>
      </c>
      <c r="J1337" s="12">
        <f>IF(VENTAS[[#This Row],[Nombre del Gestor]]&gt;1,VENTAS[[#This Row],[Total]]*10%,0)</f>
        <v>2.5</v>
      </c>
      <c r="K1337" s="12">
        <f>IFERROR(VLOOKUP(VENTAS[[#This Row],[Código del producto Vendido]],STOCK[],16,FALSE)*VENTAS[[#This Row],[Cantidad]]+VLOOKUP(VENTAS[[#This Row],[Código del producto Vendido]],STOCK[],19,FALSE)*VENTAS[[#This Row],[Cantidad]],VENTAS[[#This Row],[Total]])</f>
        <v>11.790000000000001</v>
      </c>
      <c r="L1337" s="12">
        <f>VENTAS[[#This Row],[Total]]-VENTAS[[#This Row],[Comisión 10%]]-VENTAS[[#This Row],[Costo SIN Comision]]</f>
        <v>10.709999999999999</v>
      </c>
      <c r="M1337" s="12"/>
      <c r="N1337" s="16"/>
    </row>
    <row r="1338" spans="1:14" ht="20" hidden="1" customHeight="1">
      <c r="A1338" s="9">
        <v>45512</v>
      </c>
      <c r="B1338" s="10"/>
      <c r="C1338" s="10"/>
      <c r="D1338" s="10" t="s">
        <v>4374</v>
      </c>
      <c r="E1338" s="10" t="s">
        <v>493</v>
      </c>
      <c r="F1338" s="10" t="str">
        <f>IFERROR(VLOOKUP(VENTAS[[#This Row],[Código del producto Vendido]],STOCK[],5,FALSE),"-")</f>
        <v>Bañador de talle alto con vuelos</v>
      </c>
      <c r="G1338" s="10">
        <v>1</v>
      </c>
      <c r="H1338" s="12">
        <v>25</v>
      </c>
      <c r="I1338" s="12">
        <f>VENTAS[[#This Row],[Cantidad]]*VENTAS[[#This Row],[Precio Venta]]</f>
        <v>25</v>
      </c>
      <c r="J1338" s="12">
        <f>IF(VENTAS[[#This Row],[Nombre del Gestor]]&gt;1,VENTAS[[#This Row],[Total]]*10%,0)</f>
        <v>2.5</v>
      </c>
      <c r="K1338" s="12">
        <f>IFERROR(VLOOKUP(VENTAS[[#This Row],[Código del producto Vendido]],STOCK[],16,FALSE)*VENTAS[[#This Row],[Cantidad]]+VLOOKUP(VENTAS[[#This Row],[Código del producto Vendido]],STOCK[],19,FALSE)*VENTAS[[#This Row],[Cantidad]],VENTAS[[#This Row],[Total]])</f>
        <v>12.4805555555556</v>
      </c>
      <c r="L1338" s="12">
        <f>VENTAS[[#This Row],[Total]]-VENTAS[[#This Row],[Comisión 10%]]-VENTAS[[#This Row],[Costo SIN Comision]]</f>
        <v>10.0194444444444</v>
      </c>
      <c r="M1338" s="12"/>
      <c r="N1338" s="16"/>
    </row>
    <row r="1339" spans="1:14" ht="20" hidden="1" customHeight="1">
      <c r="A1339" s="9">
        <v>45512</v>
      </c>
      <c r="B1339" s="10"/>
      <c r="C1339" s="10"/>
      <c r="D1339" s="10"/>
      <c r="E1339" s="10" t="s">
        <v>2183</v>
      </c>
      <c r="F1339" s="10" t="str">
        <f>IFERROR(VLOOKUP(VENTAS[[#This Row],[Código del producto Vendido]],STOCK[],5,FALSE),"-")</f>
        <v>Bikini sexy de pierna alta en tendencia</v>
      </c>
      <c r="G1339" s="10">
        <v>1</v>
      </c>
      <c r="H1339" s="12">
        <v>20</v>
      </c>
      <c r="I1339" s="12">
        <f>VENTAS[[#This Row],[Cantidad]]*VENTAS[[#This Row],[Precio Venta]]</f>
        <v>20</v>
      </c>
      <c r="J1339" s="12">
        <f>IF(VENTAS[[#This Row],[Nombre del Gestor]]&gt;1,VENTAS[[#This Row],[Total]]*10%,0)</f>
        <v>0</v>
      </c>
      <c r="K1339" s="12">
        <f>IFERROR(VLOOKUP(VENTAS[[#This Row],[Código del producto Vendido]],STOCK[],16,FALSE)*VENTAS[[#This Row],[Cantidad]]+VLOOKUP(VENTAS[[#This Row],[Código del producto Vendido]],STOCK[],19,FALSE)*VENTAS[[#This Row],[Cantidad]],VENTAS[[#This Row],[Total]])</f>
        <v>6.6199999999999992</v>
      </c>
      <c r="L1339" s="12">
        <f>VENTAS[[#This Row],[Total]]-VENTAS[[#This Row],[Comisión 10%]]-VENTAS[[#This Row],[Costo SIN Comision]]</f>
        <v>13.38</v>
      </c>
      <c r="M1339" s="12"/>
      <c r="N1339" s="16"/>
    </row>
    <row r="1340" spans="1:14" ht="20" hidden="1" customHeight="1">
      <c r="A1340" s="9">
        <v>45513</v>
      </c>
      <c r="B1340" s="10"/>
      <c r="C1340" s="10"/>
      <c r="D1340" s="10"/>
      <c r="E1340" s="10" t="s">
        <v>2249</v>
      </c>
      <c r="F1340" s="10" t="str">
        <f>IFERROR(VLOOKUP(VENTAS[[#This Row],[Código del producto Vendido]],STOCK[],5,FALSE),"-")</f>
        <v>Bikini curvy en bloque de color</v>
      </c>
      <c r="G1340" s="10">
        <v>1</v>
      </c>
      <c r="H1340" s="12">
        <v>0</v>
      </c>
      <c r="I1340" s="12">
        <f>VENTAS[[#This Row],[Cantidad]]*VENTAS[[#This Row],[Precio Venta]]</f>
        <v>0</v>
      </c>
      <c r="J1340" s="12">
        <f>IF(VENTAS[[#This Row],[Nombre del Gestor]]&gt;1,VENTAS[[#This Row],[Total]]*10%,0)</f>
        <v>0</v>
      </c>
      <c r="K1340" s="12">
        <f>IFERROR(VLOOKUP(VENTAS[[#This Row],[Código del producto Vendido]],STOCK[],16,FALSE)*VENTAS[[#This Row],[Cantidad]]+VLOOKUP(VENTAS[[#This Row],[Código del producto Vendido]],STOCK[],19,FALSE)*VENTAS[[#This Row],[Cantidad]],VENTAS[[#This Row],[Total]])</f>
        <v>5.9899999999999993</v>
      </c>
      <c r="L1340" s="12">
        <f>VENTAS[[#This Row],[Total]]-VENTAS[[#This Row],[Comisión 10%]]-VENTAS[[#This Row],[Costo SIN Comision]]</f>
        <v>-5.9899999999999993</v>
      </c>
      <c r="M1340" s="12"/>
      <c r="N1340" s="16"/>
    </row>
    <row r="1341" spans="1:14" ht="20" hidden="1" customHeight="1">
      <c r="A1341" s="9">
        <v>45514</v>
      </c>
      <c r="B1341" s="10"/>
      <c r="C1341" s="10"/>
      <c r="D1341" s="10"/>
      <c r="E1341" s="10" t="s">
        <v>2693</v>
      </c>
      <c r="F1341" s="10" t="str">
        <f>IFERROR(VLOOKUP(VENTAS[[#This Row],[Código del producto Vendido]],STOCK[],5,FALSE),"-")</f>
        <v>Traje de baño clásico en bloque de color de talle alto (encargo)</v>
      </c>
      <c r="G1341" s="10">
        <v>1</v>
      </c>
      <c r="H1341" s="12">
        <v>25</v>
      </c>
      <c r="I1341" s="12">
        <f>VENTAS[[#This Row],[Cantidad]]*VENTAS[[#This Row],[Precio Venta]]</f>
        <v>25</v>
      </c>
      <c r="J1341" s="12">
        <f>IF(VENTAS[[#This Row],[Nombre del Gestor]]&gt;1,VENTAS[[#This Row],[Total]]*10%,0)</f>
        <v>0</v>
      </c>
      <c r="K1341" s="12">
        <f>IFERROR(VLOOKUP(VENTAS[[#This Row],[Código del producto Vendido]],STOCK[],16,FALSE)*VENTAS[[#This Row],[Cantidad]]+VLOOKUP(VENTAS[[#This Row],[Código del producto Vendido]],STOCK[],19,FALSE)*VENTAS[[#This Row],[Cantidad]],VENTAS[[#This Row],[Total]])</f>
        <v>12.280000000000001</v>
      </c>
      <c r="L1341" s="12">
        <f>VENTAS[[#This Row],[Total]]-VENTAS[[#This Row],[Comisión 10%]]-VENTAS[[#This Row],[Costo SIN Comision]]</f>
        <v>12.719999999999999</v>
      </c>
      <c r="M1341" s="12"/>
      <c r="N1341" s="16"/>
    </row>
    <row r="1342" spans="1:14" ht="20" hidden="1" customHeight="1">
      <c r="A1342" s="9">
        <v>45515</v>
      </c>
      <c r="B1342" s="10"/>
      <c r="C1342" s="10"/>
      <c r="D1342" s="10"/>
      <c r="E1342" s="10" t="s">
        <v>731</v>
      </c>
      <c r="F1342" s="10" t="str">
        <f>IFERROR(VLOOKUP(VENTAS[[#This Row],[Código del producto Vendido]],STOCK[],5,FALSE),"-")</f>
        <v>Vestido de un hombro</v>
      </c>
      <c r="G1342" s="10">
        <v>1</v>
      </c>
      <c r="H1342" s="12">
        <v>13</v>
      </c>
      <c r="I1342" s="12">
        <f>VENTAS[[#This Row],[Cantidad]]*VENTAS[[#This Row],[Precio Venta]]</f>
        <v>13</v>
      </c>
      <c r="J1342" s="12">
        <f>IF(VENTAS[[#This Row],[Nombre del Gestor]]&gt;1,VENTAS[[#This Row],[Total]]*10%,0)</f>
        <v>0</v>
      </c>
      <c r="K1342" s="12">
        <f>IFERROR(VLOOKUP(VENTAS[[#This Row],[Código del producto Vendido]],STOCK[],16,FALSE)*VENTAS[[#This Row],[Cantidad]]+VLOOKUP(VENTAS[[#This Row],[Código del producto Vendido]],STOCK[],19,FALSE)*VENTAS[[#This Row],[Cantidad]],VENTAS[[#This Row],[Total]])</f>
        <v>11.944444444444439</v>
      </c>
      <c r="L1342" s="12">
        <f>VENTAS[[#This Row],[Total]]-VENTAS[[#This Row],[Comisión 10%]]-VENTAS[[#This Row],[Costo SIN Comision]]</f>
        <v>1.0555555555555607</v>
      </c>
      <c r="M1342" s="12"/>
      <c r="N1342" s="16"/>
    </row>
    <row r="1343" spans="1:14" ht="20" hidden="1" customHeight="1">
      <c r="A1343" s="9">
        <v>45516</v>
      </c>
      <c r="B1343" s="10"/>
      <c r="C1343" s="10"/>
      <c r="D1343" s="10"/>
      <c r="E1343" s="10" t="s">
        <v>2589</v>
      </c>
      <c r="F1343" s="10" t="str">
        <f>IFERROR(VLOOKUP(VENTAS[[#This Row],[Código del producto Vendido]],STOCK[],5,FALSE),"-")</f>
        <v>Vestido blanco espalda cruzada</v>
      </c>
      <c r="G1343" s="10">
        <v>1</v>
      </c>
      <c r="H1343" s="12">
        <v>30</v>
      </c>
      <c r="I1343" s="12">
        <f>VENTAS[[#This Row],[Cantidad]]*VENTAS[[#This Row],[Precio Venta]]</f>
        <v>30</v>
      </c>
      <c r="J1343" s="12">
        <f>IF(VENTAS[[#This Row],[Nombre del Gestor]]&gt;1,VENTAS[[#This Row],[Total]]*10%,0)</f>
        <v>0</v>
      </c>
      <c r="K1343" s="12">
        <f>IFERROR(VLOOKUP(VENTAS[[#This Row],[Código del producto Vendido]],STOCK[],16,FALSE)*VENTAS[[#This Row],[Cantidad]]+VLOOKUP(VENTAS[[#This Row],[Código del producto Vendido]],STOCK[],19,FALSE)*VENTAS[[#This Row],[Cantidad]],VENTAS[[#This Row],[Total]])</f>
        <v>15.440000000000001</v>
      </c>
      <c r="L1343" s="12">
        <f>VENTAS[[#This Row],[Total]]-VENTAS[[#This Row],[Comisión 10%]]-VENTAS[[#This Row],[Costo SIN Comision]]</f>
        <v>14.559999999999999</v>
      </c>
      <c r="M1343" s="12"/>
      <c r="N1343" s="16"/>
    </row>
    <row r="1344" spans="1:14" ht="20" hidden="1" customHeight="1">
      <c r="A1344" s="9">
        <v>45515</v>
      </c>
      <c r="B1344" s="10"/>
      <c r="C1344" s="10"/>
      <c r="D1344" s="10" t="s">
        <v>4349</v>
      </c>
      <c r="E1344" s="10" t="s">
        <v>2433</v>
      </c>
      <c r="F1344" s="10" t="str">
        <f>IFERROR(VLOOKUP(VENTAS[[#This Row],[Código del producto Vendido]],STOCK[],5,FALSE),"-")</f>
        <v>Pantalón ancho con cordón ajustable</v>
      </c>
      <c r="G1344" s="10">
        <v>1</v>
      </c>
      <c r="H1344" s="12">
        <v>23</v>
      </c>
      <c r="I1344" s="12">
        <f>VENTAS[[#This Row],[Cantidad]]*VENTAS[[#This Row],[Precio Venta]]</f>
        <v>23</v>
      </c>
      <c r="J1344" s="12">
        <f>IF(VENTAS[[#This Row],[Nombre del Gestor]]&gt;1,VENTAS[[#This Row],[Total]]*10%,0)</f>
        <v>2.3000000000000003</v>
      </c>
      <c r="K1344" s="12">
        <f>IFERROR(VLOOKUP(VENTAS[[#This Row],[Código del producto Vendido]],STOCK[],16,FALSE)*VENTAS[[#This Row],[Cantidad]]+VLOOKUP(VENTAS[[#This Row],[Código del producto Vendido]],STOCK[],19,FALSE)*VENTAS[[#This Row],[Cantidad]],VENTAS[[#This Row],[Total]])</f>
        <v>11.43533490011751</v>
      </c>
      <c r="L1344" s="12">
        <f>VENTAS[[#This Row],[Total]]-VENTAS[[#This Row],[Comisión 10%]]-VENTAS[[#This Row],[Costo SIN Comision]]</f>
        <v>9.2646650998824889</v>
      </c>
      <c r="M1344" s="12"/>
      <c r="N1344" s="16"/>
    </row>
    <row r="1345" spans="1:14" ht="20" hidden="1" customHeight="1">
      <c r="A1345" s="9">
        <v>45515</v>
      </c>
      <c r="B1345" s="10"/>
      <c r="C1345" s="10"/>
      <c r="D1345" s="10" t="s">
        <v>4349</v>
      </c>
      <c r="E1345" s="10" t="s">
        <v>2717</v>
      </c>
      <c r="F1345" s="10" t="str">
        <f>IFERROR(VLOOKUP(VENTAS[[#This Row],[Código del producto Vendido]],STOCK[],5,FALSE),"-")</f>
        <v>Sneakers chunky blancos</v>
      </c>
      <c r="G1345" s="10">
        <v>2</v>
      </c>
      <c r="H1345" s="12">
        <v>45</v>
      </c>
      <c r="I1345" s="12">
        <f>VENTAS[[#This Row],[Cantidad]]*VENTAS[[#This Row],[Precio Venta]]</f>
        <v>90</v>
      </c>
      <c r="J1345" s="12">
        <f>IF(VENTAS[[#This Row],[Nombre del Gestor]]&gt;1,VENTAS[[#This Row],[Total]]*10%,0)</f>
        <v>9</v>
      </c>
      <c r="K1345" s="12">
        <f>IFERROR(VLOOKUP(VENTAS[[#This Row],[Código del producto Vendido]],STOCK[],16,FALSE)*VENTAS[[#This Row],[Cantidad]]+VLOOKUP(VENTAS[[#This Row],[Código del producto Vendido]],STOCK[],19,FALSE)*VENTAS[[#This Row],[Cantidad]],VENTAS[[#This Row],[Total]])</f>
        <v>48.94</v>
      </c>
      <c r="L1345" s="12">
        <f>VENTAS[[#This Row],[Total]]-VENTAS[[#This Row],[Comisión 10%]]-VENTAS[[#This Row],[Costo SIN Comision]]</f>
        <v>32.06</v>
      </c>
      <c r="M1345" s="12"/>
      <c r="N1345" s="16"/>
    </row>
    <row r="1346" spans="1:14" ht="20" hidden="1" customHeight="1">
      <c r="A1346" s="9">
        <v>45512</v>
      </c>
      <c r="B1346" s="10"/>
      <c r="C1346" s="10"/>
      <c r="D1346" s="10" t="s">
        <v>4349</v>
      </c>
      <c r="E1346" s="10" t="s">
        <v>1012</v>
      </c>
      <c r="F1346" s="10" t="str">
        <f>IFERROR(VLOOKUP(VENTAS[[#This Row],[Código del producto Vendido]],STOCK[],5,FALSE),"-")</f>
        <v>Maxi Vestido con Bolsillo</v>
      </c>
      <c r="G1346" s="10">
        <v>1</v>
      </c>
      <c r="H1346" s="12">
        <v>27</v>
      </c>
      <c r="I1346" s="12">
        <f>VENTAS[[#This Row],[Cantidad]]*VENTAS[[#This Row],[Precio Venta]]</f>
        <v>27</v>
      </c>
      <c r="J1346" s="12">
        <f>IF(VENTAS[[#This Row],[Nombre del Gestor]]&gt;1,VENTAS[[#This Row],[Total]]*10%,0)</f>
        <v>2.7</v>
      </c>
      <c r="K1346" s="12">
        <f>IFERROR(VLOOKUP(VENTAS[[#This Row],[Código del producto Vendido]],STOCK[],16,FALSE)*VENTAS[[#This Row],[Cantidad]]+VLOOKUP(VENTAS[[#This Row],[Código del producto Vendido]],STOCK[],19,FALSE)*VENTAS[[#This Row],[Cantidad]],VENTAS[[#This Row],[Total]])</f>
        <v>22.1920454545455</v>
      </c>
      <c r="L1346" s="12">
        <f>VENTAS[[#This Row],[Total]]-VENTAS[[#This Row],[Comisión 10%]]-VENTAS[[#This Row],[Costo SIN Comision]]</f>
        <v>2.1079545454545006</v>
      </c>
      <c r="M1346" s="12"/>
      <c r="N1346" s="16"/>
    </row>
    <row r="1347" spans="1:14" ht="20" hidden="1" customHeight="1">
      <c r="A1347" s="9">
        <v>45512</v>
      </c>
      <c r="B1347" s="10"/>
      <c r="C1347" s="10"/>
      <c r="D1347" s="10" t="s">
        <v>4349</v>
      </c>
      <c r="E1347" s="10" t="s">
        <v>1052</v>
      </c>
      <c r="F1347" s="10" t="str">
        <f>IFERROR(VLOOKUP(VENTAS[[#This Row],[Código del producto Vendido]],STOCK[],5,FALSE),"-")</f>
        <v>Vestido en punto Rosa</v>
      </c>
      <c r="G1347" s="10">
        <v>1</v>
      </c>
      <c r="H1347" s="12">
        <v>25</v>
      </c>
      <c r="I1347" s="12">
        <f>VENTAS[[#This Row],[Cantidad]]*VENTAS[[#This Row],[Precio Venta]]</f>
        <v>25</v>
      </c>
      <c r="J1347" s="12">
        <f>IF(VENTAS[[#This Row],[Nombre del Gestor]]&gt;1,VENTAS[[#This Row],[Total]]*10%,0)</f>
        <v>2.5</v>
      </c>
      <c r="K1347" s="12">
        <f>IFERROR(VLOOKUP(VENTAS[[#This Row],[Código del producto Vendido]],STOCK[],16,FALSE)*VENTAS[[#This Row],[Cantidad]]+VLOOKUP(VENTAS[[#This Row],[Código del producto Vendido]],STOCK[],19,FALSE)*VENTAS[[#This Row],[Cantidad]],VENTAS[[#This Row],[Total]])</f>
        <v>21.470454545454501</v>
      </c>
      <c r="L1347" s="12">
        <f>VENTAS[[#This Row],[Total]]-VENTAS[[#This Row],[Comisión 10%]]-VENTAS[[#This Row],[Costo SIN Comision]]</f>
        <v>1.0295454545454987</v>
      </c>
      <c r="M1347" s="12"/>
      <c r="N1347" s="16"/>
    </row>
    <row r="1348" spans="1:14" ht="20" hidden="1" customHeight="1">
      <c r="A1348" s="9">
        <v>45512</v>
      </c>
      <c r="B1348" s="10"/>
      <c r="C1348" s="10" t="s">
        <v>4508</v>
      </c>
      <c r="D1348" s="10" t="s">
        <v>4349</v>
      </c>
      <c r="E1348" s="10" t="s">
        <v>2606</v>
      </c>
      <c r="F1348" s="10" t="str">
        <f>IFERROR(VLOOKUP(VENTAS[[#This Row],[Código del producto Vendido]],STOCK[],5,FALSE),"-")</f>
        <v>Vestido crema ajustado de hombro torcido</v>
      </c>
      <c r="G1348" s="10">
        <v>1</v>
      </c>
      <c r="H1348" s="12">
        <v>25</v>
      </c>
      <c r="I1348" s="12">
        <f>VENTAS[[#This Row],[Cantidad]]*VENTAS[[#This Row],[Precio Venta]]</f>
        <v>25</v>
      </c>
      <c r="J1348" s="12">
        <f>IF(VENTAS[[#This Row],[Nombre del Gestor]]&gt;1,VENTAS[[#This Row],[Total]]*10%,0)</f>
        <v>2.5</v>
      </c>
      <c r="K1348" s="12">
        <f>IFERROR(VLOOKUP(VENTAS[[#This Row],[Código del producto Vendido]],STOCK[],16,FALSE)*VENTAS[[#This Row],[Cantidad]]+VLOOKUP(VENTAS[[#This Row],[Código del producto Vendido]],STOCK[],19,FALSE)*VENTAS[[#This Row],[Cantidad]],VENTAS[[#This Row],[Total]])</f>
        <v>13.440000000000001</v>
      </c>
      <c r="L1348" s="12">
        <f>VENTAS[[#This Row],[Total]]-VENTAS[[#This Row],[Comisión 10%]]-VENTAS[[#This Row],[Costo SIN Comision]]</f>
        <v>9.0599999999999987</v>
      </c>
      <c r="M1348" s="12"/>
      <c r="N1348" s="16"/>
    </row>
    <row r="1349" spans="1:14" ht="20" hidden="1" customHeight="1">
      <c r="A1349" s="9">
        <v>45508</v>
      </c>
      <c r="B1349" s="10"/>
      <c r="C1349" s="10" t="s">
        <v>4419</v>
      </c>
      <c r="D1349" s="10" t="s">
        <v>4349</v>
      </c>
      <c r="E1349" s="10" t="s">
        <v>2578</v>
      </c>
      <c r="F1349" s="10" t="str">
        <f>IFERROR(VLOOKUP(VENTAS[[#This Row],[Código del producto Vendido]],STOCK[],5,FALSE),"-")</f>
        <v>Vestido Largo con cinturón fruncido</v>
      </c>
      <c r="G1349" s="10">
        <v>1</v>
      </c>
      <c r="H1349" s="12">
        <v>30</v>
      </c>
      <c r="I1349" s="12">
        <f>VENTAS[[#This Row],[Cantidad]]*VENTAS[[#This Row],[Precio Venta]]</f>
        <v>30</v>
      </c>
      <c r="J1349" s="12">
        <f>IF(VENTAS[[#This Row],[Nombre del Gestor]]&gt;1,VENTAS[[#This Row],[Total]]*10%,0)</f>
        <v>3</v>
      </c>
      <c r="K1349" s="12">
        <f>IFERROR(VLOOKUP(VENTAS[[#This Row],[Código del producto Vendido]],STOCK[],16,FALSE)*VENTAS[[#This Row],[Cantidad]]+VLOOKUP(VENTAS[[#This Row],[Código del producto Vendido]],STOCK[],19,FALSE)*VENTAS[[#This Row],[Cantidad]],VENTAS[[#This Row],[Total]])</f>
        <v>13.66</v>
      </c>
      <c r="L1349" s="12">
        <f>VENTAS[[#This Row],[Total]]-VENTAS[[#This Row],[Comisión 10%]]-VENTAS[[#This Row],[Costo SIN Comision]]</f>
        <v>13.34</v>
      </c>
      <c r="M1349" s="12"/>
      <c r="N1349" s="16"/>
    </row>
    <row r="1350" spans="1:14" ht="20" hidden="1" customHeight="1">
      <c r="A1350" s="9">
        <v>45509</v>
      </c>
      <c r="B1350" s="10"/>
      <c r="C1350" s="10"/>
      <c r="D1350" s="10"/>
      <c r="E1350" s="10" t="s">
        <v>1562</v>
      </c>
      <c r="F1350" s="10" t="str">
        <f>IFERROR(VLOOKUP(VENTAS[[#This Row],[Código del producto Vendido]],STOCK[],5,FALSE),"-")</f>
        <v>Vestido negro ajustado estilo corset</v>
      </c>
      <c r="G1350" s="10">
        <v>1</v>
      </c>
      <c r="H1350" s="12">
        <v>20</v>
      </c>
      <c r="I1350" s="12">
        <f>VENTAS[[#This Row],[Cantidad]]*VENTAS[[#This Row],[Precio Venta]]</f>
        <v>20</v>
      </c>
      <c r="J1350" s="12">
        <f>IF(VENTAS[[#This Row],[Nombre del Gestor]]&gt;1,VENTAS[[#This Row],[Total]]*10%,0)</f>
        <v>0</v>
      </c>
      <c r="K1350" s="12">
        <f>IFERROR(VLOOKUP(VENTAS[[#This Row],[Código del producto Vendido]],STOCK[],16,FALSE)*VENTAS[[#This Row],[Cantidad]]+VLOOKUP(VENTAS[[#This Row],[Código del producto Vendido]],STOCK[],19,FALSE)*VENTAS[[#This Row],[Cantidad]],VENTAS[[#This Row],[Total]])</f>
        <v>24</v>
      </c>
      <c r="L1350" s="12">
        <f>VENTAS[[#This Row],[Total]]-VENTAS[[#This Row],[Comisión 10%]]-VENTAS[[#This Row],[Costo SIN Comision]]</f>
        <v>-4</v>
      </c>
      <c r="M1350" s="12"/>
      <c r="N1350" s="16"/>
    </row>
    <row r="1351" spans="1:14" ht="20" hidden="1" customHeight="1">
      <c r="A1351" s="9">
        <v>45510</v>
      </c>
      <c r="B1351" s="10"/>
      <c r="C1351" s="10" t="s">
        <v>4327</v>
      </c>
      <c r="D1351" s="10"/>
      <c r="E1351" s="10" t="s">
        <v>1842</v>
      </c>
      <c r="F1351" s="10" t="str">
        <f>IFERROR(VLOOKUP(VENTAS[[#This Row],[Código del producto Vendido]],STOCK[],5,FALSE),"-")</f>
        <v xml:space="preserve">Maxi Vestido Bodycon </v>
      </c>
      <c r="G1351" s="10">
        <v>1</v>
      </c>
      <c r="H1351" s="12">
        <v>20</v>
      </c>
      <c r="I1351" s="12">
        <f>VENTAS[[#This Row],[Cantidad]]*VENTAS[[#This Row],[Precio Venta]]</f>
        <v>20</v>
      </c>
      <c r="J1351" s="12">
        <f>IF(VENTAS[[#This Row],[Nombre del Gestor]]&gt;1,VENTAS[[#This Row],[Total]]*10%,0)</f>
        <v>0</v>
      </c>
      <c r="K1351" s="12">
        <f>IFERROR(VLOOKUP(VENTAS[[#This Row],[Código del producto Vendido]],STOCK[],16,FALSE)*VENTAS[[#This Row],[Cantidad]]+VLOOKUP(VENTAS[[#This Row],[Código del producto Vendido]],STOCK[],19,FALSE)*VENTAS[[#This Row],[Cantidad]],VENTAS[[#This Row],[Total]])</f>
        <v>11.790000000000001</v>
      </c>
      <c r="L1351" s="12">
        <f>VENTAS[[#This Row],[Total]]-VENTAS[[#This Row],[Comisión 10%]]-VENTAS[[#This Row],[Costo SIN Comision]]</f>
        <v>8.2099999999999991</v>
      </c>
      <c r="M1351" s="12"/>
      <c r="N1351" s="16"/>
    </row>
    <row r="1352" spans="1:14" ht="20" hidden="1" customHeight="1">
      <c r="A1352" s="9">
        <v>45511</v>
      </c>
      <c r="B1352" s="10"/>
      <c r="C1352" s="10" t="s">
        <v>4318</v>
      </c>
      <c r="D1352" s="10"/>
      <c r="E1352" s="10" t="s">
        <v>1839</v>
      </c>
      <c r="F1352" s="10" t="str">
        <f>IFERROR(VLOOKUP(VENTAS[[#This Row],[Código del producto Vendido]],STOCK[],5,FALSE),"-")</f>
        <v xml:space="preserve">Maxi Vestido Bodycon </v>
      </c>
      <c r="G1352" s="10">
        <v>1</v>
      </c>
      <c r="H1352" s="12">
        <v>0</v>
      </c>
      <c r="I1352" s="12">
        <f>VENTAS[[#This Row],[Cantidad]]*VENTAS[[#This Row],[Precio Venta]]</f>
        <v>0</v>
      </c>
      <c r="J1352" s="12">
        <f>IF(VENTAS[[#This Row],[Nombre del Gestor]]&gt;1,VENTAS[[#This Row],[Total]]*10%,0)</f>
        <v>0</v>
      </c>
      <c r="K1352" s="12">
        <f>IFERROR(VLOOKUP(VENTAS[[#This Row],[Código del producto Vendido]],STOCK[],16,FALSE)*VENTAS[[#This Row],[Cantidad]]+VLOOKUP(VENTAS[[#This Row],[Código del producto Vendido]],STOCK[],19,FALSE)*VENTAS[[#This Row],[Cantidad]],VENTAS[[#This Row],[Total]])</f>
        <v>11.790000000000001</v>
      </c>
      <c r="L1352" s="12">
        <f>VENTAS[[#This Row],[Total]]-VENTAS[[#This Row],[Comisión 10%]]-VENTAS[[#This Row],[Costo SIN Comision]]</f>
        <v>-11.790000000000001</v>
      </c>
      <c r="M1352" s="12"/>
      <c r="N1352" s="16"/>
    </row>
    <row r="1353" spans="1:14" ht="20" hidden="1" customHeight="1">
      <c r="A1353" s="9">
        <v>45512</v>
      </c>
      <c r="B1353" s="10"/>
      <c r="C1353" s="10" t="s">
        <v>4318</v>
      </c>
      <c r="D1353" s="10"/>
      <c r="E1353" s="10" t="s">
        <v>1426</v>
      </c>
      <c r="F1353" s="10" t="str">
        <f>IFERROR(VLOOKUP(VENTAS[[#This Row],[Código del producto Vendido]],STOCK[],5,FALSE),"-")</f>
        <v>Vestido espalda escotada</v>
      </c>
      <c r="G1353" s="10">
        <v>1</v>
      </c>
      <c r="H1353" s="12">
        <v>28</v>
      </c>
      <c r="I1353" s="12">
        <f>VENTAS[[#This Row],[Cantidad]]*VENTAS[[#This Row],[Precio Venta]]</f>
        <v>28</v>
      </c>
      <c r="J1353" s="12">
        <f>IF(VENTAS[[#This Row],[Nombre del Gestor]]&gt;1,VENTAS[[#This Row],[Total]]*10%,0)</f>
        <v>0</v>
      </c>
      <c r="K1353" s="12">
        <f>IFERROR(VLOOKUP(VENTAS[[#This Row],[Código del producto Vendido]],STOCK[],16,FALSE)*VENTAS[[#This Row],[Cantidad]]+VLOOKUP(VENTAS[[#This Row],[Código del producto Vendido]],STOCK[],19,FALSE)*VENTAS[[#This Row],[Cantidad]],VENTAS[[#This Row],[Total]])</f>
        <v>17</v>
      </c>
      <c r="L1353" s="12">
        <f>VENTAS[[#This Row],[Total]]-VENTAS[[#This Row],[Comisión 10%]]-VENTAS[[#This Row],[Costo SIN Comision]]</f>
        <v>11</v>
      </c>
      <c r="M1353" s="12"/>
      <c r="N1353" s="16"/>
    </row>
    <row r="1354" spans="1:14" ht="20" hidden="1" customHeight="1">
      <c r="A1354" s="9">
        <v>45513</v>
      </c>
      <c r="B1354" s="10"/>
      <c r="C1354" s="10" t="s">
        <v>4318</v>
      </c>
      <c r="D1354" s="10"/>
      <c r="E1354" s="10" t="s">
        <v>1411</v>
      </c>
      <c r="F1354" s="10" t="str">
        <f>IFERROR(VLOOKUP(VENTAS[[#This Row],[Código del producto Vendido]],STOCK[],5,FALSE),"-")</f>
        <v>Pantaloneta con abertura</v>
      </c>
      <c r="G1354" s="10">
        <v>1</v>
      </c>
      <c r="H1354" s="12">
        <v>23</v>
      </c>
      <c r="I1354" s="12">
        <f>VENTAS[[#This Row],[Cantidad]]*VENTAS[[#This Row],[Precio Venta]]</f>
        <v>23</v>
      </c>
      <c r="J1354" s="12">
        <f>IF(VENTAS[[#This Row],[Nombre del Gestor]]&gt;1,VENTAS[[#This Row],[Total]]*10%,0)</f>
        <v>0</v>
      </c>
      <c r="K1354" s="12">
        <f>IFERROR(VLOOKUP(VENTAS[[#This Row],[Código del producto Vendido]],STOCK[],16,FALSE)*VENTAS[[#This Row],[Cantidad]]+VLOOKUP(VENTAS[[#This Row],[Código del producto Vendido]],STOCK[],19,FALSE)*VENTAS[[#This Row],[Cantidad]],VENTAS[[#This Row],[Total]])</f>
        <v>14.22</v>
      </c>
      <c r="L1354" s="12">
        <f>VENTAS[[#This Row],[Total]]-VENTAS[[#This Row],[Comisión 10%]]-VENTAS[[#This Row],[Costo SIN Comision]]</f>
        <v>8.7799999999999994</v>
      </c>
      <c r="M1354" s="12"/>
      <c r="N1354" s="16"/>
    </row>
    <row r="1355" spans="1:14" ht="20" hidden="1" customHeight="1">
      <c r="A1355" s="9">
        <v>45514</v>
      </c>
      <c r="B1355" s="10"/>
      <c r="C1355" s="10" t="s">
        <v>4318</v>
      </c>
      <c r="D1355" s="10"/>
      <c r="E1355" s="10" t="s">
        <v>1370</v>
      </c>
      <c r="F1355" s="10" t="str">
        <f>IFERROR(VLOOKUP(VENTAS[[#This Row],[Código del producto Vendido]],STOCK[],5,FALSE),"-")</f>
        <v>Falda plisada de cuadros</v>
      </c>
      <c r="G1355" s="10">
        <v>1</v>
      </c>
      <c r="H1355" s="12">
        <v>20</v>
      </c>
      <c r="I1355" s="12">
        <f>VENTAS[[#This Row],[Cantidad]]*VENTAS[[#This Row],[Precio Venta]]</f>
        <v>20</v>
      </c>
      <c r="J1355" s="12">
        <f>IF(VENTAS[[#This Row],[Nombre del Gestor]]&gt;1,VENTAS[[#This Row],[Total]]*10%,0)</f>
        <v>0</v>
      </c>
      <c r="K1355" s="12">
        <f>IFERROR(VLOOKUP(VENTAS[[#This Row],[Código del producto Vendido]],STOCK[],16,FALSE)*VENTAS[[#This Row],[Cantidad]]+VLOOKUP(VENTAS[[#This Row],[Código del producto Vendido]],STOCK[],19,FALSE)*VENTAS[[#This Row],[Cantidad]],VENTAS[[#This Row],[Total]])</f>
        <v>12.74</v>
      </c>
      <c r="L1355" s="12">
        <f>VENTAS[[#This Row],[Total]]-VENTAS[[#This Row],[Comisión 10%]]-VENTAS[[#This Row],[Costo SIN Comision]]</f>
        <v>7.26</v>
      </c>
      <c r="M1355" s="12"/>
      <c r="N1355" s="16"/>
    </row>
    <row r="1356" spans="1:14" ht="20" hidden="1" customHeight="1">
      <c r="A1356" s="9">
        <v>45515</v>
      </c>
      <c r="B1356" s="10"/>
      <c r="C1356" s="10" t="s">
        <v>4318</v>
      </c>
      <c r="D1356" s="10"/>
      <c r="E1356" s="10" t="s">
        <v>1293</v>
      </c>
      <c r="F1356" s="10" t="str">
        <f>IFERROR(VLOOKUP(VENTAS[[#This Row],[Código del producto Vendido]],STOCK[],5,FALSE),"-")</f>
        <v xml:space="preserve">Jean skinny oscuro </v>
      </c>
      <c r="G1356" s="10">
        <v>1</v>
      </c>
      <c r="H1356" s="12">
        <v>32</v>
      </c>
      <c r="I1356" s="12">
        <f>VENTAS[[#This Row],[Cantidad]]*VENTAS[[#This Row],[Precio Venta]]</f>
        <v>32</v>
      </c>
      <c r="J1356" s="12">
        <f>IF(VENTAS[[#This Row],[Nombre del Gestor]]&gt;1,VENTAS[[#This Row],[Total]]*10%,0)</f>
        <v>0</v>
      </c>
      <c r="K1356" s="12">
        <f>IFERROR(VLOOKUP(VENTAS[[#This Row],[Código del producto Vendido]],STOCK[],16,FALSE)*VENTAS[[#This Row],[Cantidad]]+VLOOKUP(VENTAS[[#This Row],[Código del producto Vendido]],STOCK[],19,FALSE)*VENTAS[[#This Row],[Cantidad]],VENTAS[[#This Row],[Total]])</f>
        <v>20.79</v>
      </c>
      <c r="L1356" s="12">
        <f>VENTAS[[#This Row],[Total]]-VENTAS[[#This Row],[Comisión 10%]]-VENTAS[[#This Row],[Costo SIN Comision]]</f>
        <v>11.21</v>
      </c>
      <c r="M1356" s="12"/>
      <c r="N1356" s="16"/>
    </row>
    <row r="1357" spans="1:14" ht="20" hidden="1" customHeight="1">
      <c r="A1357" s="9">
        <v>45516</v>
      </c>
      <c r="B1357" s="10"/>
      <c r="C1357" s="10" t="s">
        <v>4318</v>
      </c>
      <c r="D1357" s="10"/>
      <c r="E1357" s="10" t="s">
        <v>1303</v>
      </c>
      <c r="F1357" s="10" t="str">
        <f>IFERROR(VLOOKUP(VENTAS[[#This Row],[Código del producto Vendido]],STOCK[],5,FALSE),"-")</f>
        <v>Jean ajustado Claro</v>
      </c>
      <c r="G1357" s="10">
        <v>1</v>
      </c>
      <c r="H1357" s="12">
        <v>32</v>
      </c>
      <c r="I1357" s="12">
        <f>VENTAS[[#This Row],[Cantidad]]*VENTAS[[#This Row],[Precio Venta]]</f>
        <v>32</v>
      </c>
      <c r="J1357" s="12">
        <f>IF(VENTAS[[#This Row],[Nombre del Gestor]]&gt;1,VENTAS[[#This Row],[Total]]*10%,0)</f>
        <v>0</v>
      </c>
      <c r="K1357" s="12">
        <f>IFERROR(VLOOKUP(VENTAS[[#This Row],[Código del producto Vendido]],STOCK[],16,FALSE)*VENTAS[[#This Row],[Cantidad]]+VLOOKUP(VENTAS[[#This Row],[Código del producto Vendido]],STOCK[],19,FALSE)*VENTAS[[#This Row],[Cantidad]],VENTAS[[#This Row],[Total]])</f>
        <v>23.79</v>
      </c>
      <c r="L1357" s="12">
        <f>VENTAS[[#This Row],[Total]]-VENTAS[[#This Row],[Comisión 10%]]-VENTAS[[#This Row],[Costo SIN Comision]]</f>
        <v>8.2100000000000009</v>
      </c>
      <c r="M1357" s="12"/>
      <c r="N1357" s="16"/>
    </row>
    <row r="1358" spans="1:14" ht="20" hidden="1" customHeight="1">
      <c r="A1358" s="9">
        <v>45517</v>
      </c>
      <c r="B1358" s="10"/>
      <c r="C1358" s="10" t="s">
        <v>4318</v>
      </c>
      <c r="D1358" s="10"/>
      <c r="E1358" s="10" t="s">
        <v>1335</v>
      </c>
      <c r="F1358" s="10" t="str">
        <f>IFERROR(VLOOKUP(VENTAS[[#This Row],[Código del producto Vendido]],STOCK[],5,FALSE),"-")</f>
        <v>Blusa de manga acampanada</v>
      </c>
      <c r="G1358" s="10">
        <v>1</v>
      </c>
      <c r="H1358" s="12">
        <v>22</v>
      </c>
      <c r="I1358" s="12">
        <f>VENTAS[[#This Row],[Cantidad]]*VENTAS[[#This Row],[Precio Venta]]</f>
        <v>22</v>
      </c>
      <c r="J1358" s="12">
        <f>IF(VENTAS[[#This Row],[Nombre del Gestor]]&gt;1,VENTAS[[#This Row],[Total]]*10%,0)</f>
        <v>0</v>
      </c>
      <c r="K1358" s="12">
        <f>IFERROR(VLOOKUP(VENTAS[[#This Row],[Código del producto Vendido]],STOCK[],16,FALSE)*VENTAS[[#This Row],[Cantidad]]+VLOOKUP(VENTAS[[#This Row],[Código del producto Vendido]],STOCK[],19,FALSE)*VENTAS[[#This Row],[Cantidad]],VENTAS[[#This Row],[Total]])</f>
        <v>14.239999999999998</v>
      </c>
      <c r="L1358" s="12">
        <f>VENTAS[[#This Row],[Total]]-VENTAS[[#This Row],[Comisión 10%]]-VENTAS[[#This Row],[Costo SIN Comision]]</f>
        <v>7.7600000000000016</v>
      </c>
      <c r="M1358" s="12"/>
      <c r="N1358" s="16"/>
    </row>
    <row r="1359" spans="1:14" ht="20" hidden="1" customHeight="1">
      <c r="A1359" s="9">
        <v>45518</v>
      </c>
      <c r="B1359" s="10"/>
      <c r="C1359" s="10" t="s">
        <v>4318</v>
      </c>
      <c r="D1359" s="10"/>
      <c r="E1359" s="10" t="s">
        <v>2407</v>
      </c>
      <c r="F1359" s="10" t="str">
        <f>IFERROR(VLOOKUP(VENTAS[[#This Row],[Código del producto Vendido]],STOCK[],5,FALSE),"-")</f>
        <v>Pantalón de vestir de viscosa y lino (beige claro)</v>
      </c>
      <c r="G1359" s="10">
        <v>1</v>
      </c>
      <c r="H1359" s="12">
        <v>35</v>
      </c>
      <c r="I1359" s="12">
        <f>VENTAS[[#This Row],[Cantidad]]*VENTAS[[#This Row],[Precio Venta]]</f>
        <v>35</v>
      </c>
      <c r="J1359" s="12">
        <f>IF(VENTAS[[#This Row],[Nombre del Gestor]]&gt;1,VENTAS[[#This Row],[Total]]*10%,0)</f>
        <v>0</v>
      </c>
      <c r="K1359" s="12">
        <f>IFERROR(VLOOKUP(VENTAS[[#This Row],[Código del producto Vendido]],STOCK[],16,FALSE)*VENTAS[[#This Row],[Cantidad]]+VLOOKUP(VENTAS[[#This Row],[Código del producto Vendido]],STOCK[],19,FALSE)*VENTAS[[#This Row],[Cantidad]],VENTAS[[#This Row],[Total]])</f>
        <v>17.252021151586401</v>
      </c>
      <c r="L1359" s="12">
        <f>VENTAS[[#This Row],[Total]]-VENTAS[[#This Row],[Comisión 10%]]-VENTAS[[#This Row],[Costo SIN Comision]]</f>
        <v>17.747978848413599</v>
      </c>
      <c r="M1359" s="12"/>
      <c r="N1359" s="16"/>
    </row>
    <row r="1360" spans="1:14" ht="20" hidden="1" customHeight="1">
      <c r="A1360" s="9">
        <v>45519</v>
      </c>
      <c r="B1360" s="10"/>
      <c r="C1360" s="10" t="s">
        <v>4318</v>
      </c>
      <c r="D1360" s="10"/>
      <c r="E1360" s="10" t="s">
        <v>2412</v>
      </c>
      <c r="F1360" s="10" t="str">
        <f>IFERROR(VLOOKUP(VENTAS[[#This Row],[Código del producto Vendido]],STOCK[],5,FALSE),"-")</f>
        <v>Pantalón de vestir de viscosa y lino (beige claro)</v>
      </c>
      <c r="G1360" s="10">
        <v>1</v>
      </c>
      <c r="H1360" s="12">
        <v>35</v>
      </c>
      <c r="I1360" s="12">
        <f>VENTAS[[#This Row],[Cantidad]]*VENTAS[[#This Row],[Precio Venta]]</f>
        <v>35</v>
      </c>
      <c r="J1360" s="12">
        <f>IF(VENTAS[[#This Row],[Nombre del Gestor]]&gt;1,VENTAS[[#This Row],[Total]]*10%,0)</f>
        <v>0</v>
      </c>
      <c r="K1360" s="12">
        <f>IFERROR(VLOOKUP(VENTAS[[#This Row],[Código del producto Vendido]],STOCK[],16,FALSE)*VENTAS[[#This Row],[Cantidad]]+VLOOKUP(VENTAS[[#This Row],[Código del producto Vendido]],STOCK[],19,FALSE)*VENTAS[[#This Row],[Cantidad]],VENTAS[[#This Row],[Total]])</f>
        <v>17.252021151586401</v>
      </c>
      <c r="L1360" s="12">
        <f>VENTAS[[#This Row],[Total]]-VENTAS[[#This Row],[Comisión 10%]]-VENTAS[[#This Row],[Costo SIN Comision]]</f>
        <v>17.747978848413599</v>
      </c>
      <c r="M1360" s="12"/>
      <c r="N1360" s="16"/>
    </row>
    <row r="1361" spans="1:14" ht="20" hidden="1" customHeight="1">
      <c r="A1361" s="9">
        <v>45520</v>
      </c>
      <c r="B1361" s="10"/>
      <c r="C1361" s="10" t="s">
        <v>4441</v>
      </c>
      <c r="D1361" s="10"/>
      <c r="E1361" s="10" t="s">
        <v>265</v>
      </c>
      <c r="F1361" s="10" t="str">
        <f>IFERROR(VLOOKUP(VENTAS[[#This Row],[Código del producto Vendido]],STOCK[],5,FALSE),"-")</f>
        <v>Vestido de  lunares de cintura con cordó</v>
      </c>
      <c r="G1361" s="10">
        <v>1</v>
      </c>
      <c r="H1361" s="12">
        <v>0</v>
      </c>
      <c r="I1361" s="12">
        <f>VENTAS[[#This Row],[Cantidad]]*VENTAS[[#This Row],[Precio Venta]]</f>
        <v>0</v>
      </c>
      <c r="J1361" s="12">
        <f>IF(VENTAS[[#This Row],[Nombre del Gestor]]&gt;1,VENTAS[[#This Row],[Total]]*10%,0)</f>
        <v>0</v>
      </c>
      <c r="K1361" s="12">
        <f>IFERROR(VLOOKUP(VENTAS[[#This Row],[Código del producto Vendido]],STOCK[],16,FALSE)*VENTAS[[#This Row],[Cantidad]]+VLOOKUP(VENTAS[[#This Row],[Código del producto Vendido]],STOCK[],19,FALSE)*VENTAS[[#This Row],[Cantidad]],VENTAS[[#This Row],[Total]])</f>
        <v>17.915555555555599</v>
      </c>
      <c r="L1361" s="12">
        <f>VENTAS[[#This Row],[Total]]-VENTAS[[#This Row],[Comisión 10%]]-VENTAS[[#This Row],[Costo SIN Comision]]</f>
        <v>-17.915555555555599</v>
      </c>
      <c r="M1361" s="12"/>
      <c r="N1361" s="16"/>
    </row>
    <row r="1362" spans="1:14" ht="20" hidden="1" customHeight="1">
      <c r="A1362" s="9">
        <v>45531</v>
      </c>
      <c r="B1362" s="10"/>
      <c r="C1362" s="10"/>
      <c r="D1362" s="10" t="s">
        <v>4349</v>
      </c>
      <c r="E1362" s="10" t="s">
        <v>1099</v>
      </c>
      <c r="F1362" s="10" t="str">
        <f>IFERROR(VLOOKUP(VENTAS[[#This Row],[Código del producto Vendido]],STOCK[],5,FALSE),"-")</f>
        <v>Sandalias crema</v>
      </c>
      <c r="G1362" s="10">
        <v>1</v>
      </c>
      <c r="H1362" s="12">
        <v>35</v>
      </c>
      <c r="I1362" s="12">
        <f>VENTAS[[#This Row],[Cantidad]]*VENTAS[[#This Row],[Precio Venta]]</f>
        <v>35</v>
      </c>
      <c r="J1362" s="12">
        <f>IF(VENTAS[[#This Row],[Nombre del Gestor]]&gt;1,VENTAS[[#This Row],[Total]]*10%,0)</f>
        <v>3.5</v>
      </c>
      <c r="K1362" s="12">
        <f>IFERROR(VLOOKUP(VENTAS[[#This Row],[Código del producto Vendido]],STOCK[],16,FALSE)*VENTAS[[#This Row],[Cantidad]]+VLOOKUP(VENTAS[[#This Row],[Código del producto Vendido]],STOCK[],19,FALSE)*VENTAS[[#This Row],[Cantidad]],VENTAS[[#This Row],[Total]])</f>
        <v>26.852941176470601</v>
      </c>
      <c r="L1362" s="12">
        <f>VENTAS[[#This Row],[Total]]-VENTAS[[#This Row],[Comisión 10%]]-VENTAS[[#This Row],[Costo SIN Comision]]</f>
        <v>4.6470588235293988</v>
      </c>
      <c r="M1362" s="12"/>
      <c r="N1362" s="16"/>
    </row>
    <row r="1363" spans="1:14" ht="20" hidden="1" customHeight="1">
      <c r="A1363" s="9"/>
      <c r="B1363" s="10"/>
      <c r="C1363" s="10" t="s">
        <v>4318</v>
      </c>
      <c r="D1363" s="10"/>
      <c r="E1363" s="10" t="s">
        <v>2422</v>
      </c>
      <c r="F1363" s="10" t="str">
        <f>IFERROR(VLOOKUP(VENTAS[[#This Row],[Código del producto Vendido]],STOCK[],5,FALSE),"-")</f>
        <v>Camisa blanca en mezcla de algodón</v>
      </c>
      <c r="G1363" s="10">
        <v>1</v>
      </c>
      <c r="H1363" s="12">
        <v>0</v>
      </c>
      <c r="I1363" s="12">
        <f>VENTAS[[#This Row],[Cantidad]]*VENTAS[[#This Row],[Precio Venta]]</f>
        <v>0</v>
      </c>
      <c r="J1363" s="12">
        <f>IF(VENTAS[[#This Row],[Nombre del Gestor]]&gt;1,VENTAS[[#This Row],[Total]]*10%,0)</f>
        <v>0</v>
      </c>
      <c r="K1363" s="12">
        <f>IFERROR(VLOOKUP(VENTAS[[#This Row],[Código del producto Vendido]],STOCK[],16,FALSE)*VENTAS[[#This Row],[Cantidad]]+VLOOKUP(VENTAS[[#This Row],[Código del producto Vendido]],STOCK[],19,FALSE)*VENTAS[[#This Row],[Cantidad]],VENTAS[[#This Row],[Total]])</f>
        <v>17.780810810810799</v>
      </c>
      <c r="L1363" s="12">
        <f>VENTAS[[#This Row],[Total]]-VENTAS[[#This Row],[Comisión 10%]]-VENTAS[[#This Row],[Costo SIN Comision]]</f>
        <v>-17.780810810810799</v>
      </c>
      <c r="M1363" s="12"/>
      <c r="N1363" s="16"/>
    </row>
    <row r="1364" spans="1:14" ht="20" hidden="1" customHeight="1">
      <c r="A1364" s="9">
        <v>45517</v>
      </c>
      <c r="B1364" s="10"/>
      <c r="C1364" s="10" t="s">
        <v>4505</v>
      </c>
      <c r="D1364" s="10"/>
      <c r="E1364" s="10" t="s">
        <v>2649</v>
      </c>
      <c r="F1364" s="10" t="str">
        <f>IFERROR(VLOOKUP(VENTAS[[#This Row],[Código del producto Vendido]],STOCK[],5,FALSE),"-")</f>
        <v>Camisa Oversize blanca en mezcla de lino H&amp;M (encargo mónica)</v>
      </c>
      <c r="G1364" s="10">
        <v>1</v>
      </c>
      <c r="H1364" s="12">
        <v>35</v>
      </c>
      <c r="I1364" s="12">
        <f>VENTAS[[#This Row],[Cantidad]]*VENTAS[[#This Row],[Precio Venta]]</f>
        <v>35</v>
      </c>
      <c r="J1364" s="12">
        <f>IF(VENTAS[[#This Row],[Nombre del Gestor]]&gt;1,VENTAS[[#This Row],[Total]]*10%,0)</f>
        <v>0</v>
      </c>
      <c r="K1364" s="12">
        <f>IFERROR(VLOOKUP(VENTAS[[#This Row],[Código del producto Vendido]],STOCK[],16,FALSE)*VENTAS[[#This Row],[Cantidad]]+VLOOKUP(VENTAS[[#This Row],[Código del producto Vendido]],STOCK[],19,FALSE)*VENTAS[[#This Row],[Cantidad]],VENTAS[[#This Row],[Total]])</f>
        <v>28.22</v>
      </c>
      <c r="L1364" s="12">
        <f>VENTAS[[#This Row],[Total]]-VENTAS[[#This Row],[Comisión 10%]]-VENTAS[[#This Row],[Costo SIN Comision]]</f>
        <v>6.7800000000000011</v>
      </c>
      <c r="M1364" s="12"/>
      <c r="N1364" s="16"/>
    </row>
    <row r="1365" spans="1:14" ht="20" hidden="1" customHeight="1">
      <c r="A1365" s="9">
        <v>45517</v>
      </c>
      <c r="B1365" s="10"/>
      <c r="C1365" s="10" t="s">
        <v>4509</v>
      </c>
      <c r="D1365" s="10"/>
      <c r="E1365" s="10" t="s">
        <v>2681</v>
      </c>
      <c r="F1365" s="10" t="str">
        <f>IFERROR(VLOOKUP(VENTAS[[#This Row],[Código del producto Vendido]],STOCK[],5,FALSE),"-")</f>
        <v>Camisa verde oversize (encargo)</v>
      </c>
      <c r="G1365" s="10">
        <v>1</v>
      </c>
      <c r="H1365" s="12">
        <v>20</v>
      </c>
      <c r="I1365" s="12">
        <f>VENTAS[[#This Row],[Cantidad]]*VENTAS[[#This Row],[Precio Venta]]</f>
        <v>20</v>
      </c>
      <c r="J1365" s="12">
        <f>IF(VENTAS[[#This Row],[Nombre del Gestor]]&gt;1,VENTAS[[#This Row],[Total]]*10%,0)</f>
        <v>0</v>
      </c>
      <c r="K1365" s="12">
        <f>IFERROR(VLOOKUP(VENTAS[[#This Row],[Código del producto Vendido]],STOCK[],16,FALSE)*VENTAS[[#This Row],[Cantidad]]+VLOOKUP(VENTAS[[#This Row],[Código del producto Vendido]],STOCK[],19,FALSE)*VENTAS[[#This Row],[Cantidad]],VENTAS[[#This Row],[Total]])</f>
        <v>13.15</v>
      </c>
      <c r="L1365" s="12">
        <f>VENTAS[[#This Row],[Total]]-VENTAS[[#This Row],[Comisión 10%]]-VENTAS[[#This Row],[Costo SIN Comision]]</f>
        <v>6.85</v>
      </c>
      <c r="M1365" s="12"/>
      <c r="N1365" s="16"/>
    </row>
    <row r="1366" spans="1:14" ht="20" hidden="1" customHeight="1">
      <c r="A1366" s="9">
        <v>45517</v>
      </c>
      <c r="B1366" s="10"/>
      <c r="C1366" s="10" t="s">
        <v>4509</v>
      </c>
      <c r="D1366" s="10"/>
      <c r="E1366" s="10" t="s">
        <v>2683</v>
      </c>
      <c r="F1366" s="10" t="str">
        <f>IFERROR(VLOOKUP(VENTAS[[#This Row],[Código del producto Vendido]],STOCK[],5,FALSE),"-")</f>
        <v>Top corto verde de tirantes (encargo)</v>
      </c>
      <c r="G1366" s="10">
        <v>1</v>
      </c>
      <c r="H1366" s="12">
        <v>8</v>
      </c>
      <c r="I1366" s="12">
        <f>VENTAS[[#This Row],[Cantidad]]*VENTAS[[#This Row],[Precio Venta]]</f>
        <v>8</v>
      </c>
      <c r="J1366" s="12">
        <f>IF(VENTAS[[#This Row],[Nombre del Gestor]]&gt;1,VENTAS[[#This Row],[Total]]*10%,0)</f>
        <v>0</v>
      </c>
      <c r="K1366" s="12">
        <f>IFERROR(VLOOKUP(VENTAS[[#This Row],[Código del producto Vendido]],STOCK[],16,FALSE)*VENTAS[[#This Row],[Cantidad]]+VLOOKUP(VENTAS[[#This Row],[Código del producto Vendido]],STOCK[],19,FALSE)*VENTAS[[#This Row],[Cantidad]],VENTAS[[#This Row],[Total]])</f>
        <v>4.58</v>
      </c>
      <c r="L1366" s="12">
        <f>VENTAS[[#This Row],[Total]]-VENTAS[[#This Row],[Comisión 10%]]-VENTAS[[#This Row],[Costo SIN Comision]]</f>
        <v>3.42</v>
      </c>
      <c r="M1366" s="12"/>
      <c r="N1366" s="16"/>
    </row>
    <row r="1367" spans="1:14" ht="20" hidden="1" customHeight="1">
      <c r="A1367" s="9">
        <v>45517</v>
      </c>
      <c r="B1367" s="10"/>
      <c r="C1367" s="10" t="s">
        <v>4509</v>
      </c>
      <c r="D1367" s="10"/>
      <c r="E1367" s="10" t="s">
        <v>2691</v>
      </c>
      <c r="F1367" s="10" t="str">
        <f>IFERROR(VLOOKUP(VENTAS[[#This Row],[Código del producto Vendido]],STOCK[],5,FALSE),"-")</f>
        <v>Short blanco de talle alto (encargo)</v>
      </c>
      <c r="G1367" s="10">
        <v>1</v>
      </c>
      <c r="H1367" s="12">
        <v>18</v>
      </c>
      <c r="I1367" s="12">
        <f>VENTAS[[#This Row],[Cantidad]]*VENTAS[[#This Row],[Precio Venta]]</f>
        <v>18</v>
      </c>
      <c r="J1367" s="12">
        <f>IF(VENTAS[[#This Row],[Nombre del Gestor]]&gt;1,VENTAS[[#This Row],[Total]]*10%,0)</f>
        <v>0</v>
      </c>
      <c r="K1367" s="12">
        <f>IFERROR(VLOOKUP(VENTAS[[#This Row],[Código del producto Vendido]],STOCK[],16,FALSE)*VENTAS[[#This Row],[Cantidad]]+VLOOKUP(VENTAS[[#This Row],[Código del producto Vendido]],STOCK[],19,FALSE)*VENTAS[[#This Row],[Cantidad]],VENTAS[[#This Row],[Total]])</f>
        <v>10.120000000000001</v>
      </c>
      <c r="L1367" s="12">
        <f>VENTAS[[#This Row],[Total]]-VENTAS[[#This Row],[Comisión 10%]]-VENTAS[[#This Row],[Costo SIN Comision]]</f>
        <v>7.879999999999999</v>
      </c>
      <c r="M1367" s="12"/>
      <c r="N1367" s="16"/>
    </row>
    <row r="1368" spans="1:14" ht="20" hidden="1" customHeight="1">
      <c r="A1368" s="9"/>
      <c r="B1368" s="10"/>
      <c r="C1368" s="10" t="s">
        <v>4318</v>
      </c>
      <c r="D1368" s="10"/>
      <c r="E1368" s="10" t="s">
        <v>601</v>
      </c>
      <c r="F1368" s="10" t="str">
        <f>IFERROR(VLOOKUP(VENTAS[[#This Row],[Código del producto Vendido]],STOCK[],5,FALSE),"-")</f>
        <v>Top corsetero asimétrico</v>
      </c>
      <c r="G1368" s="10">
        <v>1</v>
      </c>
      <c r="H1368" s="12">
        <v>9</v>
      </c>
      <c r="I1368" s="12">
        <f>VENTAS[[#This Row],[Cantidad]]*VENTAS[[#This Row],[Precio Venta]]</f>
        <v>9</v>
      </c>
      <c r="J1368" s="12">
        <f>IF(VENTAS[[#This Row],[Nombre del Gestor]]&gt;1,VENTAS[[#This Row],[Total]]*10%,0)</f>
        <v>0</v>
      </c>
      <c r="K1368" s="12">
        <f>IFERROR(VLOOKUP(VENTAS[[#This Row],[Código del producto Vendido]],STOCK[],16,FALSE)*VENTAS[[#This Row],[Cantidad]]+VLOOKUP(VENTAS[[#This Row],[Código del producto Vendido]],STOCK[],19,FALSE)*VENTAS[[#This Row],[Cantidad]],VENTAS[[#This Row],[Total]])</f>
        <v>5.5683333333333307</v>
      </c>
      <c r="L1368" s="12">
        <f>VENTAS[[#This Row],[Total]]-VENTAS[[#This Row],[Comisión 10%]]-VENTAS[[#This Row],[Costo SIN Comision]]</f>
        <v>3.4316666666666693</v>
      </c>
      <c r="M1368" s="12"/>
      <c r="N1368" s="16"/>
    </row>
    <row r="1369" spans="1:14" ht="20" hidden="1" customHeight="1">
      <c r="A1369" s="9"/>
      <c r="B1369" s="10"/>
      <c r="C1369" s="10" t="s">
        <v>4318</v>
      </c>
      <c r="D1369" s="10"/>
      <c r="E1369" s="10" t="s">
        <v>665</v>
      </c>
      <c r="F1369" s="10" t="str">
        <f>IFERROR(VLOOKUP(VENTAS[[#This Row],[Código del producto Vendido]],STOCK[],5,FALSE),"-")</f>
        <v>Top Cruzado negro</v>
      </c>
      <c r="G1369" s="10">
        <v>1</v>
      </c>
      <c r="H1369" s="12">
        <v>9</v>
      </c>
      <c r="I1369" s="12">
        <f>VENTAS[[#This Row],[Cantidad]]*VENTAS[[#This Row],[Precio Venta]]</f>
        <v>9</v>
      </c>
      <c r="J1369" s="12">
        <f>IF(VENTAS[[#This Row],[Nombre del Gestor]]&gt;1,VENTAS[[#This Row],[Total]]*10%,0)</f>
        <v>0</v>
      </c>
      <c r="K1369" s="12">
        <f>IFERROR(VLOOKUP(VENTAS[[#This Row],[Código del producto Vendido]],STOCK[],16,FALSE)*VENTAS[[#This Row],[Cantidad]]+VLOOKUP(VENTAS[[#This Row],[Código del producto Vendido]],STOCK[],19,FALSE)*VENTAS[[#This Row],[Cantidad]],VENTAS[[#This Row],[Total]])</f>
        <v>4.9016666666666699</v>
      </c>
      <c r="L1369" s="12">
        <f>VENTAS[[#This Row],[Total]]-VENTAS[[#This Row],[Comisión 10%]]-VENTAS[[#This Row],[Costo SIN Comision]]</f>
        <v>4.0983333333333301</v>
      </c>
      <c r="M1369" s="12"/>
      <c r="N1369" s="16"/>
    </row>
    <row r="1370" spans="1:14" ht="20" hidden="1" customHeight="1">
      <c r="A1370" s="9"/>
      <c r="B1370" s="10"/>
      <c r="C1370" s="10" t="s">
        <v>4318</v>
      </c>
      <c r="D1370" s="10"/>
      <c r="E1370" s="10" t="s">
        <v>674</v>
      </c>
      <c r="F1370" s="10" t="str">
        <f>IFERROR(VLOOKUP(VENTAS[[#This Row],[Código del producto Vendido]],STOCK[],5,FALSE),"-")</f>
        <v>Top Cruzado azul</v>
      </c>
      <c r="G1370" s="10">
        <v>1</v>
      </c>
      <c r="H1370" s="12">
        <v>9</v>
      </c>
      <c r="I1370" s="12">
        <f>VENTAS[[#This Row],[Cantidad]]*VENTAS[[#This Row],[Precio Venta]]</f>
        <v>9</v>
      </c>
      <c r="J1370" s="12">
        <f>IF(VENTAS[[#This Row],[Nombre del Gestor]]&gt;1,VENTAS[[#This Row],[Total]]*10%,0)</f>
        <v>0</v>
      </c>
      <c r="K1370" s="12">
        <f>IFERROR(VLOOKUP(VENTAS[[#This Row],[Código del producto Vendido]],STOCK[],16,FALSE)*VENTAS[[#This Row],[Cantidad]]+VLOOKUP(VENTAS[[#This Row],[Código del producto Vendido]],STOCK[],19,FALSE)*VENTAS[[#This Row],[Cantidad]],VENTAS[[#This Row],[Total]])</f>
        <v>5.26833333333333</v>
      </c>
      <c r="L1370" s="12">
        <f>VENTAS[[#This Row],[Total]]-VENTAS[[#This Row],[Comisión 10%]]-VENTAS[[#This Row],[Costo SIN Comision]]</f>
        <v>3.73166666666667</v>
      </c>
      <c r="M1370" s="12"/>
      <c r="N1370" s="16"/>
    </row>
    <row r="1371" spans="1:14" ht="20" hidden="1" customHeight="1">
      <c r="A1371" s="9"/>
      <c r="B1371" s="10"/>
      <c r="C1371" s="10" t="s">
        <v>4318</v>
      </c>
      <c r="D1371" s="10"/>
      <c r="E1371" s="10" t="s">
        <v>679</v>
      </c>
      <c r="F1371" s="10" t="str">
        <f>IFERROR(VLOOKUP(VENTAS[[#This Row],[Código del producto Vendido]],STOCK[],5,FALSE),"-")</f>
        <v>Blusa corta de manga farol</v>
      </c>
      <c r="G1371" s="10">
        <v>1</v>
      </c>
      <c r="H1371" s="12">
        <v>9</v>
      </c>
      <c r="I1371" s="12">
        <f>VENTAS[[#This Row],[Cantidad]]*VENTAS[[#This Row],[Precio Venta]]</f>
        <v>9</v>
      </c>
      <c r="J1371" s="12">
        <f>IF(VENTAS[[#This Row],[Nombre del Gestor]]&gt;1,VENTAS[[#This Row],[Total]]*10%,0)</f>
        <v>0</v>
      </c>
      <c r="K1371" s="12">
        <f>IFERROR(VLOOKUP(VENTAS[[#This Row],[Código del producto Vendido]],STOCK[],16,FALSE)*VENTAS[[#This Row],[Cantidad]]+VLOOKUP(VENTAS[[#This Row],[Código del producto Vendido]],STOCK[],19,FALSE)*VENTAS[[#This Row],[Cantidad]],VENTAS[[#This Row],[Total]])</f>
        <v>7.5266666666666699</v>
      </c>
      <c r="L1371" s="12">
        <f>VENTAS[[#This Row],[Total]]-VENTAS[[#This Row],[Comisión 10%]]-VENTAS[[#This Row],[Costo SIN Comision]]</f>
        <v>1.4733333333333301</v>
      </c>
      <c r="M1371" s="12"/>
      <c r="N1371" s="16"/>
    </row>
    <row r="1372" spans="1:14" ht="20" hidden="1" customHeight="1">
      <c r="A1372" s="9"/>
      <c r="B1372" s="10"/>
      <c r="C1372" s="10" t="s">
        <v>4318</v>
      </c>
      <c r="D1372" s="10"/>
      <c r="E1372" s="10" t="s">
        <v>675</v>
      </c>
      <c r="F1372" s="10" t="str">
        <f>IFERROR(VLOOKUP(VENTAS[[#This Row],[Código del producto Vendido]],STOCK[],5,FALSE),"-")</f>
        <v>SHEIN Frenchy Vestido de leopardo &amp; piel de tigre con estampado de manga mariposa sin cinturón_S</v>
      </c>
      <c r="G1372" s="10">
        <v>1</v>
      </c>
      <c r="H1372" s="12">
        <v>0</v>
      </c>
      <c r="I1372" s="12">
        <f>VENTAS[[#This Row],[Cantidad]]*VENTAS[[#This Row],[Precio Venta]]</f>
        <v>0</v>
      </c>
      <c r="J1372" s="12">
        <f>IF(VENTAS[[#This Row],[Nombre del Gestor]]&gt;1,VENTAS[[#This Row],[Total]]*10%,0)</f>
        <v>0</v>
      </c>
      <c r="K1372" s="12">
        <f>IFERROR(VLOOKUP(VENTAS[[#This Row],[Código del producto Vendido]],STOCK[],16,FALSE)*VENTAS[[#This Row],[Cantidad]]+VLOOKUP(VENTAS[[#This Row],[Código del producto Vendido]],STOCK[],19,FALSE)*VENTAS[[#This Row],[Cantidad]],VENTAS[[#This Row],[Total]])</f>
        <v>10.72222222222222</v>
      </c>
      <c r="L1372" s="12">
        <f>VENTAS[[#This Row],[Total]]-VENTAS[[#This Row],[Comisión 10%]]-VENTAS[[#This Row],[Costo SIN Comision]]</f>
        <v>-10.72222222222222</v>
      </c>
      <c r="M1372" s="12"/>
      <c r="N1372" s="16"/>
    </row>
    <row r="1373" spans="1:14" ht="20" hidden="1" customHeight="1">
      <c r="A1373" s="9"/>
      <c r="B1373" s="10"/>
      <c r="C1373" s="10" t="s">
        <v>4510</v>
      </c>
      <c r="D1373" s="10"/>
      <c r="E1373" s="10" t="s">
        <v>745</v>
      </c>
      <c r="F1373" s="10" t="str">
        <f>IFERROR(VLOOKUP(VENTAS[[#This Row],[Código del producto Vendido]],STOCK[],5,FALSE),"-")</f>
        <v>Short denim</v>
      </c>
      <c r="G1373" s="10">
        <v>1</v>
      </c>
      <c r="H1373" s="12">
        <v>29</v>
      </c>
      <c r="I1373" s="12">
        <f>VENTAS[[#This Row],[Cantidad]]*VENTAS[[#This Row],[Precio Venta]]</f>
        <v>29</v>
      </c>
      <c r="J1373" s="12">
        <f>IF(VENTAS[[#This Row],[Nombre del Gestor]]&gt;1,VENTAS[[#This Row],[Total]]*10%,0)</f>
        <v>0</v>
      </c>
      <c r="K1373" s="12">
        <f>IFERROR(VLOOKUP(VENTAS[[#This Row],[Código del producto Vendido]],STOCK[],16,FALSE)*VENTAS[[#This Row],[Cantidad]]+VLOOKUP(VENTAS[[#This Row],[Código del producto Vendido]],STOCK[],19,FALSE)*VENTAS[[#This Row],[Cantidad]],VENTAS[[#This Row],[Total]])</f>
        <v>28.3888888888889</v>
      </c>
      <c r="L1373" s="12">
        <f>VENTAS[[#This Row],[Total]]-VENTAS[[#This Row],[Comisión 10%]]-VENTAS[[#This Row],[Costo SIN Comision]]</f>
        <v>0.61111111111110006</v>
      </c>
      <c r="M1373" s="12"/>
      <c r="N1373" s="16"/>
    </row>
    <row r="1374" spans="1:14" ht="20" hidden="1" customHeight="1">
      <c r="A1374" s="9"/>
      <c r="B1374" s="10"/>
      <c r="C1374" s="10" t="s">
        <v>4327</v>
      </c>
      <c r="D1374" s="10"/>
      <c r="E1374" s="10" t="s">
        <v>775</v>
      </c>
      <c r="F1374" s="10" t="str">
        <f>IFERROR(VLOOKUP(VENTAS[[#This Row],[Código del producto Vendido]],STOCK[],5,FALSE),"-")</f>
        <v>Top berry en tela de algodón</v>
      </c>
      <c r="G1374" s="10">
        <v>1</v>
      </c>
      <c r="H1374" s="12">
        <v>0</v>
      </c>
      <c r="I1374" s="12">
        <f>VENTAS[[#This Row],[Cantidad]]*VENTAS[[#This Row],[Precio Venta]]</f>
        <v>0</v>
      </c>
      <c r="J1374" s="12">
        <f>IF(VENTAS[[#This Row],[Nombre del Gestor]]&gt;1,VENTAS[[#This Row],[Total]]*10%,0)</f>
        <v>0</v>
      </c>
      <c r="K1374" s="12">
        <f>IFERROR(VLOOKUP(VENTAS[[#This Row],[Código del producto Vendido]],STOCK[],16,FALSE)*VENTAS[[#This Row],[Cantidad]]+VLOOKUP(VENTAS[[#This Row],[Código del producto Vendido]],STOCK[],19,FALSE)*VENTAS[[#This Row],[Cantidad]],VENTAS[[#This Row],[Total]])</f>
        <v>6.0555555555555598</v>
      </c>
      <c r="L1374" s="12">
        <f>VENTAS[[#This Row],[Total]]-VENTAS[[#This Row],[Comisión 10%]]-VENTAS[[#This Row],[Costo SIN Comision]]</f>
        <v>-6.0555555555555598</v>
      </c>
      <c r="M1374" s="12"/>
      <c r="N1374" s="16"/>
    </row>
    <row r="1375" spans="1:14" ht="20" hidden="1" customHeight="1">
      <c r="A1375" s="9"/>
      <c r="B1375" s="10"/>
      <c r="C1375" s="10" t="s">
        <v>4318</v>
      </c>
      <c r="D1375" s="10"/>
      <c r="E1375" s="10" t="s">
        <v>775</v>
      </c>
      <c r="F1375" s="10" t="str">
        <f>IFERROR(VLOOKUP(VENTAS[[#This Row],[Código del producto Vendido]],STOCK[],5,FALSE),"-")</f>
        <v>Top berry en tela de algodón</v>
      </c>
      <c r="G1375" s="10">
        <v>2</v>
      </c>
      <c r="H1375" s="12">
        <v>10</v>
      </c>
      <c r="I1375" s="12">
        <f>VENTAS[[#This Row],[Cantidad]]*VENTAS[[#This Row],[Precio Venta]]</f>
        <v>20</v>
      </c>
      <c r="J1375" s="12">
        <f>IF(VENTAS[[#This Row],[Nombre del Gestor]]&gt;1,VENTAS[[#This Row],[Total]]*10%,0)</f>
        <v>0</v>
      </c>
      <c r="K1375" s="12">
        <f>IFERROR(VLOOKUP(VENTAS[[#This Row],[Código del producto Vendido]],STOCK[],16,FALSE)*VENTAS[[#This Row],[Cantidad]]+VLOOKUP(VENTAS[[#This Row],[Código del producto Vendido]],STOCK[],19,FALSE)*VENTAS[[#This Row],[Cantidad]],VENTAS[[#This Row],[Total]])</f>
        <v>12.11111111111112</v>
      </c>
      <c r="L1375" s="12">
        <f>VENTAS[[#This Row],[Total]]-VENTAS[[#This Row],[Comisión 10%]]-VENTAS[[#This Row],[Costo SIN Comision]]</f>
        <v>7.8888888888888804</v>
      </c>
      <c r="M1375" s="12"/>
      <c r="N1375" s="16"/>
    </row>
    <row r="1376" spans="1:14" ht="20" hidden="1" customHeight="1">
      <c r="A1376" s="9"/>
      <c r="B1376" s="10"/>
      <c r="C1376" s="10" t="s">
        <v>4318</v>
      </c>
      <c r="D1376" s="10"/>
      <c r="E1376" s="10" t="s">
        <v>580</v>
      </c>
      <c r="F1376" s="10" t="str">
        <f>IFERROR(VLOOKUP(VENTAS[[#This Row],[Código del producto Vendido]],STOCK[],5,FALSE),"-")</f>
        <v>Camiseta corta unicolor con abertura</v>
      </c>
      <c r="G1376" s="10">
        <v>1</v>
      </c>
      <c r="H1376" s="12">
        <v>10</v>
      </c>
      <c r="I1376" s="12">
        <f>VENTAS[[#This Row],[Cantidad]]*VENTAS[[#This Row],[Precio Venta]]</f>
        <v>10</v>
      </c>
      <c r="J1376" s="12">
        <f>IF(VENTAS[[#This Row],[Nombre del Gestor]]&gt;1,VENTAS[[#This Row],[Total]]*10%,0)</f>
        <v>0</v>
      </c>
      <c r="K1376" s="12">
        <f>IFERROR(VLOOKUP(VENTAS[[#This Row],[Código del producto Vendido]],STOCK[],16,FALSE)*VENTAS[[#This Row],[Cantidad]]+VLOOKUP(VENTAS[[#This Row],[Código del producto Vendido]],STOCK[],19,FALSE)*VENTAS[[#This Row],[Cantidad]],VENTAS[[#This Row],[Total]])</f>
        <v>5.0266666666666699</v>
      </c>
      <c r="L1376" s="12">
        <f>VENTAS[[#This Row],[Total]]-VENTAS[[#This Row],[Comisión 10%]]-VENTAS[[#This Row],[Costo SIN Comision]]</f>
        <v>4.9733333333333301</v>
      </c>
      <c r="M1376" s="12"/>
      <c r="N1376" s="16"/>
    </row>
    <row r="1377" spans="1:14" ht="20" hidden="1" customHeight="1">
      <c r="A1377" s="9"/>
      <c r="B1377" s="10"/>
      <c r="C1377" s="10" t="s">
        <v>4318</v>
      </c>
      <c r="D1377" s="10"/>
      <c r="E1377" s="10" t="s">
        <v>1170</v>
      </c>
      <c r="F1377" s="10" t="str">
        <f>IFERROR(VLOOKUP(VENTAS[[#This Row],[Código del producto Vendido]],STOCK[],5,FALSE),"-")</f>
        <v>Pullover Dazy cuello redondo Blanco</v>
      </c>
      <c r="G1377" s="10">
        <v>1</v>
      </c>
      <c r="H1377" s="12">
        <v>13</v>
      </c>
      <c r="I1377" s="12">
        <f>VENTAS[[#This Row],[Cantidad]]*VENTAS[[#This Row],[Precio Venta]]</f>
        <v>13</v>
      </c>
      <c r="J1377" s="12">
        <f>IF(VENTAS[[#This Row],[Nombre del Gestor]]&gt;1,VENTAS[[#This Row],[Total]]*10%,0)</f>
        <v>0</v>
      </c>
      <c r="K1377" s="12">
        <f>IFERROR(VLOOKUP(VENTAS[[#This Row],[Código del producto Vendido]],STOCK[],16,FALSE)*VENTAS[[#This Row],[Cantidad]]+VLOOKUP(VENTAS[[#This Row],[Código del producto Vendido]],STOCK[],19,FALSE)*VENTAS[[#This Row],[Cantidad]],VENTAS[[#This Row],[Total]])</f>
        <v>8.61</v>
      </c>
      <c r="L1377" s="12">
        <f>VENTAS[[#This Row],[Total]]-VENTAS[[#This Row],[Comisión 10%]]-VENTAS[[#This Row],[Costo SIN Comision]]</f>
        <v>4.3900000000000006</v>
      </c>
      <c r="M1377" s="12"/>
      <c r="N1377" s="16"/>
    </row>
    <row r="1378" spans="1:14" ht="20" hidden="1" customHeight="1">
      <c r="A1378" s="9"/>
      <c r="B1378" s="10"/>
      <c r="C1378" s="10"/>
      <c r="D1378" s="10" t="s">
        <v>4511</v>
      </c>
      <c r="E1378" s="10" t="s">
        <v>2540</v>
      </c>
      <c r="F1378" s="10" t="str">
        <f>IFERROR(VLOOKUP(VENTAS[[#This Row],[Código del producto Vendido]],STOCK[],5,FALSE),"-")</f>
        <v>Pullover corto unicolor beige</v>
      </c>
      <c r="G1378" s="10">
        <v>1</v>
      </c>
      <c r="H1378" s="12">
        <v>10</v>
      </c>
      <c r="I1378" s="12">
        <f>VENTAS[[#This Row],[Cantidad]]*VENTAS[[#This Row],[Precio Venta]]</f>
        <v>10</v>
      </c>
      <c r="J1378" s="12">
        <f>IF(VENTAS[[#This Row],[Nombre del Gestor]]&gt;1,VENTAS[[#This Row],[Total]]*10%,0)</f>
        <v>1</v>
      </c>
      <c r="K1378" s="12">
        <f>IFERROR(VLOOKUP(VENTAS[[#This Row],[Código del producto Vendido]],STOCK[],16,FALSE)*VENTAS[[#This Row],[Cantidad]]+VLOOKUP(VENTAS[[#This Row],[Código del producto Vendido]],STOCK[],19,FALSE)*VENTAS[[#This Row],[Cantidad]],VENTAS[[#This Row],[Total]])</f>
        <v>2.35</v>
      </c>
      <c r="L1378" s="12">
        <f>VENTAS[[#This Row],[Total]]-VENTAS[[#This Row],[Comisión 10%]]-VENTAS[[#This Row],[Costo SIN Comision]]</f>
        <v>6.65</v>
      </c>
      <c r="M1378" s="12"/>
      <c r="N1378" s="16"/>
    </row>
    <row r="1379" spans="1:14" ht="20" hidden="1" customHeight="1">
      <c r="A1379" s="9"/>
      <c r="B1379" s="10"/>
      <c r="C1379" s="10"/>
      <c r="D1379" s="10" t="s">
        <v>4511</v>
      </c>
      <c r="E1379" s="10" t="s">
        <v>2538</v>
      </c>
      <c r="F1379" s="10" t="str">
        <f>IFERROR(VLOOKUP(VENTAS[[#This Row],[Código del producto Vendido]],STOCK[],5,FALSE),"-")</f>
        <v>Pullover corto unicolor blanco</v>
      </c>
      <c r="G1379" s="10">
        <v>1</v>
      </c>
      <c r="H1379" s="12">
        <v>10</v>
      </c>
      <c r="I1379" s="12">
        <f>VENTAS[[#This Row],[Cantidad]]*VENTAS[[#This Row],[Precio Venta]]</f>
        <v>10</v>
      </c>
      <c r="J1379" s="12">
        <f>IF(VENTAS[[#This Row],[Nombre del Gestor]]&gt;1,VENTAS[[#This Row],[Total]]*10%,0)</f>
        <v>1</v>
      </c>
      <c r="K1379" s="12">
        <f>IFERROR(VLOOKUP(VENTAS[[#This Row],[Código del producto Vendido]],STOCK[],16,FALSE)*VENTAS[[#This Row],[Cantidad]]+VLOOKUP(VENTAS[[#This Row],[Código del producto Vendido]],STOCK[],19,FALSE)*VENTAS[[#This Row],[Cantidad]],VENTAS[[#This Row],[Total]])</f>
        <v>4.32</v>
      </c>
      <c r="L1379" s="12">
        <f>VENTAS[[#This Row],[Total]]-VENTAS[[#This Row],[Comisión 10%]]-VENTAS[[#This Row],[Costo SIN Comision]]</f>
        <v>4.68</v>
      </c>
      <c r="M1379" s="12"/>
      <c r="N1379" s="16"/>
    </row>
    <row r="1380" spans="1:14" ht="20" hidden="1" customHeight="1">
      <c r="A1380" s="9"/>
      <c r="B1380" s="10"/>
      <c r="C1380" s="10"/>
      <c r="D1380" s="10" t="s">
        <v>4511</v>
      </c>
      <c r="E1380" s="10" t="s">
        <v>2548</v>
      </c>
      <c r="F1380" s="10" t="str">
        <f>IFERROR(VLOOKUP(VENTAS[[#This Row],[Código del producto Vendido]],STOCK[],5,FALSE),"-")</f>
        <v>Pullover largo unicolor tela traslúcida terracota</v>
      </c>
      <c r="G1380" s="10">
        <v>1</v>
      </c>
      <c r="H1380" s="12">
        <v>10</v>
      </c>
      <c r="I1380" s="12">
        <f>VENTAS[[#This Row],[Cantidad]]*VENTAS[[#This Row],[Precio Venta]]</f>
        <v>10</v>
      </c>
      <c r="J1380" s="12">
        <f>IF(VENTAS[[#This Row],[Nombre del Gestor]]&gt;1,VENTAS[[#This Row],[Total]]*10%,0)</f>
        <v>1</v>
      </c>
      <c r="K1380" s="12">
        <f>IFERROR(VLOOKUP(VENTAS[[#This Row],[Código del producto Vendido]],STOCK[],16,FALSE)*VENTAS[[#This Row],[Cantidad]]+VLOOKUP(VENTAS[[#This Row],[Código del producto Vendido]],STOCK[],19,FALSE)*VENTAS[[#This Row],[Cantidad]],VENTAS[[#This Row],[Total]])</f>
        <v>4.32</v>
      </c>
      <c r="L1380" s="12">
        <f>VENTAS[[#This Row],[Total]]-VENTAS[[#This Row],[Comisión 10%]]-VENTAS[[#This Row],[Costo SIN Comision]]</f>
        <v>4.68</v>
      </c>
      <c r="M1380" s="12"/>
      <c r="N1380" s="16"/>
    </row>
    <row r="1381" spans="1:14" ht="20" hidden="1" customHeight="1">
      <c r="A1381" s="9"/>
      <c r="B1381" s="10"/>
      <c r="C1381" s="10"/>
      <c r="D1381" s="10" t="s">
        <v>4511</v>
      </c>
      <c r="E1381" s="10" t="s">
        <v>2548</v>
      </c>
      <c r="F1381" s="10" t="str">
        <f>IFERROR(VLOOKUP(VENTAS[[#This Row],[Código del producto Vendido]],STOCK[],5,FALSE),"-")</f>
        <v>Pullover largo unicolor tela traslúcida terracota</v>
      </c>
      <c r="G1381" s="10">
        <v>1</v>
      </c>
      <c r="H1381" s="12">
        <v>10</v>
      </c>
      <c r="I1381" s="12">
        <f>VENTAS[[#This Row],[Cantidad]]*VENTAS[[#This Row],[Precio Venta]]</f>
        <v>10</v>
      </c>
      <c r="J1381" s="12">
        <f>IF(VENTAS[[#This Row],[Nombre del Gestor]]&gt;1,VENTAS[[#This Row],[Total]]*10%,0)</f>
        <v>1</v>
      </c>
      <c r="K1381" s="12">
        <f>IFERROR(VLOOKUP(VENTAS[[#This Row],[Código del producto Vendido]],STOCK[],16,FALSE)*VENTAS[[#This Row],[Cantidad]]+VLOOKUP(VENTAS[[#This Row],[Código del producto Vendido]],STOCK[],19,FALSE)*VENTAS[[#This Row],[Cantidad]],VENTAS[[#This Row],[Total]])</f>
        <v>4.32</v>
      </c>
      <c r="L1381" s="12">
        <f>VENTAS[[#This Row],[Total]]-VENTAS[[#This Row],[Comisión 10%]]-VENTAS[[#This Row],[Costo SIN Comision]]</f>
        <v>4.68</v>
      </c>
      <c r="M1381" s="12"/>
      <c r="N1381" s="16"/>
    </row>
    <row r="1382" spans="1:14" ht="20" hidden="1" customHeight="1">
      <c r="A1382" s="9"/>
      <c r="B1382" s="10"/>
      <c r="C1382" s="10"/>
      <c r="D1382" s="10" t="s">
        <v>4511</v>
      </c>
      <c r="E1382" s="10" t="s">
        <v>2550</v>
      </c>
      <c r="F1382" s="10" t="str">
        <f>IFERROR(VLOOKUP(VENTAS[[#This Row],[Código del producto Vendido]],STOCK[],5,FALSE),"-")</f>
        <v>Pullover largo unicolor tela traslúcida terracota</v>
      </c>
      <c r="G1382" s="10">
        <v>1</v>
      </c>
      <c r="H1382" s="12">
        <v>10</v>
      </c>
      <c r="I1382" s="12">
        <f>VENTAS[[#This Row],[Cantidad]]*VENTAS[[#This Row],[Precio Venta]]</f>
        <v>10</v>
      </c>
      <c r="J1382" s="12">
        <f>IF(VENTAS[[#This Row],[Nombre del Gestor]]&gt;1,VENTAS[[#This Row],[Total]]*10%,0)</f>
        <v>1</v>
      </c>
      <c r="K1382" s="12">
        <f>IFERROR(VLOOKUP(VENTAS[[#This Row],[Código del producto Vendido]],STOCK[],16,FALSE)*VENTAS[[#This Row],[Cantidad]]+VLOOKUP(VENTAS[[#This Row],[Código del producto Vendido]],STOCK[],19,FALSE)*VENTAS[[#This Row],[Cantidad]],VENTAS[[#This Row],[Total]])</f>
        <v>4.32</v>
      </c>
      <c r="L1382" s="12">
        <f>VENTAS[[#This Row],[Total]]-VENTAS[[#This Row],[Comisión 10%]]-VENTAS[[#This Row],[Costo SIN Comision]]</f>
        <v>4.68</v>
      </c>
      <c r="M1382" s="12"/>
      <c r="N1382" s="16"/>
    </row>
    <row r="1383" spans="1:14" ht="20" hidden="1" customHeight="1">
      <c r="A1383" s="9"/>
      <c r="B1383" s="10"/>
      <c r="C1383" s="10"/>
      <c r="D1383" s="10" t="s">
        <v>4511</v>
      </c>
      <c r="E1383" s="10" t="s">
        <v>2552</v>
      </c>
      <c r="F1383" s="10" t="str">
        <f>IFERROR(VLOOKUP(VENTAS[[#This Row],[Código del producto Vendido]],STOCK[],5,FALSE),"-")</f>
        <v>Pullover largo unicolor tela traslúcida beige</v>
      </c>
      <c r="G1383" s="10">
        <v>1</v>
      </c>
      <c r="H1383" s="12">
        <v>10</v>
      </c>
      <c r="I1383" s="12">
        <f>VENTAS[[#This Row],[Cantidad]]*VENTAS[[#This Row],[Precio Venta]]</f>
        <v>10</v>
      </c>
      <c r="J1383" s="12">
        <f>IF(VENTAS[[#This Row],[Nombre del Gestor]]&gt;1,VENTAS[[#This Row],[Total]]*10%,0)</f>
        <v>1</v>
      </c>
      <c r="K1383" s="12">
        <f>IFERROR(VLOOKUP(VENTAS[[#This Row],[Código del producto Vendido]],STOCK[],16,FALSE)*VENTAS[[#This Row],[Cantidad]]+VLOOKUP(VENTAS[[#This Row],[Código del producto Vendido]],STOCK[],19,FALSE)*VENTAS[[#This Row],[Cantidad]],VENTAS[[#This Row],[Total]])</f>
        <v>4.32</v>
      </c>
      <c r="L1383" s="12">
        <f>VENTAS[[#This Row],[Total]]-VENTAS[[#This Row],[Comisión 10%]]-VENTAS[[#This Row],[Costo SIN Comision]]</f>
        <v>4.68</v>
      </c>
      <c r="M1383" s="12"/>
      <c r="N1383" s="16"/>
    </row>
    <row r="1384" spans="1:14" ht="20" hidden="1" customHeight="1">
      <c r="A1384" s="9"/>
      <c r="B1384" s="10"/>
      <c r="C1384" s="10"/>
      <c r="D1384" s="10" t="s">
        <v>4511</v>
      </c>
      <c r="E1384" s="10" t="s">
        <v>2559</v>
      </c>
      <c r="F1384" s="10" t="str">
        <f>IFERROR(VLOOKUP(VENTAS[[#This Row],[Código del producto Vendido]],STOCK[],5,FALSE),"-")</f>
        <v>Pullover largo unicolor tela traslúcida beige</v>
      </c>
      <c r="G1384" s="10">
        <v>1</v>
      </c>
      <c r="H1384" s="12">
        <v>10</v>
      </c>
      <c r="I1384" s="12">
        <f>VENTAS[[#This Row],[Cantidad]]*VENTAS[[#This Row],[Precio Venta]]</f>
        <v>10</v>
      </c>
      <c r="J1384" s="12">
        <f>IF(VENTAS[[#This Row],[Nombre del Gestor]]&gt;1,VENTAS[[#This Row],[Total]]*10%,0)</f>
        <v>1</v>
      </c>
      <c r="K1384" s="12">
        <f>IFERROR(VLOOKUP(VENTAS[[#This Row],[Código del producto Vendido]],STOCK[],16,FALSE)*VENTAS[[#This Row],[Cantidad]]+VLOOKUP(VENTAS[[#This Row],[Código del producto Vendido]],STOCK[],19,FALSE)*VENTAS[[#This Row],[Cantidad]],VENTAS[[#This Row],[Total]])</f>
        <v>4.32</v>
      </c>
      <c r="L1384" s="12">
        <f>VENTAS[[#This Row],[Total]]-VENTAS[[#This Row],[Comisión 10%]]-VENTAS[[#This Row],[Costo SIN Comision]]</f>
        <v>4.68</v>
      </c>
      <c r="M1384" s="12"/>
      <c r="N1384" s="16"/>
    </row>
    <row r="1385" spans="1:14" ht="20" hidden="1" customHeight="1">
      <c r="A1385" s="9"/>
      <c r="B1385" s="10"/>
      <c r="C1385" s="10"/>
      <c r="D1385" s="10" t="s">
        <v>4511</v>
      </c>
      <c r="E1385" s="10" t="s">
        <v>2559</v>
      </c>
      <c r="F1385" s="10" t="str">
        <f>IFERROR(VLOOKUP(VENTAS[[#This Row],[Código del producto Vendido]],STOCK[],5,FALSE),"-")</f>
        <v>Pullover largo unicolor tela traslúcida beige</v>
      </c>
      <c r="G1385" s="10">
        <v>1</v>
      </c>
      <c r="H1385" s="12">
        <v>10</v>
      </c>
      <c r="I1385" s="12">
        <f>VENTAS[[#This Row],[Cantidad]]*VENTAS[[#This Row],[Precio Venta]]</f>
        <v>10</v>
      </c>
      <c r="J1385" s="12">
        <f>IF(VENTAS[[#This Row],[Nombre del Gestor]]&gt;1,VENTAS[[#This Row],[Total]]*10%,0)</f>
        <v>1</v>
      </c>
      <c r="K1385" s="12">
        <f>IFERROR(VLOOKUP(VENTAS[[#This Row],[Código del producto Vendido]],STOCK[],16,FALSE)*VENTAS[[#This Row],[Cantidad]]+VLOOKUP(VENTAS[[#This Row],[Código del producto Vendido]],STOCK[],19,FALSE)*VENTAS[[#This Row],[Cantidad]],VENTAS[[#This Row],[Total]])</f>
        <v>4.32</v>
      </c>
      <c r="L1385" s="12">
        <f>VENTAS[[#This Row],[Total]]-VENTAS[[#This Row],[Comisión 10%]]-VENTAS[[#This Row],[Costo SIN Comision]]</f>
        <v>4.68</v>
      </c>
      <c r="M1385" s="12"/>
      <c r="N1385" s="16"/>
    </row>
    <row r="1386" spans="1:14" ht="20" hidden="1" customHeight="1">
      <c r="A1386" s="9">
        <v>45544</v>
      </c>
      <c r="B1386" s="10"/>
      <c r="C1386" s="10"/>
      <c r="D1386" s="10" t="s">
        <v>4374</v>
      </c>
      <c r="E1386" s="10" t="s">
        <v>2558</v>
      </c>
      <c r="F1386" s="10" t="str">
        <f>IFERROR(VLOOKUP(VENTAS[[#This Row],[Código del producto Vendido]],STOCK[],5,FALSE),"-")</f>
        <v>Pullover largo unicolor tela traslúcida blanco</v>
      </c>
      <c r="G1386" s="10">
        <v>1</v>
      </c>
      <c r="H1386" s="12">
        <v>10</v>
      </c>
      <c r="I1386" s="12">
        <f>VENTAS[[#This Row],[Cantidad]]*VENTAS[[#This Row],[Precio Venta]]</f>
        <v>10</v>
      </c>
      <c r="J1386" s="12">
        <f>IF(VENTAS[[#This Row],[Nombre del Gestor]]&gt;1,VENTAS[[#This Row],[Total]]*10%,0)</f>
        <v>1</v>
      </c>
      <c r="K1386" s="12">
        <f>IFERROR(VLOOKUP(VENTAS[[#This Row],[Código del producto Vendido]],STOCK[],16,FALSE)*VENTAS[[#This Row],[Cantidad]]+VLOOKUP(VENTAS[[#This Row],[Código del producto Vendido]],STOCK[],19,FALSE)*VENTAS[[#This Row],[Cantidad]],VENTAS[[#This Row],[Total]])</f>
        <v>4.32</v>
      </c>
      <c r="L1386" s="12">
        <f>VENTAS[[#This Row],[Total]]-VENTAS[[#This Row],[Comisión 10%]]-VENTAS[[#This Row],[Costo SIN Comision]]</f>
        <v>4.68</v>
      </c>
      <c r="M1386" s="12"/>
      <c r="N1386" s="16"/>
    </row>
    <row r="1387" spans="1:14" ht="20" hidden="1" customHeight="1">
      <c r="A1387" s="9"/>
      <c r="B1387" s="10"/>
      <c r="C1387" s="10"/>
      <c r="D1387" s="10" t="s">
        <v>4511</v>
      </c>
      <c r="E1387" s="10" t="s">
        <v>2558</v>
      </c>
      <c r="F1387" s="10" t="str">
        <f>IFERROR(VLOOKUP(VENTAS[[#This Row],[Código del producto Vendido]],STOCK[],5,FALSE),"-")</f>
        <v>Pullover largo unicolor tela traslúcida blanco</v>
      </c>
      <c r="G1387" s="10">
        <v>1</v>
      </c>
      <c r="H1387" s="12">
        <v>10</v>
      </c>
      <c r="I1387" s="12">
        <f>VENTAS[[#This Row],[Cantidad]]*VENTAS[[#This Row],[Precio Venta]]</f>
        <v>10</v>
      </c>
      <c r="J1387" s="12">
        <f>IF(VENTAS[[#This Row],[Nombre del Gestor]]&gt;1,VENTAS[[#This Row],[Total]]*10%,0)</f>
        <v>1</v>
      </c>
      <c r="K1387" s="12">
        <f>IFERROR(VLOOKUP(VENTAS[[#This Row],[Código del producto Vendido]],STOCK[],16,FALSE)*VENTAS[[#This Row],[Cantidad]]+VLOOKUP(VENTAS[[#This Row],[Código del producto Vendido]],STOCK[],19,FALSE)*VENTAS[[#This Row],[Cantidad]],VENTAS[[#This Row],[Total]])</f>
        <v>4.32</v>
      </c>
      <c r="L1387" s="12">
        <f>VENTAS[[#This Row],[Total]]-VENTAS[[#This Row],[Comisión 10%]]-VENTAS[[#This Row],[Costo SIN Comision]]</f>
        <v>4.68</v>
      </c>
      <c r="M1387" s="12"/>
      <c r="N1387" s="16"/>
    </row>
    <row r="1388" spans="1:14" ht="20" hidden="1" customHeight="1">
      <c r="A1388" s="9"/>
      <c r="B1388" s="10"/>
      <c r="C1388" s="10"/>
      <c r="D1388" s="10" t="s">
        <v>4511</v>
      </c>
      <c r="E1388" s="10" t="s">
        <v>2557</v>
      </c>
      <c r="F1388" s="10" t="str">
        <f>IFERROR(VLOOKUP(VENTAS[[#This Row],[Código del producto Vendido]],STOCK[],5,FALSE),"-")</f>
        <v>Pullover largo unicolor tela traslúcida blanco</v>
      </c>
      <c r="G1388" s="10">
        <v>1</v>
      </c>
      <c r="H1388" s="12">
        <v>10</v>
      </c>
      <c r="I1388" s="12">
        <f>VENTAS[[#This Row],[Cantidad]]*VENTAS[[#This Row],[Precio Venta]]</f>
        <v>10</v>
      </c>
      <c r="J1388" s="12">
        <f>IF(VENTAS[[#This Row],[Nombre del Gestor]]&gt;1,VENTAS[[#This Row],[Total]]*10%,0)</f>
        <v>1</v>
      </c>
      <c r="K1388" s="12">
        <f>IFERROR(VLOOKUP(VENTAS[[#This Row],[Código del producto Vendido]],STOCK[],16,FALSE)*VENTAS[[#This Row],[Cantidad]]+VLOOKUP(VENTAS[[#This Row],[Código del producto Vendido]],STOCK[],19,FALSE)*VENTAS[[#This Row],[Cantidad]],VENTAS[[#This Row],[Total]])</f>
        <v>4.32</v>
      </c>
      <c r="L1388" s="12">
        <f>VENTAS[[#This Row],[Total]]-VENTAS[[#This Row],[Comisión 10%]]-VENTAS[[#This Row],[Costo SIN Comision]]</f>
        <v>4.68</v>
      </c>
      <c r="M1388" s="12"/>
      <c r="N1388" s="16"/>
    </row>
    <row r="1389" spans="1:14" ht="20" hidden="1" customHeight="1">
      <c r="A1389" s="9"/>
      <c r="B1389" s="10"/>
      <c r="C1389" s="10"/>
      <c r="D1389" s="10" t="s">
        <v>4511</v>
      </c>
      <c r="E1389" s="10" t="s">
        <v>2555</v>
      </c>
      <c r="F1389" s="10" t="str">
        <f>IFERROR(VLOOKUP(VENTAS[[#This Row],[Código del producto Vendido]],STOCK[],5,FALSE),"-")</f>
        <v>Pullover largo unicolor tela traslúcida blanco</v>
      </c>
      <c r="G1389" s="10">
        <v>1</v>
      </c>
      <c r="H1389" s="12">
        <v>10</v>
      </c>
      <c r="I1389" s="12">
        <f>VENTAS[[#This Row],[Cantidad]]*VENTAS[[#This Row],[Precio Venta]]</f>
        <v>10</v>
      </c>
      <c r="J1389" s="12">
        <f>IF(VENTAS[[#This Row],[Nombre del Gestor]]&gt;1,VENTAS[[#This Row],[Total]]*10%,0)</f>
        <v>1</v>
      </c>
      <c r="K1389" s="12">
        <f>IFERROR(VLOOKUP(VENTAS[[#This Row],[Código del producto Vendido]],STOCK[],16,FALSE)*VENTAS[[#This Row],[Cantidad]]+VLOOKUP(VENTAS[[#This Row],[Código del producto Vendido]],STOCK[],19,FALSE)*VENTAS[[#This Row],[Cantidad]],VENTAS[[#This Row],[Total]])</f>
        <v>4.32</v>
      </c>
      <c r="L1389" s="12">
        <f>VENTAS[[#This Row],[Total]]-VENTAS[[#This Row],[Comisión 10%]]-VENTAS[[#This Row],[Costo SIN Comision]]</f>
        <v>4.68</v>
      </c>
      <c r="M1389" s="12"/>
      <c r="N1389" s="16"/>
    </row>
    <row r="1390" spans="1:14" ht="20" hidden="1" customHeight="1">
      <c r="A1390" s="9"/>
      <c r="B1390" s="10"/>
      <c r="C1390" s="10" t="s">
        <v>4442</v>
      </c>
      <c r="D1390" s="10"/>
      <c r="E1390" s="10" t="s">
        <v>2668</v>
      </c>
      <c r="F1390" s="10" t="str">
        <f>IFERROR(VLOOKUP(VENTAS[[#This Row],[Código del producto Vendido]],STOCK[],5,FALSE),"-")</f>
        <v>Pullover carmelita letrero de mariposa algodón PRIMARK</v>
      </c>
      <c r="G1390" s="10">
        <v>1</v>
      </c>
      <c r="H1390" s="12">
        <v>13</v>
      </c>
      <c r="I1390" s="12">
        <f>VENTAS[[#This Row],[Cantidad]]*VENTAS[[#This Row],[Precio Venta]]</f>
        <v>13</v>
      </c>
      <c r="J1390" s="12">
        <f>IF(VENTAS[[#This Row],[Nombre del Gestor]]&gt;1,VENTAS[[#This Row],[Total]]*10%,0)</f>
        <v>0</v>
      </c>
      <c r="K1390" s="12">
        <f>IFERROR(VLOOKUP(VENTAS[[#This Row],[Código del producto Vendido]],STOCK[],16,FALSE)*VENTAS[[#This Row],[Cantidad]]+VLOOKUP(VENTAS[[#This Row],[Código del producto Vendido]],STOCK[],19,FALSE)*VENTAS[[#This Row],[Cantidad]],VENTAS[[#This Row],[Total]])</f>
        <v>7</v>
      </c>
      <c r="L1390" s="12">
        <f>VENTAS[[#This Row],[Total]]-VENTAS[[#This Row],[Comisión 10%]]-VENTAS[[#This Row],[Costo SIN Comision]]</f>
        <v>6</v>
      </c>
      <c r="M1390" s="12"/>
      <c r="N1390" s="16"/>
    </row>
    <row r="1391" spans="1:14" ht="20" hidden="1" customHeight="1">
      <c r="A1391" s="9">
        <v>45480</v>
      </c>
      <c r="B1391" s="10"/>
      <c r="C1391" s="10"/>
      <c r="D1391" s="10" t="s">
        <v>4349</v>
      </c>
      <c r="E1391" s="10" t="s">
        <v>1863</v>
      </c>
      <c r="F1391" s="10" t="str">
        <f>IFERROR(VLOOKUP(VENTAS[[#This Row],[Código del producto Vendido]],STOCK[],5,FALSE),"-")</f>
        <v>Bolso Baguette Negro</v>
      </c>
      <c r="G1391" s="10">
        <v>1</v>
      </c>
      <c r="H1391" s="12">
        <v>25</v>
      </c>
      <c r="I1391" s="12">
        <f>VENTAS[[#This Row],[Cantidad]]*VENTAS[[#This Row],[Precio Venta]]</f>
        <v>25</v>
      </c>
      <c r="J1391" s="12">
        <f>IF(VENTAS[[#This Row],[Nombre del Gestor]]&gt;1,VENTAS[[#This Row],[Total]]*10%,0)</f>
        <v>2.5</v>
      </c>
      <c r="K1391" s="12">
        <f>IFERROR(VLOOKUP(VENTAS[[#This Row],[Código del producto Vendido]],STOCK[],16,FALSE)*VENTAS[[#This Row],[Cantidad]]+VLOOKUP(VENTAS[[#This Row],[Código del producto Vendido]],STOCK[],19,FALSE)*VENTAS[[#This Row],[Cantidad]],VENTAS[[#This Row],[Total]])</f>
        <v>15.790000000000001</v>
      </c>
      <c r="L1391" s="12">
        <f>VENTAS[[#This Row],[Total]]-VENTAS[[#This Row],[Comisión 10%]]-VENTAS[[#This Row],[Costo SIN Comision]]</f>
        <v>6.7099999999999991</v>
      </c>
      <c r="M1391" s="12"/>
      <c r="N1391" s="16"/>
    </row>
    <row r="1392" spans="1:14" ht="20" hidden="1" customHeight="1">
      <c r="A1392" s="9"/>
      <c r="B1392" s="10"/>
      <c r="C1392" s="10" t="s">
        <v>4318</v>
      </c>
      <c r="D1392" s="10"/>
      <c r="E1392" s="10" t="s">
        <v>477</v>
      </c>
      <c r="F1392" s="10" t="str">
        <f>IFERROR(VLOOKUP(VENTAS[[#This Row],[Código del producto Vendido]],STOCK[],5,FALSE),"-")</f>
        <v>Vestido asimétrico</v>
      </c>
      <c r="G1392" s="10">
        <v>1</v>
      </c>
      <c r="H1392" s="12">
        <v>0</v>
      </c>
      <c r="I1392" s="12">
        <f>VENTAS[[#This Row],[Cantidad]]*VENTAS[[#This Row],[Precio Venta]]</f>
        <v>0</v>
      </c>
      <c r="J1392" s="12">
        <f>IF(VENTAS[[#This Row],[Nombre del Gestor]]&gt;1,VENTAS[[#This Row],[Total]]*10%,0)</f>
        <v>0</v>
      </c>
      <c r="K1392" s="12">
        <f>IFERROR(VLOOKUP(VENTAS[[#This Row],[Código del producto Vendido]],STOCK[],16,FALSE)*VENTAS[[#This Row],[Cantidad]]+VLOOKUP(VENTAS[[#This Row],[Código del producto Vendido]],STOCK[],19,FALSE)*VENTAS[[#This Row],[Cantidad]],VENTAS[[#This Row],[Total]])</f>
        <v>11.31666666666667</v>
      </c>
      <c r="L1392" s="12">
        <f>VENTAS[[#This Row],[Total]]-VENTAS[[#This Row],[Comisión 10%]]-VENTAS[[#This Row],[Costo SIN Comision]]</f>
        <v>-11.31666666666667</v>
      </c>
      <c r="M1392" s="12"/>
      <c r="N1392" s="16"/>
    </row>
    <row r="1393" spans="1:14" ht="20" hidden="1" customHeight="1">
      <c r="A1393" s="9"/>
      <c r="B1393" s="10"/>
      <c r="C1393" s="10"/>
      <c r="D1393" s="10" t="s">
        <v>4511</v>
      </c>
      <c r="E1393" s="10" t="s">
        <v>536</v>
      </c>
      <c r="F1393" s="10" t="str">
        <f>IFERROR(VLOOKUP(VENTAS[[#This Row],[Código del producto Vendido]],STOCK[],5,FALSE),"-")</f>
        <v xml:space="preserve">Gafas minimalista de moda </v>
      </c>
      <c r="G1393" s="10">
        <v>1</v>
      </c>
      <c r="H1393" s="12">
        <v>12</v>
      </c>
      <c r="I1393" s="12">
        <f>VENTAS[[#This Row],[Cantidad]]*VENTAS[[#This Row],[Precio Venta]]</f>
        <v>12</v>
      </c>
      <c r="J1393" s="12">
        <f>IF(VENTAS[[#This Row],[Nombre del Gestor]]&gt;1,VENTAS[[#This Row],[Total]]*10%,0)</f>
        <v>1.2000000000000002</v>
      </c>
      <c r="K1393" s="12">
        <f>IFERROR(VLOOKUP(VENTAS[[#This Row],[Código del producto Vendido]],STOCK[],16,FALSE)*VENTAS[[#This Row],[Cantidad]]+VLOOKUP(VENTAS[[#This Row],[Código del producto Vendido]],STOCK[],19,FALSE)*VENTAS[[#This Row],[Cantidad]],VENTAS[[#This Row],[Total]])</f>
        <v>5.8305555555555602</v>
      </c>
      <c r="L1393" s="12">
        <f>VENTAS[[#This Row],[Total]]-VENTAS[[#This Row],[Comisión 10%]]-VENTAS[[#This Row],[Costo SIN Comision]]</f>
        <v>4.9694444444444406</v>
      </c>
      <c r="M1393" s="12"/>
      <c r="N1393" s="16"/>
    </row>
    <row r="1394" spans="1:14" ht="20" hidden="1" customHeight="1">
      <c r="A1394" s="9">
        <v>45528</v>
      </c>
      <c r="B1394" s="10"/>
      <c r="C1394" s="10" t="s">
        <v>4455</v>
      </c>
      <c r="D1394" s="10" t="s">
        <v>4374</v>
      </c>
      <c r="E1394" s="10" t="s">
        <v>860</v>
      </c>
      <c r="F1394" s="10" t="str">
        <f>IFERROR(VLOOKUP(VENTAS[[#This Row],[Código del producto Vendido]],STOCK[],5,FALSE),"-")</f>
        <v>Vestido venturina</v>
      </c>
      <c r="G1394" s="10">
        <v>1</v>
      </c>
      <c r="H1394" s="12">
        <v>16</v>
      </c>
      <c r="I1394" s="12">
        <f>VENTAS[[#This Row],[Cantidad]]*VENTAS[[#This Row],[Precio Venta]]</f>
        <v>16</v>
      </c>
      <c r="J1394" s="12">
        <f>IF(VENTAS[[#This Row],[Nombre del Gestor]]&gt;1,VENTAS[[#This Row],[Total]]*10%,0)</f>
        <v>1.6</v>
      </c>
      <c r="K1394" s="12">
        <f>IFERROR(VLOOKUP(VENTAS[[#This Row],[Código del producto Vendido]],STOCK[],16,FALSE)*VENTAS[[#This Row],[Cantidad]]+VLOOKUP(VENTAS[[#This Row],[Código del producto Vendido]],STOCK[],19,FALSE)*VENTAS[[#This Row],[Cantidad]],VENTAS[[#This Row],[Total]])</f>
        <v>9.1111111111111107</v>
      </c>
      <c r="L1394" s="12">
        <f>VENTAS[[#This Row],[Total]]-VENTAS[[#This Row],[Comisión 10%]]-VENTAS[[#This Row],[Costo SIN Comision]]</f>
        <v>5.2888888888888896</v>
      </c>
      <c r="M1394" s="12"/>
      <c r="N1394" s="16"/>
    </row>
    <row r="1395" spans="1:14" ht="20" hidden="1" customHeight="1">
      <c r="A1395" s="9">
        <v>45497</v>
      </c>
      <c r="B1395" s="10"/>
      <c r="C1395" s="10" t="s">
        <v>4512</v>
      </c>
      <c r="D1395" s="10" t="s">
        <v>4374</v>
      </c>
      <c r="E1395" s="10" t="s">
        <v>1716</v>
      </c>
      <c r="F1395" s="10" t="str">
        <f>IFERROR(VLOOKUP(VENTAS[[#This Row],[Código del producto Vendido]],STOCK[],5,FALSE),"-")</f>
        <v>Vestido Asimétrico con cuerdas</v>
      </c>
      <c r="G1395" s="10">
        <v>1</v>
      </c>
      <c r="H1395" s="12">
        <v>13</v>
      </c>
      <c r="I1395" s="12">
        <f>VENTAS[[#This Row],[Cantidad]]*VENTAS[[#This Row],[Precio Venta]]</f>
        <v>13</v>
      </c>
      <c r="J1395" s="12">
        <f>IF(VENTAS[[#This Row],[Nombre del Gestor]]&gt;1,VENTAS[[#This Row],[Total]]*10%,0)</f>
        <v>1.3</v>
      </c>
      <c r="K1395" s="12">
        <f>IFERROR(VLOOKUP(VENTAS[[#This Row],[Código del producto Vendido]],STOCK[],16,FALSE)*VENTAS[[#This Row],[Cantidad]]+VLOOKUP(VENTAS[[#This Row],[Código del producto Vendido]],STOCK[],19,FALSE)*VENTAS[[#This Row],[Cantidad]],VENTAS[[#This Row],[Total]])</f>
        <v>12</v>
      </c>
      <c r="L1395" s="12">
        <f>VENTAS[[#This Row],[Total]]-VENTAS[[#This Row],[Comisión 10%]]-VENTAS[[#This Row],[Costo SIN Comision]]</f>
        <v>-0.30000000000000071</v>
      </c>
      <c r="M1395" s="12"/>
      <c r="N1395" s="16"/>
    </row>
    <row r="1396" spans="1:14" ht="20" hidden="1" customHeight="1">
      <c r="A1396" s="9">
        <v>45482</v>
      </c>
      <c r="B1396" s="10"/>
      <c r="C1396" s="10"/>
      <c r="D1396" s="10" t="s">
        <v>4511</v>
      </c>
      <c r="E1396" s="10" t="s">
        <v>1716</v>
      </c>
      <c r="F1396" s="10" t="str">
        <f>IFERROR(VLOOKUP(VENTAS[[#This Row],[Código del producto Vendido]],STOCK[],5,FALSE),"-")</f>
        <v>Vestido Asimétrico con cuerdas</v>
      </c>
      <c r="G1396" s="10">
        <v>1</v>
      </c>
      <c r="H1396" s="12">
        <v>13</v>
      </c>
      <c r="I1396" s="12">
        <f>VENTAS[[#This Row],[Cantidad]]*VENTAS[[#This Row],[Precio Venta]]</f>
        <v>13</v>
      </c>
      <c r="J1396" s="12">
        <f>IF(VENTAS[[#This Row],[Nombre del Gestor]]&gt;1,VENTAS[[#This Row],[Total]]*10%,0)</f>
        <v>1.3</v>
      </c>
      <c r="K1396" s="12">
        <f>IFERROR(VLOOKUP(VENTAS[[#This Row],[Código del producto Vendido]],STOCK[],16,FALSE)*VENTAS[[#This Row],[Cantidad]]+VLOOKUP(VENTAS[[#This Row],[Código del producto Vendido]],STOCK[],19,FALSE)*VENTAS[[#This Row],[Cantidad]],VENTAS[[#This Row],[Total]])</f>
        <v>12</v>
      </c>
      <c r="L1396" s="12">
        <f>VENTAS[[#This Row],[Total]]-VENTAS[[#This Row],[Comisión 10%]]-VENTAS[[#This Row],[Costo SIN Comision]]</f>
        <v>-0.30000000000000071</v>
      </c>
      <c r="M1396" s="12"/>
      <c r="N1396" s="16"/>
    </row>
    <row r="1397" spans="1:14" ht="20" hidden="1" customHeight="1">
      <c r="A1397" s="9">
        <v>45513</v>
      </c>
      <c r="B1397" s="10"/>
      <c r="C1397" s="10" t="s">
        <v>4289</v>
      </c>
      <c r="D1397" s="10" t="s">
        <v>4324</v>
      </c>
      <c r="E1397" s="10" t="s">
        <v>2587</v>
      </c>
      <c r="F1397" s="10" t="str">
        <f>IFERROR(VLOOKUP(VENTAS[[#This Row],[Código del producto Vendido]],STOCK[],5,FALSE),"-")</f>
        <v>Vestido negro espalda cruzada</v>
      </c>
      <c r="G1397" s="10">
        <v>1</v>
      </c>
      <c r="H1397" s="12">
        <v>30</v>
      </c>
      <c r="I1397" s="12">
        <f>VENTAS[[#This Row],[Cantidad]]*VENTAS[[#This Row],[Precio Venta]]</f>
        <v>30</v>
      </c>
      <c r="J1397" s="12">
        <f>IF(VENTAS[[#This Row],[Nombre del Gestor]]&gt;1,VENTAS[[#This Row],[Total]]*10%,0)</f>
        <v>3</v>
      </c>
      <c r="K1397" s="12">
        <f>IFERROR(VLOOKUP(VENTAS[[#This Row],[Código del producto Vendido]],STOCK[],16,FALSE)*VENTAS[[#This Row],[Cantidad]]+VLOOKUP(VENTAS[[#This Row],[Código del producto Vendido]],STOCK[],19,FALSE)*VENTAS[[#This Row],[Cantidad]],VENTAS[[#This Row],[Total]])</f>
        <v>15.440000000000001</v>
      </c>
      <c r="L1397" s="12">
        <f>VENTAS[[#This Row],[Total]]-VENTAS[[#This Row],[Comisión 10%]]-VENTAS[[#This Row],[Costo SIN Comision]]</f>
        <v>11.559999999999999</v>
      </c>
      <c r="M1397" s="12"/>
      <c r="N1397" s="16"/>
    </row>
    <row r="1398" spans="1:14" ht="20" hidden="1" customHeight="1">
      <c r="A1398" s="9"/>
      <c r="B1398" s="10"/>
      <c r="C1398" s="10"/>
      <c r="D1398" s="10" t="s">
        <v>4511</v>
      </c>
      <c r="E1398" s="10" t="s">
        <v>2587</v>
      </c>
      <c r="F1398" s="10" t="str">
        <f>IFERROR(VLOOKUP(VENTAS[[#This Row],[Código del producto Vendido]],STOCK[],5,FALSE),"-")</f>
        <v>Vestido negro espalda cruzada</v>
      </c>
      <c r="G1398" s="10">
        <v>1</v>
      </c>
      <c r="H1398" s="12">
        <v>30</v>
      </c>
      <c r="I1398" s="12">
        <f>VENTAS[[#This Row],[Cantidad]]*VENTAS[[#This Row],[Precio Venta]]</f>
        <v>30</v>
      </c>
      <c r="J1398" s="12">
        <f>IF(VENTAS[[#This Row],[Nombre del Gestor]]&gt;1,VENTAS[[#This Row],[Total]]*10%,0)</f>
        <v>3</v>
      </c>
      <c r="K1398" s="12">
        <f>IFERROR(VLOOKUP(VENTAS[[#This Row],[Código del producto Vendido]],STOCK[],16,FALSE)*VENTAS[[#This Row],[Cantidad]]+VLOOKUP(VENTAS[[#This Row],[Código del producto Vendido]],STOCK[],19,FALSE)*VENTAS[[#This Row],[Cantidad]],VENTAS[[#This Row],[Total]])</f>
        <v>15.440000000000001</v>
      </c>
      <c r="L1398" s="12">
        <f>VENTAS[[#This Row],[Total]]-VENTAS[[#This Row],[Comisión 10%]]-VENTAS[[#This Row],[Costo SIN Comision]]</f>
        <v>11.559999999999999</v>
      </c>
      <c r="M1398" s="12"/>
      <c r="N1398" s="16"/>
    </row>
    <row r="1399" spans="1:14" ht="20" hidden="1" customHeight="1">
      <c r="A1399" s="9">
        <v>45534</v>
      </c>
      <c r="B1399" s="10"/>
      <c r="C1399" s="10"/>
      <c r="D1399" s="10" t="s">
        <v>4330</v>
      </c>
      <c r="E1399" s="10" t="s">
        <v>2594</v>
      </c>
      <c r="F1399" s="10" t="str">
        <f>IFERROR(VLOOKUP(VENTAS[[#This Row],[Código del producto Vendido]],STOCK[],5,FALSE),"-")</f>
        <v>Vestido crochet playero de tirantes</v>
      </c>
      <c r="G1399" s="10">
        <v>1</v>
      </c>
      <c r="H1399" s="12">
        <v>30</v>
      </c>
      <c r="I1399" s="12">
        <f>VENTAS[[#This Row],[Cantidad]]*VENTAS[[#This Row],[Precio Venta]]</f>
        <v>30</v>
      </c>
      <c r="J1399" s="12">
        <f>IF(VENTAS[[#This Row],[Nombre del Gestor]]&gt;1,VENTAS[[#This Row],[Total]]*10%,0)</f>
        <v>3</v>
      </c>
      <c r="K1399" s="12">
        <f>IFERROR(VLOOKUP(VENTAS[[#This Row],[Código del producto Vendido]],STOCK[],16,FALSE)*VENTAS[[#This Row],[Cantidad]]+VLOOKUP(VENTAS[[#This Row],[Código del producto Vendido]],STOCK[],19,FALSE)*VENTAS[[#This Row],[Cantidad]],VENTAS[[#This Row],[Total]])</f>
        <v>13.56</v>
      </c>
      <c r="L1399" s="12">
        <f>VENTAS[[#This Row],[Total]]-VENTAS[[#This Row],[Comisión 10%]]-VENTAS[[#This Row],[Costo SIN Comision]]</f>
        <v>13.44</v>
      </c>
      <c r="M1399" s="12"/>
      <c r="N1399" s="16"/>
    </row>
    <row r="1400" spans="1:14" ht="20" hidden="1" customHeight="1">
      <c r="A1400" s="9"/>
      <c r="B1400" s="10"/>
      <c r="C1400" s="10"/>
      <c r="D1400" s="10" t="s">
        <v>4511</v>
      </c>
      <c r="E1400" s="10" t="s">
        <v>1713</v>
      </c>
      <c r="F1400" s="10" t="str">
        <f>IFERROR(VLOOKUP(VENTAS[[#This Row],[Código del producto Vendido]],STOCK[],5,FALSE),"-")</f>
        <v>Vestido Asimétrico con cuerdas</v>
      </c>
      <c r="G1400" s="10">
        <v>1</v>
      </c>
      <c r="H1400" s="12">
        <v>13</v>
      </c>
      <c r="I1400" s="12">
        <f>VENTAS[[#This Row],[Cantidad]]*VENTAS[[#This Row],[Precio Venta]]</f>
        <v>13</v>
      </c>
      <c r="J1400" s="12">
        <f>IF(VENTAS[[#This Row],[Nombre del Gestor]]&gt;1,VENTAS[[#This Row],[Total]]*10%,0)</f>
        <v>1.3</v>
      </c>
      <c r="K1400" s="12">
        <f>IFERROR(VLOOKUP(VENTAS[[#This Row],[Código del producto Vendido]],STOCK[],16,FALSE)*VENTAS[[#This Row],[Cantidad]]+VLOOKUP(VENTAS[[#This Row],[Código del producto Vendido]],STOCK[],19,FALSE)*VENTAS[[#This Row],[Cantidad]],VENTAS[[#This Row],[Total]])</f>
        <v>12</v>
      </c>
      <c r="L1400" s="12">
        <f>VENTAS[[#This Row],[Total]]-VENTAS[[#This Row],[Comisión 10%]]-VENTAS[[#This Row],[Costo SIN Comision]]</f>
        <v>-0.30000000000000071</v>
      </c>
      <c r="M1400" s="12"/>
      <c r="N1400" s="16"/>
    </row>
    <row r="1401" spans="1:14" ht="20" hidden="1" customHeight="1">
      <c r="A1401" s="9"/>
      <c r="B1401" s="10"/>
      <c r="C1401" s="10"/>
      <c r="D1401" s="10" t="s">
        <v>4511</v>
      </c>
      <c r="E1401" s="10" t="s">
        <v>1713</v>
      </c>
      <c r="F1401" s="10" t="str">
        <f>IFERROR(VLOOKUP(VENTAS[[#This Row],[Código del producto Vendido]],STOCK[],5,FALSE),"-")</f>
        <v>Vestido Asimétrico con cuerdas</v>
      </c>
      <c r="G1401" s="10">
        <v>1</v>
      </c>
      <c r="H1401" s="12">
        <v>13</v>
      </c>
      <c r="I1401" s="12">
        <f>VENTAS[[#This Row],[Cantidad]]*VENTAS[[#This Row],[Precio Venta]]</f>
        <v>13</v>
      </c>
      <c r="J1401" s="12">
        <f>IF(VENTAS[[#This Row],[Nombre del Gestor]]&gt;1,VENTAS[[#This Row],[Total]]*10%,0)</f>
        <v>1.3</v>
      </c>
      <c r="K1401" s="12">
        <f>IFERROR(VLOOKUP(VENTAS[[#This Row],[Código del producto Vendido]],STOCK[],16,FALSE)*VENTAS[[#This Row],[Cantidad]]+VLOOKUP(VENTAS[[#This Row],[Código del producto Vendido]],STOCK[],19,FALSE)*VENTAS[[#This Row],[Cantidad]],VENTAS[[#This Row],[Total]])</f>
        <v>12</v>
      </c>
      <c r="L1401" s="12">
        <f>VENTAS[[#This Row],[Total]]-VENTAS[[#This Row],[Comisión 10%]]-VENTAS[[#This Row],[Costo SIN Comision]]</f>
        <v>-0.30000000000000071</v>
      </c>
      <c r="M1401" s="12"/>
      <c r="N1401" s="16"/>
    </row>
    <row r="1402" spans="1:14" ht="20" hidden="1" customHeight="1">
      <c r="A1402" s="9"/>
      <c r="B1402" s="10"/>
      <c r="C1402" s="10"/>
      <c r="D1402" s="10" t="s">
        <v>4511</v>
      </c>
      <c r="E1402" s="10" t="s">
        <v>2590</v>
      </c>
      <c r="F1402" s="10" t="str">
        <f>IFERROR(VLOOKUP(VENTAS[[#This Row],[Código del producto Vendido]],STOCK[],5,FALSE),"-")</f>
        <v>Vestido crochet Playero espalda descubierta</v>
      </c>
      <c r="G1402" s="10">
        <v>1</v>
      </c>
      <c r="H1402" s="12">
        <v>30</v>
      </c>
      <c r="I1402" s="12">
        <f>VENTAS[[#This Row],[Cantidad]]*VENTAS[[#This Row],[Precio Venta]]</f>
        <v>30</v>
      </c>
      <c r="J1402" s="12">
        <f>IF(VENTAS[[#This Row],[Nombre del Gestor]]&gt;1,VENTAS[[#This Row],[Total]]*10%,0)</f>
        <v>3</v>
      </c>
      <c r="K1402" s="12">
        <f>IFERROR(VLOOKUP(VENTAS[[#This Row],[Código del producto Vendido]],STOCK[],16,FALSE)*VENTAS[[#This Row],[Cantidad]]+VLOOKUP(VENTAS[[#This Row],[Código del producto Vendido]],STOCK[],19,FALSE)*VENTAS[[#This Row],[Cantidad]],VENTAS[[#This Row],[Total]])</f>
        <v>14.020000000000001</v>
      </c>
      <c r="L1402" s="12">
        <f>VENTAS[[#This Row],[Total]]-VENTAS[[#This Row],[Comisión 10%]]-VENTAS[[#This Row],[Costo SIN Comision]]</f>
        <v>12.979999999999999</v>
      </c>
      <c r="M1402" s="12"/>
      <c r="N1402" s="16"/>
    </row>
    <row r="1403" spans="1:14" ht="20" hidden="1" customHeight="1">
      <c r="A1403" s="9"/>
      <c r="B1403" s="10"/>
      <c r="C1403" s="10"/>
      <c r="D1403" s="10" t="s">
        <v>4511</v>
      </c>
      <c r="E1403" s="10" t="s">
        <v>718</v>
      </c>
      <c r="F1403" s="10" t="str">
        <f>IFERROR(VLOOKUP(VENTAS[[#This Row],[Código del producto Vendido]],STOCK[],5,FALSE),"-")</f>
        <v>Vestido bodycon</v>
      </c>
      <c r="G1403" s="10">
        <v>1</v>
      </c>
      <c r="H1403" s="12">
        <v>10</v>
      </c>
      <c r="I1403" s="12">
        <f>VENTAS[[#This Row],[Cantidad]]*VENTAS[[#This Row],[Precio Venta]]</f>
        <v>10</v>
      </c>
      <c r="J1403" s="12">
        <f>IF(VENTAS[[#This Row],[Nombre del Gestor]]&gt;1,VENTAS[[#This Row],[Total]]*10%,0)</f>
        <v>1</v>
      </c>
      <c r="K1403" s="12">
        <f>IFERROR(VLOOKUP(VENTAS[[#This Row],[Código del producto Vendido]],STOCK[],16,FALSE)*VENTAS[[#This Row],[Cantidad]]+VLOOKUP(VENTAS[[#This Row],[Código del producto Vendido]],STOCK[],19,FALSE)*VENTAS[[#This Row],[Cantidad]],VENTAS[[#This Row],[Total]])</f>
        <v>5.7222222222222197</v>
      </c>
      <c r="L1403" s="12">
        <f>VENTAS[[#This Row],[Total]]-VENTAS[[#This Row],[Comisión 10%]]-VENTAS[[#This Row],[Costo SIN Comision]]</f>
        <v>3.2777777777777803</v>
      </c>
      <c r="M1403" s="12"/>
      <c r="N1403" s="16"/>
    </row>
    <row r="1404" spans="1:14" ht="20" hidden="1" customHeight="1">
      <c r="A1404" s="9"/>
      <c r="B1404" s="10"/>
      <c r="C1404" s="10"/>
      <c r="D1404" s="10" t="s">
        <v>4511</v>
      </c>
      <c r="E1404" s="10" t="s">
        <v>718</v>
      </c>
      <c r="F1404" s="10" t="str">
        <f>IFERROR(VLOOKUP(VENTAS[[#This Row],[Código del producto Vendido]],STOCK[],5,FALSE),"-")</f>
        <v>Vestido bodycon</v>
      </c>
      <c r="G1404" s="10">
        <v>1</v>
      </c>
      <c r="H1404" s="12">
        <v>10</v>
      </c>
      <c r="I1404" s="12">
        <f>VENTAS[[#This Row],[Cantidad]]*VENTAS[[#This Row],[Precio Venta]]</f>
        <v>10</v>
      </c>
      <c r="J1404" s="12">
        <f>IF(VENTAS[[#This Row],[Nombre del Gestor]]&gt;1,VENTAS[[#This Row],[Total]]*10%,0)</f>
        <v>1</v>
      </c>
      <c r="K1404" s="12">
        <f>IFERROR(VLOOKUP(VENTAS[[#This Row],[Código del producto Vendido]],STOCK[],16,FALSE)*VENTAS[[#This Row],[Cantidad]]+VLOOKUP(VENTAS[[#This Row],[Código del producto Vendido]],STOCK[],19,FALSE)*VENTAS[[#This Row],[Cantidad]],VENTAS[[#This Row],[Total]])</f>
        <v>5.7222222222222197</v>
      </c>
      <c r="L1404" s="12">
        <f>VENTAS[[#This Row],[Total]]-VENTAS[[#This Row],[Comisión 10%]]-VENTAS[[#This Row],[Costo SIN Comision]]</f>
        <v>3.2777777777777803</v>
      </c>
      <c r="M1404" s="12"/>
      <c r="N1404" s="16"/>
    </row>
    <row r="1405" spans="1:14" ht="20" hidden="1" customHeight="1">
      <c r="A1405" s="9"/>
      <c r="B1405" s="10"/>
      <c r="C1405" s="10"/>
      <c r="D1405" s="10" t="s">
        <v>4511</v>
      </c>
      <c r="E1405" s="10" t="s">
        <v>2575</v>
      </c>
      <c r="F1405" s="10" t="str">
        <f>IFERROR(VLOOKUP(VENTAS[[#This Row],[Código del producto Vendido]],STOCK[],5,FALSE),"-")</f>
        <v>Vestido Largo con cinturón fruncido</v>
      </c>
      <c r="G1405" s="10">
        <v>1</v>
      </c>
      <c r="H1405" s="12">
        <v>30</v>
      </c>
      <c r="I1405" s="12">
        <f>VENTAS[[#This Row],[Cantidad]]*VENTAS[[#This Row],[Precio Venta]]</f>
        <v>30</v>
      </c>
      <c r="J1405" s="12">
        <f>IF(VENTAS[[#This Row],[Nombre del Gestor]]&gt;1,VENTAS[[#This Row],[Total]]*10%,0)</f>
        <v>3</v>
      </c>
      <c r="K1405" s="12">
        <f>IFERROR(VLOOKUP(VENTAS[[#This Row],[Código del producto Vendido]],STOCK[],16,FALSE)*VENTAS[[#This Row],[Cantidad]]+VLOOKUP(VENTAS[[#This Row],[Código del producto Vendido]],STOCK[],19,FALSE)*VENTAS[[#This Row],[Cantidad]],VENTAS[[#This Row],[Total]])</f>
        <v>13.66</v>
      </c>
      <c r="L1405" s="12">
        <f>VENTAS[[#This Row],[Total]]-VENTAS[[#This Row],[Comisión 10%]]-VENTAS[[#This Row],[Costo SIN Comision]]</f>
        <v>13.34</v>
      </c>
      <c r="M1405" s="12"/>
      <c r="N1405" s="16"/>
    </row>
    <row r="1406" spans="1:14" ht="20" hidden="1" customHeight="1">
      <c r="A1406" s="9"/>
      <c r="B1406" s="10"/>
      <c r="C1406" s="10"/>
      <c r="D1406" s="10"/>
      <c r="E1406" s="10" t="s">
        <v>2593</v>
      </c>
      <c r="F1406" s="10" t="str">
        <f>IFERROR(VLOOKUP(VENTAS[[#This Row],[Código del producto Vendido]],STOCK[],5,FALSE),"-")</f>
        <v>Vestido crochet Playero espalda descubierta</v>
      </c>
      <c r="G1406" s="10">
        <v>1</v>
      </c>
      <c r="H1406" s="12">
        <v>30</v>
      </c>
      <c r="I1406" s="12">
        <f>VENTAS[[#This Row],[Cantidad]]*VENTAS[[#This Row],[Precio Venta]]</f>
        <v>30</v>
      </c>
      <c r="J1406" s="12">
        <f>IF(VENTAS[[#This Row],[Nombre del Gestor]]&gt;1,VENTAS[[#This Row],[Total]]*10%,0)</f>
        <v>0</v>
      </c>
      <c r="K1406" s="12">
        <f>IFERROR(VLOOKUP(VENTAS[[#This Row],[Código del producto Vendido]],STOCK[],16,FALSE)*VENTAS[[#This Row],[Cantidad]]+VLOOKUP(VENTAS[[#This Row],[Código del producto Vendido]],STOCK[],19,FALSE)*VENTAS[[#This Row],[Cantidad]],VENTAS[[#This Row],[Total]])</f>
        <v>14.020000000000001</v>
      </c>
      <c r="L1406" s="12">
        <f>VENTAS[[#This Row],[Total]]-VENTAS[[#This Row],[Comisión 10%]]-VENTAS[[#This Row],[Costo SIN Comision]]</f>
        <v>15.979999999999999</v>
      </c>
      <c r="M1406" s="12"/>
      <c r="N1406" s="16"/>
    </row>
    <row r="1407" spans="1:14" ht="20" hidden="1" customHeight="1">
      <c r="A1407" s="9">
        <v>45534</v>
      </c>
      <c r="B1407" s="10"/>
      <c r="C1407" s="10"/>
      <c r="D1407" s="10" t="s">
        <v>4374</v>
      </c>
      <c r="E1407" s="10" t="s">
        <v>2100</v>
      </c>
      <c r="F1407" s="10" t="str">
        <f>IFERROR(VLOOKUP(VENTAS[[#This Row],[Código del producto Vendido]],STOCK[],5,FALSE),"-")</f>
        <v>Vestido acanalado de manga larga</v>
      </c>
      <c r="G1407" s="10">
        <v>1</v>
      </c>
      <c r="H1407" s="12">
        <v>25</v>
      </c>
      <c r="I1407" s="12">
        <f>VENTAS[[#This Row],[Cantidad]]*VENTAS[[#This Row],[Precio Venta]]</f>
        <v>25</v>
      </c>
      <c r="J1407" s="12">
        <f>IF(VENTAS[[#This Row],[Nombre del Gestor]]&gt;1,VENTAS[[#This Row],[Total]]*10%,0)</f>
        <v>2.5</v>
      </c>
      <c r="K1407" s="12">
        <f>IFERROR(VLOOKUP(VENTAS[[#This Row],[Código del producto Vendido]],STOCK[],16,FALSE)*VENTAS[[#This Row],[Cantidad]]+VLOOKUP(VENTAS[[#This Row],[Código del producto Vendido]],STOCK[],19,FALSE)*VENTAS[[#This Row],[Cantidad]],VENTAS[[#This Row],[Total]])</f>
        <v>18.100000000000001</v>
      </c>
      <c r="L1407" s="12">
        <f>VENTAS[[#This Row],[Total]]-VENTAS[[#This Row],[Comisión 10%]]-VENTAS[[#This Row],[Costo SIN Comision]]</f>
        <v>4.3999999999999986</v>
      </c>
      <c r="M1407" s="12"/>
      <c r="N1407" s="16"/>
    </row>
    <row r="1408" spans="1:14" ht="20" hidden="1" customHeight="1">
      <c r="A1408" s="9"/>
      <c r="B1408" s="10"/>
      <c r="C1408" s="10" t="s">
        <v>4442</v>
      </c>
      <c r="D1408" s="10"/>
      <c r="E1408" s="10" t="s">
        <v>2666</v>
      </c>
      <c r="F1408" s="10" t="str">
        <f>IFERROR(VLOOKUP(VENTAS[[#This Row],[Código del producto Vendido]],STOCK[],5,FALSE),"-")</f>
        <v>Pullover mariposa multicolor algodón PRIMARK</v>
      </c>
      <c r="G1408" s="10">
        <v>1</v>
      </c>
      <c r="H1408" s="12">
        <v>13</v>
      </c>
      <c r="I1408" s="12">
        <f>VENTAS[[#This Row],[Cantidad]]*VENTAS[[#This Row],[Precio Venta]]</f>
        <v>13</v>
      </c>
      <c r="J1408" s="12">
        <f>IF(VENTAS[[#This Row],[Nombre del Gestor]]&gt;1,VENTAS[[#This Row],[Total]]*10%,0)</f>
        <v>0</v>
      </c>
      <c r="K1408" s="12">
        <f>IFERROR(VLOOKUP(VENTAS[[#This Row],[Código del producto Vendido]],STOCK[],16,FALSE)*VENTAS[[#This Row],[Cantidad]]+VLOOKUP(VENTAS[[#This Row],[Código del producto Vendido]],STOCK[],19,FALSE)*VENTAS[[#This Row],[Cantidad]],VENTAS[[#This Row],[Total]])</f>
        <v>7</v>
      </c>
      <c r="L1408" s="12">
        <f>VENTAS[[#This Row],[Total]]-VENTAS[[#This Row],[Comisión 10%]]-VENTAS[[#This Row],[Costo SIN Comision]]</f>
        <v>6</v>
      </c>
      <c r="M1408" s="12"/>
      <c r="N1408" s="16"/>
    </row>
    <row r="1409" spans="1:14" ht="20" hidden="1" customHeight="1">
      <c r="A1409" s="9">
        <v>45531</v>
      </c>
      <c r="B1409" s="10"/>
      <c r="C1409" s="10" t="s">
        <v>4513</v>
      </c>
      <c r="D1409" s="10" t="s">
        <v>4408</v>
      </c>
      <c r="E1409" s="10" t="s">
        <v>2709</v>
      </c>
      <c r="F1409" s="10" t="str">
        <f>IFERROR(VLOOKUP(VENTAS[[#This Row],[Código del producto Vendido]],STOCK[],5,FALSE),"-")</f>
        <v>Splash de Victoria Secret (Original) Pomegranate &amp; Lotus</v>
      </c>
      <c r="G1409" s="10">
        <v>1</v>
      </c>
      <c r="H1409" s="12">
        <v>22</v>
      </c>
      <c r="I1409" s="12">
        <f>VENTAS[[#This Row],[Cantidad]]*VENTAS[[#This Row],[Precio Venta]]</f>
        <v>22</v>
      </c>
      <c r="J1409" s="12">
        <f>IF(VENTAS[[#This Row],[Nombre del Gestor]]&gt;1,VENTAS[[#This Row],[Total]]*10%,0)</f>
        <v>2.2000000000000002</v>
      </c>
      <c r="K1409" s="12">
        <f>IFERROR(VLOOKUP(VENTAS[[#This Row],[Código del producto Vendido]],STOCK[],16,FALSE)*VENTAS[[#This Row],[Cantidad]]+VLOOKUP(VENTAS[[#This Row],[Código del producto Vendido]],STOCK[],19,FALSE)*VENTAS[[#This Row],[Cantidad]],VENTAS[[#This Row],[Total]])</f>
        <v>9.2200000000000006</v>
      </c>
      <c r="L1409" s="12">
        <f>VENTAS[[#This Row],[Total]]-VENTAS[[#This Row],[Comisión 10%]]-VENTAS[[#This Row],[Costo SIN Comision]]</f>
        <v>10.58</v>
      </c>
      <c r="M1409" s="12"/>
      <c r="N1409" s="16"/>
    </row>
    <row r="1410" spans="1:14" ht="20" hidden="1" customHeight="1">
      <c r="A1410" s="9">
        <v>45533</v>
      </c>
      <c r="B1410" s="9"/>
      <c r="C1410" s="10" t="s">
        <v>4514</v>
      </c>
      <c r="D1410" s="10" t="s">
        <v>4374</v>
      </c>
      <c r="E1410" s="10" t="s">
        <v>1328</v>
      </c>
      <c r="F1410" s="10" t="str">
        <f>IFERROR(VLOOKUP(VENTAS[[#This Row],[Código del producto Vendido]],STOCK[],5,FALSE),"-")</f>
        <v xml:space="preserve">Blusa de manga acampanada </v>
      </c>
      <c r="G1410" s="10">
        <v>1</v>
      </c>
      <c r="H1410" s="12">
        <v>17</v>
      </c>
      <c r="I1410" s="12">
        <f>VENTAS[[#This Row],[Cantidad]]*VENTAS[[#This Row],[Precio Venta]]</f>
        <v>17</v>
      </c>
      <c r="J1410" s="12">
        <f>IF(VENTAS[[#This Row],[Nombre del Gestor]]&gt;1,VENTAS[[#This Row],[Total]]*10%,0)</f>
        <v>1.7000000000000002</v>
      </c>
      <c r="K1410" s="12">
        <f>IFERROR(VLOOKUP(VENTAS[[#This Row],[Código del producto Vendido]],STOCK[],16,FALSE)*VENTAS[[#This Row],[Cantidad]]+VLOOKUP(VENTAS[[#This Row],[Código del producto Vendido]],STOCK[],19,FALSE)*VENTAS[[#This Row],[Cantidad]],VENTAS[[#This Row],[Total]])</f>
        <v>13.239999999999998</v>
      </c>
      <c r="L1410" s="12">
        <f>VENTAS[[#This Row],[Total]]-VENTAS[[#This Row],[Comisión 10%]]-VENTAS[[#This Row],[Costo SIN Comision]]</f>
        <v>2.0600000000000023</v>
      </c>
      <c r="M1410" s="12"/>
      <c r="N1410" s="16"/>
    </row>
    <row r="1411" spans="1:14" ht="20" hidden="1" customHeight="1">
      <c r="A1411" s="9"/>
      <c r="B1411" s="10"/>
      <c r="C1411" s="10" t="s">
        <v>4318</v>
      </c>
      <c r="D1411" s="10"/>
      <c r="E1411" s="10" t="s">
        <v>1505</v>
      </c>
      <c r="F1411" s="10" t="str">
        <f>IFERROR(VLOOKUP(VENTAS[[#This Row],[Código del producto Vendido]],STOCK[],5,FALSE),"-")</f>
        <v>Pullover Dazy cuello redondo Blanco</v>
      </c>
      <c r="G1411" s="10">
        <v>1</v>
      </c>
      <c r="H1411" s="12">
        <v>13</v>
      </c>
      <c r="I1411" s="12">
        <f>VENTAS[[#This Row],[Cantidad]]*VENTAS[[#This Row],[Precio Venta]]</f>
        <v>13</v>
      </c>
      <c r="J1411" s="12">
        <f>IF(VENTAS[[#This Row],[Nombre del Gestor]]&gt;1,VENTAS[[#This Row],[Total]]*10%,0)</f>
        <v>0</v>
      </c>
      <c r="K1411" s="12">
        <f>IFERROR(VLOOKUP(VENTAS[[#This Row],[Código del producto Vendido]],STOCK[],16,FALSE)*VENTAS[[#This Row],[Cantidad]]+VLOOKUP(VENTAS[[#This Row],[Código del producto Vendido]],STOCK[],19,FALSE)*VENTAS[[#This Row],[Cantidad]],VENTAS[[#This Row],[Total]])</f>
        <v>7.5</v>
      </c>
      <c r="L1411" s="12">
        <f>VENTAS[[#This Row],[Total]]-VENTAS[[#This Row],[Comisión 10%]]-VENTAS[[#This Row],[Costo SIN Comision]]</f>
        <v>5.5</v>
      </c>
      <c r="M1411" s="12"/>
      <c r="N1411" s="16"/>
    </row>
    <row r="1412" spans="1:14" ht="20" hidden="1" customHeight="1">
      <c r="A1412" s="9">
        <v>45533</v>
      </c>
      <c r="B1412" s="10"/>
      <c r="C1412" s="10" t="s">
        <v>4514</v>
      </c>
      <c r="D1412" s="10" t="s">
        <v>4374</v>
      </c>
      <c r="E1412" s="10" t="s">
        <v>1731</v>
      </c>
      <c r="F1412" s="10" t="str">
        <f>IFERROR(VLOOKUP(VENTAS[[#This Row],[Código del producto Vendido]],STOCK[],5,FALSE),"-")</f>
        <v>Chaleco de traje Crema</v>
      </c>
      <c r="G1412" s="10">
        <v>1</v>
      </c>
      <c r="H1412" s="12">
        <v>25</v>
      </c>
      <c r="I1412" s="12">
        <f>VENTAS[[#This Row],[Cantidad]]*VENTAS[[#This Row],[Precio Venta]]</f>
        <v>25</v>
      </c>
      <c r="J1412" s="12">
        <f>IF(VENTAS[[#This Row],[Nombre del Gestor]]&gt;1,VENTAS[[#This Row],[Total]]*10%,0)</f>
        <v>2.5</v>
      </c>
      <c r="K1412" s="12">
        <f>IFERROR(VLOOKUP(VENTAS[[#This Row],[Código del producto Vendido]],STOCK[],16,FALSE)*VENTAS[[#This Row],[Cantidad]]+VLOOKUP(VENTAS[[#This Row],[Código del producto Vendido]],STOCK[],19,FALSE)*VENTAS[[#This Row],[Cantidad]],VENTAS[[#This Row],[Total]])</f>
        <v>17.9411764705882</v>
      </c>
      <c r="L1412" s="12">
        <f>VENTAS[[#This Row],[Total]]-VENTAS[[#This Row],[Comisión 10%]]-VENTAS[[#This Row],[Costo SIN Comision]]</f>
        <v>4.5588235294118</v>
      </c>
      <c r="M1412" s="12"/>
      <c r="N1412" s="16"/>
    </row>
    <row r="1413" spans="1:14" ht="20" hidden="1" customHeight="1">
      <c r="A1413" s="9">
        <v>45536</v>
      </c>
      <c r="B1413" s="10"/>
      <c r="C1413" s="10"/>
      <c r="D1413" s="10" t="s">
        <v>4349</v>
      </c>
      <c r="E1413" s="10" t="s">
        <v>2454</v>
      </c>
      <c r="F1413" s="10" t="str">
        <f>IFERROR(VLOOKUP(VENTAS[[#This Row],[Código del producto Vendido]],STOCK[],5,FALSE),"-")</f>
        <v>Sandalias carmelitas de moda con correa de velcro</v>
      </c>
      <c r="G1413" s="10">
        <v>1</v>
      </c>
      <c r="H1413" s="12">
        <v>35</v>
      </c>
      <c r="I1413" s="12">
        <f>VENTAS[[#This Row],[Cantidad]]*VENTAS[[#This Row],[Precio Venta]]</f>
        <v>35</v>
      </c>
      <c r="J1413" s="12">
        <f>IF(VENTAS[[#This Row],[Nombre del Gestor]]&gt;1,VENTAS[[#This Row],[Total]]*10%,0)</f>
        <v>3.5</v>
      </c>
      <c r="K1413" s="12">
        <f>IFERROR(VLOOKUP(VENTAS[[#This Row],[Código del producto Vendido]],STOCK[],16,FALSE)*VENTAS[[#This Row],[Cantidad]]+VLOOKUP(VENTAS[[#This Row],[Código del producto Vendido]],STOCK[],19,FALSE)*VENTAS[[#This Row],[Cantidad]],VENTAS[[#This Row],[Total]])</f>
        <v>19.47</v>
      </c>
      <c r="L1413" s="12">
        <f>VENTAS[[#This Row],[Total]]-VENTAS[[#This Row],[Comisión 10%]]-VENTAS[[#This Row],[Costo SIN Comision]]</f>
        <v>12.030000000000001</v>
      </c>
      <c r="M1413" s="12"/>
      <c r="N1413" s="16"/>
    </row>
    <row r="1414" spans="1:14" ht="20" hidden="1" customHeight="1">
      <c r="A1414" s="9">
        <v>45536</v>
      </c>
      <c r="B1414" s="10"/>
      <c r="C1414" s="10"/>
      <c r="D1414" s="10" t="s">
        <v>4184</v>
      </c>
      <c r="E1414" s="10" t="s">
        <v>1440</v>
      </c>
      <c r="F1414" s="10" t="str">
        <f>IFERROR(VLOOKUP(VENTAS[[#This Row],[Código del producto Vendido]],STOCK[],5,FALSE),"-")</f>
        <v>Sandalias negras acolchadas Marca F21</v>
      </c>
      <c r="G1414" s="10">
        <v>1</v>
      </c>
      <c r="H1414" s="12">
        <v>27</v>
      </c>
      <c r="I1414" s="12">
        <f>VENTAS[[#This Row],[Cantidad]]*VENTAS[[#This Row],[Precio Venta]]</f>
        <v>27</v>
      </c>
      <c r="J1414" s="12">
        <f>IF(VENTAS[[#This Row],[Nombre del Gestor]]&gt;1,VENTAS[[#This Row],[Total]]*10%,0)</f>
        <v>2.7</v>
      </c>
      <c r="K1414" s="12">
        <f>IFERROR(VLOOKUP(VENTAS[[#This Row],[Código del producto Vendido]],STOCK[],16,FALSE)*VENTAS[[#This Row],[Cantidad]]+VLOOKUP(VENTAS[[#This Row],[Código del producto Vendido]],STOCK[],19,FALSE)*VENTAS[[#This Row],[Cantidad]],VENTAS[[#This Row],[Total]])</f>
        <v>12.49</v>
      </c>
      <c r="L1414" s="12">
        <f>VENTAS[[#This Row],[Total]]-VENTAS[[#This Row],[Comisión 10%]]-VENTAS[[#This Row],[Costo SIN Comision]]</f>
        <v>11.81</v>
      </c>
      <c r="M1414" s="12"/>
      <c r="N1414" s="16"/>
    </row>
    <row r="1415" spans="1:14" ht="20" hidden="1" customHeight="1">
      <c r="A1415" s="9">
        <v>45536</v>
      </c>
      <c r="B1415" s="10"/>
      <c r="C1415" s="10" t="s">
        <v>4386</v>
      </c>
      <c r="D1415" s="10" t="s">
        <v>4408</v>
      </c>
      <c r="E1415" s="10" t="s">
        <v>2704</v>
      </c>
      <c r="F1415" s="10" t="str">
        <f>IFERROR(VLOOKUP(VENTAS[[#This Row],[Código del producto Vendido]],STOCK[],5,FALSE),"-")</f>
        <v xml:space="preserve"> Splash de Victoria Secret (Original) Strawberries &amp; Champagne</v>
      </c>
      <c r="G1415" s="10">
        <v>1</v>
      </c>
      <c r="H1415" s="12">
        <v>22</v>
      </c>
      <c r="I1415" s="12">
        <f>VENTAS[[#This Row],[Cantidad]]*VENTAS[[#This Row],[Precio Venta]]</f>
        <v>22</v>
      </c>
      <c r="J1415" s="12">
        <f>IF(VENTAS[[#This Row],[Nombre del Gestor]]&gt;1,VENTAS[[#This Row],[Total]]*10%,0)</f>
        <v>2.2000000000000002</v>
      </c>
      <c r="K1415" s="12">
        <f>IFERROR(VLOOKUP(VENTAS[[#This Row],[Código del producto Vendido]],STOCK[],16,FALSE)*VENTAS[[#This Row],[Cantidad]]+VLOOKUP(VENTAS[[#This Row],[Código del producto Vendido]],STOCK[],19,FALSE)*VENTAS[[#This Row],[Cantidad]],VENTAS[[#This Row],[Total]])</f>
        <v>9.2200000000000006</v>
      </c>
      <c r="L1415" s="12">
        <f>VENTAS[[#This Row],[Total]]-VENTAS[[#This Row],[Comisión 10%]]-VENTAS[[#This Row],[Costo SIN Comision]]</f>
        <v>10.58</v>
      </c>
      <c r="M1415" s="12"/>
      <c r="N1415" s="16"/>
    </row>
    <row r="1416" spans="1:14" ht="20" hidden="1" customHeight="1">
      <c r="A1416" s="9">
        <v>45534</v>
      </c>
      <c r="B1416" s="10"/>
      <c r="C1416" s="10"/>
      <c r="D1416" s="10" t="s">
        <v>4330</v>
      </c>
      <c r="E1416" s="10" t="s">
        <v>2687</v>
      </c>
      <c r="F1416" s="10" t="str">
        <f>IFERROR(VLOOKUP(VENTAS[[#This Row],[Código del producto Vendido]],STOCK[],5,FALSE),"-")</f>
        <v>Camisa verde oversize</v>
      </c>
      <c r="G1416" s="10">
        <v>0</v>
      </c>
      <c r="H1416" s="12">
        <v>22</v>
      </c>
      <c r="I1416" s="12">
        <f>VENTAS[[#This Row],[Cantidad]]*VENTAS[[#This Row],[Precio Venta]]</f>
        <v>0</v>
      </c>
      <c r="J1416" s="12">
        <f>IF(VENTAS[[#This Row],[Nombre del Gestor]]&gt;1,VENTAS[[#This Row],[Total]]*10%,0)</f>
        <v>0</v>
      </c>
      <c r="K1416" s="12">
        <f>IFERROR(VLOOKUP(VENTAS[[#This Row],[Código del producto Vendido]],STOCK[],16,FALSE)*VENTAS[[#This Row],[Cantidad]]+VLOOKUP(VENTAS[[#This Row],[Código del producto Vendido]],STOCK[],19,FALSE)*VENTAS[[#This Row],[Cantidad]],VENTAS[[#This Row],[Total]])</f>
        <v>0</v>
      </c>
      <c r="L1416" s="12">
        <f>VENTAS[[#This Row],[Total]]-VENTAS[[#This Row],[Comisión 10%]]-VENTAS[[#This Row],[Costo SIN Comision]]</f>
        <v>0</v>
      </c>
      <c r="M1416" s="12"/>
      <c r="N1416" s="16"/>
    </row>
    <row r="1417" spans="1:14" ht="20" hidden="1" customHeight="1">
      <c r="A1417" s="9">
        <v>45536</v>
      </c>
      <c r="B1417" s="10"/>
      <c r="C1417" s="10"/>
      <c r="D1417" s="10" t="s">
        <v>4380</v>
      </c>
      <c r="E1417" s="10" t="s">
        <v>2659</v>
      </c>
      <c r="F1417" s="10" t="str">
        <f>IFERROR(VLOOKUP(VENTAS[[#This Row],[Código del producto Vendido]],STOCK[],5,FALSE),"-")</f>
        <v>Sandalias de hebilla Pull&amp;Bear</v>
      </c>
      <c r="G1417" s="10">
        <v>1</v>
      </c>
      <c r="H1417" s="12">
        <v>40</v>
      </c>
      <c r="I1417" s="12">
        <f>VENTAS[[#This Row],[Cantidad]]*VENTAS[[#This Row],[Precio Venta]]</f>
        <v>40</v>
      </c>
      <c r="J1417" s="12">
        <f>IF(VENTAS[[#This Row],[Nombre del Gestor]]&gt;1,VENTAS[[#This Row],[Total]]*10%,0)</f>
        <v>4</v>
      </c>
      <c r="K1417" s="12">
        <f>IFERROR(VLOOKUP(VENTAS[[#This Row],[Código del producto Vendido]],STOCK[],16,FALSE)*VENTAS[[#This Row],[Cantidad]]+VLOOKUP(VENTAS[[#This Row],[Código del producto Vendido]],STOCK[],19,FALSE)*VENTAS[[#This Row],[Cantidad]],VENTAS[[#This Row],[Total]])</f>
        <v>28</v>
      </c>
      <c r="L1417" s="12">
        <f>VENTAS[[#This Row],[Total]]-VENTAS[[#This Row],[Comisión 10%]]-VENTAS[[#This Row],[Costo SIN Comision]]</f>
        <v>8</v>
      </c>
      <c r="M1417" s="12"/>
      <c r="N1417" s="16"/>
    </row>
    <row r="1418" spans="1:14" ht="20" hidden="1" customHeight="1">
      <c r="A1418" s="9">
        <v>45534</v>
      </c>
      <c r="B1418" s="10"/>
      <c r="C1418" s="10"/>
      <c r="D1418" s="10" t="s">
        <v>4330</v>
      </c>
      <c r="E1418" s="10" t="s">
        <v>2647</v>
      </c>
      <c r="F1418" s="10" t="str">
        <f>IFERROR(VLOOKUP(VENTAS[[#This Row],[Código del producto Vendido]],STOCK[],5,FALSE),"-")</f>
        <v>Camisa Oversize en mezcla de lino H&amp;M</v>
      </c>
      <c r="G1418" s="10">
        <v>0</v>
      </c>
      <c r="H1418" s="12">
        <v>25</v>
      </c>
      <c r="I1418" s="12">
        <f>VENTAS[[#This Row],[Cantidad]]*VENTAS[[#This Row],[Precio Venta]]</f>
        <v>0</v>
      </c>
      <c r="J1418" s="12">
        <f>IF(VENTAS[[#This Row],[Nombre del Gestor]]&gt;1,VENTAS[[#This Row],[Total]]*10%,0)</f>
        <v>0</v>
      </c>
      <c r="K1418" s="12">
        <f>IFERROR(VLOOKUP(VENTAS[[#This Row],[Código del producto Vendido]],STOCK[],16,FALSE)*VENTAS[[#This Row],[Cantidad]]+VLOOKUP(VENTAS[[#This Row],[Código del producto Vendido]],STOCK[],19,FALSE)*VENTAS[[#This Row],[Cantidad]],VENTAS[[#This Row],[Total]])</f>
        <v>0</v>
      </c>
      <c r="L1418" s="12">
        <f>VENTAS[[#This Row],[Total]]-VENTAS[[#This Row],[Comisión 10%]]-VENTAS[[#This Row],[Costo SIN Comision]]</f>
        <v>0</v>
      </c>
      <c r="M1418" s="12"/>
      <c r="N1418" s="16"/>
    </row>
    <row r="1419" spans="1:14" ht="20" hidden="1" customHeight="1">
      <c r="A1419" s="9">
        <v>45536</v>
      </c>
      <c r="B1419" s="10"/>
      <c r="C1419" s="10"/>
      <c r="D1419" s="10" t="s">
        <v>4320</v>
      </c>
      <c r="E1419" s="10" t="s">
        <v>2115</v>
      </c>
      <c r="F1419" s="10" t="str">
        <f>IFERROR(VLOOKUP(VENTAS[[#This Row],[Código del producto Vendido]],STOCK[],5,FALSE),"-")</f>
        <v>Flor TOTE fashion bag</v>
      </c>
      <c r="G1419" s="10">
        <v>0</v>
      </c>
      <c r="H1419" s="12">
        <v>12</v>
      </c>
      <c r="I1419" s="12">
        <f>VENTAS[[#This Row],[Cantidad]]*VENTAS[[#This Row],[Precio Venta]]</f>
        <v>0</v>
      </c>
      <c r="J1419" s="12">
        <f>IF(VENTAS[[#This Row],[Nombre del Gestor]]&gt;1,VENTAS[[#This Row],[Total]]*10%,0)</f>
        <v>0</v>
      </c>
      <c r="K1419" s="12">
        <f>IFERROR(VLOOKUP(VENTAS[[#This Row],[Código del producto Vendido]],STOCK[],16,FALSE)*VENTAS[[#This Row],[Cantidad]]+VLOOKUP(VENTAS[[#This Row],[Código del producto Vendido]],STOCK[],19,FALSE)*VENTAS[[#This Row],[Cantidad]],VENTAS[[#This Row],[Total]])</f>
        <v>0</v>
      </c>
      <c r="L1419" s="12">
        <f>VENTAS[[#This Row],[Total]]-VENTAS[[#This Row],[Comisión 10%]]-VENTAS[[#This Row],[Costo SIN Comision]]</f>
        <v>0</v>
      </c>
      <c r="M1419" s="12"/>
      <c r="N1419" s="16"/>
    </row>
    <row r="1420" spans="1:14" ht="20" hidden="1" customHeight="1">
      <c r="A1420" s="9"/>
      <c r="B1420" s="10"/>
      <c r="C1420" s="10" t="s">
        <v>4318</v>
      </c>
      <c r="D1420" s="10"/>
      <c r="E1420" s="10" t="s">
        <v>1784</v>
      </c>
      <c r="F1420" s="10" t="str">
        <f>IFERROR(VLOOKUP(VENTAS[[#This Row],[Código del producto Vendido]],STOCK[],5,FALSE),"-")</f>
        <v>Cinturón de hebilla redonda</v>
      </c>
      <c r="G1420" s="10">
        <v>1</v>
      </c>
      <c r="H1420" s="12">
        <v>10</v>
      </c>
      <c r="I1420" s="12">
        <f>VENTAS[[#This Row],[Cantidad]]*VENTAS[[#This Row],[Precio Venta]]</f>
        <v>10</v>
      </c>
      <c r="J1420" s="12">
        <f>IF(VENTAS[[#This Row],[Nombre del Gestor]]&gt;1,VENTAS[[#This Row],[Total]]*10%,0)</f>
        <v>0</v>
      </c>
      <c r="K1420" s="12">
        <f>IFERROR(VLOOKUP(VENTAS[[#This Row],[Código del producto Vendido]],STOCK[],16,FALSE)*VENTAS[[#This Row],[Cantidad]]+VLOOKUP(VENTAS[[#This Row],[Código del producto Vendido]],STOCK[],19,FALSE)*VENTAS[[#This Row],[Cantidad]],VENTAS[[#This Row],[Total]])</f>
        <v>3.8235294117647101</v>
      </c>
      <c r="L1420" s="12">
        <f>VENTAS[[#This Row],[Total]]-VENTAS[[#This Row],[Comisión 10%]]-VENTAS[[#This Row],[Costo SIN Comision]]</f>
        <v>6.1764705882352899</v>
      </c>
      <c r="M1420" s="12"/>
      <c r="N1420" s="16"/>
    </row>
    <row r="1421" spans="1:14" ht="20" hidden="1" customHeight="1">
      <c r="A1421" s="9">
        <v>45534</v>
      </c>
      <c r="B1421" s="10"/>
      <c r="C1421" s="10" t="s">
        <v>4494</v>
      </c>
      <c r="D1421" s="10" t="s">
        <v>4320</v>
      </c>
      <c r="E1421" s="10" t="s">
        <v>2596</v>
      </c>
      <c r="F1421" s="10" t="str">
        <f>IFERROR(VLOOKUP(VENTAS[[#This Row],[Código del producto Vendido]],STOCK[],5,FALSE),"-")</f>
        <v>Falda larga de visillo con maxi estampado de flor</v>
      </c>
      <c r="G1421" s="10">
        <v>0</v>
      </c>
      <c r="H1421" s="12">
        <v>25</v>
      </c>
      <c r="I1421" s="12">
        <f>VENTAS[[#This Row],[Cantidad]]*VENTAS[[#This Row],[Precio Venta]]</f>
        <v>0</v>
      </c>
      <c r="J1421" s="12">
        <f>IF(VENTAS[[#This Row],[Nombre del Gestor]]&gt;1,VENTAS[[#This Row],[Total]]*10%,0)</f>
        <v>0</v>
      </c>
      <c r="K1421" s="12">
        <f>IFERROR(VLOOKUP(VENTAS[[#This Row],[Código del producto Vendido]],STOCK[],16,FALSE)*VENTAS[[#This Row],[Cantidad]]+VLOOKUP(VENTAS[[#This Row],[Código del producto Vendido]],STOCK[],19,FALSE)*VENTAS[[#This Row],[Cantidad]],VENTAS[[#This Row],[Total]])</f>
        <v>0</v>
      </c>
      <c r="L1421" s="12">
        <f>VENTAS[[#This Row],[Total]]-VENTAS[[#This Row],[Comisión 10%]]-VENTAS[[#This Row],[Costo SIN Comision]]</f>
        <v>0</v>
      </c>
      <c r="M1421" s="12"/>
      <c r="N1421" s="16"/>
    </row>
    <row r="1422" spans="1:14" ht="20" hidden="1" customHeight="1">
      <c r="A1422" s="9">
        <v>45534</v>
      </c>
      <c r="B1422" s="10"/>
      <c r="C1422" s="10" t="s">
        <v>4514</v>
      </c>
      <c r="D1422" s="10" t="s">
        <v>4374</v>
      </c>
      <c r="E1422" s="10" t="s">
        <v>2512</v>
      </c>
      <c r="F1422" s="10" t="str">
        <f>IFERROR(VLOOKUP(VENTAS[[#This Row],[Código del producto Vendido]],STOCK[],5,FALSE),"-")</f>
        <v>Camisa elegante de listas</v>
      </c>
      <c r="G1422" s="10">
        <v>1</v>
      </c>
      <c r="H1422" s="12">
        <v>22</v>
      </c>
      <c r="I1422" s="12">
        <f>VENTAS[[#This Row],[Cantidad]]*VENTAS[[#This Row],[Precio Venta]]</f>
        <v>22</v>
      </c>
      <c r="J1422" s="12">
        <f>IF(VENTAS[[#This Row],[Nombre del Gestor]]&gt;1,VENTAS[[#This Row],[Total]]*10%,0)</f>
        <v>2.2000000000000002</v>
      </c>
      <c r="K1422" s="12">
        <f>IFERROR(VLOOKUP(VENTAS[[#This Row],[Código del producto Vendido]],STOCK[],16,FALSE)*VENTAS[[#This Row],[Cantidad]]+VLOOKUP(VENTAS[[#This Row],[Código del producto Vendido]],STOCK[],19,FALSE)*VENTAS[[#This Row],[Cantidad]],VENTAS[[#This Row],[Total]])</f>
        <v>11.3</v>
      </c>
      <c r="L1422" s="12">
        <f>VENTAS[[#This Row],[Total]]-VENTAS[[#This Row],[Comisión 10%]]-VENTAS[[#This Row],[Costo SIN Comision]]</f>
        <v>8.5</v>
      </c>
      <c r="M1422" s="12"/>
      <c r="N1422" s="16"/>
    </row>
    <row r="1423" spans="1:14" ht="20" hidden="1" customHeight="1">
      <c r="A1423" s="9">
        <v>45534</v>
      </c>
      <c r="B1423" s="10"/>
      <c r="C1423" s="10"/>
      <c r="D1423" s="10" t="s">
        <v>4380</v>
      </c>
      <c r="E1423" s="10" t="s">
        <v>2534</v>
      </c>
      <c r="F1423" s="10" t="str">
        <f>IFERROR(VLOOKUP(VENTAS[[#This Row],[Código del producto Vendido]],STOCK[],5,FALSE),"-")</f>
        <v>Pullover corto unicolor carmelita</v>
      </c>
      <c r="G1423" s="10">
        <v>1</v>
      </c>
      <c r="H1423" s="12">
        <v>10</v>
      </c>
      <c r="I1423" s="12">
        <f>VENTAS[[#This Row],[Cantidad]]*VENTAS[[#This Row],[Precio Venta]]</f>
        <v>10</v>
      </c>
      <c r="J1423" s="12">
        <f>IF(VENTAS[[#This Row],[Nombre del Gestor]]&gt;1,VENTAS[[#This Row],[Total]]*10%,0)</f>
        <v>1</v>
      </c>
      <c r="K1423" s="12">
        <f>IFERROR(VLOOKUP(VENTAS[[#This Row],[Código del producto Vendido]],STOCK[],16,FALSE)*VENTAS[[#This Row],[Cantidad]]+VLOOKUP(VENTAS[[#This Row],[Código del producto Vendido]],STOCK[],19,FALSE)*VENTAS[[#This Row],[Cantidad]],VENTAS[[#This Row],[Total]])</f>
        <v>4.32</v>
      </c>
      <c r="L1423" s="12">
        <f>VENTAS[[#This Row],[Total]]-VENTAS[[#This Row],[Comisión 10%]]-VENTAS[[#This Row],[Costo SIN Comision]]</f>
        <v>4.68</v>
      </c>
      <c r="M1423" s="12"/>
      <c r="N1423" s="16"/>
    </row>
    <row r="1424" spans="1:14" ht="20" hidden="1" customHeight="1">
      <c r="A1424" s="9">
        <v>45534</v>
      </c>
      <c r="B1424" s="10"/>
      <c r="C1424" s="10"/>
      <c r="D1424" s="10" t="s">
        <v>4380</v>
      </c>
      <c r="E1424" s="10" t="s">
        <v>2538</v>
      </c>
      <c r="F1424" s="10" t="str">
        <f>IFERROR(VLOOKUP(VENTAS[[#This Row],[Código del producto Vendido]],STOCK[],5,FALSE),"-")</f>
        <v>Pullover corto unicolor blanco</v>
      </c>
      <c r="G1424" s="10">
        <v>1</v>
      </c>
      <c r="H1424" s="12">
        <v>10</v>
      </c>
      <c r="I1424" s="12">
        <f>VENTAS[[#This Row],[Cantidad]]*VENTAS[[#This Row],[Precio Venta]]</f>
        <v>10</v>
      </c>
      <c r="J1424" s="12">
        <f>IF(VENTAS[[#This Row],[Nombre del Gestor]]&gt;1,VENTAS[[#This Row],[Total]]*10%,0)</f>
        <v>1</v>
      </c>
      <c r="K1424" s="12">
        <f>IFERROR(VLOOKUP(VENTAS[[#This Row],[Código del producto Vendido]],STOCK[],16,FALSE)*VENTAS[[#This Row],[Cantidad]]+VLOOKUP(VENTAS[[#This Row],[Código del producto Vendido]],STOCK[],19,FALSE)*VENTAS[[#This Row],[Cantidad]],VENTAS[[#This Row],[Total]])</f>
        <v>4.32</v>
      </c>
      <c r="L1424" s="12">
        <f>VENTAS[[#This Row],[Total]]-VENTAS[[#This Row],[Comisión 10%]]-VENTAS[[#This Row],[Costo SIN Comision]]</f>
        <v>4.68</v>
      </c>
      <c r="M1424" s="12"/>
      <c r="N1424" s="16"/>
    </row>
    <row r="1425" spans="1:14" ht="20" hidden="1" customHeight="1">
      <c r="A1425" s="9">
        <v>45540</v>
      </c>
      <c r="B1425" s="10"/>
      <c r="C1425" s="10" t="s">
        <v>4515</v>
      </c>
      <c r="D1425" s="10" t="s">
        <v>4408</v>
      </c>
      <c r="E1425" s="10" t="s">
        <v>497</v>
      </c>
      <c r="F1425" s="10" t="str">
        <f>IFERROR(VLOOKUP(VENTAS[[#This Row],[Código del producto Vendido]],STOCK[],5,FALSE),"-")</f>
        <v>Bikini estampado de cebra</v>
      </c>
      <c r="G1425" s="10">
        <v>1</v>
      </c>
      <c r="H1425" s="12">
        <v>12</v>
      </c>
      <c r="I1425" s="12">
        <f>VENTAS[[#This Row],[Cantidad]]*VENTAS[[#This Row],[Precio Venta]]</f>
        <v>12</v>
      </c>
      <c r="J1425" s="12">
        <f>IF(VENTAS[[#This Row],[Nombre del Gestor]]&gt;1,VENTAS[[#This Row],[Total]]*10%,0)</f>
        <v>1.2000000000000002</v>
      </c>
      <c r="K1425" s="12">
        <f>IFERROR(VLOOKUP(VENTAS[[#This Row],[Código del producto Vendido]],STOCK[],16,FALSE)*VENTAS[[#This Row],[Cantidad]]+VLOOKUP(VENTAS[[#This Row],[Código del producto Vendido]],STOCK[],19,FALSE)*VENTAS[[#This Row],[Cantidad]],VENTAS[[#This Row],[Total]])</f>
        <v>8.7872222222222209</v>
      </c>
      <c r="L1425" s="12">
        <f>VENTAS[[#This Row],[Total]]-VENTAS[[#This Row],[Comisión 10%]]-VENTAS[[#This Row],[Costo SIN Comision]]</f>
        <v>2.0127777777777798</v>
      </c>
      <c r="M1425" s="12"/>
      <c r="N1425" s="16"/>
    </row>
    <row r="1426" spans="1:14" ht="20" hidden="1" customHeight="1">
      <c r="A1426" s="9">
        <v>45540</v>
      </c>
      <c r="B1426" s="10"/>
      <c r="C1426" s="10" t="s">
        <v>4516</v>
      </c>
      <c r="D1426" s="10" t="s">
        <v>4408</v>
      </c>
      <c r="E1426" s="10" t="s">
        <v>816</v>
      </c>
      <c r="F1426" s="10" t="str">
        <f>IFERROR(VLOOKUP(VENTAS[[#This Row],[Código del producto Vendido]],STOCK[],5,FALSE),"-")</f>
        <v>Blusa verde menta vuelos</v>
      </c>
      <c r="G1426" s="10">
        <v>1</v>
      </c>
      <c r="H1426" s="12">
        <v>10</v>
      </c>
      <c r="I1426" s="12">
        <f>VENTAS[[#This Row],[Cantidad]]*VENTAS[[#This Row],[Precio Venta]]</f>
        <v>10</v>
      </c>
      <c r="J1426" s="12">
        <f>IF(VENTAS[[#This Row],[Nombre del Gestor]]&gt;1,VENTAS[[#This Row],[Total]]*10%,0)</f>
        <v>1</v>
      </c>
      <c r="K1426" s="12">
        <f>IFERROR(VLOOKUP(VENTAS[[#This Row],[Código del producto Vendido]],STOCK[],16,FALSE)*VENTAS[[#This Row],[Cantidad]]+VLOOKUP(VENTAS[[#This Row],[Código del producto Vendido]],STOCK[],19,FALSE)*VENTAS[[#This Row],[Cantidad]],VENTAS[[#This Row],[Total]])</f>
        <v>6.7777777777777803</v>
      </c>
      <c r="L1426" s="12">
        <f>VENTAS[[#This Row],[Total]]-VENTAS[[#This Row],[Comisión 10%]]-VENTAS[[#This Row],[Costo SIN Comision]]</f>
        <v>2.2222222222222197</v>
      </c>
      <c r="M1426" s="12"/>
      <c r="N1426" s="16"/>
    </row>
    <row r="1427" spans="1:14" ht="20" hidden="1" customHeight="1">
      <c r="A1427" s="9">
        <v>45540</v>
      </c>
      <c r="B1427" s="10"/>
      <c r="C1427" s="10" t="s">
        <v>4517</v>
      </c>
      <c r="D1427" s="10" t="s">
        <v>4392</v>
      </c>
      <c r="E1427" s="10" t="s">
        <v>816</v>
      </c>
      <c r="F1427" s="10" t="str">
        <f>IFERROR(VLOOKUP(VENTAS[[#This Row],[Código del producto Vendido]],STOCK[],5,FALSE),"-")</f>
        <v>Blusa verde menta vuelos</v>
      </c>
      <c r="G1427" s="10">
        <v>1</v>
      </c>
      <c r="H1427" s="12">
        <v>10</v>
      </c>
      <c r="I1427" s="12">
        <f>VENTAS[[#This Row],[Cantidad]]*VENTAS[[#This Row],[Precio Venta]]</f>
        <v>10</v>
      </c>
      <c r="J1427" s="12">
        <f>IF(VENTAS[[#This Row],[Nombre del Gestor]]&gt;1,VENTAS[[#This Row],[Total]]*10%,0)</f>
        <v>1</v>
      </c>
      <c r="K1427" s="12">
        <f>IFERROR(VLOOKUP(VENTAS[[#This Row],[Código del producto Vendido]],STOCK[],16,FALSE)*VENTAS[[#This Row],[Cantidad]]+VLOOKUP(VENTAS[[#This Row],[Código del producto Vendido]],STOCK[],19,FALSE)*VENTAS[[#This Row],[Cantidad]],VENTAS[[#This Row],[Total]])</f>
        <v>6.7777777777777803</v>
      </c>
      <c r="L1427" s="12">
        <f>VENTAS[[#This Row],[Total]]-VENTAS[[#This Row],[Comisión 10%]]-VENTAS[[#This Row],[Costo SIN Comision]]</f>
        <v>2.2222222222222197</v>
      </c>
      <c r="M1427" s="12"/>
      <c r="N1427" s="16"/>
    </row>
    <row r="1428" spans="1:14" ht="20" hidden="1" customHeight="1">
      <c r="A1428" s="9">
        <v>45539</v>
      </c>
      <c r="B1428" s="10"/>
      <c r="C1428" s="10" t="s">
        <v>4497</v>
      </c>
      <c r="D1428" s="10" t="s">
        <v>4392</v>
      </c>
      <c r="E1428" s="10" t="s">
        <v>2617</v>
      </c>
      <c r="F1428" s="10" t="str">
        <f>IFERROR(VLOOKUP(VENTAS[[#This Row],[Código del producto Vendido]],STOCK[],5,FALSE),"-")</f>
        <v>Vestido Blanco en Bordado Inglés</v>
      </c>
      <c r="G1428" s="10">
        <v>0</v>
      </c>
      <c r="H1428" s="12">
        <v>25</v>
      </c>
      <c r="I1428" s="12">
        <f>VENTAS[[#This Row],[Cantidad]]*VENTAS[[#This Row],[Precio Venta]]</f>
        <v>0</v>
      </c>
      <c r="J1428" s="12">
        <f>IF(VENTAS[[#This Row],[Nombre del Gestor]]&gt;1,VENTAS[[#This Row],[Total]]*10%,0)</f>
        <v>0</v>
      </c>
      <c r="K1428" s="12">
        <f>IFERROR(VLOOKUP(VENTAS[[#This Row],[Código del producto Vendido]],STOCK[],16,FALSE)*VENTAS[[#This Row],[Cantidad]]+VLOOKUP(VENTAS[[#This Row],[Código del producto Vendido]],STOCK[],19,FALSE)*VENTAS[[#This Row],[Cantidad]],VENTAS[[#This Row],[Total]])</f>
        <v>0</v>
      </c>
      <c r="L1428" s="12">
        <f>VENTAS[[#This Row],[Total]]-VENTAS[[#This Row],[Comisión 10%]]-VENTAS[[#This Row],[Costo SIN Comision]]</f>
        <v>0</v>
      </c>
      <c r="M1428" s="12"/>
      <c r="N1428" s="16"/>
    </row>
    <row r="1429" spans="1:14" ht="20" hidden="1" customHeight="1">
      <c r="A1429" s="9">
        <v>45542</v>
      </c>
      <c r="B1429" s="10"/>
      <c r="C1429" s="10" t="s">
        <v>4518</v>
      </c>
      <c r="D1429" s="10" t="s">
        <v>4408</v>
      </c>
      <c r="E1429" s="10" t="s">
        <v>2419</v>
      </c>
      <c r="F1429" s="10" t="str">
        <f>IFERROR(VLOOKUP(VENTAS[[#This Row],[Código del producto Vendido]],STOCK[],5,FALSE),"-")</f>
        <v>Camisa blanca en mezcla de algodón</v>
      </c>
      <c r="G1429" s="10">
        <v>0</v>
      </c>
      <c r="H1429" s="12">
        <v>25</v>
      </c>
      <c r="I1429" s="12">
        <f>VENTAS[[#This Row],[Cantidad]]*VENTAS[[#This Row],[Precio Venta]]</f>
        <v>0</v>
      </c>
      <c r="J1429" s="12">
        <f>IF(VENTAS[[#This Row],[Nombre del Gestor]]&gt;1,VENTAS[[#This Row],[Total]]*10%,0)</f>
        <v>0</v>
      </c>
      <c r="K1429" s="12">
        <f>IFERROR(VLOOKUP(VENTAS[[#This Row],[Código del producto Vendido]],STOCK[],16,FALSE)*VENTAS[[#This Row],[Cantidad]]+VLOOKUP(VENTAS[[#This Row],[Código del producto Vendido]],STOCK[],19,FALSE)*VENTAS[[#This Row],[Cantidad]],VENTAS[[#This Row],[Total]])</f>
        <v>0</v>
      </c>
      <c r="L1429" s="12">
        <f>VENTAS[[#This Row],[Total]]-VENTAS[[#This Row],[Comisión 10%]]-VENTAS[[#This Row],[Costo SIN Comision]]</f>
        <v>0</v>
      </c>
      <c r="M1429" s="12"/>
      <c r="N1429" s="16"/>
    </row>
    <row r="1430" spans="1:14" ht="20" hidden="1" customHeight="1">
      <c r="A1430" s="9">
        <v>45542</v>
      </c>
      <c r="B1430" s="10"/>
      <c r="C1430" s="10" t="s">
        <v>4519</v>
      </c>
      <c r="D1430" s="10" t="s">
        <v>4320</v>
      </c>
      <c r="E1430" s="10" t="s">
        <v>1616</v>
      </c>
      <c r="F1430" s="10" t="str">
        <f>IFERROR(VLOOKUP(VENTAS[[#This Row],[Código del producto Vendido]],STOCK[],5,FALSE),"-")</f>
        <v>Camisa Modely</v>
      </c>
      <c r="G1430" s="10">
        <v>1</v>
      </c>
      <c r="H1430" s="12">
        <v>20</v>
      </c>
      <c r="I1430" s="12">
        <f>VENTAS[[#This Row],[Cantidad]]*VENTAS[[#This Row],[Precio Venta]]</f>
        <v>20</v>
      </c>
      <c r="J1430" s="12">
        <f>IF(VENTAS[[#This Row],[Nombre del Gestor]]&gt;1,VENTAS[[#This Row],[Total]]*10%,0)</f>
        <v>2</v>
      </c>
      <c r="K1430" s="12">
        <f>IFERROR(VLOOKUP(VENTAS[[#This Row],[Código del producto Vendido]],STOCK[],16,FALSE)*VENTAS[[#This Row],[Cantidad]]+VLOOKUP(VENTAS[[#This Row],[Código del producto Vendido]],STOCK[],19,FALSE)*VENTAS[[#This Row],[Cantidad]],VENTAS[[#This Row],[Total]])</f>
        <v>9.74</v>
      </c>
      <c r="L1430" s="12">
        <f>VENTAS[[#This Row],[Total]]-VENTAS[[#This Row],[Comisión 10%]]-VENTAS[[#This Row],[Costo SIN Comision]]</f>
        <v>8.26</v>
      </c>
      <c r="M1430" s="12"/>
      <c r="N1430" s="16"/>
    </row>
    <row r="1431" spans="1:14" ht="20" hidden="1" customHeight="1">
      <c r="A1431" s="9">
        <v>45541</v>
      </c>
      <c r="B1431" s="10"/>
      <c r="C1431" s="10" t="s">
        <v>3251</v>
      </c>
      <c r="D1431" s="10"/>
      <c r="E1431" s="10" t="s">
        <v>1750</v>
      </c>
      <c r="F1431" s="10" t="str">
        <f>IFERROR(VLOOKUP(VENTAS[[#This Row],[Código del producto Vendido]],STOCK[],5,FALSE),"-")</f>
        <v>Traje de baño Oliva</v>
      </c>
      <c r="G1431" s="10">
        <v>1</v>
      </c>
      <c r="H1431" s="12">
        <v>0</v>
      </c>
      <c r="I1431" s="12">
        <f>VENTAS[[#This Row],[Cantidad]]*VENTAS[[#This Row],[Precio Venta]]</f>
        <v>0</v>
      </c>
      <c r="J1431" s="12">
        <f>IF(VENTAS[[#This Row],[Nombre del Gestor]]&gt;1,VENTAS[[#This Row],[Total]]*10%,0)</f>
        <v>0</v>
      </c>
      <c r="K1431" s="12">
        <f>IFERROR(VLOOKUP(VENTAS[[#This Row],[Código del producto Vendido]],STOCK[],16,FALSE)*VENTAS[[#This Row],[Cantidad]]+VLOOKUP(VENTAS[[#This Row],[Código del producto Vendido]],STOCK[],19,FALSE)*VENTAS[[#This Row],[Cantidad]],VENTAS[[#This Row],[Total]])</f>
        <v>29</v>
      </c>
      <c r="L1431" s="12">
        <f>VENTAS[[#This Row],[Total]]-VENTAS[[#This Row],[Comisión 10%]]-VENTAS[[#This Row],[Costo SIN Comision]]</f>
        <v>-29</v>
      </c>
      <c r="M1431" s="12"/>
      <c r="N1431" s="16"/>
    </row>
    <row r="1432" spans="1:14" ht="20" hidden="1" customHeight="1">
      <c r="A1432" s="9">
        <v>45541</v>
      </c>
      <c r="B1432" s="10"/>
      <c r="C1432" s="10" t="s">
        <v>4520</v>
      </c>
      <c r="D1432" s="10" t="s">
        <v>4374</v>
      </c>
      <c r="E1432" s="10" t="s">
        <v>1740</v>
      </c>
      <c r="F1432" s="10" t="str">
        <f>IFERROR(VLOOKUP(VENTAS[[#This Row],[Código del producto Vendido]],STOCK[],5,FALSE),"-")</f>
        <v>Chaleco de traje Blanco</v>
      </c>
      <c r="G1432" s="10">
        <v>0</v>
      </c>
      <c r="H1432" s="12">
        <v>25</v>
      </c>
      <c r="I1432" s="12">
        <f>VENTAS[[#This Row],[Cantidad]]*VENTAS[[#This Row],[Precio Venta]]</f>
        <v>0</v>
      </c>
      <c r="J1432" s="12">
        <f>IF(VENTAS[[#This Row],[Nombre del Gestor]]&gt;1,VENTAS[[#This Row],[Total]]*10%,0)</f>
        <v>0</v>
      </c>
      <c r="K1432" s="12">
        <f>IFERROR(VLOOKUP(VENTAS[[#This Row],[Código del producto Vendido]],STOCK[],16,FALSE)*VENTAS[[#This Row],[Cantidad]]+VLOOKUP(VENTAS[[#This Row],[Código del producto Vendido]],STOCK[],19,FALSE)*VENTAS[[#This Row],[Cantidad]],VENTAS[[#This Row],[Total]])</f>
        <v>0</v>
      </c>
      <c r="L1432" s="12">
        <f>VENTAS[[#This Row],[Total]]-VENTAS[[#This Row],[Comisión 10%]]-VENTAS[[#This Row],[Costo SIN Comision]]</f>
        <v>0</v>
      </c>
      <c r="M1432" s="12"/>
      <c r="N1432" s="16"/>
    </row>
    <row r="1433" spans="1:14" ht="20" hidden="1" customHeight="1">
      <c r="A1433" s="9">
        <v>45541</v>
      </c>
      <c r="B1433" s="10"/>
      <c r="C1433" s="10" t="s">
        <v>4520</v>
      </c>
      <c r="D1433" s="10" t="s">
        <v>4374</v>
      </c>
      <c r="E1433" s="10" t="s">
        <v>1737</v>
      </c>
      <c r="F1433" s="10" t="str">
        <f>IFERROR(VLOOKUP(VENTAS[[#This Row],[Código del producto Vendido]],STOCK[],5,FALSE),"-")</f>
        <v>Chaleco de traje Negro</v>
      </c>
      <c r="G1433" s="10">
        <v>1</v>
      </c>
      <c r="H1433" s="12">
        <v>25</v>
      </c>
      <c r="I1433" s="12">
        <f>VENTAS[[#This Row],[Cantidad]]*VENTAS[[#This Row],[Precio Venta]]</f>
        <v>25</v>
      </c>
      <c r="J1433" s="12">
        <f>IF(VENTAS[[#This Row],[Nombre del Gestor]]&gt;1,VENTAS[[#This Row],[Total]]*10%,0)</f>
        <v>2.5</v>
      </c>
      <c r="K1433" s="12">
        <f>IFERROR(VLOOKUP(VENTAS[[#This Row],[Código del producto Vendido]],STOCK[],16,FALSE)*VENTAS[[#This Row],[Cantidad]]+VLOOKUP(VENTAS[[#This Row],[Código del producto Vendido]],STOCK[],19,FALSE)*VENTAS[[#This Row],[Cantidad]],VENTAS[[#This Row],[Total]])</f>
        <v>17.9411764705882</v>
      </c>
      <c r="L1433" s="12">
        <f>VENTAS[[#This Row],[Total]]-VENTAS[[#This Row],[Comisión 10%]]-VENTAS[[#This Row],[Costo SIN Comision]]</f>
        <v>4.5588235294118</v>
      </c>
      <c r="M1433" s="12"/>
      <c r="N1433" s="16"/>
    </row>
    <row r="1434" spans="1:14" ht="20" hidden="1" customHeight="1">
      <c r="A1434" s="9">
        <v>45542</v>
      </c>
      <c r="B1434" s="10"/>
      <c r="C1434" s="10" t="s">
        <v>4519</v>
      </c>
      <c r="D1434" s="10" t="s">
        <v>4320</v>
      </c>
      <c r="E1434" s="10" t="s">
        <v>2634</v>
      </c>
      <c r="F1434" s="10" t="str">
        <f>IFERROR(VLOOKUP(VENTAS[[#This Row],[Código del producto Vendido]],STOCK[],5,FALSE),"-")</f>
        <v>Pantalón Caqui de Pierna Ancha De Talle Alto y Bolsillos H&amp;M</v>
      </c>
      <c r="G1434" s="10">
        <v>0</v>
      </c>
      <c r="H1434" s="12">
        <v>35</v>
      </c>
      <c r="I1434" s="12">
        <f>VENTAS[[#This Row],[Cantidad]]*VENTAS[[#This Row],[Precio Venta]]</f>
        <v>0</v>
      </c>
      <c r="J1434" s="12">
        <f>IF(VENTAS[[#This Row],[Nombre del Gestor]]&gt;1,VENTAS[[#This Row],[Total]]*10%,0)</f>
        <v>0</v>
      </c>
      <c r="K1434" s="12">
        <f>IFERROR(VLOOKUP(VENTAS[[#This Row],[Código del producto Vendido]],STOCK[],16,FALSE)*VENTAS[[#This Row],[Cantidad]]+VLOOKUP(VENTAS[[#This Row],[Código del producto Vendido]],STOCK[],19,FALSE)*VENTAS[[#This Row],[Cantidad]],VENTAS[[#This Row],[Total]])</f>
        <v>0</v>
      </c>
      <c r="L1434" s="12">
        <f>VENTAS[[#This Row],[Total]]-VENTAS[[#This Row],[Comisión 10%]]-VENTAS[[#This Row],[Costo SIN Comision]]</f>
        <v>0</v>
      </c>
      <c r="M1434" s="12"/>
      <c r="N1434" s="16"/>
    </row>
    <row r="1435" spans="1:14" ht="20" hidden="1" customHeight="1">
      <c r="A1435" s="9">
        <v>45541</v>
      </c>
      <c r="B1435" s="10"/>
      <c r="C1435" s="10" t="s">
        <v>4521</v>
      </c>
      <c r="D1435" s="10" t="s">
        <v>4320</v>
      </c>
      <c r="E1435" s="10" t="s">
        <v>2608</v>
      </c>
      <c r="F1435" s="10" t="str">
        <f>IFERROR(VLOOKUP(VENTAS[[#This Row],[Código del producto Vendido]],STOCK[],5,FALSE),"-")</f>
        <v>Vestido crema ajustado de hombro torcido</v>
      </c>
      <c r="G1435" s="10">
        <v>0</v>
      </c>
      <c r="H1435" s="12">
        <v>25</v>
      </c>
      <c r="I1435" s="12">
        <f>VENTAS[[#This Row],[Cantidad]]*VENTAS[[#This Row],[Precio Venta]]</f>
        <v>0</v>
      </c>
      <c r="J1435" s="12">
        <f>IF(VENTAS[[#This Row],[Nombre del Gestor]]&gt;1,VENTAS[[#This Row],[Total]]*10%,0)</f>
        <v>0</v>
      </c>
      <c r="K1435" s="12">
        <f>IFERROR(VLOOKUP(VENTAS[[#This Row],[Código del producto Vendido]],STOCK[],16,FALSE)*VENTAS[[#This Row],[Cantidad]]+VLOOKUP(VENTAS[[#This Row],[Código del producto Vendido]],STOCK[],19,FALSE)*VENTAS[[#This Row],[Cantidad]],VENTAS[[#This Row],[Total]])</f>
        <v>0</v>
      </c>
      <c r="L1435" s="12">
        <f>VENTAS[[#This Row],[Total]]-VENTAS[[#This Row],[Comisión 10%]]-VENTAS[[#This Row],[Costo SIN Comision]]</f>
        <v>0</v>
      </c>
      <c r="M1435" s="12"/>
      <c r="N1435" s="16"/>
    </row>
    <row r="1436" spans="1:14" ht="20" hidden="1" customHeight="1">
      <c r="A1436" s="9">
        <v>45541</v>
      </c>
      <c r="B1436" s="10"/>
      <c r="C1436" s="10" t="s">
        <v>4522</v>
      </c>
      <c r="D1436" s="10" t="s">
        <v>4349</v>
      </c>
      <c r="E1436" s="10" t="s">
        <v>2664</v>
      </c>
      <c r="F1436" s="10" t="str">
        <f>IFERROR(VLOOKUP(VENTAS[[#This Row],[Código del producto Vendido]],STOCK[],5,FALSE),"-")</f>
        <v>Pullover negro acanalado de algodón PRIMARK</v>
      </c>
      <c r="G1436" s="10">
        <v>1</v>
      </c>
      <c r="H1436" s="12">
        <v>13</v>
      </c>
      <c r="I1436" s="12">
        <f>VENTAS[[#This Row],[Cantidad]]*VENTAS[[#This Row],[Precio Venta]]</f>
        <v>13</v>
      </c>
      <c r="J1436" s="12">
        <f>IF(VENTAS[[#This Row],[Nombre del Gestor]]&gt;1,VENTAS[[#This Row],[Total]]*10%,0)</f>
        <v>1.3</v>
      </c>
      <c r="K1436" s="12">
        <f>IFERROR(VLOOKUP(VENTAS[[#This Row],[Código del producto Vendido]],STOCK[],16,FALSE)*VENTAS[[#This Row],[Cantidad]]+VLOOKUP(VENTAS[[#This Row],[Código del producto Vendido]],STOCK[],19,FALSE)*VENTAS[[#This Row],[Cantidad]],VENTAS[[#This Row],[Total]])</f>
        <v>7</v>
      </c>
      <c r="L1436" s="12">
        <f>VENTAS[[#This Row],[Total]]-VENTAS[[#This Row],[Comisión 10%]]-VENTAS[[#This Row],[Costo SIN Comision]]</f>
        <v>4.6999999999999993</v>
      </c>
      <c r="M1436" s="12"/>
      <c r="N1436" s="16"/>
    </row>
    <row r="1437" spans="1:14" ht="20" hidden="1" customHeight="1">
      <c r="A1437" s="9">
        <v>45541</v>
      </c>
      <c r="B1437" s="10"/>
      <c r="C1437" s="10" t="s">
        <v>4522</v>
      </c>
      <c r="D1437" s="10" t="s">
        <v>4349</v>
      </c>
      <c r="E1437" s="10" t="s">
        <v>2546</v>
      </c>
      <c r="F1437" s="10" t="str">
        <f>IFERROR(VLOOKUP(VENTAS[[#This Row],[Código del producto Vendido]],STOCK[],5,FALSE),"-")</f>
        <v>Pullover largo unicolor tela traslúcida negro</v>
      </c>
      <c r="G1437" s="10">
        <v>1</v>
      </c>
      <c r="H1437" s="12">
        <v>10</v>
      </c>
      <c r="I1437" s="12">
        <f>VENTAS[[#This Row],[Cantidad]]*VENTAS[[#This Row],[Precio Venta]]</f>
        <v>10</v>
      </c>
      <c r="J1437" s="12">
        <f>IF(VENTAS[[#This Row],[Nombre del Gestor]]&gt;1,VENTAS[[#This Row],[Total]]*10%,0)</f>
        <v>1</v>
      </c>
      <c r="K1437" s="12">
        <f>IFERROR(VLOOKUP(VENTAS[[#This Row],[Código del producto Vendido]],STOCK[],16,FALSE)*VENTAS[[#This Row],[Cantidad]]+VLOOKUP(VENTAS[[#This Row],[Código del producto Vendido]],STOCK[],19,FALSE)*VENTAS[[#This Row],[Cantidad]],VENTAS[[#This Row],[Total]])</f>
        <v>4.32</v>
      </c>
      <c r="L1437" s="12">
        <f>VENTAS[[#This Row],[Total]]-VENTAS[[#This Row],[Comisión 10%]]-VENTAS[[#This Row],[Costo SIN Comision]]</f>
        <v>4.68</v>
      </c>
      <c r="M1437" s="12"/>
      <c r="N1437" s="16"/>
    </row>
    <row r="1438" spans="1:14" ht="20" hidden="1" customHeight="1">
      <c r="A1438" s="9">
        <v>45539</v>
      </c>
      <c r="B1438" s="10"/>
      <c r="C1438" s="10" t="s">
        <v>4523</v>
      </c>
      <c r="D1438" s="10" t="s">
        <v>4349</v>
      </c>
      <c r="E1438" s="10" t="s">
        <v>2492</v>
      </c>
      <c r="F1438" s="10" t="str">
        <f>IFERROR(VLOOKUP(VENTAS[[#This Row],[Código del producto Vendido]],STOCK[],5,FALSE),"-")</f>
        <v>Sandalias prácticas chunky blanco crema</v>
      </c>
      <c r="G1438" s="10">
        <v>1</v>
      </c>
      <c r="H1438" s="12">
        <v>35</v>
      </c>
      <c r="I1438" s="12">
        <f>VENTAS[[#This Row],[Cantidad]]*VENTAS[[#This Row],[Precio Venta]]</f>
        <v>35</v>
      </c>
      <c r="J1438" s="12">
        <f>IF(VENTAS[[#This Row],[Nombre del Gestor]]&gt;1,VENTAS[[#This Row],[Total]]*10%,0)</f>
        <v>3.5</v>
      </c>
      <c r="K1438" s="12">
        <f>IFERROR(VLOOKUP(VENTAS[[#This Row],[Código del producto Vendido]],STOCK[],16,FALSE)*VENTAS[[#This Row],[Cantidad]]+VLOOKUP(VENTAS[[#This Row],[Código del producto Vendido]],STOCK[],19,FALSE)*VENTAS[[#This Row],[Cantidad]],VENTAS[[#This Row],[Total]])</f>
        <v>24.217399999999998</v>
      </c>
      <c r="L1438" s="12">
        <f>VENTAS[[#This Row],[Total]]-VENTAS[[#This Row],[Comisión 10%]]-VENTAS[[#This Row],[Costo SIN Comision]]</f>
        <v>7.2826000000000022</v>
      </c>
      <c r="M1438" s="12"/>
      <c r="N1438" s="16"/>
    </row>
    <row r="1439" spans="1:14" ht="20" hidden="1" customHeight="1">
      <c r="A1439" s="9">
        <v>45544</v>
      </c>
      <c r="B1439" s="10"/>
      <c r="C1439" s="10" t="s">
        <v>4524</v>
      </c>
      <c r="D1439" s="10" t="s">
        <v>4349</v>
      </c>
      <c r="E1439" s="10" t="s">
        <v>2454</v>
      </c>
      <c r="F1439" s="10" t="str">
        <f>IFERROR(VLOOKUP(VENTAS[[#This Row],[Código del producto Vendido]],STOCK[],5,FALSE),"-")</f>
        <v>Sandalias carmelitas de moda con correa de velcro</v>
      </c>
      <c r="G1439" s="10">
        <v>1</v>
      </c>
      <c r="H1439" s="12">
        <v>35</v>
      </c>
      <c r="I1439" s="12">
        <f>VENTAS[[#This Row],[Cantidad]]*VENTAS[[#This Row],[Precio Venta]]</f>
        <v>35</v>
      </c>
      <c r="J1439" s="12">
        <f>IF(VENTAS[[#This Row],[Nombre del Gestor]]&gt;1,VENTAS[[#This Row],[Total]]*10%,0)</f>
        <v>3.5</v>
      </c>
      <c r="K1439" s="12">
        <f>IFERROR(VLOOKUP(VENTAS[[#This Row],[Código del producto Vendido]],STOCK[],16,FALSE)*VENTAS[[#This Row],[Cantidad]]+VLOOKUP(VENTAS[[#This Row],[Código del producto Vendido]],STOCK[],19,FALSE)*VENTAS[[#This Row],[Cantidad]],VENTAS[[#This Row],[Total]])</f>
        <v>19.47</v>
      </c>
      <c r="L1439" s="12">
        <f>VENTAS[[#This Row],[Total]]-VENTAS[[#This Row],[Comisión 10%]]-VENTAS[[#This Row],[Costo SIN Comision]]</f>
        <v>12.030000000000001</v>
      </c>
      <c r="M1439" s="12"/>
      <c r="N1439" s="16"/>
    </row>
    <row r="1440" spans="1:14" ht="20" hidden="1" customHeight="1">
      <c r="A1440" s="9">
        <v>45542</v>
      </c>
      <c r="B1440" s="10"/>
      <c r="C1440" s="10" t="s">
        <v>4525</v>
      </c>
      <c r="D1440" s="10" t="s">
        <v>4473</v>
      </c>
      <c r="E1440" s="10" t="s">
        <v>965</v>
      </c>
      <c r="F1440" s="10" t="str">
        <f>IFERROR(VLOOKUP(VENTAS[[#This Row],[Código del producto Vendido]],STOCK[],5,FALSE),"-")</f>
        <v xml:space="preserve"> Top Básico Business </v>
      </c>
      <c r="G1440" s="10">
        <v>1</v>
      </c>
      <c r="H1440" s="12">
        <v>10</v>
      </c>
      <c r="I1440" s="12">
        <f>VENTAS[[#This Row],[Cantidad]]*VENTAS[[#This Row],[Precio Venta]]</f>
        <v>10</v>
      </c>
      <c r="J1440" s="12">
        <f>IF(VENTAS[[#This Row],[Nombre del Gestor]]&gt;1,VENTAS[[#This Row],[Total]]*10%,0)</f>
        <v>1</v>
      </c>
      <c r="K1440" s="12">
        <f>IFERROR(VLOOKUP(VENTAS[[#This Row],[Código del producto Vendido]],STOCK[],16,FALSE)*VENTAS[[#This Row],[Cantidad]]+VLOOKUP(VENTAS[[#This Row],[Código del producto Vendido]],STOCK[],19,FALSE)*VENTAS[[#This Row],[Cantidad]],VENTAS[[#This Row],[Total]])</f>
        <v>6.7840909090909101</v>
      </c>
      <c r="L1440" s="12">
        <f>VENTAS[[#This Row],[Total]]-VENTAS[[#This Row],[Comisión 10%]]-VENTAS[[#This Row],[Costo SIN Comision]]</f>
        <v>2.2159090909090899</v>
      </c>
      <c r="M1440" s="12"/>
      <c r="N1440" s="16"/>
    </row>
    <row r="1441" spans="1:14" ht="20" hidden="1" customHeight="1">
      <c r="A1441" s="9">
        <v>45539</v>
      </c>
      <c r="B1441" s="10"/>
      <c r="C1441" s="10" t="s">
        <v>4526</v>
      </c>
      <c r="D1441" s="10" t="s">
        <v>4184</v>
      </c>
      <c r="E1441" s="10" t="s">
        <v>1293</v>
      </c>
      <c r="F1441" s="10" t="str">
        <f>IFERROR(VLOOKUP(VENTAS[[#This Row],[Código del producto Vendido]],STOCK[],5,FALSE),"-")</f>
        <v xml:space="preserve">Jean skinny oscuro </v>
      </c>
      <c r="G1441" s="10">
        <v>2</v>
      </c>
      <c r="H1441" s="12">
        <v>27</v>
      </c>
      <c r="I1441" s="12">
        <f>VENTAS[[#This Row],[Cantidad]]*VENTAS[[#This Row],[Precio Venta]]</f>
        <v>54</v>
      </c>
      <c r="J1441" s="12">
        <f>IF(VENTAS[[#This Row],[Nombre del Gestor]]&gt;1,VENTAS[[#This Row],[Total]]*10%,0)</f>
        <v>5.4</v>
      </c>
      <c r="K1441" s="12">
        <f>IFERROR(VLOOKUP(VENTAS[[#This Row],[Código del producto Vendido]],STOCK[],16,FALSE)*VENTAS[[#This Row],[Cantidad]]+VLOOKUP(VENTAS[[#This Row],[Código del producto Vendido]],STOCK[],19,FALSE)*VENTAS[[#This Row],[Cantidad]],VENTAS[[#This Row],[Total]])</f>
        <v>41.58</v>
      </c>
      <c r="L1441" s="12">
        <f>VENTAS[[#This Row],[Total]]-VENTAS[[#This Row],[Comisión 10%]]-VENTAS[[#This Row],[Costo SIN Comision]]</f>
        <v>7.0200000000000031</v>
      </c>
      <c r="M1441" s="12"/>
      <c r="N1441" s="16"/>
    </row>
    <row r="1442" spans="1:14" ht="20" hidden="1" customHeight="1">
      <c r="A1442" s="9">
        <v>45539</v>
      </c>
      <c r="B1442" s="10"/>
      <c r="C1442" s="10" t="s">
        <v>4526</v>
      </c>
      <c r="D1442" s="10" t="s">
        <v>4184</v>
      </c>
      <c r="E1442" s="10" t="s">
        <v>1277</v>
      </c>
      <c r="F1442" s="10" t="str">
        <f>IFERROR(VLOOKUP(VENTAS[[#This Row],[Código del producto Vendido]],STOCK[],5,FALSE),"-")</f>
        <v>Top negro de cuello V con encaje</v>
      </c>
      <c r="G1442" s="10">
        <v>1</v>
      </c>
      <c r="H1442" s="12">
        <v>11</v>
      </c>
      <c r="I1442" s="12">
        <f>VENTAS[[#This Row],[Cantidad]]*VENTAS[[#This Row],[Precio Venta]]</f>
        <v>11</v>
      </c>
      <c r="J1442" s="12">
        <f>IF(VENTAS[[#This Row],[Nombre del Gestor]]&gt;1,VENTAS[[#This Row],[Total]]*10%,0)</f>
        <v>1.1000000000000001</v>
      </c>
      <c r="K1442" s="12">
        <f>IFERROR(VLOOKUP(VENTAS[[#This Row],[Código del producto Vendido]],STOCK[],16,FALSE)*VENTAS[[#This Row],[Cantidad]]+VLOOKUP(VENTAS[[#This Row],[Código del producto Vendido]],STOCK[],19,FALSE)*VENTAS[[#This Row],[Cantidad]],VENTAS[[#This Row],[Total]])</f>
        <v>8.09</v>
      </c>
      <c r="L1442" s="12">
        <f>VENTAS[[#This Row],[Total]]-VENTAS[[#This Row],[Comisión 10%]]-VENTAS[[#This Row],[Costo SIN Comision]]</f>
        <v>1.8100000000000005</v>
      </c>
      <c r="M1442" s="12"/>
      <c r="N1442" s="16"/>
    </row>
    <row r="1443" spans="1:14" ht="20" hidden="1" customHeight="1">
      <c r="A1443" s="9">
        <v>45539</v>
      </c>
      <c r="B1443" s="10"/>
      <c r="C1443" s="10" t="s">
        <v>4526</v>
      </c>
      <c r="D1443" s="10" t="s">
        <v>4184</v>
      </c>
      <c r="E1443" s="10" t="s">
        <v>1303</v>
      </c>
      <c r="F1443" s="10" t="str">
        <f>IFERROR(VLOOKUP(VENTAS[[#This Row],[Código del producto Vendido]],STOCK[],5,FALSE),"-")</f>
        <v>Jean ajustado Claro</v>
      </c>
      <c r="G1443" s="10">
        <v>2</v>
      </c>
      <c r="H1443" s="12">
        <v>27</v>
      </c>
      <c r="I1443" s="12">
        <f>VENTAS[[#This Row],[Cantidad]]*VENTAS[[#This Row],[Precio Venta]]</f>
        <v>54</v>
      </c>
      <c r="J1443" s="12">
        <f>IF(VENTAS[[#This Row],[Nombre del Gestor]]&gt;1,VENTAS[[#This Row],[Total]]*10%,0)</f>
        <v>5.4</v>
      </c>
      <c r="K1443" s="12">
        <f>IFERROR(VLOOKUP(VENTAS[[#This Row],[Código del producto Vendido]],STOCK[],16,FALSE)*VENTAS[[#This Row],[Cantidad]]+VLOOKUP(VENTAS[[#This Row],[Código del producto Vendido]],STOCK[],19,FALSE)*VENTAS[[#This Row],[Cantidad]],VENTAS[[#This Row],[Total]])</f>
        <v>47.58</v>
      </c>
      <c r="L1443" s="12">
        <f>VENTAS[[#This Row],[Total]]-VENTAS[[#This Row],[Comisión 10%]]-VENTAS[[#This Row],[Costo SIN Comision]]</f>
        <v>1.0200000000000031</v>
      </c>
      <c r="M1443" s="12"/>
      <c r="N1443" s="16"/>
    </row>
    <row r="1444" spans="1:14" ht="20" hidden="1" customHeight="1">
      <c r="A1444" s="9">
        <v>45539</v>
      </c>
      <c r="B1444" s="10"/>
      <c r="C1444" s="10" t="s">
        <v>4526</v>
      </c>
      <c r="D1444" s="10" t="s">
        <v>4184</v>
      </c>
      <c r="E1444" s="10" t="s">
        <v>2534</v>
      </c>
      <c r="F1444" s="10" t="str">
        <f>IFERROR(VLOOKUP(VENTAS[[#This Row],[Código del producto Vendido]],STOCK[],5,FALSE),"-")</f>
        <v>Pullover corto unicolor carmelita</v>
      </c>
      <c r="G1444" s="10">
        <v>1</v>
      </c>
      <c r="H1444" s="12">
        <v>9</v>
      </c>
      <c r="I1444" s="12">
        <f>VENTAS[[#This Row],[Cantidad]]*VENTAS[[#This Row],[Precio Venta]]</f>
        <v>9</v>
      </c>
      <c r="J1444" s="12">
        <f>IF(VENTAS[[#This Row],[Nombre del Gestor]]&gt;1,VENTAS[[#This Row],[Total]]*10%,0)</f>
        <v>0.9</v>
      </c>
      <c r="K1444" s="12">
        <f>IFERROR(VLOOKUP(VENTAS[[#This Row],[Código del producto Vendido]],STOCK[],16,FALSE)*VENTAS[[#This Row],[Cantidad]]+VLOOKUP(VENTAS[[#This Row],[Código del producto Vendido]],STOCK[],19,FALSE)*VENTAS[[#This Row],[Cantidad]],VENTAS[[#This Row],[Total]])</f>
        <v>4.32</v>
      </c>
      <c r="L1444" s="12">
        <f>VENTAS[[#This Row],[Total]]-VENTAS[[#This Row],[Comisión 10%]]-VENTAS[[#This Row],[Costo SIN Comision]]</f>
        <v>3.7799999999999994</v>
      </c>
      <c r="M1444" s="12"/>
      <c r="N1444" s="16"/>
    </row>
    <row r="1445" spans="1:14" ht="20" hidden="1" customHeight="1">
      <c r="A1445" s="9">
        <v>45539</v>
      </c>
      <c r="B1445" s="10"/>
      <c r="C1445" s="10" t="s">
        <v>4526</v>
      </c>
      <c r="D1445" s="10" t="s">
        <v>4184</v>
      </c>
      <c r="E1445" s="10" t="s">
        <v>2543</v>
      </c>
      <c r="F1445" s="10" t="str">
        <f>IFERROR(VLOOKUP(VENTAS[[#This Row],[Código del producto Vendido]],STOCK[],5,FALSE),"-")</f>
        <v>Pullover corto unicolor beige</v>
      </c>
      <c r="G1445" s="10">
        <v>1</v>
      </c>
      <c r="H1445" s="12">
        <v>9</v>
      </c>
      <c r="I1445" s="12">
        <f>VENTAS[[#This Row],[Cantidad]]*VENTAS[[#This Row],[Precio Venta]]</f>
        <v>9</v>
      </c>
      <c r="J1445" s="12">
        <f>IF(VENTAS[[#This Row],[Nombre del Gestor]]&gt;1,VENTAS[[#This Row],[Total]]*10%,0)</f>
        <v>0.9</v>
      </c>
      <c r="K1445" s="12">
        <f>IFERROR(VLOOKUP(VENTAS[[#This Row],[Código del producto Vendido]],STOCK[],16,FALSE)*VENTAS[[#This Row],[Cantidad]]+VLOOKUP(VENTAS[[#This Row],[Código del producto Vendido]],STOCK[],19,FALSE)*VENTAS[[#This Row],[Cantidad]],VENTAS[[#This Row],[Total]])</f>
        <v>4.32</v>
      </c>
      <c r="L1445" s="12">
        <f>VENTAS[[#This Row],[Total]]-VENTAS[[#This Row],[Comisión 10%]]-VENTAS[[#This Row],[Costo SIN Comision]]</f>
        <v>3.7799999999999994</v>
      </c>
      <c r="M1445" s="12"/>
      <c r="N1445" s="16"/>
    </row>
    <row r="1446" spans="1:14" ht="20" hidden="1" customHeight="1">
      <c r="A1446" s="9">
        <v>45538</v>
      </c>
      <c r="B1446" s="10"/>
      <c r="C1446" s="10" t="s">
        <v>4527</v>
      </c>
      <c r="D1446" s="10" t="s">
        <v>4381</v>
      </c>
      <c r="E1446" s="10" t="s">
        <v>1705</v>
      </c>
      <c r="F1446" s="10" t="str">
        <f>IFERROR(VLOOKUP(VENTAS[[#This Row],[Código del producto Vendido]],STOCK[],5,FALSE),"-")</f>
        <v>Vestido Frente Drapeado Negro y Blanco</v>
      </c>
      <c r="G1446" s="10">
        <v>1</v>
      </c>
      <c r="H1446" s="12">
        <v>30</v>
      </c>
      <c r="I1446" s="12">
        <f>VENTAS[[#This Row],[Cantidad]]*VENTAS[[#This Row],[Precio Venta]]</f>
        <v>30</v>
      </c>
      <c r="J1446" s="12">
        <f>IF(VENTAS[[#This Row],[Nombre del Gestor]]&gt;1,VENTAS[[#This Row],[Total]]*10%,0)</f>
        <v>3</v>
      </c>
      <c r="K1446" s="12">
        <f>IFERROR(VLOOKUP(VENTAS[[#This Row],[Código del producto Vendido]],STOCK[],16,FALSE)*VENTAS[[#This Row],[Cantidad]]+VLOOKUP(VENTAS[[#This Row],[Código del producto Vendido]],STOCK[],19,FALSE)*VENTAS[[#This Row],[Cantidad]],VENTAS[[#This Row],[Total]])</f>
        <v>11.4</v>
      </c>
      <c r="L1446" s="12">
        <f>VENTAS[[#This Row],[Total]]-VENTAS[[#This Row],[Comisión 10%]]-VENTAS[[#This Row],[Costo SIN Comision]]</f>
        <v>15.6</v>
      </c>
      <c r="M1446" s="12"/>
      <c r="N1446" s="16"/>
    </row>
    <row r="1447" spans="1:14" ht="20" hidden="1" customHeight="1">
      <c r="A1447" s="9">
        <v>45537</v>
      </c>
      <c r="B1447" s="10"/>
      <c r="C1447" s="10"/>
      <c r="D1447" s="10" t="s">
        <v>4484</v>
      </c>
      <c r="E1447" s="10" t="s">
        <v>2449</v>
      </c>
      <c r="F1447" s="10" t="str">
        <f>IFERROR(VLOOKUP(VENTAS[[#This Row],[Código del producto Vendido]],STOCK[],5,FALSE),"-")</f>
        <v>Sandalias carmelitas de moda con correa de velcro</v>
      </c>
      <c r="G1447" s="10">
        <v>1</v>
      </c>
      <c r="H1447" s="12">
        <v>35</v>
      </c>
      <c r="I1447" s="12">
        <f>VENTAS[[#This Row],[Cantidad]]*VENTAS[[#This Row],[Precio Venta]]</f>
        <v>35</v>
      </c>
      <c r="J1447" s="12">
        <f>IF(VENTAS[[#This Row],[Nombre del Gestor]]&gt;1,VENTAS[[#This Row],[Total]]*10%,0)</f>
        <v>3.5</v>
      </c>
      <c r="K1447" s="12">
        <f>IFERROR(VLOOKUP(VENTAS[[#This Row],[Código del producto Vendido]],STOCK[],16,FALSE)*VENTAS[[#This Row],[Cantidad]]+VLOOKUP(VENTAS[[#This Row],[Código del producto Vendido]],STOCK[],19,FALSE)*VENTAS[[#This Row],[Cantidad]],VENTAS[[#This Row],[Total]])</f>
        <v>19.47</v>
      </c>
      <c r="L1447" s="12">
        <f>VENTAS[[#This Row],[Total]]-VENTAS[[#This Row],[Comisión 10%]]-VENTAS[[#This Row],[Costo SIN Comision]]</f>
        <v>12.030000000000001</v>
      </c>
      <c r="M1447" s="12"/>
      <c r="N1447" s="16"/>
    </row>
    <row r="1448" spans="1:14" ht="20" hidden="1" customHeight="1">
      <c r="A1448" s="9"/>
      <c r="B1448" s="10"/>
      <c r="C1448" s="10"/>
      <c r="D1448" s="10" t="s">
        <v>4528</v>
      </c>
      <c r="E1448" s="10" t="s">
        <v>2289</v>
      </c>
      <c r="F1448" s="10" t="str">
        <f>IFERROR(VLOOKUP(VENTAS[[#This Row],[Código del producto Vendido]],STOCK[],5,FALSE),"-")</f>
        <v>Bolso de lona en bloque de color</v>
      </c>
      <c r="G1448" s="10">
        <v>1</v>
      </c>
      <c r="H1448" s="12">
        <v>10.8</v>
      </c>
      <c r="I1448" s="12">
        <f>VENTAS[[#This Row],[Cantidad]]*VENTAS[[#This Row],[Precio Venta]]</f>
        <v>10.8</v>
      </c>
      <c r="J1448" s="12">
        <f>IF(VENTAS[[#This Row],[Nombre del Gestor]]&gt;1,VENTAS[[#This Row],[Total]]*10%,0)</f>
        <v>1.08</v>
      </c>
      <c r="K1448" s="12">
        <f>IFERROR(VLOOKUP(VENTAS[[#This Row],[Código del producto Vendido]],STOCK[],16,FALSE)*VENTAS[[#This Row],[Cantidad]]+VLOOKUP(VENTAS[[#This Row],[Código del producto Vendido]],STOCK[],19,FALSE)*VENTAS[[#This Row],[Cantidad]],VENTAS[[#This Row],[Total]])</f>
        <v>5.54</v>
      </c>
      <c r="L1448" s="12">
        <f>VENTAS[[#This Row],[Total]]-VENTAS[[#This Row],[Comisión 10%]]-VENTAS[[#This Row],[Costo SIN Comision]]</f>
        <v>4.1800000000000006</v>
      </c>
      <c r="M1448" s="12"/>
      <c r="N1448" s="16"/>
    </row>
    <row r="1449" spans="1:14" ht="20" hidden="1" customHeight="1">
      <c r="A1449" s="9"/>
      <c r="B1449" s="10"/>
      <c r="C1449" s="10"/>
      <c r="D1449" s="10" t="s">
        <v>4473</v>
      </c>
      <c r="E1449" s="10" t="s">
        <v>2547</v>
      </c>
      <c r="F1449" s="10" t="str">
        <f>IFERROR(VLOOKUP(VENTAS[[#This Row],[Código del producto Vendido]],STOCK[],5,FALSE),"-")</f>
        <v>Pullover largo unicolor tela traslúcida negro</v>
      </c>
      <c r="G1449" s="10">
        <v>1</v>
      </c>
      <c r="H1449" s="12">
        <v>10</v>
      </c>
      <c r="I1449" s="12">
        <f>VENTAS[[#This Row],[Cantidad]]*VENTAS[[#This Row],[Precio Venta]]</f>
        <v>10</v>
      </c>
      <c r="J1449" s="12">
        <f>IF(VENTAS[[#This Row],[Nombre del Gestor]]&gt;1,VENTAS[[#This Row],[Total]]*10%,0)</f>
        <v>1</v>
      </c>
      <c r="K1449" s="12">
        <f>IFERROR(VLOOKUP(VENTAS[[#This Row],[Código del producto Vendido]],STOCK[],16,FALSE)*VENTAS[[#This Row],[Cantidad]]+VLOOKUP(VENTAS[[#This Row],[Código del producto Vendido]],STOCK[],19,FALSE)*VENTAS[[#This Row],[Cantidad]],VENTAS[[#This Row],[Total]])</f>
        <v>4.32</v>
      </c>
      <c r="L1449" s="12">
        <f>VENTAS[[#This Row],[Total]]-VENTAS[[#This Row],[Comisión 10%]]-VENTAS[[#This Row],[Costo SIN Comision]]</f>
        <v>4.68</v>
      </c>
      <c r="M1449" s="12"/>
      <c r="N1449" s="16"/>
    </row>
    <row r="1450" spans="1:14" ht="20" hidden="1" customHeight="1">
      <c r="A1450" s="9"/>
      <c r="B1450" s="10"/>
      <c r="C1450" s="10"/>
      <c r="D1450" s="10" t="s">
        <v>4473</v>
      </c>
      <c r="E1450" s="10" t="s">
        <v>2551</v>
      </c>
      <c r="F1450" s="10" t="str">
        <f>IFERROR(VLOOKUP(VENTAS[[#This Row],[Código del producto Vendido]],STOCK[],5,FALSE),"-")</f>
        <v>Pullover largo unicolor tela traslúcida terracota</v>
      </c>
      <c r="G1450" s="10">
        <v>0</v>
      </c>
      <c r="H1450" s="12">
        <v>10</v>
      </c>
      <c r="I1450" s="12">
        <f>VENTAS[[#This Row],[Cantidad]]*VENTAS[[#This Row],[Precio Venta]]</f>
        <v>0</v>
      </c>
      <c r="J1450" s="12">
        <f>IF(VENTAS[[#This Row],[Nombre del Gestor]]&gt;1,VENTAS[[#This Row],[Total]]*10%,0)</f>
        <v>0</v>
      </c>
      <c r="K1450" s="12">
        <f>IFERROR(VLOOKUP(VENTAS[[#This Row],[Código del producto Vendido]],STOCK[],16,FALSE)*VENTAS[[#This Row],[Cantidad]]+VLOOKUP(VENTAS[[#This Row],[Código del producto Vendido]],STOCK[],19,FALSE)*VENTAS[[#This Row],[Cantidad]],VENTAS[[#This Row],[Total]])</f>
        <v>0</v>
      </c>
      <c r="L1450" s="12">
        <f>VENTAS[[#This Row],[Total]]-VENTAS[[#This Row],[Comisión 10%]]-VENTAS[[#This Row],[Costo SIN Comision]]</f>
        <v>0</v>
      </c>
      <c r="M1450" s="12"/>
      <c r="N1450" s="16"/>
    </row>
    <row r="1451" spans="1:14" ht="20" hidden="1" customHeight="1">
      <c r="A1451" s="9"/>
      <c r="B1451" s="10"/>
      <c r="C1451" s="10"/>
      <c r="D1451" s="10" t="s">
        <v>4473</v>
      </c>
      <c r="E1451" s="10" t="s">
        <v>2554</v>
      </c>
      <c r="F1451" s="10" t="str">
        <f>IFERROR(VLOOKUP(VENTAS[[#This Row],[Código del producto Vendido]],STOCK[],5,FALSE),"-")</f>
        <v>Pullover largo unicolor tela traslúcida beige</v>
      </c>
      <c r="G1451" s="10">
        <v>1</v>
      </c>
      <c r="H1451" s="12">
        <v>10</v>
      </c>
      <c r="I1451" s="12">
        <f>VENTAS[[#This Row],[Cantidad]]*VENTAS[[#This Row],[Precio Venta]]</f>
        <v>10</v>
      </c>
      <c r="J1451" s="12">
        <f>IF(VENTAS[[#This Row],[Nombre del Gestor]]&gt;1,VENTAS[[#This Row],[Total]]*10%,0)</f>
        <v>1</v>
      </c>
      <c r="K1451" s="12">
        <f>IFERROR(VLOOKUP(VENTAS[[#This Row],[Código del producto Vendido]],STOCK[],16,FALSE)*VENTAS[[#This Row],[Cantidad]]+VLOOKUP(VENTAS[[#This Row],[Código del producto Vendido]],STOCK[],19,FALSE)*VENTAS[[#This Row],[Cantidad]],VENTAS[[#This Row],[Total]])</f>
        <v>4.32</v>
      </c>
      <c r="L1451" s="12">
        <f>VENTAS[[#This Row],[Total]]-VENTAS[[#This Row],[Comisión 10%]]-VENTAS[[#This Row],[Costo SIN Comision]]</f>
        <v>4.68</v>
      </c>
      <c r="M1451" s="12"/>
      <c r="N1451" s="16"/>
    </row>
    <row r="1452" spans="1:14" ht="20" hidden="1" customHeight="1">
      <c r="A1452" s="9">
        <v>45544</v>
      </c>
      <c r="B1452" s="10"/>
      <c r="C1452" s="10"/>
      <c r="D1452" s="10" t="s">
        <v>4320</v>
      </c>
      <c r="E1452" s="10" t="s">
        <v>2719</v>
      </c>
      <c r="F1452" s="10" t="str">
        <f>IFERROR(VLOOKUP(VENTAS[[#This Row],[Código del producto Vendido]],STOCK[],5,FALSE),"-")</f>
        <v>Chaleco Healter color crema y botones coral H&amp;M</v>
      </c>
      <c r="G1452" s="10">
        <v>0</v>
      </c>
      <c r="H1452" s="12">
        <v>30</v>
      </c>
      <c r="I1452" s="12">
        <f>VENTAS[[#This Row],[Cantidad]]*VENTAS[[#This Row],[Precio Venta]]</f>
        <v>0</v>
      </c>
      <c r="J1452" s="12">
        <f>IF(VENTAS[[#This Row],[Nombre del Gestor]]&gt;1,VENTAS[[#This Row],[Total]]*10%,0)</f>
        <v>0</v>
      </c>
      <c r="K1452" s="12">
        <f>IFERROR(VLOOKUP(VENTAS[[#This Row],[Código del producto Vendido]],STOCK[],16,FALSE)*VENTAS[[#This Row],[Cantidad]]+VLOOKUP(VENTAS[[#This Row],[Código del producto Vendido]],STOCK[],19,FALSE)*VENTAS[[#This Row],[Cantidad]],VENTAS[[#This Row],[Total]])</f>
        <v>0</v>
      </c>
      <c r="L1452" s="12">
        <f>VENTAS[[#This Row],[Total]]-VENTAS[[#This Row],[Comisión 10%]]-VENTAS[[#This Row],[Costo SIN Comision]]</f>
        <v>0</v>
      </c>
      <c r="M1452" s="12"/>
      <c r="N1452" s="16"/>
    </row>
    <row r="1453" spans="1:14" ht="20" hidden="1" customHeight="1">
      <c r="A1453" s="9">
        <v>45544</v>
      </c>
      <c r="B1453" s="10"/>
      <c r="C1453" s="10"/>
      <c r="D1453" s="10" t="s">
        <v>4320</v>
      </c>
      <c r="E1453" s="10" t="s">
        <v>2360</v>
      </c>
      <c r="F1453" s="10" t="str">
        <f>IFERROR(VLOOKUP(VENTAS[[#This Row],[Código del producto Vendido]],STOCK[],5,FALSE),"-")</f>
        <v>Espejuelos rectangulares unisex</v>
      </c>
      <c r="G1453" s="10">
        <v>0</v>
      </c>
      <c r="H1453" s="12">
        <v>10</v>
      </c>
      <c r="I1453" s="12">
        <f>VENTAS[[#This Row],[Cantidad]]*VENTAS[[#This Row],[Precio Venta]]</f>
        <v>0</v>
      </c>
      <c r="J1453" s="12">
        <f>IF(VENTAS[[#This Row],[Nombre del Gestor]]&gt;1,VENTAS[[#This Row],[Total]]*10%,0)</f>
        <v>0</v>
      </c>
      <c r="K1453" s="12">
        <f>IFERROR(VLOOKUP(VENTAS[[#This Row],[Código del producto Vendido]],STOCK[],16,FALSE)*VENTAS[[#This Row],[Cantidad]]+VLOOKUP(VENTAS[[#This Row],[Código del producto Vendido]],STOCK[],19,FALSE)*VENTAS[[#This Row],[Cantidad]],VENTAS[[#This Row],[Total]])</f>
        <v>0</v>
      </c>
      <c r="L1453" s="12">
        <f>VENTAS[[#This Row],[Total]]-VENTAS[[#This Row],[Comisión 10%]]-VENTAS[[#This Row],[Costo SIN Comision]]</f>
        <v>0</v>
      </c>
      <c r="M1453" s="12"/>
      <c r="N1453" s="16"/>
    </row>
    <row r="1454" spans="1:14" ht="20" hidden="1" customHeight="1">
      <c r="A1454" s="9"/>
      <c r="B1454" s="10"/>
      <c r="C1454" s="10" t="s">
        <v>4354</v>
      </c>
      <c r="D1454" s="10"/>
      <c r="E1454" s="10" t="s">
        <v>789</v>
      </c>
      <c r="F1454" s="10" t="str">
        <f>IFERROR(VLOOKUP(VENTAS[[#This Row],[Código del producto Vendido]],STOCK[],5,FALSE),"-")</f>
        <v>Visera rosa</v>
      </c>
      <c r="G1454" s="10">
        <v>1</v>
      </c>
      <c r="H1454" s="12">
        <v>0</v>
      </c>
      <c r="I1454" s="12">
        <f>VENTAS[[#This Row],[Cantidad]]*VENTAS[[#This Row],[Precio Venta]]</f>
        <v>0</v>
      </c>
      <c r="J1454" s="12">
        <f>IF(VENTAS[[#This Row],[Nombre del Gestor]]&gt;1,VENTAS[[#This Row],[Total]]*10%,0)</f>
        <v>0</v>
      </c>
      <c r="K1454" s="12">
        <f>IFERROR(VLOOKUP(VENTAS[[#This Row],[Código del producto Vendido]],STOCK[],16,FALSE)*VENTAS[[#This Row],[Cantidad]]+VLOOKUP(VENTAS[[#This Row],[Código del producto Vendido]],STOCK[],19,FALSE)*VENTAS[[#This Row],[Cantidad]],VENTAS[[#This Row],[Total]])</f>
        <v>11.5555555555556</v>
      </c>
      <c r="L1454" s="12">
        <f>VENTAS[[#This Row],[Total]]-VENTAS[[#This Row],[Comisión 10%]]-VENTAS[[#This Row],[Costo SIN Comision]]</f>
        <v>-11.5555555555556</v>
      </c>
      <c r="M1454" s="12"/>
      <c r="N1454" s="16"/>
    </row>
    <row r="1455" spans="1:14" ht="20" hidden="1" customHeight="1">
      <c r="A1455" s="9">
        <v>45557</v>
      </c>
      <c r="B1455" s="10"/>
      <c r="C1455" s="10" t="s">
        <v>4529</v>
      </c>
      <c r="D1455" s="10" t="s">
        <v>4374</v>
      </c>
      <c r="E1455" s="10" t="s">
        <v>2619</v>
      </c>
      <c r="F1455" s="10" t="str">
        <f>IFERROR(VLOOKUP(VENTAS[[#This Row],[Código del producto Vendido]],STOCK[],5,FALSE),"-")</f>
        <v>Vestido Blanco en Bordado Inglés</v>
      </c>
      <c r="G1455" s="10">
        <v>1</v>
      </c>
      <c r="H1455" s="12">
        <v>25</v>
      </c>
      <c r="I1455" s="12">
        <f>VENTAS[[#This Row],[Cantidad]]*VENTAS[[#This Row],[Precio Venta]]</f>
        <v>25</v>
      </c>
      <c r="J1455" s="12">
        <f>IF(VENTAS[[#This Row],[Nombre del Gestor]]&gt;1,VENTAS[[#This Row],[Total]]*10%,0)</f>
        <v>2.5</v>
      </c>
      <c r="K1455" s="12">
        <f>IFERROR(VLOOKUP(VENTAS[[#This Row],[Código del producto Vendido]],STOCK[],16,FALSE)*VENTAS[[#This Row],[Cantidad]]+VLOOKUP(VENTAS[[#This Row],[Código del producto Vendido]],STOCK[],19,FALSE)*VENTAS[[#This Row],[Cantidad]],VENTAS[[#This Row],[Total]])</f>
        <v>13.48</v>
      </c>
      <c r="L1455" s="12">
        <f>VENTAS[[#This Row],[Total]]-VENTAS[[#This Row],[Comisión 10%]]-VENTAS[[#This Row],[Costo SIN Comision]]</f>
        <v>9.02</v>
      </c>
      <c r="M1455" s="12"/>
      <c r="N1455" s="16"/>
    </row>
    <row r="1456" spans="1:14" ht="20" hidden="1" customHeight="1">
      <c r="A1456" s="9"/>
      <c r="B1456" s="10"/>
      <c r="C1456" s="10" t="s">
        <v>4530</v>
      </c>
      <c r="D1456" s="10" t="s">
        <v>4320</v>
      </c>
      <c r="E1456" s="10" t="s">
        <v>2742</v>
      </c>
      <c r="F1456" s="10" t="str">
        <f>IFERROR(VLOOKUP(VENTAS[[#This Row],[Código del producto Vendido]],STOCK[],5,FALSE),"-")</f>
        <v>Sandalias planas de moda de punta cuadrada (encargo)</v>
      </c>
      <c r="G1456" s="10">
        <v>1</v>
      </c>
      <c r="H1456" s="12">
        <v>12</v>
      </c>
      <c r="I1456" s="12">
        <f>VENTAS[[#This Row],[Cantidad]]*VENTAS[[#This Row],[Precio Venta]]</f>
        <v>12</v>
      </c>
      <c r="J1456" s="12">
        <f>IF(VENTAS[[#This Row],[Nombre del Gestor]]&gt;1,VENTAS[[#This Row],[Total]]*10%,0)</f>
        <v>1.2000000000000002</v>
      </c>
      <c r="K1456" s="12">
        <f>IFERROR(VLOOKUP(VENTAS[[#This Row],[Código del producto Vendido]],STOCK[],16,FALSE)*VENTAS[[#This Row],[Cantidad]]+VLOOKUP(VENTAS[[#This Row],[Código del producto Vendido]],STOCK[],19,FALSE)*VENTAS[[#This Row],[Cantidad]],VENTAS[[#This Row],[Total]])</f>
        <v>8.34</v>
      </c>
      <c r="L1456" s="12">
        <f>VENTAS[[#This Row],[Total]]-VENTAS[[#This Row],[Comisión 10%]]-VENTAS[[#This Row],[Costo SIN Comision]]</f>
        <v>2.4600000000000009</v>
      </c>
      <c r="M1456" s="12"/>
      <c r="N1456" s="16"/>
    </row>
    <row r="1457" spans="1:14" ht="20" hidden="1" customHeight="1">
      <c r="A1457" s="9"/>
      <c r="B1457" s="10"/>
      <c r="C1457" s="10" t="s">
        <v>4187</v>
      </c>
      <c r="D1457" s="10" t="s">
        <v>4184</v>
      </c>
      <c r="E1457" s="10" t="s">
        <v>2749</v>
      </c>
      <c r="F1457" s="10" t="str">
        <f>IFERROR(VLOOKUP(VENTAS[[#This Row],[Código del producto Vendido]],STOCK[],5,FALSE),"-")</f>
        <v>Yoga Sexy Set Deportivo con abertura trasera color Albaricoque</v>
      </c>
      <c r="G1457" s="10">
        <v>1</v>
      </c>
      <c r="H1457" s="12">
        <v>35</v>
      </c>
      <c r="I1457" s="12">
        <f>VENTAS[[#This Row],[Cantidad]]*VENTAS[[#This Row],[Precio Venta]]</f>
        <v>35</v>
      </c>
      <c r="J1457" s="12">
        <f>IF(VENTAS[[#This Row],[Nombre del Gestor]]&gt;1,VENTAS[[#This Row],[Total]]*10%,0)</f>
        <v>3.5</v>
      </c>
      <c r="K1457" s="12">
        <f>IFERROR(VLOOKUP(VENTAS[[#This Row],[Código del producto Vendido]],STOCK[],16,FALSE)*VENTAS[[#This Row],[Cantidad]]+VLOOKUP(VENTAS[[#This Row],[Código del producto Vendido]],STOCK[],19,FALSE)*VENTAS[[#This Row],[Cantidad]],VENTAS[[#This Row],[Total]])</f>
        <v>14.52</v>
      </c>
      <c r="L1457" s="12">
        <f>VENTAS[[#This Row],[Total]]-VENTAS[[#This Row],[Comisión 10%]]-VENTAS[[#This Row],[Costo SIN Comision]]</f>
        <v>16.98</v>
      </c>
      <c r="M1457" s="12"/>
      <c r="N1457" s="16"/>
    </row>
    <row r="1458" spans="1:14" ht="20" hidden="1" customHeight="1">
      <c r="A1458" s="9">
        <v>45548</v>
      </c>
      <c r="B1458" s="10"/>
      <c r="C1458" s="10" t="s">
        <v>4531</v>
      </c>
      <c r="D1458" s="10" t="s">
        <v>4349</v>
      </c>
      <c r="E1458" s="10" t="s">
        <v>2761</v>
      </c>
      <c r="F1458" s="10" t="str">
        <f>IFERROR(VLOOKUP(VENTAS[[#This Row],[Código del producto Vendido]],STOCK[],5,FALSE),"-")</f>
        <v>Vestido semiformal de hombros torcidos color naranja</v>
      </c>
      <c r="G1458" s="10">
        <v>0</v>
      </c>
      <c r="H1458" s="12">
        <v>25</v>
      </c>
      <c r="I1458" s="12">
        <f>VENTAS[[#This Row],[Cantidad]]*VENTAS[[#This Row],[Precio Venta]]</f>
        <v>0</v>
      </c>
      <c r="J1458" s="12">
        <f>IF(VENTAS[[#This Row],[Nombre del Gestor]]&gt;1,VENTAS[[#This Row],[Total]]*10%,0)</f>
        <v>0</v>
      </c>
      <c r="K1458" s="12">
        <f>IFERROR(VLOOKUP(VENTAS[[#This Row],[Código del producto Vendido]],STOCK[],16,FALSE)*VENTAS[[#This Row],[Cantidad]]+VLOOKUP(VENTAS[[#This Row],[Código del producto Vendido]],STOCK[],19,FALSE)*VENTAS[[#This Row],[Cantidad]],VENTAS[[#This Row],[Total]])</f>
        <v>0</v>
      </c>
      <c r="L1458" s="12">
        <f>VENTAS[[#This Row],[Total]]-VENTAS[[#This Row],[Comisión 10%]]-VENTAS[[#This Row],[Costo SIN Comision]]</f>
        <v>0</v>
      </c>
      <c r="M1458" s="12"/>
      <c r="N1458" s="16"/>
    </row>
    <row r="1459" spans="1:14" ht="20" hidden="1" customHeight="1">
      <c r="A1459" s="9"/>
      <c r="B1459" s="10"/>
      <c r="C1459" s="10"/>
      <c r="D1459" s="10" t="s">
        <v>4532</v>
      </c>
      <c r="E1459" s="10" t="s">
        <v>2419</v>
      </c>
      <c r="F1459" s="10" t="str">
        <f>IFERROR(VLOOKUP(VENTAS[[#This Row],[Código del producto Vendido]],STOCK[],5,FALSE),"-")</f>
        <v>Camisa blanca en mezcla de algodón</v>
      </c>
      <c r="G1459" s="10">
        <v>1</v>
      </c>
      <c r="H1459" s="12">
        <v>25</v>
      </c>
      <c r="I1459" s="12">
        <f>VENTAS[[#This Row],[Cantidad]]*VENTAS[[#This Row],[Precio Venta]]</f>
        <v>25</v>
      </c>
      <c r="J1459" s="12">
        <f>IF(VENTAS[[#This Row],[Nombre del Gestor]]&gt;1,VENTAS[[#This Row],[Total]]*10%,0)</f>
        <v>2.5</v>
      </c>
      <c r="K1459" s="12">
        <f>IFERROR(VLOOKUP(VENTAS[[#This Row],[Código del producto Vendido]],STOCK[],16,FALSE)*VENTAS[[#This Row],[Cantidad]]+VLOOKUP(VENTAS[[#This Row],[Código del producto Vendido]],STOCK[],19,FALSE)*VENTAS[[#This Row],[Cantidad]],VENTAS[[#This Row],[Total]])</f>
        <v>17.780810810810799</v>
      </c>
      <c r="L1459" s="12">
        <f>VENTAS[[#This Row],[Total]]-VENTAS[[#This Row],[Comisión 10%]]-VENTAS[[#This Row],[Costo SIN Comision]]</f>
        <v>4.7191891891892013</v>
      </c>
      <c r="M1459" s="12"/>
      <c r="N1459" s="16"/>
    </row>
    <row r="1460" spans="1:14" ht="20" hidden="1" customHeight="1">
      <c r="A1460" s="9"/>
      <c r="B1460" s="10"/>
      <c r="C1460" s="10" t="s">
        <v>4533</v>
      </c>
      <c r="D1460" s="10" t="s">
        <v>4330</v>
      </c>
      <c r="E1460" s="10" t="s">
        <v>2127</v>
      </c>
      <c r="F1460" s="10" t="str">
        <f>IFERROR(VLOOKUP(VENTAS[[#This Row],[Código del producto Vendido]],STOCK[],5,FALSE),"-")</f>
        <v>Set de traje de baño elegante 2 piezas con adorno en forma de V</v>
      </c>
      <c r="G1460" s="10">
        <v>1</v>
      </c>
      <c r="H1460" s="12">
        <v>25</v>
      </c>
      <c r="I1460" s="12">
        <f>VENTAS[[#This Row],[Cantidad]]*VENTAS[[#This Row],[Precio Venta]]</f>
        <v>25</v>
      </c>
      <c r="J1460" s="12">
        <f>IF(VENTAS[[#This Row],[Nombre del Gestor]]&gt;1,VENTAS[[#This Row],[Total]]*10%,0)</f>
        <v>2.5</v>
      </c>
      <c r="K1460" s="12">
        <f>IFERROR(VLOOKUP(VENTAS[[#This Row],[Código del producto Vendido]],STOCK[],16,FALSE)*VENTAS[[#This Row],[Cantidad]]+VLOOKUP(VENTAS[[#This Row],[Código del producto Vendido]],STOCK[],19,FALSE)*VENTAS[[#This Row],[Cantidad]],VENTAS[[#This Row],[Total]])</f>
        <v>11.209999999999999</v>
      </c>
      <c r="L1460" s="12">
        <f>VENTAS[[#This Row],[Total]]-VENTAS[[#This Row],[Comisión 10%]]-VENTAS[[#This Row],[Costo SIN Comision]]</f>
        <v>11.290000000000001</v>
      </c>
      <c r="M1460" s="12"/>
      <c r="N1460" s="16"/>
    </row>
    <row r="1461" spans="1:14" ht="20" hidden="1" customHeight="1">
      <c r="A1461" s="9">
        <v>45553</v>
      </c>
      <c r="B1461" s="10"/>
      <c r="C1461" s="10" t="s">
        <v>4534</v>
      </c>
      <c r="D1461" s="10" t="s">
        <v>4535</v>
      </c>
      <c r="E1461" s="10" t="s">
        <v>2115</v>
      </c>
      <c r="F1461" s="10" t="str">
        <f>IFERROR(VLOOKUP(VENTAS[[#This Row],[Código del producto Vendido]],STOCK[],5,FALSE),"-")</f>
        <v>Flor TOTE fashion bag</v>
      </c>
      <c r="G1461" s="10">
        <v>0</v>
      </c>
      <c r="H1461" s="12">
        <v>10.8</v>
      </c>
      <c r="I1461" s="12">
        <f>VENTAS[[#This Row],[Cantidad]]*VENTAS[[#This Row],[Precio Venta]]</f>
        <v>0</v>
      </c>
      <c r="J1461" s="12">
        <f>IF(VENTAS[[#This Row],[Nombre del Gestor]]&gt;1,VENTAS[[#This Row],[Total]]*10%,0)</f>
        <v>0</v>
      </c>
      <c r="K1461" s="12">
        <f>IFERROR(VLOOKUP(VENTAS[[#This Row],[Código del producto Vendido]],STOCK[],16,FALSE)*VENTAS[[#This Row],[Cantidad]]+VLOOKUP(VENTAS[[#This Row],[Código del producto Vendido]],STOCK[],19,FALSE)*VENTAS[[#This Row],[Cantidad]],VENTAS[[#This Row],[Total]])</f>
        <v>0</v>
      </c>
      <c r="L1461" s="12">
        <f>VENTAS[[#This Row],[Total]]-VENTAS[[#This Row],[Comisión 10%]]-VENTAS[[#This Row],[Costo SIN Comision]]</f>
        <v>0</v>
      </c>
      <c r="M1461" s="12"/>
      <c r="N1461" s="16"/>
    </row>
    <row r="1462" spans="1:14" ht="20" hidden="1" customHeight="1">
      <c r="A1462" s="9">
        <v>45548</v>
      </c>
      <c r="B1462" s="10"/>
      <c r="C1462" s="10" t="s">
        <v>4536</v>
      </c>
      <c r="D1462" s="10" t="s">
        <v>4374</v>
      </c>
      <c r="E1462" s="10" t="s">
        <v>1835</v>
      </c>
      <c r="F1462" s="10" t="str">
        <f>IFERROR(VLOOKUP(VENTAS[[#This Row],[Código del producto Vendido]],STOCK[],5,FALSE),"-")</f>
        <v xml:space="preserve">Pantalón en piel </v>
      </c>
      <c r="G1462" s="10">
        <v>1</v>
      </c>
      <c r="H1462" s="12">
        <v>25</v>
      </c>
      <c r="I1462" s="12">
        <f>VENTAS[[#This Row],[Cantidad]]*VENTAS[[#This Row],[Precio Venta]]</f>
        <v>25</v>
      </c>
      <c r="J1462" s="12">
        <f>IF(VENTAS[[#This Row],[Nombre del Gestor]]&gt;1,VENTAS[[#This Row],[Total]]*10%,0)</f>
        <v>2.5</v>
      </c>
      <c r="K1462" s="12">
        <f>IFERROR(VLOOKUP(VENTAS[[#This Row],[Código del producto Vendido]],STOCK[],16,FALSE)*VENTAS[[#This Row],[Cantidad]]+VLOOKUP(VENTAS[[#This Row],[Código del producto Vendido]],STOCK[],19,FALSE)*VENTAS[[#This Row],[Cantidad]],VENTAS[[#This Row],[Total]])</f>
        <v>11.790000000000001</v>
      </c>
      <c r="L1462" s="12">
        <f>VENTAS[[#This Row],[Total]]-VENTAS[[#This Row],[Comisión 10%]]-VENTAS[[#This Row],[Costo SIN Comision]]</f>
        <v>10.709999999999999</v>
      </c>
      <c r="M1462" s="12"/>
      <c r="N1462" s="16"/>
    </row>
    <row r="1463" spans="1:14" ht="20" hidden="1" customHeight="1">
      <c r="A1463" s="9">
        <v>45558</v>
      </c>
      <c r="B1463" s="10"/>
      <c r="C1463" s="10" t="s">
        <v>4537</v>
      </c>
      <c r="D1463" s="10" t="s">
        <v>4349</v>
      </c>
      <c r="E1463" s="10" t="s">
        <v>1833</v>
      </c>
      <c r="F1463" s="10" t="str">
        <f>IFERROR(VLOOKUP(VENTAS[[#This Row],[Código del producto Vendido]],STOCK[],5,FALSE),"-")</f>
        <v xml:space="preserve">Pantalón en piel </v>
      </c>
      <c r="G1463" s="10">
        <v>1</v>
      </c>
      <c r="H1463" s="12">
        <v>25</v>
      </c>
      <c r="I1463" s="12">
        <f>VENTAS[[#This Row],[Cantidad]]*VENTAS[[#This Row],[Precio Venta]]</f>
        <v>25</v>
      </c>
      <c r="J1463" s="12">
        <f>IF(VENTAS[[#This Row],[Nombre del Gestor]]&gt;1,VENTAS[[#This Row],[Total]]*10%,0)</f>
        <v>2.5</v>
      </c>
      <c r="K1463" s="12">
        <f>IFERROR(VLOOKUP(VENTAS[[#This Row],[Código del producto Vendido]],STOCK[],16,FALSE)*VENTAS[[#This Row],[Cantidad]]+VLOOKUP(VENTAS[[#This Row],[Código del producto Vendido]],STOCK[],19,FALSE)*VENTAS[[#This Row],[Cantidad]],VENTAS[[#This Row],[Total]])</f>
        <v>11.790000000000001</v>
      </c>
      <c r="L1463" s="12">
        <f>VENTAS[[#This Row],[Total]]-VENTAS[[#This Row],[Comisión 10%]]-VENTAS[[#This Row],[Costo SIN Comision]]</f>
        <v>10.709999999999999</v>
      </c>
      <c r="M1463" s="12"/>
      <c r="N1463" s="16"/>
    </row>
    <row r="1464" spans="1:14" ht="20" hidden="1" customHeight="1">
      <c r="A1464" s="9">
        <v>45558</v>
      </c>
      <c r="B1464" s="10"/>
      <c r="C1464" s="10" t="s">
        <v>4537</v>
      </c>
      <c r="D1464" s="10" t="s">
        <v>4349</v>
      </c>
      <c r="E1464" s="10" t="s">
        <v>1489</v>
      </c>
      <c r="F1464" s="10" t="str">
        <f>IFERROR(VLOOKUP(VENTAS[[#This Row],[Código del producto Vendido]],STOCK[],5,FALSE),"-")</f>
        <v xml:space="preserve">Falda satinada negra línea A </v>
      </c>
      <c r="G1464" s="10">
        <v>1</v>
      </c>
      <c r="H1464" s="12">
        <v>25</v>
      </c>
      <c r="I1464" s="12">
        <f>VENTAS[[#This Row],[Cantidad]]*VENTAS[[#This Row],[Precio Venta]]</f>
        <v>25</v>
      </c>
      <c r="J1464" s="12">
        <f>IF(VENTAS[[#This Row],[Nombre del Gestor]]&gt;1,VENTAS[[#This Row],[Total]]*10%,0)</f>
        <v>2.5</v>
      </c>
      <c r="K1464" s="12">
        <f>IFERROR(VLOOKUP(VENTAS[[#This Row],[Código del producto Vendido]],STOCK[],16,FALSE)*VENTAS[[#This Row],[Cantidad]]+VLOOKUP(VENTAS[[#This Row],[Código del producto Vendido]],STOCK[],19,FALSE)*VENTAS[[#This Row],[Cantidad]],VENTAS[[#This Row],[Total]])</f>
        <v>15</v>
      </c>
      <c r="L1464" s="12">
        <f>VENTAS[[#This Row],[Total]]-VENTAS[[#This Row],[Comisión 10%]]-VENTAS[[#This Row],[Costo SIN Comision]]</f>
        <v>7.5</v>
      </c>
      <c r="M1464" s="12"/>
      <c r="N1464" s="16"/>
    </row>
    <row r="1465" spans="1:14" ht="20" hidden="1" customHeight="1">
      <c r="A1465" s="9">
        <v>45558</v>
      </c>
      <c r="B1465" s="10"/>
      <c r="C1465" s="10" t="s">
        <v>4537</v>
      </c>
      <c r="D1465" s="10" t="s">
        <v>4349</v>
      </c>
      <c r="E1465" s="10" t="s">
        <v>2512</v>
      </c>
      <c r="F1465" s="10" t="str">
        <f>IFERROR(VLOOKUP(VENTAS[[#This Row],[Código del producto Vendido]],STOCK[],5,FALSE),"-")</f>
        <v>Camisa elegante de listas</v>
      </c>
      <c r="G1465" s="10">
        <v>1</v>
      </c>
      <c r="H1465" s="12">
        <v>22</v>
      </c>
      <c r="I1465" s="12">
        <f>VENTAS[[#This Row],[Cantidad]]*VENTAS[[#This Row],[Precio Venta]]</f>
        <v>22</v>
      </c>
      <c r="J1465" s="12">
        <f>IF(VENTAS[[#This Row],[Nombre del Gestor]]&gt;1,VENTAS[[#This Row],[Total]]*10%,0)</f>
        <v>2.2000000000000002</v>
      </c>
      <c r="K1465" s="12">
        <f>IFERROR(VLOOKUP(VENTAS[[#This Row],[Código del producto Vendido]],STOCK[],16,FALSE)*VENTAS[[#This Row],[Cantidad]]+VLOOKUP(VENTAS[[#This Row],[Código del producto Vendido]],STOCK[],19,FALSE)*VENTAS[[#This Row],[Cantidad]],VENTAS[[#This Row],[Total]])</f>
        <v>11.3</v>
      </c>
      <c r="L1465" s="12">
        <f>VENTAS[[#This Row],[Total]]-VENTAS[[#This Row],[Comisión 10%]]-VENTAS[[#This Row],[Costo SIN Comision]]</f>
        <v>8.5</v>
      </c>
      <c r="M1465" s="12"/>
      <c r="N1465" s="16"/>
    </row>
    <row r="1466" spans="1:14" ht="20" hidden="1" customHeight="1">
      <c r="A1466" s="9">
        <v>45553</v>
      </c>
      <c r="B1466" s="10"/>
      <c r="C1466" s="10" t="s">
        <v>4538</v>
      </c>
      <c r="D1466" s="10" t="s">
        <v>4349</v>
      </c>
      <c r="E1466" s="10" t="s">
        <v>2486</v>
      </c>
      <c r="F1466" s="10" t="str">
        <f>IFERROR(VLOOKUP(VENTAS[[#This Row],[Código del producto Vendido]],STOCK[],5,FALSE),"-")</f>
        <v>Zapatos elegantes de punta fina negros</v>
      </c>
      <c r="G1466" s="10">
        <v>0</v>
      </c>
      <c r="H1466" s="12">
        <v>40</v>
      </c>
      <c r="I1466" s="12">
        <f>VENTAS[[#This Row],[Cantidad]]*VENTAS[[#This Row],[Precio Venta]]</f>
        <v>0</v>
      </c>
      <c r="J1466" s="12">
        <f>IF(VENTAS[[#This Row],[Nombre del Gestor]]&gt;1,VENTAS[[#This Row],[Total]]*10%,0)</f>
        <v>0</v>
      </c>
      <c r="K1466" s="12">
        <f>IFERROR(VLOOKUP(VENTAS[[#This Row],[Código del producto Vendido]],STOCK[],16,FALSE)*VENTAS[[#This Row],[Cantidad]]+VLOOKUP(VENTAS[[#This Row],[Código del producto Vendido]],STOCK[],19,FALSE)*VENTAS[[#This Row],[Cantidad]],VENTAS[[#This Row],[Total]])</f>
        <v>0</v>
      </c>
      <c r="L1466" s="12">
        <f>VENTAS[[#This Row],[Total]]-VENTAS[[#This Row],[Comisión 10%]]-VENTAS[[#This Row],[Costo SIN Comision]]</f>
        <v>0</v>
      </c>
      <c r="M1466" s="12"/>
      <c r="N1466" s="16"/>
    </row>
    <row r="1467" spans="1:14" ht="20" hidden="1" customHeight="1">
      <c r="A1467" s="9">
        <v>45553</v>
      </c>
      <c r="B1467" s="10"/>
      <c r="C1467" s="10" t="s">
        <v>4538</v>
      </c>
      <c r="D1467" s="10" t="s">
        <v>4349</v>
      </c>
      <c r="E1467" s="10" t="s">
        <v>2422</v>
      </c>
      <c r="F1467" s="10" t="str">
        <f>IFERROR(VLOOKUP(VENTAS[[#This Row],[Código del producto Vendido]],STOCK[],5,FALSE),"-")</f>
        <v>Camisa blanca en mezcla de algodón</v>
      </c>
      <c r="G1467" s="10">
        <v>0</v>
      </c>
      <c r="H1467" s="12">
        <v>25</v>
      </c>
      <c r="I1467" s="12">
        <f>VENTAS[[#This Row],[Cantidad]]*VENTAS[[#This Row],[Precio Venta]]</f>
        <v>0</v>
      </c>
      <c r="J1467" s="12">
        <f>IF(VENTAS[[#This Row],[Nombre del Gestor]]&gt;1,VENTAS[[#This Row],[Total]]*10%,0)</f>
        <v>0</v>
      </c>
      <c r="K1467" s="12">
        <f>IFERROR(VLOOKUP(VENTAS[[#This Row],[Código del producto Vendido]],STOCK[],16,FALSE)*VENTAS[[#This Row],[Cantidad]]+VLOOKUP(VENTAS[[#This Row],[Código del producto Vendido]],STOCK[],19,FALSE)*VENTAS[[#This Row],[Cantidad]],VENTAS[[#This Row],[Total]])</f>
        <v>0</v>
      </c>
      <c r="L1467" s="12">
        <f>VENTAS[[#This Row],[Total]]-VENTAS[[#This Row],[Comisión 10%]]-VENTAS[[#This Row],[Costo SIN Comision]]</f>
        <v>0</v>
      </c>
      <c r="M1467" s="12"/>
      <c r="N1467" s="16"/>
    </row>
    <row r="1468" spans="1:14" ht="20" hidden="1" customHeight="1">
      <c r="A1468" s="9">
        <v>45546</v>
      </c>
      <c r="B1468" s="10"/>
      <c r="C1468" s="10" t="s">
        <v>4539</v>
      </c>
      <c r="D1468" s="10" t="s">
        <v>4349</v>
      </c>
      <c r="E1468" s="10" t="s">
        <v>2763</v>
      </c>
      <c r="F1468" s="10" t="str">
        <f>IFERROR(VLOOKUP(VENTAS[[#This Row],[Código del producto Vendido]],STOCK[],5,FALSE),"-")</f>
        <v>Set de bikini estilo europeo blanco en tendencia</v>
      </c>
      <c r="G1468" s="10">
        <v>0</v>
      </c>
      <c r="H1468" s="12">
        <v>22</v>
      </c>
      <c r="I1468" s="12">
        <f>VENTAS[[#This Row],[Cantidad]]*VENTAS[[#This Row],[Precio Venta]]</f>
        <v>0</v>
      </c>
      <c r="J1468" s="12">
        <f>IF(VENTAS[[#This Row],[Nombre del Gestor]]&gt;1,VENTAS[[#This Row],[Total]]*10%,0)</f>
        <v>0</v>
      </c>
      <c r="K1468" s="12">
        <f>IFERROR(VLOOKUP(VENTAS[[#This Row],[Código del producto Vendido]],STOCK[],16,FALSE)*VENTAS[[#This Row],[Cantidad]]+VLOOKUP(VENTAS[[#This Row],[Código del producto Vendido]],STOCK[],19,FALSE)*VENTAS[[#This Row],[Cantidad]],VENTAS[[#This Row],[Total]])</f>
        <v>0</v>
      </c>
      <c r="L1468" s="12">
        <f>VENTAS[[#This Row],[Total]]-VENTAS[[#This Row],[Comisión 10%]]-VENTAS[[#This Row],[Costo SIN Comision]]</f>
        <v>0</v>
      </c>
      <c r="M1468" s="12"/>
      <c r="N1468" s="16"/>
    </row>
    <row r="1469" spans="1:14" ht="20" hidden="1" customHeight="1">
      <c r="A1469" s="9">
        <v>45547</v>
      </c>
      <c r="B1469" s="10"/>
      <c r="C1469" s="10" t="s">
        <v>4540</v>
      </c>
      <c r="D1469" s="10" t="s">
        <v>4349</v>
      </c>
      <c r="E1469" s="10" t="s">
        <v>2770</v>
      </c>
      <c r="F1469" s="10" t="str">
        <f>IFERROR(VLOOKUP(VENTAS[[#This Row],[Código del producto Vendido]],STOCK[],5,FALSE),"-")</f>
        <v>Set de bikini de estilo europeo de moda color Oliva</v>
      </c>
      <c r="G1469" s="10">
        <v>1</v>
      </c>
      <c r="H1469" s="12">
        <v>22</v>
      </c>
      <c r="I1469" s="12">
        <f>VENTAS[[#This Row],[Cantidad]]*VENTAS[[#This Row],[Precio Venta]]</f>
        <v>22</v>
      </c>
      <c r="J1469" s="12">
        <f>IF(VENTAS[[#This Row],[Nombre del Gestor]]&gt;1,VENTAS[[#This Row],[Total]]*10%,0)</f>
        <v>2.2000000000000002</v>
      </c>
      <c r="K1469" s="12">
        <f>IFERROR(VLOOKUP(VENTAS[[#This Row],[Código del producto Vendido]],STOCK[],16,FALSE)*VENTAS[[#This Row],[Cantidad]]+VLOOKUP(VENTAS[[#This Row],[Código del producto Vendido]],STOCK[],19,FALSE)*VENTAS[[#This Row],[Cantidad]],VENTAS[[#This Row],[Total]])</f>
        <v>12.870000000000001</v>
      </c>
      <c r="L1469" s="12">
        <f>VENTAS[[#This Row],[Total]]-VENTAS[[#This Row],[Comisión 10%]]-VENTAS[[#This Row],[Costo SIN Comision]]</f>
        <v>6.93</v>
      </c>
      <c r="M1469" s="12"/>
      <c r="N1469" s="16"/>
    </row>
    <row r="1470" spans="1:14" ht="20" hidden="1" customHeight="1">
      <c r="A1470" s="9">
        <v>45548</v>
      </c>
      <c r="B1470" s="10"/>
      <c r="C1470" s="10" t="s">
        <v>4531</v>
      </c>
      <c r="D1470" s="10" t="s">
        <v>4349</v>
      </c>
      <c r="E1470" s="10" t="s">
        <v>1926</v>
      </c>
      <c r="F1470" s="10" t="str">
        <f>IFERROR(VLOOKUP(VENTAS[[#This Row],[Código del producto Vendido]],STOCK[],5,FALSE),"-")</f>
        <v>Vestido Fresco Verano en Bloque de Color</v>
      </c>
      <c r="G1470" s="10">
        <v>1</v>
      </c>
      <c r="H1470" s="12">
        <v>30</v>
      </c>
      <c r="I1470" s="12">
        <f>VENTAS[[#This Row],[Cantidad]]*VENTAS[[#This Row],[Precio Venta]]</f>
        <v>30</v>
      </c>
      <c r="J1470" s="12">
        <f>IF(VENTAS[[#This Row],[Nombre del Gestor]]&gt;1,VENTAS[[#This Row],[Total]]*10%,0)</f>
        <v>3</v>
      </c>
      <c r="K1470" s="12">
        <f>IFERROR(VLOOKUP(VENTAS[[#This Row],[Código del producto Vendido]],STOCK[],16,FALSE)*VENTAS[[#This Row],[Cantidad]]+VLOOKUP(VENTAS[[#This Row],[Código del producto Vendido]],STOCK[],19,FALSE)*VENTAS[[#This Row],[Cantidad]],VENTAS[[#This Row],[Total]])</f>
        <v>11.61</v>
      </c>
      <c r="L1470" s="12">
        <f>VENTAS[[#This Row],[Total]]-VENTAS[[#This Row],[Comisión 10%]]-VENTAS[[#This Row],[Costo SIN Comision]]</f>
        <v>15.39</v>
      </c>
      <c r="M1470" s="12"/>
      <c r="N1470" s="16"/>
    </row>
    <row r="1471" spans="1:14" ht="20" hidden="1" customHeight="1">
      <c r="A1471" s="9"/>
      <c r="B1471" s="10"/>
      <c r="C1471" s="10" t="s">
        <v>4541</v>
      </c>
      <c r="D1471" s="10"/>
      <c r="E1471" s="10" t="s">
        <v>824</v>
      </c>
      <c r="F1471" s="10" t="str">
        <f>IFERROR(VLOOKUP(VENTAS[[#This Row],[Código del producto Vendido]],STOCK[],5,FALSE),"-")</f>
        <v xml:space="preserve">Bikini Rosa Viejo Satinado </v>
      </c>
      <c r="G1471" s="10">
        <v>1</v>
      </c>
      <c r="H1471" s="12">
        <v>12</v>
      </c>
      <c r="I1471" s="12">
        <f>VENTAS[[#This Row],[Cantidad]]*VENTAS[[#This Row],[Precio Venta]]</f>
        <v>12</v>
      </c>
      <c r="J1471" s="12">
        <f>IF(VENTAS[[#This Row],[Nombre del Gestor]]&gt;1,VENTAS[[#This Row],[Total]]*10%,0)</f>
        <v>0</v>
      </c>
      <c r="K1471" s="12">
        <f>IFERROR(VLOOKUP(VENTAS[[#This Row],[Código del producto Vendido]],STOCK[],16,FALSE)*VENTAS[[#This Row],[Cantidad]]+VLOOKUP(VENTAS[[#This Row],[Código del producto Vendido]],STOCK[],19,FALSE)*VENTAS[[#This Row],[Cantidad]],VENTAS[[#This Row],[Total]])</f>
        <v>6.5555555555555598</v>
      </c>
      <c r="L1471" s="12">
        <f>VENTAS[[#This Row],[Total]]-VENTAS[[#This Row],[Comisión 10%]]-VENTAS[[#This Row],[Costo SIN Comision]]</f>
        <v>5.4444444444444402</v>
      </c>
      <c r="M1471" s="12"/>
      <c r="N1471" s="16"/>
    </row>
    <row r="1472" spans="1:14" ht="20" hidden="1" customHeight="1">
      <c r="A1472" s="9"/>
      <c r="B1472" s="10"/>
      <c r="C1472" s="10" t="s">
        <v>4541</v>
      </c>
      <c r="D1472" s="10"/>
      <c r="E1472" s="10" t="s">
        <v>2194</v>
      </c>
      <c r="F1472" s="10" t="str">
        <f>IFERROR(VLOOKUP(VENTAS[[#This Row],[Código del producto Vendido]],STOCK[],5,FALSE),"-")</f>
        <v>Set de traje de baño elegante 2 piezas con adorno en forma de V</v>
      </c>
      <c r="G1472" s="10">
        <v>1</v>
      </c>
      <c r="H1472" s="12">
        <v>21</v>
      </c>
      <c r="I1472" s="12">
        <f>VENTAS[[#This Row],[Cantidad]]*VENTAS[[#This Row],[Precio Venta]]</f>
        <v>21</v>
      </c>
      <c r="J1472" s="12">
        <f>IF(VENTAS[[#This Row],[Nombre del Gestor]]&gt;1,VENTAS[[#This Row],[Total]]*10%,0)</f>
        <v>0</v>
      </c>
      <c r="K1472" s="12">
        <f>IFERROR(VLOOKUP(VENTAS[[#This Row],[Código del producto Vendido]],STOCK[],16,FALSE)*VENTAS[[#This Row],[Cantidad]]+VLOOKUP(VENTAS[[#This Row],[Código del producto Vendido]],STOCK[],19,FALSE)*VENTAS[[#This Row],[Cantidad]],VENTAS[[#This Row],[Total]])</f>
        <v>11.209999999999999</v>
      </c>
      <c r="L1472" s="12">
        <f>VENTAS[[#This Row],[Total]]-VENTAS[[#This Row],[Comisión 10%]]-VENTAS[[#This Row],[Costo SIN Comision]]</f>
        <v>9.7900000000000009</v>
      </c>
      <c r="M1472" s="12"/>
      <c r="N1472" s="16"/>
    </row>
    <row r="1473" spans="1:14" ht="20" hidden="1" customHeight="1">
      <c r="A1473" s="9"/>
      <c r="B1473" s="10"/>
      <c r="C1473" s="10"/>
      <c r="D1473" s="10" t="s">
        <v>4528</v>
      </c>
      <c r="E1473" s="10" t="s">
        <v>2192</v>
      </c>
      <c r="F1473" s="10" t="str">
        <f>IFERROR(VLOOKUP(VENTAS[[#This Row],[Código del producto Vendido]],STOCK[],5,FALSE),"-")</f>
        <v>Conjunto Playero color verde 2 piezas</v>
      </c>
      <c r="G1473" s="10">
        <v>1</v>
      </c>
      <c r="H1473" s="12">
        <v>25</v>
      </c>
      <c r="I1473" s="12">
        <f>VENTAS[[#This Row],[Cantidad]]*VENTAS[[#This Row],[Precio Venta]]</f>
        <v>25</v>
      </c>
      <c r="J1473" s="12">
        <f>IF(VENTAS[[#This Row],[Nombre del Gestor]]&gt;1,VENTAS[[#This Row],[Total]]*10%,0)</f>
        <v>2.5</v>
      </c>
      <c r="K1473" s="12">
        <f>IFERROR(VLOOKUP(VENTAS[[#This Row],[Código del producto Vendido]],STOCK[],16,FALSE)*VENTAS[[#This Row],[Cantidad]]+VLOOKUP(VENTAS[[#This Row],[Código del producto Vendido]],STOCK[],19,FALSE)*VENTAS[[#This Row],[Cantidad]],VENTAS[[#This Row],[Total]])</f>
        <v>12.48</v>
      </c>
      <c r="L1473" s="12">
        <f>VENTAS[[#This Row],[Total]]-VENTAS[[#This Row],[Comisión 10%]]-VENTAS[[#This Row],[Costo SIN Comision]]</f>
        <v>10.02</v>
      </c>
      <c r="M1473" s="12"/>
      <c r="N1473" s="16"/>
    </row>
    <row r="1474" spans="1:14" ht="20" hidden="1" customHeight="1">
      <c r="A1474" s="9">
        <v>45566</v>
      </c>
      <c r="B1474" s="10"/>
      <c r="C1474" s="10"/>
      <c r="D1474" s="10" t="s">
        <v>4320</v>
      </c>
      <c r="E1474" s="10" t="s">
        <v>2858</v>
      </c>
      <c r="F1474" s="10" t="str">
        <f>IFERROR(VLOOKUP(VENTAS[[#This Row],[Código del producto Vendido]],STOCK[],5,FALSE),"-")</f>
        <v>Bolso cuadrado tejido de rafia Tamaño grande Color Carmelita</v>
      </c>
      <c r="G1474" s="10">
        <v>1</v>
      </c>
      <c r="H1474" s="12">
        <v>25</v>
      </c>
      <c r="I1474" s="12">
        <f>VENTAS[[#This Row],[Cantidad]]*VENTAS[[#This Row],[Precio Venta]]</f>
        <v>25</v>
      </c>
      <c r="J1474" s="12">
        <f>IF(VENTAS[[#This Row],[Nombre del Gestor]]&gt;1,VENTAS[[#This Row],[Total]]*10%,0)</f>
        <v>2.5</v>
      </c>
      <c r="K1474" s="12">
        <f>IFERROR(VLOOKUP(VENTAS[[#This Row],[Código del producto Vendido]],STOCK[],16,FALSE)*VENTAS[[#This Row],[Cantidad]]+VLOOKUP(VENTAS[[#This Row],[Código del producto Vendido]],STOCK[],19,FALSE)*VENTAS[[#This Row],[Cantidad]],VENTAS[[#This Row],[Total]])</f>
        <v>14.85</v>
      </c>
      <c r="L1474" s="12">
        <f>VENTAS[[#This Row],[Total]]-VENTAS[[#This Row],[Comisión 10%]]-VENTAS[[#This Row],[Costo SIN Comision]]</f>
        <v>7.65</v>
      </c>
      <c r="M1474" s="12"/>
      <c r="N1474" s="16"/>
    </row>
    <row r="1475" spans="1:14" ht="20" hidden="1" customHeight="1">
      <c r="A1475" s="9">
        <v>45565</v>
      </c>
      <c r="B1475" s="10"/>
      <c r="C1475" s="10"/>
      <c r="D1475" s="10" t="s">
        <v>4320</v>
      </c>
      <c r="E1475" s="10" t="s">
        <v>2821</v>
      </c>
      <c r="F1475" s="10" t="str">
        <f>IFERROR(VLOOKUP(VENTAS[[#This Row],[Código del producto Vendido]],STOCK[],5,FALSE),"-")</f>
        <v>Bolso de diario ligero y casual de gran capacidad elegante de cocodrilo</v>
      </c>
      <c r="G1475" s="10">
        <v>1</v>
      </c>
      <c r="H1475" s="12">
        <v>25</v>
      </c>
      <c r="I1475" s="12">
        <f>VENTAS[[#This Row],[Cantidad]]*VENTAS[[#This Row],[Precio Venta]]</f>
        <v>25</v>
      </c>
      <c r="J1475" s="12">
        <f>IF(VENTAS[[#This Row],[Nombre del Gestor]]&gt;1,VENTAS[[#This Row],[Total]]*10%,0)</f>
        <v>2.5</v>
      </c>
      <c r="K1475" s="12">
        <f>IFERROR(VLOOKUP(VENTAS[[#This Row],[Código del producto Vendido]],STOCK[],16,FALSE)*VENTAS[[#This Row],[Cantidad]]+VLOOKUP(VENTAS[[#This Row],[Código del producto Vendido]],STOCK[],19,FALSE)*VENTAS[[#This Row],[Cantidad]],VENTAS[[#This Row],[Total]])</f>
        <v>10.14</v>
      </c>
      <c r="L1475" s="12">
        <f>VENTAS[[#This Row],[Total]]-VENTAS[[#This Row],[Comisión 10%]]-VENTAS[[#This Row],[Costo SIN Comision]]</f>
        <v>12.36</v>
      </c>
      <c r="M1475" s="12"/>
      <c r="N1475" s="16"/>
    </row>
    <row r="1476" spans="1:14" ht="20" hidden="1" customHeight="1">
      <c r="A1476" s="9">
        <v>45563</v>
      </c>
      <c r="B1476" s="10"/>
      <c r="C1476" s="10"/>
      <c r="D1476" s="10" t="s">
        <v>4320</v>
      </c>
      <c r="E1476" s="10" t="s">
        <v>2787</v>
      </c>
      <c r="F1476" s="10" t="str">
        <f>IFERROR(VLOOKUP(VENTAS[[#This Row],[Código del producto Vendido]],STOCK[],5,FALSE),"-")</f>
        <v>Sandalias doradas de tiras anchas para toda ocasión</v>
      </c>
      <c r="G1476" s="10">
        <v>1</v>
      </c>
      <c r="H1476" s="12">
        <v>20</v>
      </c>
      <c r="I1476" s="12">
        <f>VENTAS[[#This Row],[Cantidad]]*VENTAS[[#This Row],[Precio Venta]]</f>
        <v>20</v>
      </c>
      <c r="J1476" s="12">
        <f>IF(VENTAS[[#This Row],[Nombre del Gestor]]&gt;1,VENTAS[[#This Row],[Total]]*10%,0)</f>
        <v>2</v>
      </c>
      <c r="K1476" s="12">
        <f>IFERROR(VLOOKUP(VENTAS[[#This Row],[Código del producto Vendido]],STOCK[],16,FALSE)*VENTAS[[#This Row],[Cantidad]]+VLOOKUP(VENTAS[[#This Row],[Código del producto Vendido]],STOCK[],19,FALSE)*VENTAS[[#This Row],[Cantidad]],VENTAS[[#This Row],[Total]])</f>
        <v>6.65</v>
      </c>
      <c r="L1476" s="12">
        <f>VENTAS[[#This Row],[Total]]-VENTAS[[#This Row],[Comisión 10%]]-VENTAS[[#This Row],[Costo SIN Comision]]</f>
        <v>11.35</v>
      </c>
      <c r="M1476" s="12"/>
      <c r="N1476" s="16"/>
    </row>
    <row r="1477" spans="1:14" ht="20" hidden="1" customHeight="1">
      <c r="A1477" s="9">
        <v>45563</v>
      </c>
      <c r="B1477" s="10"/>
      <c r="C1477" s="10"/>
      <c r="D1477" s="10" t="s">
        <v>4320</v>
      </c>
      <c r="E1477" s="10" t="s">
        <v>2843</v>
      </c>
      <c r="F1477" s="10" t="str">
        <f>IFERROR(VLOOKUP(VENTAS[[#This Row],[Código del producto Vendido]],STOCK[],5,FALSE),"-")</f>
        <v>Bolso de ratán unicolor con ribete negro</v>
      </c>
      <c r="G1477" s="10">
        <v>1</v>
      </c>
      <c r="H1477" s="12">
        <v>30</v>
      </c>
      <c r="I1477" s="12">
        <f>VENTAS[[#This Row],[Cantidad]]*VENTAS[[#This Row],[Precio Venta]]</f>
        <v>30</v>
      </c>
      <c r="J1477" s="12">
        <f>IF(VENTAS[[#This Row],[Nombre del Gestor]]&gt;1,VENTAS[[#This Row],[Total]]*10%,0)</f>
        <v>3</v>
      </c>
      <c r="K1477" s="12">
        <f>IFERROR(VLOOKUP(VENTAS[[#This Row],[Código del producto Vendido]],STOCK[],16,FALSE)*VENTAS[[#This Row],[Cantidad]]+VLOOKUP(VENTAS[[#This Row],[Código del producto Vendido]],STOCK[],19,FALSE)*VENTAS[[#This Row],[Cantidad]],VENTAS[[#This Row],[Total]])</f>
        <v>15.59</v>
      </c>
      <c r="L1477" s="12">
        <f>VENTAS[[#This Row],[Total]]-VENTAS[[#This Row],[Comisión 10%]]-VENTAS[[#This Row],[Costo SIN Comision]]</f>
        <v>11.41</v>
      </c>
      <c r="M1477" s="12"/>
      <c r="N1477" s="16"/>
    </row>
    <row r="1478" spans="1:14" ht="20" hidden="1" customHeight="1">
      <c r="A1478" s="9">
        <v>45562</v>
      </c>
      <c r="B1478" s="10"/>
      <c r="C1478" s="10"/>
      <c r="D1478" s="10" t="s">
        <v>4320</v>
      </c>
      <c r="E1478" s="10" t="s">
        <v>2958</v>
      </c>
      <c r="F1478" s="10" t="str">
        <f>IFERROR(VLOOKUP(VENTAS[[#This Row],[Código del producto Vendido]],STOCK[],5,FALSE),"-")</f>
        <v>Vestido elegante largo ajustado con hombro atado</v>
      </c>
      <c r="G1478" s="10">
        <v>1</v>
      </c>
      <c r="H1478" s="12">
        <v>30</v>
      </c>
      <c r="I1478" s="12">
        <f>VENTAS[[#This Row],[Cantidad]]*VENTAS[[#This Row],[Precio Venta]]</f>
        <v>30</v>
      </c>
      <c r="J1478" s="12">
        <f>IF(VENTAS[[#This Row],[Nombre del Gestor]]&gt;1,VENTAS[[#This Row],[Total]]*10%,0)</f>
        <v>3</v>
      </c>
      <c r="K1478" s="12">
        <f>IFERROR(VLOOKUP(VENTAS[[#This Row],[Código del producto Vendido]],STOCK[],16,FALSE)*VENTAS[[#This Row],[Cantidad]]+VLOOKUP(VENTAS[[#This Row],[Código del producto Vendido]],STOCK[],19,FALSE)*VENTAS[[#This Row],[Cantidad]],VENTAS[[#This Row],[Total]])</f>
        <v>15.13</v>
      </c>
      <c r="L1478" s="12">
        <f>VENTAS[[#This Row],[Total]]-VENTAS[[#This Row],[Comisión 10%]]-VENTAS[[#This Row],[Costo SIN Comision]]</f>
        <v>11.87</v>
      </c>
      <c r="M1478" s="12"/>
      <c r="N1478" s="16"/>
    </row>
    <row r="1479" spans="1:14" ht="20" hidden="1" customHeight="1">
      <c r="A1479" s="9">
        <v>45560</v>
      </c>
      <c r="B1479" s="10"/>
      <c r="C1479" s="10"/>
      <c r="D1479" s="10" t="s">
        <v>4320</v>
      </c>
      <c r="E1479" s="10" t="s">
        <v>2834</v>
      </c>
      <c r="F1479" s="10" t="str">
        <f>IFERROR(VLOOKUP(VENTAS[[#This Row],[Código del producto Vendido]],STOCK[],5,FALSE),"-")</f>
        <v>Vestido elegante de crochet de de cuello profundo y espalda cruzada</v>
      </c>
      <c r="G1479" s="10">
        <v>1</v>
      </c>
      <c r="H1479" s="12">
        <v>30</v>
      </c>
      <c r="I1479" s="12">
        <f>VENTAS[[#This Row],[Cantidad]]*VENTAS[[#This Row],[Precio Venta]]</f>
        <v>30</v>
      </c>
      <c r="J1479" s="12">
        <f>IF(VENTAS[[#This Row],[Nombre del Gestor]]&gt;1,VENTAS[[#This Row],[Total]]*10%,0)</f>
        <v>3</v>
      </c>
      <c r="K1479" s="12">
        <f>IFERROR(VLOOKUP(VENTAS[[#This Row],[Código del producto Vendido]],STOCK[],16,FALSE)*VENTAS[[#This Row],[Cantidad]]+VLOOKUP(VENTAS[[#This Row],[Código del producto Vendido]],STOCK[],19,FALSE)*VENTAS[[#This Row],[Cantidad]],VENTAS[[#This Row],[Total]])</f>
        <v>13.5</v>
      </c>
      <c r="L1479" s="12">
        <f>VENTAS[[#This Row],[Total]]-VENTAS[[#This Row],[Comisión 10%]]-VENTAS[[#This Row],[Costo SIN Comision]]</f>
        <v>13.5</v>
      </c>
      <c r="M1479" s="12"/>
      <c r="N1479" s="16"/>
    </row>
    <row r="1480" spans="1:14" ht="20" hidden="1" customHeight="1">
      <c r="A1480" s="9">
        <v>45565</v>
      </c>
      <c r="B1480" s="10" t="s">
        <v>4542</v>
      </c>
      <c r="C1480" s="10" t="s">
        <v>4543</v>
      </c>
      <c r="D1480" s="10" t="s">
        <v>4184</v>
      </c>
      <c r="E1480" s="10" t="s">
        <v>2797</v>
      </c>
      <c r="F1480" s="10" t="str">
        <f>IFERROR(VLOOKUP(VENTAS[[#This Row],[Código del producto Vendido]],STOCK[],5,FALSE),"-")</f>
        <v>Sandalias estilo chunky de suela gruesa en contraste de color</v>
      </c>
      <c r="G1480" s="10">
        <v>1</v>
      </c>
      <c r="H1480" s="12">
        <v>35</v>
      </c>
      <c r="I1480" s="12">
        <f>VENTAS[[#This Row],[Cantidad]]*VENTAS[[#This Row],[Precio Venta]]</f>
        <v>35</v>
      </c>
      <c r="J1480" s="12">
        <f>IF(VENTAS[[#This Row],[Nombre del Gestor]]&gt;1,VENTAS[[#This Row],[Total]]*10%,0)</f>
        <v>3.5</v>
      </c>
      <c r="K1480" s="12">
        <f>IFERROR(VLOOKUP(VENTAS[[#This Row],[Código del producto Vendido]],STOCK[],16,FALSE)*VENTAS[[#This Row],[Cantidad]]+VLOOKUP(VENTAS[[#This Row],[Código del producto Vendido]],STOCK[],19,FALSE)*VENTAS[[#This Row],[Cantidad]],VENTAS[[#This Row],[Total]])</f>
        <v>13.4</v>
      </c>
      <c r="L1480" s="12">
        <f>VENTAS[[#This Row],[Total]]-VENTAS[[#This Row],[Comisión 10%]]-VENTAS[[#This Row],[Costo SIN Comision]]</f>
        <v>18.100000000000001</v>
      </c>
      <c r="M1480" s="12"/>
      <c r="N1480" s="16"/>
    </row>
    <row r="1481" spans="1:14" ht="20" hidden="1" customHeight="1">
      <c r="A1481" s="9">
        <v>45565</v>
      </c>
      <c r="B1481" s="10"/>
      <c r="C1481" s="10" t="s">
        <v>4543</v>
      </c>
      <c r="D1481" s="10" t="s">
        <v>4184</v>
      </c>
      <c r="E1481" s="10" t="s">
        <v>2774</v>
      </c>
      <c r="F1481" s="10" t="str">
        <f>IFERROR(VLOOKUP(VENTAS[[#This Row],[Código del producto Vendido]],STOCK[],5,FALSE),"-")</f>
        <v>Sandalias de plataforma de rafia natural</v>
      </c>
      <c r="G1481" s="10">
        <v>1</v>
      </c>
      <c r="H1481" s="12">
        <v>45</v>
      </c>
      <c r="I1481" s="12">
        <f>VENTAS[[#This Row],[Cantidad]]*VENTAS[[#This Row],[Precio Venta]]</f>
        <v>45</v>
      </c>
      <c r="J1481" s="12">
        <f>IF(VENTAS[[#This Row],[Nombre del Gestor]]&gt;1,VENTAS[[#This Row],[Total]]*10%,0)</f>
        <v>4.5</v>
      </c>
      <c r="K1481" s="12">
        <f>IFERROR(VLOOKUP(VENTAS[[#This Row],[Código del producto Vendido]],STOCK[],16,FALSE)*VENTAS[[#This Row],[Cantidad]]+VLOOKUP(VENTAS[[#This Row],[Código del producto Vendido]],STOCK[],19,FALSE)*VENTAS[[#This Row],[Cantidad]],VENTAS[[#This Row],[Total]])</f>
        <v>19.649999999999999</v>
      </c>
      <c r="L1481" s="12">
        <f>VENTAS[[#This Row],[Total]]-VENTAS[[#This Row],[Comisión 10%]]-VENTAS[[#This Row],[Costo SIN Comision]]</f>
        <v>20.85</v>
      </c>
      <c r="M1481" s="12"/>
      <c r="N1481" s="16"/>
    </row>
    <row r="1482" spans="1:14" ht="20" hidden="1" customHeight="1">
      <c r="A1482" s="9">
        <v>45546</v>
      </c>
      <c r="B1482" s="10"/>
      <c r="C1482" s="10" t="s">
        <v>4544</v>
      </c>
      <c r="D1482" s="10" t="s">
        <v>4184</v>
      </c>
      <c r="E1482" s="10" t="s">
        <v>1409</v>
      </c>
      <c r="F1482" s="10" t="str">
        <f>IFERROR(VLOOKUP(VENTAS[[#This Row],[Código del producto Vendido]],STOCK[],5,FALSE),"-")</f>
        <v>Pantaloneta con abertura y bolsillos</v>
      </c>
      <c r="G1482" s="10">
        <v>1</v>
      </c>
      <c r="H1482" s="12">
        <v>20.7</v>
      </c>
      <c r="I1482" s="12">
        <f>VENTAS[[#This Row],[Cantidad]]*VENTAS[[#This Row],[Precio Venta]]</f>
        <v>20.7</v>
      </c>
      <c r="J1482" s="12">
        <f>IF(VENTAS[[#This Row],[Nombre del Gestor]]&gt;1,VENTAS[[#This Row],[Total]]*10%,0)</f>
        <v>2.0699999999999998</v>
      </c>
      <c r="K1482" s="12">
        <f>IFERROR(VLOOKUP(VENTAS[[#This Row],[Código del producto Vendido]],STOCK[],16,FALSE)*VENTAS[[#This Row],[Cantidad]]+VLOOKUP(VENTAS[[#This Row],[Código del producto Vendido]],STOCK[],19,FALSE)*VENTAS[[#This Row],[Cantidad]],VENTAS[[#This Row],[Total]])</f>
        <v>14.22</v>
      </c>
      <c r="L1482" s="12">
        <f>VENTAS[[#This Row],[Total]]-VENTAS[[#This Row],[Comisión 10%]]-VENTAS[[#This Row],[Costo SIN Comision]]</f>
        <v>4.4099999999999984</v>
      </c>
      <c r="M1482" s="12"/>
      <c r="N1482" s="16"/>
    </row>
    <row r="1483" spans="1:14" ht="20" hidden="1" customHeight="1">
      <c r="A1483" s="9">
        <v>45565</v>
      </c>
      <c r="B1483" s="10"/>
      <c r="C1483" s="10" t="s">
        <v>4545</v>
      </c>
      <c r="D1483" s="10" t="s">
        <v>4408</v>
      </c>
      <c r="E1483" s="10" t="s">
        <v>2939</v>
      </c>
      <c r="F1483" s="10" t="str">
        <f>IFERROR(VLOOKUP(VENTAS[[#This Row],[Código del producto Vendido]],STOCK[],5,FALSE),"-")</f>
        <v>Vestido maxi sólido con espalda ajustable</v>
      </c>
      <c r="G1483" s="10">
        <v>1</v>
      </c>
      <c r="H1483" s="12">
        <v>25</v>
      </c>
      <c r="I1483" s="12">
        <f>VENTAS[[#This Row],[Cantidad]]*VENTAS[[#This Row],[Precio Venta]]</f>
        <v>25</v>
      </c>
      <c r="J1483" s="12">
        <f>IF(VENTAS[[#This Row],[Nombre del Gestor]]&gt;1,VENTAS[[#This Row],[Total]]*10%,0)</f>
        <v>2.5</v>
      </c>
      <c r="K1483" s="12">
        <f>IFERROR(VLOOKUP(VENTAS[[#This Row],[Código del producto Vendido]],STOCK[],16,FALSE)*VENTAS[[#This Row],[Cantidad]]+VLOOKUP(VENTAS[[#This Row],[Código del producto Vendido]],STOCK[],19,FALSE)*VENTAS[[#This Row],[Cantidad]],VENTAS[[#This Row],[Total]])</f>
        <v>10.790000000000001</v>
      </c>
      <c r="L1483" s="12">
        <f>VENTAS[[#This Row],[Total]]-VENTAS[[#This Row],[Comisión 10%]]-VENTAS[[#This Row],[Costo SIN Comision]]</f>
        <v>11.709999999999999</v>
      </c>
      <c r="M1483" s="12"/>
      <c r="N1483" s="16"/>
    </row>
    <row r="1484" spans="1:14" ht="20" hidden="1" customHeight="1">
      <c r="A1484" s="9">
        <v>45564</v>
      </c>
      <c r="B1484" s="10"/>
      <c r="C1484" s="10" t="s">
        <v>4540</v>
      </c>
      <c r="D1484" s="10" t="s">
        <v>4408</v>
      </c>
      <c r="E1484" s="10" t="s">
        <v>1938</v>
      </c>
      <c r="F1484" s="10" t="str">
        <f>IFERROR(VLOOKUP(VENTAS[[#This Row],[Código del producto Vendido]],STOCK[],5,FALSE),"-")</f>
        <v>Sujetador suave de encaje y satén Beige</v>
      </c>
      <c r="G1484" s="10">
        <v>1</v>
      </c>
      <c r="H1484" s="12">
        <v>8</v>
      </c>
      <c r="I1484" s="12">
        <f>VENTAS[[#This Row],[Cantidad]]*VENTAS[[#This Row],[Precio Venta]]</f>
        <v>8</v>
      </c>
      <c r="J1484" s="12">
        <f>IF(VENTAS[[#This Row],[Nombre del Gestor]]&gt;1,VENTAS[[#This Row],[Total]]*10%,0)</f>
        <v>0.8</v>
      </c>
      <c r="K1484" s="12">
        <f>IFERROR(VLOOKUP(VENTAS[[#This Row],[Código del producto Vendido]],STOCK[],16,FALSE)*VENTAS[[#This Row],[Cantidad]]+VLOOKUP(VENTAS[[#This Row],[Código del producto Vendido]],STOCK[],19,FALSE)*VENTAS[[#This Row],[Cantidad]],VENTAS[[#This Row],[Total]])</f>
        <v>3.85</v>
      </c>
      <c r="L1484" s="12">
        <f>VENTAS[[#This Row],[Total]]-VENTAS[[#This Row],[Comisión 10%]]-VENTAS[[#This Row],[Costo SIN Comision]]</f>
        <v>3.35</v>
      </c>
      <c r="M1484" s="12"/>
      <c r="N1484" s="16"/>
    </row>
    <row r="1485" spans="1:14" ht="20" hidden="1" customHeight="1">
      <c r="A1485" s="9">
        <v>45562</v>
      </c>
      <c r="B1485" s="10"/>
      <c r="C1485" s="10" t="s">
        <v>4546</v>
      </c>
      <c r="D1485" s="10" t="s">
        <v>4408</v>
      </c>
      <c r="E1485" s="10" t="s">
        <v>2798</v>
      </c>
      <c r="F1485" s="10" t="str">
        <f>IFERROR(VLOOKUP(VENTAS[[#This Row],[Código del producto Vendido]],STOCK[],5,FALSE),"-")</f>
        <v>Sandalias estilo chunky de suela gruesa en contraste de color</v>
      </c>
      <c r="G1485" s="10">
        <v>1</v>
      </c>
      <c r="H1485" s="12">
        <v>35</v>
      </c>
      <c r="I1485" s="12">
        <f>VENTAS[[#This Row],[Cantidad]]*VENTAS[[#This Row],[Precio Venta]]</f>
        <v>35</v>
      </c>
      <c r="J1485" s="12">
        <f>IF(VENTAS[[#This Row],[Nombre del Gestor]]&gt;1,VENTAS[[#This Row],[Total]]*10%,0)</f>
        <v>3.5</v>
      </c>
      <c r="K1485" s="12">
        <f>IFERROR(VLOOKUP(VENTAS[[#This Row],[Código del producto Vendido]],STOCK[],16,FALSE)*VENTAS[[#This Row],[Cantidad]]+VLOOKUP(VENTAS[[#This Row],[Código del producto Vendido]],STOCK[],19,FALSE)*VENTAS[[#This Row],[Cantidad]],VENTAS[[#This Row],[Total]])</f>
        <v>19.649999999999999</v>
      </c>
      <c r="L1485" s="12">
        <f>VENTAS[[#This Row],[Total]]-VENTAS[[#This Row],[Comisión 10%]]-VENTAS[[#This Row],[Costo SIN Comision]]</f>
        <v>11.850000000000001</v>
      </c>
      <c r="M1485" s="12"/>
      <c r="N1485" s="16"/>
    </row>
    <row r="1486" spans="1:14" ht="20" hidden="1" customHeight="1">
      <c r="A1486" s="9">
        <v>45562</v>
      </c>
      <c r="B1486" s="10"/>
      <c r="C1486" s="10" t="s">
        <v>4547</v>
      </c>
      <c r="D1486" s="10" t="s">
        <v>4408</v>
      </c>
      <c r="E1486" s="10" t="s">
        <v>2816</v>
      </c>
      <c r="F1486" s="10" t="str">
        <f>IFERROR(VLOOKUP(VENTAS[[#This Row],[Código del producto Vendido]],STOCK[],5,FALSE),"-")</f>
        <v>Bolso de ratán de Moda para vacaciones tamaño mediano con diseño de listas negras</v>
      </c>
      <c r="G1486" s="10">
        <v>1</v>
      </c>
      <c r="H1486" s="12">
        <v>22</v>
      </c>
      <c r="I1486" s="12">
        <f>VENTAS[[#This Row],[Cantidad]]*VENTAS[[#This Row],[Precio Venta]]</f>
        <v>22</v>
      </c>
      <c r="J1486" s="12">
        <f>IF(VENTAS[[#This Row],[Nombre del Gestor]]&gt;1,VENTAS[[#This Row],[Total]]*10%,0)</f>
        <v>2.2000000000000002</v>
      </c>
      <c r="K1486" s="12">
        <f>IFERROR(VLOOKUP(VENTAS[[#This Row],[Código del producto Vendido]],STOCK[],16,FALSE)*VENTAS[[#This Row],[Cantidad]]+VLOOKUP(VENTAS[[#This Row],[Código del producto Vendido]],STOCK[],19,FALSE)*VENTAS[[#This Row],[Cantidad]],VENTAS[[#This Row],[Total]])</f>
        <v>12.17</v>
      </c>
      <c r="L1486" s="12">
        <f>VENTAS[[#This Row],[Total]]-VENTAS[[#This Row],[Comisión 10%]]-VENTAS[[#This Row],[Costo SIN Comision]]</f>
        <v>7.6300000000000008</v>
      </c>
      <c r="M1486" s="12"/>
      <c r="N1486" s="16"/>
    </row>
    <row r="1487" spans="1:14" ht="20" hidden="1" customHeight="1">
      <c r="A1487" s="9">
        <v>45558</v>
      </c>
      <c r="B1487" s="10"/>
      <c r="C1487" s="10" t="s">
        <v>4548</v>
      </c>
      <c r="D1487" s="10" t="s">
        <v>4408</v>
      </c>
      <c r="E1487" s="10" t="s">
        <v>2734</v>
      </c>
      <c r="F1487" s="10" t="str">
        <f>IFERROR(VLOOKUP(VENTAS[[#This Row],[Código del producto Vendido]],STOCK[],5,FALSE),"-")</f>
        <v>Traje de baño sexy de una sola pieza negro</v>
      </c>
      <c r="G1487" s="10">
        <v>1</v>
      </c>
      <c r="H1487" s="12">
        <v>20</v>
      </c>
      <c r="I1487" s="12">
        <f>VENTAS[[#This Row],[Cantidad]]*VENTAS[[#This Row],[Precio Venta]]</f>
        <v>20</v>
      </c>
      <c r="J1487" s="12">
        <f>IF(VENTAS[[#This Row],[Nombre del Gestor]]&gt;1,VENTAS[[#This Row],[Total]]*10%,0)</f>
        <v>2</v>
      </c>
      <c r="K1487" s="12">
        <f>IFERROR(VLOOKUP(VENTAS[[#This Row],[Código del producto Vendido]],STOCK[],16,FALSE)*VENTAS[[#This Row],[Cantidad]]+VLOOKUP(VENTAS[[#This Row],[Código del producto Vendido]],STOCK[],19,FALSE)*VENTAS[[#This Row],[Cantidad]],VENTAS[[#This Row],[Total]])</f>
        <v>11.059999999999999</v>
      </c>
      <c r="L1487" s="12">
        <f>VENTAS[[#This Row],[Total]]-VENTAS[[#This Row],[Comisión 10%]]-VENTAS[[#This Row],[Costo SIN Comision]]</f>
        <v>6.9400000000000013</v>
      </c>
      <c r="M1487" s="12"/>
      <c r="N1487" s="16"/>
    </row>
    <row r="1488" spans="1:14" ht="20" hidden="1" customHeight="1">
      <c r="A1488" s="9">
        <v>45565</v>
      </c>
      <c r="B1488" s="10"/>
      <c r="C1488" s="10" t="s">
        <v>4549</v>
      </c>
      <c r="D1488" s="10" t="s">
        <v>4349</v>
      </c>
      <c r="E1488" s="10" t="s">
        <v>2826</v>
      </c>
      <c r="F1488" s="10" t="str">
        <f>IFERROR(VLOOKUP(VENTAS[[#This Row],[Código del producto Vendido]],STOCK[],5,FALSE),"-")</f>
        <v>Bolso tejido redondo de gran capacidad Beis</v>
      </c>
      <c r="G1488" s="10">
        <v>1</v>
      </c>
      <c r="H1488" s="12">
        <v>25</v>
      </c>
      <c r="I1488" s="12">
        <f>VENTAS[[#This Row],[Cantidad]]*VENTAS[[#This Row],[Precio Venta]]</f>
        <v>25</v>
      </c>
      <c r="J1488" s="12">
        <f>IF(VENTAS[[#This Row],[Nombre del Gestor]]&gt;1,VENTAS[[#This Row],[Total]]*10%,0)</f>
        <v>2.5</v>
      </c>
      <c r="K1488" s="12">
        <f>IFERROR(VLOOKUP(VENTAS[[#This Row],[Código del producto Vendido]],STOCK[],16,FALSE)*VENTAS[[#This Row],[Cantidad]]+VLOOKUP(VENTAS[[#This Row],[Código del producto Vendido]],STOCK[],19,FALSE)*VENTAS[[#This Row],[Cantidad]],VENTAS[[#This Row],[Total]])</f>
        <v>12.74</v>
      </c>
      <c r="L1488" s="12">
        <f>VENTAS[[#This Row],[Total]]-VENTAS[[#This Row],[Comisión 10%]]-VENTAS[[#This Row],[Costo SIN Comision]]</f>
        <v>9.76</v>
      </c>
      <c r="M1488" s="12"/>
      <c r="N1488" s="16"/>
    </row>
    <row r="1489" spans="1:14" ht="20" hidden="1" customHeight="1">
      <c r="A1489" s="9">
        <v>45565</v>
      </c>
      <c r="B1489" s="10"/>
      <c r="C1489" s="10" t="s">
        <v>4550</v>
      </c>
      <c r="D1489" s="10" t="s">
        <v>4349</v>
      </c>
      <c r="E1489" s="10" t="s">
        <v>2830</v>
      </c>
      <c r="F1489" s="10" t="str">
        <f>IFERROR(VLOOKUP(VENTAS[[#This Row],[Código del producto Vendido]],STOCK[],5,FALSE),"-")</f>
        <v>Bolso tejido redondo de gran capacidad Ojo Turco</v>
      </c>
      <c r="G1489" s="10">
        <v>1</v>
      </c>
      <c r="H1489" s="12">
        <v>25</v>
      </c>
      <c r="I1489" s="12">
        <f>VENTAS[[#This Row],[Cantidad]]*VENTAS[[#This Row],[Precio Venta]]</f>
        <v>25</v>
      </c>
      <c r="J1489" s="12">
        <f>IF(VENTAS[[#This Row],[Nombre del Gestor]]&gt;1,VENTAS[[#This Row],[Total]]*10%,0)</f>
        <v>2.5</v>
      </c>
      <c r="K1489" s="12">
        <f>IFERROR(VLOOKUP(VENTAS[[#This Row],[Código del producto Vendido]],STOCK[],16,FALSE)*VENTAS[[#This Row],[Cantidad]]+VLOOKUP(VENTAS[[#This Row],[Código del producto Vendido]],STOCK[],19,FALSE)*VENTAS[[#This Row],[Cantidad]],VENTAS[[#This Row],[Total]])</f>
        <v>13.030000000000001</v>
      </c>
      <c r="L1489" s="12">
        <f>VENTAS[[#This Row],[Total]]-VENTAS[[#This Row],[Comisión 10%]]-VENTAS[[#This Row],[Costo SIN Comision]]</f>
        <v>9.4699999999999989</v>
      </c>
      <c r="M1489" s="12"/>
      <c r="N1489" s="16"/>
    </row>
    <row r="1490" spans="1:14" ht="20" hidden="1" customHeight="1">
      <c r="A1490" s="9">
        <v>45564</v>
      </c>
      <c r="B1490" s="10"/>
      <c r="C1490" s="10" t="s">
        <v>4551</v>
      </c>
      <c r="D1490" s="10" t="s">
        <v>4349</v>
      </c>
      <c r="E1490" s="10" t="s">
        <v>2821</v>
      </c>
      <c r="F1490" s="10" t="str">
        <f>IFERROR(VLOOKUP(VENTAS[[#This Row],[Código del producto Vendido]],STOCK[],5,FALSE),"-")</f>
        <v>Bolso de diario ligero y casual de gran capacidad elegante de cocodrilo</v>
      </c>
      <c r="G1490" s="10">
        <v>1</v>
      </c>
      <c r="H1490" s="12">
        <v>25</v>
      </c>
      <c r="I1490" s="12">
        <f>VENTAS[[#This Row],[Cantidad]]*VENTAS[[#This Row],[Precio Venta]]</f>
        <v>25</v>
      </c>
      <c r="J1490" s="12">
        <f>IF(VENTAS[[#This Row],[Nombre del Gestor]]&gt;1,VENTAS[[#This Row],[Total]]*10%,0)</f>
        <v>2.5</v>
      </c>
      <c r="K1490" s="12">
        <f>IFERROR(VLOOKUP(VENTAS[[#This Row],[Código del producto Vendido]],STOCK[],16,FALSE)*VENTAS[[#This Row],[Cantidad]]+VLOOKUP(VENTAS[[#This Row],[Código del producto Vendido]],STOCK[],19,FALSE)*VENTAS[[#This Row],[Cantidad]],VENTAS[[#This Row],[Total]])</f>
        <v>10.14</v>
      </c>
      <c r="L1490" s="12">
        <f>VENTAS[[#This Row],[Total]]-VENTAS[[#This Row],[Comisión 10%]]-VENTAS[[#This Row],[Costo SIN Comision]]</f>
        <v>12.36</v>
      </c>
      <c r="M1490" s="12"/>
      <c r="N1490" s="16"/>
    </row>
    <row r="1491" spans="1:14" ht="20" hidden="1" customHeight="1">
      <c r="A1491" s="9">
        <v>45564</v>
      </c>
      <c r="B1491" s="10"/>
      <c r="C1491" s="10" t="s">
        <v>4552</v>
      </c>
      <c r="D1491" s="10" t="s">
        <v>4349</v>
      </c>
      <c r="E1491" s="10" t="s">
        <v>2816</v>
      </c>
      <c r="F1491" s="10" t="str">
        <f>IFERROR(VLOOKUP(VENTAS[[#This Row],[Código del producto Vendido]],STOCK[],5,FALSE),"-")</f>
        <v>Bolso de ratán de Moda para vacaciones tamaño mediano con diseño de listas negras</v>
      </c>
      <c r="G1491" s="10">
        <v>1</v>
      </c>
      <c r="H1491" s="12">
        <v>22</v>
      </c>
      <c r="I1491" s="12">
        <f>VENTAS[[#This Row],[Cantidad]]*VENTAS[[#This Row],[Precio Venta]]</f>
        <v>22</v>
      </c>
      <c r="J1491" s="12">
        <f>IF(VENTAS[[#This Row],[Nombre del Gestor]]&gt;1,VENTAS[[#This Row],[Total]]*10%,0)</f>
        <v>2.2000000000000002</v>
      </c>
      <c r="K1491" s="12">
        <f>IFERROR(VLOOKUP(VENTAS[[#This Row],[Código del producto Vendido]],STOCK[],16,FALSE)*VENTAS[[#This Row],[Cantidad]]+VLOOKUP(VENTAS[[#This Row],[Código del producto Vendido]],STOCK[],19,FALSE)*VENTAS[[#This Row],[Cantidad]],VENTAS[[#This Row],[Total]])</f>
        <v>12.17</v>
      </c>
      <c r="L1491" s="12">
        <f>VENTAS[[#This Row],[Total]]-VENTAS[[#This Row],[Comisión 10%]]-VENTAS[[#This Row],[Costo SIN Comision]]</f>
        <v>7.6300000000000008</v>
      </c>
      <c r="M1491" s="12"/>
      <c r="N1491" s="16"/>
    </row>
    <row r="1492" spans="1:14" ht="20" hidden="1" customHeight="1">
      <c r="A1492" s="9">
        <v>45563</v>
      </c>
      <c r="B1492" s="10"/>
      <c r="C1492" s="10" t="s">
        <v>4553</v>
      </c>
      <c r="D1492" s="10" t="s">
        <v>4349</v>
      </c>
      <c r="E1492" s="10" t="s">
        <v>2805</v>
      </c>
      <c r="F1492" s="10" t="str">
        <f>IFERROR(VLOOKUP(VENTAS[[#This Row],[Código del producto Vendido]],STOCK[],5,FALSE),"-")</f>
        <v>Sandalias espadriles de cuña de correas transparentes</v>
      </c>
      <c r="G1492" s="10">
        <v>1</v>
      </c>
      <c r="H1492" s="12">
        <v>40</v>
      </c>
      <c r="I1492" s="12">
        <f>VENTAS[[#This Row],[Cantidad]]*VENTAS[[#This Row],[Precio Venta]]</f>
        <v>40</v>
      </c>
      <c r="J1492" s="12">
        <f>IF(VENTAS[[#This Row],[Nombre del Gestor]]&gt;1,VENTAS[[#This Row],[Total]]*10%,0)</f>
        <v>4</v>
      </c>
      <c r="K1492" s="12">
        <f>IFERROR(VLOOKUP(VENTAS[[#This Row],[Código del producto Vendido]],STOCK[],16,FALSE)*VENTAS[[#This Row],[Cantidad]]+VLOOKUP(VENTAS[[#This Row],[Código del producto Vendido]],STOCK[],19,FALSE)*VENTAS[[#This Row],[Cantidad]],VENTAS[[#This Row],[Total]])</f>
        <v>13.01</v>
      </c>
      <c r="L1492" s="12">
        <f>VENTAS[[#This Row],[Total]]-VENTAS[[#This Row],[Comisión 10%]]-VENTAS[[#This Row],[Costo SIN Comision]]</f>
        <v>22.990000000000002</v>
      </c>
      <c r="M1492" s="12"/>
      <c r="N1492" s="16"/>
    </row>
    <row r="1493" spans="1:14" ht="20" hidden="1" customHeight="1">
      <c r="A1493" s="9">
        <v>45565</v>
      </c>
      <c r="B1493" s="10"/>
      <c r="C1493" s="10" t="s">
        <v>4554</v>
      </c>
      <c r="D1493" s="10" t="s">
        <v>4349</v>
      </c>
      <c r="E1493" s="10" t="s">
        <v>2784</v>
      </c>
      <c r="F1493" s="10" t="str">
        <f>IFERROR(VLOOKUP(VENTAS[[#This Row],[Código del producto Vendido]],STOCK[],5,FALSE),"-")</f>
        <v>Sandalias naranjas espadriles de saco atadas con hebilla al tobillo</v>
      </c>
      <c r="G1493" s="10">
        <v>1</v>
      </c>
      <c r="H1493" s="12">
        <v>35</v>
      </c>
      <c r="I1493" s="12">
        <f>VENTAS[[#This Row],[Cantidad]]*VENTAS[[#This Row],[Precio Venta]]</f>
        <v>35</v>
      </c>
      <c r="J1493" s="12">
        <f>IF(VENTAS[[#This Row],[Nombre del Gestor]]&gt;1,VENTAS[[#This Row],[Total]]*10%,0)</f>
        <v>3.5</v>
      </c>
      <c r="K1493" s="12">
        <f>IFERROR(VLOOKUP(VENTAS[[#This Row],[Código del producto Vendido]],STOCK[],16,FALSE)*VENTAS[[#This Row],[Cantidad]]+VLOOKUP(VENTAS[[#This Row],[Código del producto Vendido]],STOCK[],19,FALSE)*VENTAS[[#This Row],[Cantidad]],VENTAS[[#This Row],[Total]])</f>
        <v>10.4</v>
      </c>
      <c r="L1493" s="12">
        <f>VENTAS[[#This Row],[Total]]-VENTAS[[#This Row],[Comisión 10%]]-VENTAS[[#This Row],[Costo SIN Comision]]</f>
        <v>21.1</v>
      </c>
      <c r="M1493" s="12"/>
      <c r="N1493" s="16"/>
    </row>
    <row r="1494" spans="1:14" ht="20" hidden="1" customHeight="1">
      <c r="A1494" s="9">
        <v>45560</v>
      </c>
      <c r="B1494" s="10"/>
      <c r="C1494" s="10" t="s">
        <v>4555</v>
      </c>
      <c r="D1494" s="10" t="s">
        <v>4349</v>
      </c>
      <c r="E1494" s="10" t="s">
        <v>2828</v>
      </c>
      <c r="F1494" s="10" t="str">
        <f>IFERROR(VLOOKUP(VENTAS[[#This Row],[Código del producto Vendido]],STOCK[],5,FALSE),"-")</f>
        <v>Bolso tejido redondo de gran capacidad Carmelita</v>
      </c>
      <c r="G1494" s="10">
        <v>1</v>
      </c>
      <c r="H1494" s="12">
        <v>25</v>
      </c>
      <c r="I1494" s="12">
        <f>VENTAS[[#This Row],[Cantidad]]*VENTAS[[#This Row],[Precio Venta]]</f>
        <v>25</v>
      </c>
      <c r="J1494" s="12">
        <f>IF(VENTAS[[#This Row],[Nombre del Gestor]]&gt;1,VENTAS[[#This Row],[Total]]*10%,0)</f>
        <v>2.5</v>
      </c>
      <c r="K1494" s="12">
        <f>IFERROR(VLOOKUP(VENTAS[[#This Row],[Código del producto Vendido]],STOCK[],16,FALSE)*VENTAS[[#This Row],[Cantidad]]+VLOOKUP(VENTAS[[#This Row],[Código del producto Vendido]],STOCK[],19,FALSE)*VENTAS[[#This Row],[Cantidad]],VENTAS[[#This Row],[Total]])</f>
        <v>13.31</v>
      </c>
      <c r="L1494" s="12">
        <f>VENTAS[[#This Row],[Total]]-VENTAS[[#This Row],[Comisión 10%]]-VENTAS[[#This Row],[Costo SIN Comision]]</f>
        <v>9.19</v>
      </c>
      <c r="M1494" s="12"/>
      <c r="N1494" s="16"/>
    </row>
    <row r="1495" spans="1:14" ht="20" hidden="1" customHeight="1">
      <c r="A1495" s="9">
        <v>45560</v>
      </c>
      <c r="B1495" s="10"/>
      <c r="C1495" s="10" t="s">
        <v>4556</v>
      </c>
      <c r="D1495" s="10" t="s">
        <v>4349</v>
      </c>
      <c r="E1495" s="10" t="s">
        <v>2858</v>
      </c>
      <c r="F1495" s="10" t="str">
        <f>IFERROR(VLOOKUP(VENTAS[[#This Row],[Código del producto Vendido]],STOCK[],5,FALSE),"-")</f>
        <v>Bolso cuadrado tejido de rafia Tamaño grande Color Carmelita</v>
      </c>
      <c r="G1495" s="10">
        <v>1</v>
      </c>
      <c r="H1495" s="12">
        <v>25</v>
      </c>
      <c r="I1495" s="12">
        <f>VENTAS[[#This Row],[Cantidad]]*VENTAS[[#This Row],[Precio Venta]]</f>
        <v>25</v>
      </c>
      <c r="J1495" s="12">
        <f>IF(VENTAS[[#This Row],[Nombre del Gestor]]&gt;1,VENTAS[[#This Row],[Total]]*10%,0)</f>
        <v>2.5</v>
      </c>
      <c r="K1495" s="12">
        <f>IFERROR(VLOOKUP(VENTAS[[#This Row],[Código del producto Vendido]],STOCK[],16,FALSE)*VENTAS[[#This Row],[Cantidad]]+VLOOKUP(VENTAS[[#This Row],[Código del producto Vendido]],STOCK[],19,FALSE)*VENTAS[[#This Row],[Cantidad]],VENTAS[[#This Row],[Total]])</f>
        <v>14.85</v>
      </c>
      <c r="L1495" s="12">
        <f>VENTAS[[#This Row],[Total]]-VENTAS[[#This Row],[Comisión 10%]]-VENTAS[[#This Row],[Costo SIN Comision]]</f>
        <v>7.65</v>
      </c>
      <c r="M1495" s="12"/>
      <c r="N1495" s="16"/>
    </row>
    <row r="1496" spans="1:14" ht="20" hidden="1" customHeight="1">
      <c r="A1496" s="9">
        <v>45560</v>
      </c>
      <c r="B1496" s="10"/>
      <c r="C1496" s="10" t="s">
        <v>4557</v>
      </c>
      <c r="D1496" s="10" t="s">
        <v>4349</v>
      </c>
      <c r="E1496" s="10" t="s">
        <v>2816</v>
      </c>
      <c r="F1496" s="10" t="str">
        <f>IFERROR(VLOOKUP(VENTAS[[#This Row],[Código del producto Vendido]],STOCK[],5,FALSE),"-")</f>
        <v>Bolso de ratán de Moda para vacaciones tamaño mediano con diseño de listas negras</v>
      </c>
      <c r="G1496" s="10">
        <v>1</v>
      </c>
      <c r="H1496" s="12">
        <v>22</v>
      </c>
      <c r="I1496" s="12">
        <f>VENTAS[[#This Row],[Cantidad]]*VENTAS[[#This Row],[Precio Venta]]</f>
        <v>22</v>
      </c>
      <c r="J1496" s="12">
        <f>IF(VENTAS[[#This Row],[Nombre del Gestor]]&gt;1,VENTAS[[#This Row],[Total]]*10%,0)</f>
        <v>2.2000000000000002</v>
      </c>
      <c r="K1496" s="12">
        <f>IFERROR(VLOOKUP(VENTAS[[#This Row],[Código del producto Vendido]],STOCK[],16,FALSE)*VENTAS[[#This Row],[Cantidad]]+VLOOKUP(VENTAS[[#This Row],[Código del producto Vendido]],STOCK[],19,FALSE)*VENTAS[[#This Row],[Cantidad]],VENTAS[[#This Row],[Total]])</f>
        <v>12.17</v>
      </c>
      <c r="L1496" s="12">
        <f>VENTAS[[#This Row],[Total]]-VENTAS[[#This Row],[Comisión 10%]]-VENTAS[[#This Row],[Costo SIN Comision]]</f>
        <v>7.6300000000000008</v>
      </c>
      <c r="M1496" s="12"/>
      <c r="N1496" s="16"/>
    </row>
    <row r="1497" spans="1:14" ht="20" hidden="1" customHeight="1">
      <c r="A1497" s="9">
        <v>45558</v>
      </c>
      <c r="B1497" s="10"/>
      <c r="C1497" s="10" t="s">
        <v>4537</v>
      </c>
      <c r="D1497" s="10" t="s">
        <v>4349</v>
      </c>
      <c r="E1497" s="10" t="s">
        <v>3023</v>
      </c>
      <c r="F1497" s="10" t="str">
        <f>IFERROR(VLOOKUP(VENTAS[[#This Row],[Código del producto Vendido]],STOCK[],5,FALSE),"-")</f>
        <v>falda negra con abertura H&amp;M</v>
      </c>
      <c r="G1497" s="10">
        <v>1</v>
      </c>
      <c r="H1497" s="12">
        <v>25</v>
      </c>
      <c r="I1497" s="12">
        <f>VENTAS[[#This Row],[Cantidad]]*VENTAS[[#This Row],[Precio Venta]]</f>
        <v>25</v>
      </c>
      <c r="J1497" s="12">
        <f>IF(VENTAS[[#This Row],[Nombre del Gestor]]&gt;1,VENTAS[[#This Row],[Total]]*10%,0)</f>
        <v>2.5</v>
      </c>
      <c r="K1497" s="12">
        <f>IFERROR(VLOOKUP(VENTAS[[#This Row],[Código del producto Vendido]],STOCK[],16,FALSE)*VENTAS[[#This Row],[Cantidad]]+VLOOKUP(VENTAS[[#This Row],[Código del producto Vendido]],STOCK[],19,FALSE)*VENTAS[[#This Row],[Cantidad]],VENTAS[[#This Row],[Total]])</f>
        <v>14.6</v>
      </c>
      <c r="L1497" s="12">
        <f>VENTAS[[#This Row],[Total]]-VENTAS[[#This Row],[Comisión 10%]]-VENTAS[[#This Row],[Costo SIN Comision]]</f>
        <v>7.9</v>
      </c>
      <c r="M1497" s="12"/>
      <c r="N1497" s="16"/>
    </row>
    <row r="1498" spans="1:14" ht="20" hidden="1" customHeight="1">
      <c r="A1498" s="9">
        <v>45536</v>
      </c>
      <c r="B1498" s="10"/>
      <c r="C1498" s="10" t="s">
        <v>4558</v>
      </c>
      <c r="D1498" s="10" t="s">
        <v>4349</v>
      </c>
      <c r="E1498" s="10" t="s">
        <v>2456</v>
      </c>
      <c r="F1498" s="10" t="str">
        <f>IFERROR(VLOOKUP(VENTAS[[#This Row],[Código del producto Vendido]],STOCK[],5,FALSE),"-")</f>
        <v>Sandalias prácticas Chunky Negras</v>
      </c>
      <c r="G1498" s="10">
        <v>1</v>
      </c>
      <c r="H1498" s="12">
        <v>35</v>
      </c>
      <c r="I1498" s="12">
        <f>VENTAS[[#This Row],[Cantidad]]*VENTAS[[#This Row],[Precio Venta]]</f>
        <v>35</v>
      </c>
      <c r="J1498" s="12">
        <f>IF(VENTAS[[#This Row],[Nombre del Gestor]]&gt;1,VENTAS[[#This Row],[Total]]*10%,0)</f>
        <v>3.5</v>
      </c>
      <c r="K1498" s="12">
        <f>IFERROR(VLOOKUP(VENTAS[[#This Row],[Código del producto Vendido]],STOCK[],16,FALSE)*VENTAS[[#This Row],[Cantidad]]+VLOOKUP(VENTAS[[#This Row],[Código del producto Vendido]],STOCK[],19,FALSE)*VENTAS[[#This Row],[Cantidad]],VENTAS[[#This Row],[Total]])</f>
        <v>21.97</v>
      </c>
      <c r="L1498" s="12">
        <f>VENTAS[[#This Row],[Total]]-VENTAS[[#This Row],[Comisión 10%]]-VENTAS[[#This Row],[Costo SIN Comision]]</f>
        <v>9.5300000000000011</v>
      </c>
      <c r="M1498" s="12"/>
      <c r="N1498" s="16"/>
    </row>
    <row r="1499" spans="1:14" ht="20" hidden="1" customHeight="1">
      <c r="A1499" s="9">
        <v>45565</v>
      </c>
      <c r="B1499" s="10"/>
      <c r="C1499" s="10" t="s">
        <v>4469</v>
      </c>
      <c r="D1499" s="10" t="s">
        <v>4374</v>
      </c>
      <c r="E1499" s="10" t="s">
        <v>2821</v>
      </c>
      <c r="F1499" s="10" t="str">
        <f>IFERROR(VLOOKUP(VENTAS[[#This Row],[Código del producto Vendido]],STOCK[],5,FALSE),"-")</f>
        <v>Bolso de diario ligero y casual de gran capacidad elegante de cocodrilo</v>
      </c>
      <c r="G1499" s="10">
        <v>1</v>
      </c>
      <c r="H1499" s="12">
        <v>25</v>
      </c>
      <c r="I1499" s="12">
        <f>VENTAS[[#This Row],[Cantidad]]*VENTAS[[#This Row],[Precio Venta]]</f>
        <v>25</v>
      </c>
      <c r="J1499" s="12">
        <f>IF(VENTAS[[#This Row],[Nombre del Gestor]]&gt;1,VENTAS[[#This Row],[Total]]*10%,0)</f>
        <v>2.5</v>
      </c>
      <c r="K1499" s="12">
        <f>IFERROR(VLOOKUP(VENTAS[[#This Row],[Código del producto Vendido]],STOCK[],16,FALSE)*VENTAS[[#This Row],[Cantidad]]+VLOOKUP(VENTAS[[#This Row],[Código del producto Vendido]],STOCK[],19,FALSE)*VENTAS[[#This Row],[Cantidad]],VENTAS[[#This Row],[Total]])</f>
        <v>10.14</v>
      </c>
      <c r="L1499" s="12">
        <f>VENTAS[[#This Row],[Total]]-VENTAS[[#This Row],[Comisión 10%]]-VENTAS[[#This Row],[Costo SIN Comision]]</f>
        <v>12.36</v>
      </c>
      <c r="M1499" s="12"/>
      <c r="N1499" s="16"/>
    </row>
    <row r="1500" spans="1:14" ht="20" hidden="1" customHeight="1">
      <c r="A1500" s="9">
        <v>45565</v>
      </c>
      <c r="B1500" s="10"/>
      <c r="C1500" s="10" t="s">
        <v>4318</v>
      </c>
      <c r="D1500" s="10"/>
      <c r="E1500" s="10" t="s">
        <v>2456</v>
      </c>
      <c r="F1500" s="10" t="str">
        <f>IFERROR(VLOOKUP(VENTAS[[#This Row],[Código del producto Vendido]],STOCK[],5,FALSE),"-")</f>
        <v>Sandalias prácticas Chunky Negras</v>
      </c>
      <c r="G1500" s="10">
        <v>2</v>
      </c>
      <c r="H1500" s="12">
        <v>35</v>
      </c>
      <c r="I1500" s="12">
        <f>VENTAS[[#This Row],[Cantidad]]*VENTAS[[#This Row],[Precio Venta]]</f>
        <v>70</v>
      </c>
      <c r="J1500" s="12">
        <f>IF(VENTAS[[#This Row],[Nombre del Gestor]]&gt;1,VENTAS[[#This Row],[Total]]*10%,0)</f>
        <v>0</v>
      </c>
      <c r="K1500" s="12">
        <f>IFERROR(VLOOKUP(VENTAS[[#This Row],[Código del producto Vendido]],STOCK[],16,FALSE)*VENTAS[[#This Row],[Cantidad]]+VLOOKUP(VENTAS[[#This Row],[Código del producto Vendido]],STOCK[],19,FALSE)*VENTAS[[#This Row],[Cantidad]],VENTAS[[#This Row],[Total]])</f>
        <v>43.94</v>
      </c>
      <c r="L1500" s="12">
        <f>VENTAS[[#This Row],[Total]]-VENTAS[[#This Row],[Comisión 10%]]-VENTAS[[#This Row],[Costo SIN Comision]]</f>
        <v>26.060000000000002</v>
      </c>
      <c r="M1500" s="12"/>
      <c r="N1500" s="16"/>
    </row>
    <row r="1501" spans="1:14" ht="20" hidden="1" customHeight="1">
      <c r="A1501" s="9">
        <v>45564</v>
      </c>
      <c r="B1501" s="10"/>
      <c r="C1501" s="10" t="s">
        <v>4488</v>
      </c>
      <c r="D1501" s="10" t="s">
        <v>4184</v>
      </c>
      <c r="E1501" s="10" t="s">
        <v>2507</v>
      </c>
      <c r="F1501" s="10" t="str">
        <f>IFERROR(VLOOKUP(VENTAS[[#This Row],[Código del producto Vendido]],STOCK[],5,FALSE),"-")</f>
        <v>Camisa elegante con lazo grande</v>
      </c>
      <c r="G1501" s="10">
        <v>1</v>
      </c>
      <c r="H1501" s="12">
        <v>20</v>
      </c>
      <c r="I1501" s="12">
        <f>VENTAS[[#This Row],[Cantidad]]*VENTAS[[#This Row],[Precio Venta]]</f>
        <v>20</v>
      </c>
      <c r="J1501" s="12">
        <f>IF(VENTAS[[#This Row],[Nombre del Gestor]]&gt;1,VENTAS[[#This Row],[Total]]*10%,0)</f>
        <v>2</v>
      </c>
      <c r="K1501" s="12">
        <f>IFERROR(VLOOKUP(VENTAS[[#This Row],[Código del producto Vendido]],STOCK[],16,FALSE)*VENTAS[[#This Row],[Cantidad]]+VLOOKUP(VENTAS[[#This Row],[Código del producto Vendido]],STOCK[],19,FALSE)*VENTAS[[#This Row],[Cantidad]],VENTAS[[#This Row],[Total]])</f>
        <v>10.92</v>
      </c>
      <c r="L1501" s="12">
        <f>VENTAS[[#This Row],[Total]]-VENTAS[[#This Row],[Comisión 10%]]-VENTAS[[#This Row],[Costo SIN Comision]]</f>
        <v>7.08</v>
      </c>
      <c r="M1501" s="12"/>
      <c r="N1501" s="16"/>
    </row>
    <row r="1502" spans="1:14" ht="20" hidden="1" customHeight="1">
      <c r="A1502" s="9">
        <v>45565</v>
      </c>
      <c r="B1502" s="10"/>
      <c r="C1502" s="10" t="s">
        <v>4559</v>
      </c>
      <c r="D1502" s="10" t="s">
        <v>4374</v>
      </c>
      <c r="E1502" s="10" t="s">
        <v>3014</v>
      </c>
      <c r="F1502" s="10" t="str">
        <f>IFERROR(VLOOKUP(VENTAS[[#This Row],[Código del producto Vendido]],STOCK[],5,FALSE),"-")</f>
        <v>Pantalón alto de pierna ancha color caramelo</v>
      </c>
      <c r="G1502" s="10">
        <v>1</v>
      </c>
      <c r="H1502" s="12">
        <v>30</v>
      </c>
      <c r="I1502" s="12">
        <f>VENTAS[[#This Row],[Cantidad]]*VENTAS[[#This Row],[Precio Venta]]</f>
        <v>30</v>
      </c>
      <c r="J1502" s="12">
        <f>IF(VENTAS[[#This Row],[Nombre del Gestor]]&gt;1,VENTAS[[#This Row],[Total]]*10%,0)</f>
        <v>3</v>
      </c>
      <c r="K1502" s="12">
        <f>IFERROR(VLOOKUP(VENTAS[[#This Row],[Código del producto Vendido]],STOCK[],16,FALSE)*VENTAS[[#This Row],[Cantidad]]+VLOOKUP(VENTAS[[#This Row],[Código del producto Vendido]],STOCK[],19,FALSE)*VENTAS[[#This Row],[Cantidad]],VENTAS[[#This Row],[Total]])</f>
        <v>12.63</v>
      </c>
      <c r="L1502" s="12">
        <f>VENTAS[[#This Row],[Total]]-VENTAS[[#This Row],[Comisión 10%]]-VENTAS[[#This Row],[Costo SIN Comision]]</f>
        <v>14.37</v>
      </c>
      <c r="M1502" s="12"/>
      <c r="N1502" s="16"/>
    </row>
    <row r="1503" spans="1:14" ht="20" hidden="1" customHeight="1">
      <c r="A1503" s="9">
        <v>45565</v>
      </c>
      <c r="B1503" s="10"/>
      <c r="C1503" s="10" t="s">
        <v>4560</v>
      </c>
      <c r="D1503" s="10" t="s">
        <v>4374</v>
      </c>
      <c r="E1503" s="10" t="s">
        <v>2814</v>
      </c>
      <c r="F1503" s="10" t="str">
        <f>IFERROR(VLOOKUP(VENTAS[[#This Row],[Código del producto Vendido]],STOCK[],5,FALSE),"-")</f>
        <v>Bolso elegante de estilo sillín</v>
      </c>
      <c r="G1503" s="10">
        <v>1</v>
      </c>
      <c r="H1503" s="12">
        <v>22</v>
      </c>
      <c r="I1503" s="12">
        <f>VENTAS[[#This Row],[Cantidad]]*VENTAS[[#This Row],[Precio Venta]]</f>
        <v>22</v>
      </c>
      <c r="J1503" s="12">
        <f>IF(VENTAS[[#This Row],[Nombre del Gestor]]&gt;1,VENTAS[[#This Row],[Total]]*10%,0)</f>
        <v>2.2000000000000002</v>
      </c>
      <c r="K1503" s="12">
        <f>IFERROR(VLOOKUP(VENTAS[[#This Row],[Código del producto Vendido]],STOCK[],16,FALSE)*VENTAS[[#This Row],[Cantidad]]+VLOOKUP(VENTAS[[#This Row],[Código del producto Vendido]],STOCK[],19,FALSE)*VENTAS[[#This Row],[Cantidad]],VENTAS[[#This Row],[Total]])</f>
        <v>10.280000000000001</v>
      </c>
      <c r="L1503" s="12">
        <f>VENTAS[[#This Row],[Total]]-VENTAS[[#This Row],[Comisión 10%]]-VENTAS[[#This Row],[Costo SIN Comision]]</f>
        <v>9.52</v>
      </c>
      <c r="M1503" s="12"/>
      <c r="N1503" s="16"/>
    </row>
    <row r="1504" spans="1:14" ht="20" hidden="1" customHeight="1">
      <c r="A1504" s="9">
        <v>45565</v>
      </c>
      <c r="B1504" s="10"/>
      <c r="C1504" s="10" t="s">
        <v>4561</v>
      </c>
      <c r="D1504" s="10" t="s">
        <v>4374</v>
      </c>
      <c r="E1504" s="10" t="s">
        <v>1063</v>
      </c>
      <c r="F1504" s="10" t="str">
        <f>IFERROR(VLOOKUP(VENTAS[[#This Row],[Código del producto Vendido]],STOCK[],5,FALSE),"-")</f>
        <v>Top cami carrera</v>
      </c>
      <c r="G1504" s="10">
        <v>1</v>
      </c>
      <c r="H1504" s="12">
        <v>7</v>
      </c>
      <c r="I1504" s="12">
        <f>VENTAS[[#This Row],[Cantidad]]*VENTAS[[#This Row],[Precio Venta]]</f>
        <v>7</v>
      </c>
      <c r="J1504" s="12">
        <f>IF(VENTAS[[#This Row],[Nombre del Gestor]]&gt;1,VENTAS[[#This Row],[Total]]*10%,0)</f>
        <v>0.70000000000000007</v>
      </c>
      <c r="K1504" s="12">
        <f>IFERROR(VLOOKUP(VENTAS[[#This Row],[Código del producto Vendido]],STOCK[],16,FALSE)*VENTAS[[#This Row],[Cantidad]]+VLOOKUP(VENTAS[[#This Row],[Código del producto Vendido]],STOCK[],19,FALSE)*VENTAS[[#This Row],[Cantidad]],VENTAS[[#This Row],[Total]])</f>
        <v>4.9926470588235299</v>
      </c>
      <c r="L1504" s="12">
        <f>VENTAS[[#This Row],[Total]]-VENTAS[[#This Row],[Comisión 10%]]-VENTAS[[#This Row],[Costo SIN Comision]]</f>
        <v>1.3073529411764699</v>
      </c>
      <c r="M1504" s="12"/>
      <c r="N1504" s="16"/>
    </row>
    <row r="1505" spans="1:14" ht="20" hidden="1" customHeight="1">
      <c r="A1505" s="9">
        <v>45565</v>
      </c>
      <c r="B1505" s="10"/>
      <c r="C1505" s="10" t="s">
        <v>4561</v>
      </c>
      <c r="D1505" s="10" t="s">
        <v>4374</v>
      </c>
      <c r="E1505" s="10" t="s">
        <v>2996</v>
      </c>
      <c r="F1505" s="10" t="str">
        <f>IFERROR(VLOOKUP(VENTAS[[#This Row],[Código del producto Vendido]],STOCK[],5,FALSE),"-")</f>
        <v>Camiseta de moda con estampado de cereza</v>
      </c>
      <c r="G1505" s="10">
        <v>1</v>
      </c>
      <c r="H1505" s="12">
        <v>15</v>
      </c>
      <c r="I1505" s="12">
        <f>VENTAS[[#This Row],[Cantidad]]*VENTAS[[#This Row],[Precio Venta]]</f>
        <v>15</v>
      </c>
      <c r="J1505" s="12">
        <f>IF(VENTAS[[#This Row],[Nombre del Gestor]]&gt;1,VENTAS[[#This Row],[Total]]*10%,0)</f>
        <v>1.5</v>
      </c>
      <c r="K1505" s="12">
        <f>IFERROR(VLOOKUP(VENTAS[[#This Row],[Código del producto Vendido]],STOCK[],16,FALSE)*VENTAS[[#This Row],[Cantidad]]+VLOOKUP(VENTAS[[#This Row],[Código del producto Vendido]],STOCK[],19,FALSE)*VENTAS[[#This Row],[Cantidad]],VENTAS[[#This Row],[Total]])</f>
        <v>5.92</v>
      </c>
      <c r="L1505" s="12">
        <f>VENTAS[[#This Row],[Total]]-VENTAS[[#This Row],[Comisión 10%]]-VENTAS[[#This Row],[Costo SIN Comision]]</f>
        <v>7.58</v>
      </c>
      <c r="M1505" s="12"/>
      <c r="N1505" s="16"/>
    </row>
    <row r="1506" spans="1:14" ht="20" hidden="1" customHeight="1">
      <c r="A1506" s="9">
        <v>45564</v>
      </c>
      <c r="B1506" s="10"/>
      <c r="C1506" s="10" t="s">
        <v>4328</v>
      </c>
      <c r="D1506" s="10" t="s">
        <v>4374</v>
      </c>
      <c r="E1506" s="10" t="s">
        <v>2753</v>
      </c>
      <c r="F1506" s="10" t="str">
        <f>IFERROR(VLOOKUP(VENTAS[[#This Row],[Código del producto Vendido]],STOCK[],5,FALSE),"-")</f>
        <v>Vestido Privé Unicolor Sin Mangas ajustado con pliegues color negro</v>
      </c>
      <c r="G1506" s="10">
        <v>1</v>
      </c>
      <c r="H1506" s="12">
        <v>20</v>
      </c>
      <c r="I1506" s="12">
        <f>VENTAS[[#This Row],[Cantidad]]*VENTAS[[#This Row],[Precio Venta]]</f>
        <v>20</v>
      </c>
      <c r="J1506" s="12">
        <f>IF(VENTAS[[#This Row],[Nombre del Gestor]]&gt;1,VENTAS[[#This Row],[Total]]*10%,0)</f>
        <v>2</v>
      </c>
      <c r="K1506" s="12">
        <f>IFERROR(VLOOKUP(VENTAS[[#This Row],[Código del producto Vendido]],STOCK[],16,FALSE)*VENTAS[[#This Row],[Cantidad]]+VLOOKUP(VENTAS[[#This Row],[Código del producto Vendido]],STOCK[],19,FALSE)*VENTAS[[#This Row],[Cantidad]],VENTAS[[#This Row],[Total]])</f>
        <v>6.12</v>
      </c>
      <c r="L1506" s="12">
        <f>VENTAS[[#This Row],[Total]]-VENTAS[[#This Row],[Comisión 10%]]-VENTAS[[#This Row],[Costo SIN Comision]]</f>
        <v>11.879999999999999</v>
      </c>
      <c r="M1506" s="12"/>
      <c r="N1506" s="16"/>
    </row>
    <row r="1507" spans="1:14" ht="20" hidden="1" customHeight="1">
      <c r="A1507" s="9">
        <v>45564</v>
      </c>
      <c r="B1507" s="10"/>
      <c r="C1507" s="10" t="s">
        <v>4428</v>
      </c>
      <c r="D1507" s="10" t="s">
        <v>4374</v>
      </c>
      <c r="E1507" s="10" t="s">
        <v>2834</v>
      </c>
      <c r="F1507" s="10" t="str">
        <f>IFERROR(VLOOKUP(VENTAS[[#This Row],[Código del producto Vendido]],STOCK[],5,FALSE),"-")</f>
        <v>Vestido elegante de crochet de de cuello profundo y espalda cruzada</v>
      </c>
      <c r="G1507" s="10">
        <v>1</v>
      </c>
      <c r="H1507" s="12">
        <v>30</v>
      </c>
      <c r="I1507" s="12">
        <f>VENTAS[[#This Row],[Cantidad]]*VENTAS[[#This Row],[Precio Venta]]</f>
        <v>30</v>
      </c>
      <c r="J1507" s="12">
        <f>IF(VENTAS[[#This Row],[Nombre del Gestor]]&gt;1,VENTAS[[#This Row],[Total]]*10%,0)</f>
        <v>3</v>
      </c>
      <c r="K1507" s="12">
        <f>IFERROR(VLOOKUP(VENTAS[[#This Row],[Código del producto Vendido]],STOCK[],16,FALSE)*VENTAS[[#This Row],[Cantidad]]+VLOOKUP(VENTAS[[#This Row],[Código del producto Vendido]],STOCK[],19,FALSE)*VENTAS[[#This Row],[Cantidad]],VENTAS[[#This Row],[Total]])</f>
        <v>13.5</v>
      </c>
      <c r="L1507" s="12">
        <f>VENTAS[[#This Row],[Total]]-VENTAS[[#This Row],[Comisión 10%]]-VENTAS[[#This Row],[Costo SIN Comision]]</f>
        <v>13.5</v>
      </c>
      <c r="M1507" s="12"/>
      <c r="N1507" s="16"/>
    </row>
    <row r="1508" spans="1:14" ht="20" hidden="1" customHeight="1">
      <c r="A1508" s="9">
        <v>45564</v>
      </c>
      <c r="B1508" s="10"/>
      <c r="C1508" s="10" t="s">
        <v>4562</v>
      </c>
      <c r="D1508" s="10" t="s">
        <v>4374</v>
      </c>
      <c r="E1508" s="10" t="s">
        <v>2837</v>
      </c>
      <c r="F1508" s="10" t="str">
        <f>IFERROR(VLOOKUP(VENTAS[[#This Row],[Código del producto Vendido]],STOCK[],5,FALSE),"-")</f>
        <v>Vestido elegante de crochet de de cuello profundo y espalda cruzada</v>
      </c>
      <c r="G1508" s="10">
        <v>1</v>
      </c>
      <c r="H1508" s="12">
        <v>30</v>
      </c>
      <c r="I1508" s="12">
        <f>VENTAS[[#This Row],[Cantidad]]*VENTAS[[#This Row],[Precio Venta]]</f>
        <v>30</v>
      </c>
      <c r="J1508" s="12">
        <f>IF(VENTAS[[#This Row],[Nombre del Gestor]]&gt;1,VENTAS[[#This Row],[Total]]*10%,0)</f>
        <v>3</v>
      </c>
      <c r="K1508" s="12">
        <f>IFERROR(VLOOKUP(VENTAS[[#This Row],[Código del producto Vendido]],STOCK[],16,FALSE)*VENTAS[[#This Row],[Cantidad]]+VLOOKUP(VENTAS[[#This Row],[Código del producto Vendido]],STOCK[],19,FALSE)*VENTAS[[#This Row],[Cantidad]],VENTAS[[#This Row],[Total]])</f>
        <v>13.5</v>
      </c>
      <c r="L1508" s="12">
        <f>VENTAS[[#This Row],[Total]]-VENTAS[[#This Row],[Comisión 10%]]-VENTAS[[#This Row],[Costo SIN Comision]]</f>
        <v>13.5</v>
      </c>
      <c r="M1508" s="12"/>
      <c r="N1508" s="16"/>
    </row>
    <row r="1509" spans="1:14" ht="20" hidden="1" customHeight="1">
      <c r="A1509" s="9">
        <v>45563</v>
      </c>
      <c r="B1509" s="10"/>
      <c r="C1509" s="10" t="s">
        <v>4563</v>
      </c>
      <c r="D1509" s="10" t="s">
        <v>4374</v>
      </c>
      <c r="E1509" s="10" t="s">
        <v>2954</v>
      </c>
      <c r="F1509" s="10" t="str">
        <f>IFERROR(VLOOKUP(VENTAS[[#This Row],[Código del producto Vendido]],STOCK[],5,FALSE),"-")</f>
        <v>Vestido camisola de ajustado romántico sexy</v>
      </c>
      <c r="G1509" s="10">
        <v>1</v>
      </c>
      <c r="H1509" s="12">
        <v>30</v>
      </c>
      <c r="I1509" s="12">
        <f>VENTAS[[#This Row],[Cantidad]]*VENTAS[[#This Row],[Precio Venta]]</f>
        <v>30</v>
      </c>
      <c r="J1509" s="12">
        <f>IF(VENTAS[[#This Row],[Nombre del Gestor]]&gt;1,VENTAS[[#This Row],[Total]]*10%,0)</f>
        <v>3</v>
      </c>
      <c r="K1509" s="12">
        <f>IFERROR(VLOOKUP(VENTAS[[#This Row],[Código del producto Vendido]],STOCK[],16,FALSE)*VENTAS[[#This Row],[Cantidad]]+VLOOKUP(VENTAS[[#This Row],[Código del producto Vendido]],STOCK[],19,FALSE)*VENTAS[[#This Row],[Cantidad]],VENTAS[[#This Row],[Total]])</f>
        <v>13.3</v>
      </c>
      <c r="L1509" s="12">
        <f>VENTAS[[#This Row],[Total]]-VENTAS[[#This Row],[Comisión 10%]]-VENTAS[[#This Row],[Costo SIN Comision]]</f>
        <v>13.7</v>
      </c>
      <c r="M1509" s="12"/>
      <c r="N1509" s="16"/>
    </row>
    <row r="1510" spans="1:14" ht="20" hidden="1" customHeight="1">
      <c r="A1510" s="9">
        <v>45563</v>
      </c>
      <c r="B1510" s="10"/>
      <c r="C1510" s="10" t="s">
        <v>4552</v>
      </c>
      <c r="D1510" s="10" t="s">
        <v>4374</v>
      </c>
      <c r="E1510" s="10" t="s">
        <v>2966</v>
      </c>
      <c r="F1510" s="10" t="str">
        <f>IFERROR(VLOOKUP(VENTAS[[#This Row],[Código del producto Vendido]],STOCK[],5,FALSE),"-")</f>
        <v>Vestido camisola negro con abertura</v>
      </c>
      <c r="G1510" s="10">
        <v>1</v>
      </c>
      <c r="H1510" s="12">
        <v>20</v>
      </c>
      <c r="I1510" s="12">
        <f>VENTAS[[#This Row],[Cantidad]]*VENTAS[[#This Row],[Precio Venta]]</f>
        <v>20</v>
      </c>
      <c r="J1510" s="12">
        <f>IF(VENTAS[[#This Row],[Nombre del Gestor]]&gt;1,VENTAS[[#This Row],[Total]]*10%,0)</f>
        <v>2</v>
      </c>
      <c r="K1510" s="12">
        <f>IFERROR(VLOOKUP(VENTAS[[#This Row],[Código del producto Vendido]],STOCK[],16,FALSE)*VENTAS[[#This Row],[Cantidad]]+VLOOKUP(VENTAS[[#This Row],[Código del producto Vendido]],STOCK[],19,FALSE)*VENTAS[[#This Row],[Cantidad]],VENTAS[[#This Row],[Total]])</f>
        <v>7.6300000000000008</v>
      </c>
      <c r="L1510" s="12">
        <f>VENTAS[[#This Row],[Total]]-VENTAS[[#This Row],[Comisión 10%]]-VENTAS[[#This Row],[Costo SIN Comision]]</f>
        <v>10.37</v>
      </c>
      <c r="M1510" s="12"/>
      <c r="N1510" s="16"/>
    </row>
    <row r="1511" spans="1:14" ht="20" hidden="1" customHeight="1">
      <c r="A1511" s="9">
        <v>45563</v>
      </c>
      <c r="B1511" s="10"/>
      <c r="C1511" s="10" t="s">
        <v>4564</v>
      </c>
      <c r="D1511" s="10" t="s">
        <v>4374</v>
      </c>
      <c r="E1511" s="10" t="s">
        <v>2975</v>
      </c>
      <c r="F1511" s="10" t="str">
        <f>IFERROR(VLOOKUP(VENTAS[[#This Row],[Código del producto Vendido]],STOCK[],5,FALSE),"-")</f>
        <v>Vestido de un hombro con abertura trasera color azul celeste</v>
      </c>
      <c r="G1511" s="10">
        <v>1</v>
      </c>
      <c r="H1511" s="12">
        <v>25</v>
      </c>
      <c r="I1511" s="12">
        <f>VENTAS[[#This Row],[Cantidad]]*VENTAS[[#This Row],[Precio Venta]]</f>
        <v>25</v>
      </c>
      <c r="J1511" s="12">
        <f>IF(VENTAS[[#This Row],[Nombre del Gestor]]&gt;1,VENTAS[[#This Row],[Total]]*10%,0)</f>
        <v>2.5</v>
      </c>
      <c r="K1511" s="12">
        <f>IFERROR(VLOOKUP(VENTAS[[#This Row],[Código del producto Vendido]],STOCK[],16,FALSE)*VENTAS[[#This Row],[Cantidad]]+VLOOKUP(VENTAS[[#This Row],[Código del producto Vendido]],STOCK[],19,FALSE)*VENTAS[[#This Row],[Cantidad]],VENTAS[[#This Row],[Total]])</f>
        <v>12.32</v>
      </c>
      <c r="L1511" s="12">
        <f>VENTAS[[#This Row],[Total]]-VENTAS[[#This Row],[Comisión 10%]]-VENTAS[[#This Row],[Costo SIN Comision]]</f>
        <v>10.18</v>
      </c>
      <c r="M1511" s="12"/>
      <c r="N1511" s="16"/>
    </row>
    <row r="1512" spans="1:14" ht="20" hidden="1" customHeight="1">
      <c r="A1512" s="9">
        <v>45563</v>
      </c>
      <c r="B1512" s="10"/>
      <c r="C1512" s="10" t="s">
        <v>4565</v>
      </c>
      <c r="D1512" s="10" t="s">
        <v>4374</v>
      </c>
      <c r="E1512" s="10" t="s">
        <v>2850</v>
      </c>
      <c r="F1512" s="10" t="str">
        <f>IFERROR(VLOOKUP(VENTAS[[#This Row],[Código del producto Vendido]],STOCK[],5,FALSE),"-")</f>
        <v>Pantalones largros rayados de moda de gran comodidad</v>
      </c>
      <c r="G1512" s="10">
        <v>1</v>
      </c>
      <c r="H1512" s="12">
        <v>22</v>
      </c>
      <c r="I1512" s="12">
        <f>VENTAS[[#This Row],[Cantidad]]*VENTAS[[#This Row],[Precio Venta]]</f>
        <v>22</v>
      </c>
      <c r="J1512" s="12">
        <f>IF(VENTAS[[#This Row],[Nombre del Gestor]]&gt;1,VENTAS[[#This Row],[Total]]*10%,0)</f>
        <v>2.2000000000000002</v>
      </c>
      <c r="K1512" s="12">
        <f>IFERROR(VLOOKUP(VENTAS[[#This Row],[Código del producto Vendido]],STOCK[],16,FALSE)*VENTAS[[#This Row],[Cantidad]]+VLOOKUP(VENTAS[[#This Row],[Código del producto Vendido]],STOCK[],19,FALSE)*VENTAS[[#This Row],[Cantidad]],VENTAS[[#This Row],[Total]])</f>
        <v>10.52</v>
      </c>
      <c r="L1512" s="12">
        <f>VENTAS[[#This Row],[Total]]-VENTAS[[#This Row],[Comisión 10%]]-VENTAS[[#This Row],[Costo SIN Comision]]</f>
        <v>9.2800000000000011</v>
      </c>
      <c r="M1512" s="12"/>
      <c r="N1512" s="16"/>
    </row>
    <row r="1513" spans="1:14" ht="20" hidden="1" customHeight="1">
      <c r="A1513" s="9">
        <v>45562</v>
      </c>
      <c r="B1513" s="10"/>
      <c r="C1513" s="10" t="s">
        <v>4566</v>
      </c>
      <c r="D1513" s="10" t="s">
        <v>4374</v>
      </c>
      <c r="E1513" s="10" t="s">
        <v>2858</v>
      </c>
      <c r="F1513" s="10" t="str">
        <f>IFERROR(VLOOKUP(VENTAS[[#This Row],[Código del producto Vendido]],STOCK[],5,FALSE),"-")</f>
        <v>Bolso cuadrado tejido de rafia Tamaño grande Color Carmelita</v>
      </c>
      <c r="G1513" s="10">
        <v>1</v>
      </c>
      <c r="H1513" s="12">
        <v>25</v>
      </c>
      <c r="I1513" s="12">
        <f>VENTAS[[#This Row],[Cantidad]]*VENTAS[[#This Row],[Precio Venta]]</f>
        <v>25</v>
      </c>
      <c r="J1513" s="12">
        <f>IF(VENTAS[[#This Row],[Nombre del Gestor]]&gt;1,VENTAS[[#This Row],[Total]]*10%,0)</f>
        <v>2.5</v>
      </c>
      <c r="K1513" s="12">
        <f>IFERROR(VLOOKUP(VENTAS[[#This Row],[Código del producto Vendido]],STOCK[],16,FALSE)*VENTAS[[#This Row],[Cantidad]]+VLOOKUP(VENTAS[[#This Row],[Código del producto Vendido]],STOCK[],19,FALSE)*VENTAS[[#This Row],[Cantidad]],VENTAS[[#This Row],[Total]])</f>
        <v>14.85</v>
      </c>
      <c r="L1513" s="12">
        <f>VENTAS[[#This Row],[Total]]-VENTAS[[#This Row],[Comisión 10%]]-VENTAS[[#This Row],[Costo SIN Comision]]</f>
        <v>7.65</v>
      </c>
      <c r="M1513" s="12"/>
      <c r="N1513" s="16"/>
    </row>
    <row r="1514" spans="1:14" ht="20" hidden="1" customHeight="1">
      <c r="A1514" s="9">
        <v>45562</v>
      </c>
      <c r="B1514" s="10"/>
      <c r="C1514" s="10" t="s">
        <v>4567</v>
      </c>
      <c r="D1514" s="10" t="s">
        <v>4374</v>
      </c>
      <c r="E1514" s="10" t="s">
        <v>601</v>
      </c>
      <c r="F1514" s="10" t="str">
        <f>IFERROR(VLOOKUP(VENTAS[[#This Row],[Código del producto Vendido]],STOCK[],5,FALSE),"-")</f>
        <v>Top corsetero asimétrico</v>
      </c>
      <c r="G1514" s="10">
        <v>1</v>
      </c>
      <c r="H1514" s="12">
        <v>9</v>
      </c>
      <c r="I1514" s="12">
        <f>VENTAS[[#This Row],[Cantidad]]*VENTAS[[#This Row],[Precio Venta]]</f>
        <v>9</v>
      </c>
      <c r="J1514" s="12">
        <f>IF(VENTAS[[#This Row],[Nombre del Gestor]]&gt;1,VENTAS[[#This Row],[Total]]*10%,0)</f>
        <v>0.9</v>
      </c>
      <c r="K1514" s="12">
        <f>IFERROR(VLOOKUP(VENTAS[[#This Row],[Código del producto Vendido]],STOCK[],16,FALSE)*VENTAS[[#This Row],[Cantidad]]+VLOOKUP(VENTAS[[#This Row],[Código del producto Vendido]],STOCK[],19,FALSE)*VENTAS[[#This Row],[Cantidad]],VENTAS[[#This Row],[Total]])</f>
        <v>5.5683333333333307</v>
      </c>
      <c r="L1514" s="12">
        <f>VENTAS[[#This Row],[Total]]-VENTAS[[#This Row],[Comisión 10%]]-VENTAS[[#This Row],[Costo SIN Comision]]</f>
        <v>2.531666666666669</v>
      </c>
      <c r="M1514" s="12"/>
      <c r="N1514" s="16"/>
    </row>
    <row r="1515" spans="1:14" ht="20" hidden="1" customHeight="1">
      <c r="A1515" s="9">
        <v>45561</v>
      </c>
      <c r="B1515" s="10"/>
      <c r="C1515" s="10" t="s">
        <v>4568</v>
      </c>
      <c r="D1515" s="10" t="s">
        <v>4374</v>
      </c>
      <c r="E1515" s="10" t="s">
        <v>1400</v>
      </c>
      <c r="F1515" s="10" t="str">
        <f>IFERROR(VLOOKUP(VENTAS[[#This Row],[Código del producto Vendido]],STOCK[],5,FALSE),"-")</f>
        <v>Camiseta acanalada de bajo asimétrico naranja</v>
      </c>
      <c r="G1515" s="10">
        <v>1</v>
      </c>
      <c r="H1515" s="12">
        <v>12</v>
      </c>
      <c r="I1515" s="12">
        <f>VENTAS[[#This Row],[Cantidad]]*VENTAS[[#This Row],[Precio Venta]]</f>
        <v>12</v>
      </c>
      <c r="J1515" s="12">
        <f>IF(VENTAS[[#This Row],[Nombre del Gestor]]&gt;1,VENTAS[[#This Row],[Total]]*10%,0)</f>
        <v>1.2000000000000002</v>
      </c>
      <c r="K1515" s="12">
        <f>IFERROR(VLOOKUP(VENTAS[[#This Row],[Código del producto Vendido]],STOCK[],16,FALSE)*VENTAS[[#This Row],[Cantidad]]+VLOOKUP(VENTAS[[#This Row],[Código del producto Vendido]],STOCK[],19,FALSE)*VENTAS[[#This Row],[Cantidad]],VENTAS[[#This Row],[Total]])</f>
        <v>9</v>
      </c>
      <c r="L1515" s="12">
        <f>VENTAS[[#This Row],[Total]]-VENTAS[[#This Row],[Comisión 10%]]-VENTAS[[#This Row],[Costo SIN Comision]]</f>
        <v>1.8000000000000007</v>
      </c>
      <c r="M1515" s="12"/>
      <c r="N1515" s="16"/>
    </row>
    <row r="1516" spans="1:14" ht="20" hidden="1" customHeight="1">
      <c r="A1516" s="9">
        <v>45560</v>
      </c>
      <c r="B1516" s="10"/>
      <c r="C1516" s="10" t="s">
        <v>4569</v>
      </c>
      <c r="D1516" s="10" t="s">
        <v>4374</v>
      </c>
      <c r="E1516" s="10" t="s">
        <v>1698</v>
      </c>
      <c r="F1516" s="10" t="str">
        <f>IFERROR(VLOOKUP(VENTAS[[#This Row],[Código del producto Vendido]],STOCK[],5,FALSE),"-")</f>
        <v>Jean Mom con bajo descosido</v>
      </c>
      <c r="G1516" s="10">
        <v>1</v>
      </c>
      <c r="H1516" s="12">
        <v>30</v>
      </c>
      <c r="I1516" s="12">
        <f>VENTAS[[#This Row],[Cantidad]]*VENTAS[[#This Row],[Precio Venta]]</f>
        <v>30</v>
      </c>
      <c r="J1516" s="12">
        <f>IF(VENTAS[[#This Row],[Nombre del Gestor]]&gt;1,VENTAS[[#This Row],[Total]]*10%,0)</f>
        <v>3</v>
      </c>
      <c r="K1516" s="12">
        <f>IFERROR(VLOOKUP(VENTAS[[#This Row],[Código del producto Vendido]],STOCK[],16,FALSE)*VENTAS[[#This Row],[Cantidad]]+VLOOKUP(VENTAS[[#This Row],[Código del producto Vendido]],STOCK[],19,FALSE)*VENTAS[[#This Row],[Cantidad]],VENTAS[[#This Row],[Total]])</f>
        <v>20.5</v>
      </c>
      <c r="L1516" s="12">
        <f>VENTAS[[#This Row],[Total]]-VENTAS[[#This Row],[Comisión 10%]]-VENTAS[[#This Row],[Costo SIN Comision]]</f>
        <v>6.5</v>
      </c>
      <c r="M1516" s="12"/>
      <c r="N1516" s="16"/>
    </row>
    <row r="1517" spans="1:14" ht="20" hidden="1" customHeight="1">
      <c r="A1517" s="9">
        <v>45560</v>
      </c>
      <c r="B1517" s="10"/>
      <c r="C1517" s="10" t="s">
        <v>4569</v>
      </c>
      <c r="D1517" s="10" t="s">
        <v>4374</v>
      </c>
      <c r="E1517" s="10" t="s">
        <v>2437</v>
      </c>
      <c r="F1517" s="10" t="str">
        <f>IFERROR(VLOOKUP(VENTAS[[#This Row],[Código del producto Vendido]],STOCK[],5,FALSE),"-")</f>
        <v>Pantalón cigarrette ajustado elegante</v>
      </c>
      <c r="G1517" s="10">
        <v>1</v>
      </c>
      <c r="H1517" s="12">
        <v>35</v>
      </c>
      <c r="I1517" s="12">
        <f>VENTAS[[#This Row],[Cantidad]]*VENTAS[[#This Row],[Precio Venta]]</f>
        <v>35</v>
      </c>
      <c r="J1517" s="12">
        <f>IF(VENTAS[[#This Row],[Nombre del Gestor]]&gt;1,VENTAS[[#This Row],[Total]]*10%,0)</f>
        <v>3.5</v>
      </c>
      <c r="K1517" s="12">
        <f>IFERROR(VLOOKUP(VENTAS[[#This Row],[Código del producto Vendido]],STOCK[],16,FALSE)*VENTAS[[#This Row],[Cantidad]]+VLOOKUP(VENTAS[[#This Row],[Código del producto Vendido]],STOCK[],19,FALSE)*VENTAS[[#This Row],[Cantidad]],VENTAS[[#This Row],[Total]])</f>
        <v>16.1944418331375</v>
      </c>
      <c r="L1517" s="12">
        <f>VENTAS[[#This Row],[Total]]-VENTAS[[#This Row],[Comisión 10%]]-VENTAS[[#This Row],[Costo SIN Comision]]</f>
        <v>15.3055581668625</v>
      </c>
      <c r="M1517" s="12"/>
      <c r="N1517" s="16"/>
    </row>
    <row r="1518" spans="1:14" ht="20" hidden="1" customHeight="1">
      <c r="A1518" s="9">
        <v>45554</v>
      </c>
      <c r="B1518" s="10"/>
      <c r="C1518" s="10" t="s">
        <v>4561</v>
      </c>
      <c r="D1518" s="10" t="s">
        <v>4374</v>
      </c>
      <c r="E1518" s="10" t="s">
        <v>662</v>
      </c>
      <c r="F1518" s="10" t="str">
        <f>IFERROR(VLOOKUP(VENTAS[[#This Row],[Código del producto Vendido]],STOCK[],5,FALSE),"-")</f>
        <v>Top Cruzado negro</v>
      </c>
      <c r="G1518" s="10">
        <v>1</v>
      </c>
      <c r="H1518" s="12">
        <v>9</v>
      </c>
      <c r="I1518" s="12">
        <f>VENTAS[[#This Row],[Cantidad]]*VENTAS[[#This Row],[Precio Venta]]</f>
        <v>9</v>
      </c>
      <c r="J1518" s="12">
        <f>IF(VENTAS[[#This Row],[Nombre del Gestor]]&gt;1,VENTAS[[#This Row],[Total]]*10%,0)</f>
        <v>0.9</v>
      </c>
      <c r="K1518" s="12">
        <f>IFERROR(VLOOKUP(VENTAS[[#This Row],[Código del producto Vendido]],STOCK[],16,FALSE)*VENTAS[[#This Row],[Cantidad]]+VLOOKUP(VENTAS[[#This Row],[Código del producto Vendido]],STOCK[],19,FALSE)*VENTAS[[#This Row],[Cantidad]],VENTAS[[#This Row],[Total]])</f>
        <v>4.9016666666666699</v>
      </c>
      <c r="L1518" s="12">
        <f>VENTAS[[#This Row],[Total]]-VENTAS[[#This Row],[Comisión 10%]]-VENTAS[[#This Row],[Costo SIN Comision]]</f>
        <v>3.1983333333333297</v>
      </c>
      <c r="M1518" s="12"/>
      <c r="N1518" s="16"/>
    </row>
    <row r="1519" spans="1:14" ht="20" hidden="1" customHeight="1">
      <c r="A1519" s="9">
        <v>45552</v>
      </c>
      <c r="B1519" s="10"/>
      <c r="C1519" s="10" t="s">
        <v>4552</v>
      </c>
      <c r="D1519" s="10" t="s">
        <v>4374</v>
      </c>
      <c r="E1519" s="10" t="s">
        <v>1906</v>
      </c>
      <c r="F1519" s="10" t="str">
        <f>IFERROR(VLOOKUP(VENTAS[[#This Row],[Código del producto Vendido]],STOCK[],5,FALSE),"-")</f>
        <v>Blusa estampada de Lunares</v>
      </c>
      <c r="G1519" s="10">
        <v>1</v>
      </c>
      <c r="H1519" s="12">
        <v>14</v>
      </c>
      <c r="I1519" s="12">
        <f>VENTAS[[#This Row],[Cantidad]]*VENTAS[[#This Row],[Precio Venta]]</f>
        <v>14</v>
      </c>
      <c r="J1519" s="12">
        <f>IF(VENTAS[[#This Row],[Nombre del Gestor]]&gt;1,VENTAS[[#This Row],[Total]]*10%,0)</f>
        <v>1.4000000000000001</v>
      </c>
      <c r="K1519" s="12">
        <f>IFERROR(VLOOKUP(VENTAS[[#This Row],[Código del producto Vendido]],STOCK[],16,FALSE)*VENTAS[[#This Row],[Cantidad]]+VLOOKUP(VENTAS[[#This Row],[Código del producto Vendido]],STOCK[],19,FALSE)*VENTAS[[#This Row],[Cantidad]],VENTAS[[#This Row],[Total]])</f>
        <v>9.1999999999999993</v>
      </c>
      <c r="L1519" s="12">
        <f>VENTAS[[#This Row],[Total]]-VENTAS[[#This Row],[Comisión 10%]]-VENTAS[[#This Row],[Costo SIN Comision]]</f>
        <v>3.4000000000000004</v>
      </c>
      <c r="M1519" s="12"/>
      <c r="N1519" s="16"/>
    </row>
    <row r="1520" spans="1:14" ht="20" hidden="1" customHeight="1">
      <c r="A1520" s="9">
        <v>45548</v>
      </c>
      <c r="B1520" s="10"/>
      <c r="C1520" s="10" t="s">
        <v>4536</v>
      </c>
      <c r="D1520" s="10" t="s">
        <v>4374</v>
      </c>
      <c r="E1520" s="10" t="s">
        <v>587</v>
      </c>
      <c r="F1520" s="10" t="str">
        <f>IFERROR(VLOOKUP(VENTAS[[#This Row],[Código del producto Vendido]],STOCK[],5,FALSE),"-")</f>
        <v>Top cruzado blanco</v>
      </c>
      <c r="G1520" s="10">
        <v>1</v>
      </c>
      <c r="H1520" s="12">
        <v>9</v>
      </c>
      <c r="I1520" s="12">
        <f>VENTAS[[#This Row],[Cantidad]]*VENTAS[[#This Row],[Precio Venta]]</f>
        <v>9</v>
      </c>
      <c r="J1520" s="12">
        <f>IF(VENTAS[[#This Row],[Nombre del Gestor]]&gt;1,VENTAS[[#This Row],[Total]]*10%,0)</f>
        <v>0.9</v>
      </c>
      <c r="K1520" s="12">
        <f>IFERROR(VLOOKUP(VENTAS[[#This Row],[Código del producto Vendido]],STOCK[],16,FALSE)*VENTAS[[#This Row],[Cantidad]]+VLOOKUP(VENTAS[[#This Row],[Código del producto Vendido]],STOCK[],19,FALSE)*VENTAS[[#This Row],[Cantidad]],VENTAS[[#This Row],[Total]])</f>
        <v>5.1933333333333307</v>
      </c>
      <c r="L1520" s="12">
        <f>VENTAS[[#This Row],[Total]]-VENTAS[[#This Row],[Comisión 10%]]-VENTAS[[#This Row],[Costo SIN Comision]]</f>
        <v>2.906666666666669</v>
      </c>
      <c r="M1520" s="12"/>
      <c r="N1520" s="16"/>
    </row>
    <row r="1521" spans="1:14" ht="20" hidden="1" customHeight="1">
      <c r="A1521" s="9">
        <v>45544</v>
      </c>
      <c r="B1521" s="10"/>
      <c r="C1521" s="10" t="s">
        <v>4564</v>
      </c>
      <c r="D1521" s="10" t="s">
        <v>4374</v>
      </c>
      <c r="E1521" s="10" t="s">
        <v>1326</v>
      </c>
      <c r="F1521" s="10" t="str">
        <f>IFERROR(VLOOKUP(VENTAS[[#This Row],[Código del producto Vendido]],STOCK[],5,FALSE),"-")</f>
        <v xml:space="preserve">Camisa Blanca </v>
      </c>
      <c r="G1521" s="10">
        <v>1</v>
      </c>
      <c r="H1521" s="12">
        <v>25</v>
      </c>
      <c r="I1521" s="12">
        <f>VENTAS[[#This Row],[Cantidad]]*VENTAS[[#This Row],[Precio Venta]]</f>
        <v>25</v>
      </c>
      <c r="J1521" s="12">
        <f>IF(VENTAS[[#This Row],[Nombre del Gestor]]&gt;1,VENTAS[[#This Row],[Total]]*10%,0)</f>
        <v>2.5</v>
      </c>
      <c r="K1521" s="12">
        <f>IFERROR(VLOOKUP(VENTAS[[#This Row],[Código del producto Vendido]],STOCK[],16,FALSE)*VENTAS[[#This Row],[Cantidad]]+VLOOKUP(VENTAS[[#This Row],[Código del producto Vendido]],STOCK[],19,FALSE)*VENTAS[[#This Row],[Cantidad]],VENTAS[[#This Row],[Total]])</f>
        <v>19</v>
      </c>
      <c r="L1521" s="12">
        <f>VENTAS[[#This Row],[Total]]-VENTAS[[#This Row],[Comisión 10%]]-VENTAS[[#This Row],[Costo SIN Comision]]</f>
        <v>3.5</v>
      </c>
      <c r="M1521" s="12"/>
      <c r="N1521" s="16"/>
    </row>
    <row r="1522" spans="1:14" ht="20" hidden="1" customHeight="1">
      <c r="A1522" s="9">
        <v>45565</v>
      </c>
      <c r="B1522" s="10"/>
      <c r="C1522" s="10" t="s">
        <v>4570</v>
      </c>
      <c r="D1522" s="10" t="s">
        <v>4571</v>
      </c>
      <c r="E1522" s="10" t="s">
        <v>2828</v>
      </c>
      <c r="F1522" s="10" t="str">
        <f>IFERROR(VLOOKUP(VENTAS[[#This Row],[Código del producto Vendido]],STOCK[],5,FALSE),"-")</f>
        <v>Bolso tejido redondo de gran capacidad Carmelita</v>
      </c>
      <c r="G1522" s="10">
        <v>1</v>
      </c>
      <c r="H1522" s="12">
        <v>25</v>
      </c>
      <c r="I1522" s="12">
        <f>VENTAS[[#This Row],[Cantidad]]*VENTAS[[#This Row],[Precio Venta]]</f>
        <v>25</v>
      </c>
      <c r="J1522" s="12">
        <f>IF(VENTAS[[#This Row],[Nombre del Gestor]]&gt;1,VENTAS[[#This Row],[Total]]*10%,0)</f>
        <v>2.5</v>
      </c>
      <c r="K1522" s="12">
        <f>IFERROR(VLOOKUP(VENTAS[[#This Row],[Código del producto Vendido]],STOCK[],16,FALSE)*VENTAS[[#This Row],[Cantidad]]+VLOOKUP(VENTAS[[#This Row],[Código del producto Vendido]],STOCK[],19,FALSE)*VENTAS[[#This Row],[Cantidad]],VENTAS[[#This Row],[Total]])</f>
        <v>13.31</v>
      </c>
      <c r="L1522" s="12">
        <f>VENTAS[[#This Row],[Total]]-VENTAS[[#This Row],[Comisión 10%]]-VENTAS[[#This Row],[Costo SIN Comision]]</f>
        <v>9.19</v>
      </c>
      <c r="M1522" s="12"/>
      <c r="N1522" s="16"/>
    </row>
    <row r="1523" spans="1:14" ht="20" hidden="1" customHeight="1">
      <c r="A1523" s="9">
        <v>45564</v>
      </c>
      <c r="B1523" s="10"/>
      <c r="C1523" s="10" t="s">
        <v>4411</v>
      </c>
      <c r="D1523" s="10" t="s">
        <v>4571</v>
      </c>
      <c r="E1523" s="10" t="s">
        <v>2816</v>
      </c>
      <c r="F1523" s="10" t="str">
        <f>IFERROR(VLOOKUP(VENTAS[[#This Row],[Código del producto Vendido]],STOCK[],5,FALSE),"-")</f>
        <v>Bolso de ratán de Moda para vacaciones tamaño mediano con diseño de listas negras</v>
      </c>
      <c r="G1523" s="10">
        <v>1</v>
      </c>
      <c r="H1523" s="12">
        <v>25</v>
      </c>
      <c r="I1523" s="12">
        <f>VENTAS[[#This Row],[Cantidad]]*VENTAS[[#This Row],[Precio Venta]]</f>
        <v>25</v>
      </c>
      <c r="J1523" s="12">
        <f>IF(VENTAS[[#This Row],[Nombre del Gestor]]&gt;1,VENTAS[[#This Row],[Total]]*10%,0)</f>
        <v>2.5</v>
      </c>
      <c r="K1523" s="12">
        <f>IFERROR(VLOOKUP(VENTAS[[#This Row],[Código del producto Vendido]],STOCK[],16,FALSE)*VENTAS[[#This Row],[Cantidad]]+VLOOKUP(VENTAS[[#This Row],[Código del producto Vendido]],STOCK[],19,FALSE)*VENTAS[[#This Row],[Cantidad]],VENTAS[[#This Row],[Total]])</f>
        <v>12.17</v>
      </c>
      <c r="L1523" s="12">
        <f>VENTAS[[#This Row],[Total]]-VENTAS[[#This Row],[Comisión 10%]]-VENTAS[[#This Row],[Costo SIN Comision]]</f>
        <v>10.33</v>
      </c>
      <c r="M1523" s="12"/>
      <c r="N1523" s="16"/>
    </row>
    <row r="1524" spans="1:14" ht="20" hidden="1" customHeight="1">
      <c r="A1524" s="9">
        <v>45563</v>
      </c>
      <c r="B1524" s="10"/>
      <c r="C1524" s="10" t="s">
        <v>4572</v>
      </c>
      <c r="D1524" s="10" t="s">
        <v>4571</v>
      </c>
      <c r="E1524" s="10" t="s">
        <v>2107</v>
      </c>
      <c r="F1524" s="10" t="str">
        <f>IFERROR(VLOOKUP(VENTAS[[#This Row],[Código del producto Vendido]],STOCK[],5,FALSE),"-")</f>
        <v>Fashion TOTE bag tamaño de gran capacidad</v>
      </c>
      <c r="G1524" s="10">
        <v>1</v>
      </c>
      <c r="H1524" s="12">
        <v>18</v>
      </c>
      <c r="I1524" s="12">
        <f>VENTAS[[#This Row],[Cantidad]]*VENTAS[[#This Row],[Precio Venta]]</f>
        <v>18</v>
      </c>
      <c r="J1524" s="12">
        <f>IF(VENTAS[[#This Row],[Nombre del Gestor]]&gt;1,VENTAS[[#This Row],[Total]]*10%,0)</f>
        <v>1.8</v>
      </c>
      <c r="K1524" s="12">
        <f>IFERROR(VLOOKUP(VENTAS[[#This Row],[Código del producto Vendido]],STOCK[],16,FALSE)*VENTAS[[#This Row],[Cantidad]]+VLOOKUP(VENTAS[[#This Row],[Código del producto Vendido]],STOCK[],19,FALSE)*VENTAS[[#This Row],[Cantidad]],VENTAS[[#This Row],[Total]])</f>
        <v>7.59</v>
      </c>
      <c r="L1524" s="12">
        <f>VENTAS[[#This Row],[Total]]-VENTAS[[#This Row],[Comisión 10%]]-VENTAS[[#This Row],[Costo SIN Comision]]</f>
        <v>8.61</v>
      </c>
      <c r="M1524" s="12"/>
      <c r="N1524" s="16"/>
    </row>
    <row r="1525" spans="1:14" ht="20" hidden="1" customHeight="1">
      <c r="A1525" s="9">
        <v>45562</v>
      </c>
      <c r="B1525" s="10"/>
      <c r="C1525" s="10" t="s">
        <v>4573</v>
      </c>
      <c r="D1525" s="10" t="s">
        <v>4571</v>
      </c>
      <c r="E1525" s="10" t="s">
        <v>933</v>
      </c>
      <c r="F1525" s="10" t="str">
        <f>IFERROR(VLOOKUP(VENTAS[[#This Row],[Código del producto Vendido]],STOCK[],5,FALSE),"-")</f>
        <v>Falda de trabajo</v>
      </c>
      <c r="G1525" s="10">
        <v>1</v>
      </c>
      <c r="H1525" s="12">
        <v>12</v>
      </c>
      <c r="I1525" s="12">
        <f>VENTAS[[#This Row],[Cantidad]]*VENTAS[[#This Row],[Precio Venta]]</f>
        <v>12</v>
      </c>
      <c r="J1525" s="12">
        <f>IF(VENTAS[[#This Row],[Nombre del Gestor]]&gt;1,VENTAS[[#This Row],[Total]]*10%,0)</f>
        <v>1.2000000000000002</v>
      </c>
      <c r="K1525" s="12">
        <f>IFERROR(VLOOKUP(VENTAS[[#This Row],[Código del producto Vendido]],STOCK[],16,FALSE)*VENTAS[[#This Row],[Cantidad]]+VLOOKUP(VENTAS[[#This Row],[Código del producto Vendido]],STOCK[],19,FALSE)*VENTAS[[#This Row],[Cantidad]],VENTAS[[#This Row],[Total]])</f>
        <v>7.7486363636363595</v>
      </c>
      <c r="L1525" s="12">
        <f>VENTAS[[#This Row],[Total]]-VENTAS[[#This Row],[Comisión 10%]]-VENTAS[[#This Row],[Costo SIN Comision]]</f>
        <v>3.0513636363636412</v>
      </c>
      <c r="M1525" s="12"/>
      <c r="N1525" s="16"/>
    </row>
    <row r="1526" spans="1:14" ht="20" hidden="1" customHeight="1">
      <c r="A1526" s="9">
        <v>45562</v>
      </c>
      <c r="B1526" s="10"/>
      <c r="C1526" s="10" t="s">
        <v>4574</v>
      </c>
      <c r="D1526" s="10" t="s">
        <v>4571</v>
      </c>
      <c r="E1526" s="10" t="s">
        <v>3011</v>
      </c>
      <c r="F1526" s="10" t="str">
        <f>IFERROR(VLOOKUP(VENTAS[[#This Row],[Código del producto Vendido]],STOCK[],5,FALSE),"-")</f>
        <v>Pantalón alto de pierna ancha color caramelo</v>
      </c>
      <c r="G1526" s="10">
        <v>1</v>
      </c>
      <c r="H1526" s="12">
        <v>30</v>
      </c>
      <c r="I1526" s="12">
        <f>VENTAS[[#This Row],[Cantidad]]*VENTAS[[#This Row],[Precio Venta]]</f>
        <v>30</v>
      </c>
      <c r="J1526" s="12">
        <f>IF(VENTAS[[#This Row],[Nombre del Gestor]]&gt;1,VENTAS[[#This Row],[Total]]*10%,0)</f>
        <v>3</v>
      </c>
      <c r="K1526" s="12">
        <f>IFERROR(VLOOKUP(VENTAS[[#This Row],[Código del producto Vendido]],STOCK[],16,FALSE)*VENTAS[[#This Row],[Cantidad]]+VLOOKUP(VENTAS[[#This Row],[Código del producto Vendido]],STOCK[],19,FALSE)*VENTAS[[#This Row],[Cantidad]],VENTAS[[#This Row],[Total]])</f>
        <v>12.63</v>
      </c>
      <c r="L1526" s="12">
        <f>VENTAS[[#This Row],[Total]]-VENTAS[[#This Row],[Comisión 10%]]-VENTAS[[#This Row],[Costo SIN Comision]]</f>
        <v>14.37</v>
      </c>
      <c r="M1526" s="12"/>
      <c r="N1526" s="16"/>
    </row>
    <row r="1527" spans="1:14" ht="20" hidden="1" customHeight="1">
      <c r="A1527" s="9">
        <v>45561</v>
      </c>
      <c r="B1527" s="10"/>
      <c r="C1527" s="10" t="s">
        <v>4575</v>
      </c>
      <c r="D1527" s="10" t="s">
        <v>4571</v>
      </c>
      <c r="E1527" s="10" t="s">
        <v>2579</v>
      </c>
      <c r="F1527" s="10" t="str">
        <f>IFERROR(VLOOKUP(VENTAS[[#This Row],[Código del producto Vendido]],STOCK[],5,FALSE),"-")</f>
        <v>Vestido Largo con cinturón fruncido</v>
      </c>
      <c r="G1527" s="10">
        <v>1</v>
      </c>
      <c r="H1527" s="12">
        <v>30</v>
      </c>
      <c r="I1527" s="12">
        <f>VENTAS[[#This Row],[Cantidad]]*VENTAS[[#This Row],[Precio Venta]]</f>
        <v>30</v>
      </c>
      <c r="J1527" s="12">
        <f>IF(VENTAS[[#This Row],[Nombre del Gestor]]&gt;1,VENTAS[[#This Row],[Total]]*10%,0)</f>
        <v>3</v>
      </c>
      <c r="K1527" s="12">
        <f>IFERROR(VLOOKUP(VENTAS[[#This Row],[Código del producto Vendido]],STOCK[],16,FALSE)*VENTAS[[#This Row],[Cantidad]]+VLOOKUP(VENTAS[[#This Row],[Código del producto Vendido]],STOCK[],19,FALSE)*VENTAS[[#This Row],[Cantidad]],VENTAS[[#This Row],[Total]])</f>
        <v>13.66</v>
      </c>
      <c r="L1527" s="12">
        <f>VENTAS[[#This Row],[Total]]-VENTAS[[#This Row],[Comisión 10%]]-VENTAS[[#This Row],[Costo SIN Comision]]</f>
        <v>13.34</v>
      </c>
      <c r="M1527" s="12"/>
      <c r="N1527" s="16"/>
    </row>
    <row r="1528" spans="1:14" ht="20" hidden="1" customHeight="1">
      <c r="A1528" s="9">
        <v>45561</v>
      </c>
      <c r="B1528" s="10"/>
      <c r="C1528" s="10" t="s">
        <v>4426</v>
      </c>
      <c r="D1528" s="10" t="s">
        <v>4571</v>
      </c>
      <c r="E1528" s="10" t="s">
        <v>483</v>
      </c>
      <c r="F1528" s="10" t="str">
        <f>IFERROR(VLOOKUP(VENTAS[[#This Row],[Código del producto Vendido]],STOCK[],5,FALSE),"-")</f>
        <v>Bikini estampado cebra</v>
      </c>
      <c r="G1528" s="10">
        <v>1</v>
      </c>
      <c r="H1528" s="12">
        <v>12</v>
      </c>
      <c r="I1528" s="12">
        <f>VENTAS[[#This Row],[Cantidad]]*VENTAS[[#This Row],[Precio Venta]]</f>
        <v>12</v>
      </c>
      <c r="J1528" s="12">
        <f>IF(VENTAS[[#This Row],[Nombre del Gestor]]&gt;1,VENTAS[[#This Row],[Total]]*10%,0)</f>
        <v>1.2000000000000002</v>
      </c>
      <c r="K1528" s="12">
        <f>IFERROR(VLOOKUP(VENTAS[[#This Row],[Código del producto Vendido]],STOCK[],16,FALSE)*VENTAS[[#This Row],[Cantidad]]+VLOOKUP(VENTAS[[#This Row],[Código del producto Vendido]],STOCK[],19,FALSE)*VENTAS[[#This Row],[Cantidad]],VENTAS[[#This Row],[Total]])</f>
        <v>8.7872222222222209</v>
      </c>
      <c r="L1528" s="12">
        <f>VENTAS[[#This Row],[Total]]-VENTAS[[#This Row],[Comisión 10%]]-VENTAS[[#This Row],[Costo SIN Comision]]</f>
        <v>2.0127777777777798</v>
      </c>
      <c r="M1528" s="12"/>
      <c r="N1528" s="16"/>
    </row>
    <row r="1529" spans="1:14" ht="20" hidden="1" customHeight="1">
      <c r="A1529" s="9">
        <v>45561</v>
      </c>
      <c r="B1529" s="10"/>
      <c r="C1529" s="10" t="s">
        <v>4576</v>
      </c>
      <c r="D1529" s="10" t="s">
        <v>4571</v>
      </c>
      <c r="E1529" s="10" t="s">
        <v>3015</v>
      </c>
      <c r="F1529" s="10" t="str">
        <f>IFERROR(VLOOKUP(VENTAS[[#This Row],[Código del producto Vendido]],STOCK[],5,FALSE),"-")</f>
        <v>Pantalón alto de pierna ancha color caramelo</v>
      </c>
      <c r="G1529" s="10">
        <v>1</v>
      </c>
      <c r="H1529" s="12">
        <v>30</v>
      </c>
      <c r="I1529" s="12">
        <f>VENTAS[[#This Row],[Cantidad]]*VENTAS[[#This Row],[Precio Venta]]</f>
        <v>30</v>
      </c>
      <c r="J1529" s="12">
        <f>IF(VENTAS[[#This Row],[Nombre del Gestor]]&gt;1,VENTAS[[#This Row],[Total]]*10%,0)</f>
        <v>3</v>
      </c>
      <c r="K1529" s="12">
        <f>IFERROR(VLOOKUP(VENTAS[[#This Row],[Código del producto Vendido]],STOCK[],16,FALSE)*VENTAS[[#This Row],[Cantidad]]+VLOOKUP(VENTAS[[#This Row],[Código del producto Vendido]],STOCK[],19,FALSE)*VENTAS[[#This Row],[Cantidad]],VENTAS[[#This Row],[Total]])</f>
        <v>12.63</v>
      </c>
      <c r="L1529" s="12">
        <f>VENTAS[[#This Row],[Total]]-VENTAS[[#This Row],[Comisión 10%]]-VENTAS[[#This Row],[Costo SIN Comision]]</f>
        <v>14.37</v>
      </c>
      <c r="M1529" s="12"/>
      <c r="N1529" s="16"/>
    </row>
    <row r="1530" spans="1:14" ht="20" hidden="1" customHeight="1">
      <c r="A1530" s="9">
        <v>45559</v>
      </c>
      <c r="B1530" s="10"/>
      <c r="C1530" s="10" t="s">
        <v>4272</v>
      </c>
      <c r="D1530" s="10" t="s">
        <v>4571</v>
      </c>
      <c r="E1530" s="10" t="s">
        <v>2577</v>
      </c>
      <c r="F1530" s="10" t="str">
        <f>IFERROR(VLOOKUP(VENTAS[[#This Row],[Código del producto Vendido]],STOCK[],5,FALSE),"-")</f>
        <v>Vestido Largo con cinturón fruncido</v>
      </c>
      <c r="G1530" s="10">
        <v>1</v>
      </c>
      <c r="H1530" s="12">
        <v>30</v>
      </c>
      <c r="I1530" s="12">
        <f>VENTAS[[#This Row],[Cantidad]]*VENTAS[[#This Row],[Precio Venta]]</f>
        <v>30</v>
      </c>
      <c r="J1530" s="12">
        <f>IF(VENTAS[[#This Row],[Nombre del Gestor]]&gt;1,VENTAS[[#This Row],[Total]]*10%,0)</f>
        <v>3</v>
      </c>
      <c r="K1530" s="12">
        <f>IFERROR(VLOOKUP(VENTAS[[#This Row],[Código del producto Vendido]],STOCK[],16,FALSE)*VENTAS[[#This Row],[Cantidad]]+VLOOKUP(VENTAS[[#This Row],[Código del producto Vendido]],STOCK[],19,FALSE)*VENTAS[[#This Row],[Cantidad]],VENTAS[[#This Row],[Total]])</f>
        <v>13.66</v>
      </c>
      <c r="L1530" s="12">
        <f>VENTAS[[#This Row],[Total]]-VENTAS[[#This Row],[Comisión 10%]]-VENTAS[[#This Row],[Costo SIN Comision]]</f>
        <v>13.34</v>
      </c>
      <c r="M1530" s="12"/>
      <c r="N1530" s="16"/>
    </row>
    <row r="1531" spans="1:14" ht="20" hidden="1" customHeight="1">
      <c r="A1531" s="9">
        <v>45565</v>
      </c>
      <c r="B1531" s="10"/>
      <c r="C1531" s="10" t="s">
        <v>4577</v>
      </c>
      <c r="D1531" s="10" t="s">
        <v>4578</v>
      </c>
      <c r="E1531" s="10" t="s">
        <v>2975</v>
      </c>
      <c r="F1531" s="10" t="str">
        <f>IFERROR(VLOOKUP(VENTAS[[#This Row],[Código del producto Vendido]],STOCK[],5,FALSE),"-")</f>
        <v>Vestido de un hombro con abertura trasera color azul celeste</v>
      </c>
      <c r="G1531" s="10">
        <v>1</v>
      </c>
      <c r="H1531" s="12">
        <v>25</v>
      </c>
      <c r="I1531" s="12">
        <f>VENTAS[[#This Row],[Cantidad]]*VENTAS[[#This Row],[Precio Venta]]</f>
        <v>25</v>
      </c>
      <c r="J1531" s="12">
        <f>IF(VENTAS[[#This Row],[Nombre del Gestor]]&gt;1,VENTAS[[#This Row],[Total]]*10%,0)</f>
        <v>2.5</v>
      </c>
      <c r="K1531" s="12">
        <f>IFERROR(VLOOKUP(VENTAS[[#This Row],[Código del producto Vendido]],STOCK[],16,FALSE)*VENTAS[[#This Row],[Cantidad]]+VLOOKUP(VENTAS[[#This Row],[Código del producto Vendido]],STOCK[],19,FALSE)*VENTAS[[#This Row],[Cantidad]],VENTAS[[#This Row],[Total]])</f>
        <v>12.32</v>
      </c>
      <c r="L1531" s="12">
        <f>VENTAS[[#This Row],[Total]]-VENTAS[[#This Row],[Comisión 10%]]-VENTAS[[#This Row],[Costo SIN Comision]]</f>
        <v>10.18</v>
      </c>
      <c r="M1531" s="12"/>
      <c r="N1531" s="16"/>
    </row>
    <row r="1532" spans="1:14" ht="27" hidden="1" customHeight="1">
      <c r="A1532" s="9">
        <v>45562</v>
      </c>
      <c r="B1532" s="10"/>
      <c r="C1532" s="10" t="s">
        <v>4579</v>
      </c>
      <c r="D1532" s="10" t="s">
        <v>4578</v>
      </c>
      <c r="E1532" s="10" t="s">
        <v>2816</v>
      </c>
      <c r="F1532" s="10" t="str">
        <f>IFERROR(VLOOKUP(VENTAS[[#This Row],[Código del producto Vendido]],STOCK[],5,FALSE),"-")</f>
        <v>Bolso de ratán de Moda para vacaciones tamaño mediano con diseño de listas negras</v>
      </c>
      <c r="G1532" s="10">
        <v>1</v>
      </c>
      <c r="H1532" s="12">
        <v>22</v>
      </c>
      <c r="I1532" s="12">
        <f>VENTAS[[#This Row],[Cantidad]]*VENTAS[[#This Row],[Precio Venta]]</f>
        <v>22</v>
      </c>
      <c r="J1532" s="12">
        <f>IF(VENTAS[[#This Row],[Nombre del Gestor]]&gt;1,VENTAS[[#This Row],[Total]]*10%,0)</f>
        <v>2.2000000000000002</v>
      </c>
      <c r="K1532" s="12">
        <f>IFERROR(VLOOKUP(VENTAS[[#This Row],[Código del producto Vendido]],STOCK[],16,FALSE)*VENTAS[[#This Row],[Cantidad]]+VLOOKUP(VENTAS[[#This Row],[Código del producto Vendido]],STOCK[],19,FALSE)*VENTAS[[#This Row],[Cantidad]],VENTAS[[#This Row],[Total]])</f>
        <v>12.17</v>
      </c>
      <c r="L1532" s="12">
        <f>VENTAS[[#This Row],[Total]]-VENTAS[[#This Row],[Comisión 10%]]-VENTAS[[#This Row],[Costo SIN Comision]]</f>
        <v>7.6300000000000008</v>
      </c>
      <c r="M1532" s="12"/>
      <c r="N1532" s="16"/>
    </row>
    <row r="1533" spans="1:14" ht="20" hidden="1" customHeight="1">
      <c r="A1533" s="9">
        <v>45563</v>
      </c>
      <c r="B1533" s="10"/>
      <c r="C1533" s="10" t="s">
        <v>4580</v>
      </c>
      <c r="D1533" s="10" t="s">
        <v>4578</v>
      </c>
      <c r="E1533" s="10" t="s">
        <v>2966</v>
      </c>
      <c r="F1533" s="10" t="str">
        <f>IFERROR(VLOOKUP(VENTAS[[#This Row],[Código del producto Vendido]],STOCK[],5,FALSE),"-")</f>
        <v>Vestido camisola negro con abertura</v>
      </c>
      <c r="G1533" s="10">
        <v>1</v>
      </c>
      <c r="H1533" s="12">
        <v>20</v>
      </c>
      <c r="I1533" s="12">
        <f>VENTAS[[#This Row],[Cantidad]]*VENTAS[[#This Row],[Precio Venta]]</f>
        <v>20</v>
      </c>
      <c r="J1533" s="12">
        <f>IF(VENTAS[[#This Row],[Nombre del Gestor]]&gt;1,VENTAS[[#This Row],[Total]]*10%,0)</f>
        <v>2</v>
      </c>
      <c r="K1533" s="12">
        <f>IFERROR(VLOOKUP(VENTAS[[#This Row],[Código del producto Vendido]],STOCK[],16,FALSE)*VENTAS[[#This Row],[Cantidad]]+VLOOKUP(VENTAS[[#This Row],[Código del producto Vendido]],STOCK[],19,FALSE)*VENTAS[[#This Row],[Cantidad]],VENTAS[[#This Row],[Total]])</f>
        <v>7.6300000000000008</v>
      </c>
      <c r="L1533" s="12">
        <f>VENTAS[[#This Row],[Total]]-VENTAS[[#This Row],[Comisión 10%]]-VENTAS[[#This Row],[Costo SIN Comision]]</f>
        <v>10.37</v>
      </c>
      <c r="M1533" s="12"/>
      <c r="N1533" s="16"/>
    </row>
    <row r="1534" spans="1:14" ht="25" hidden="1" customHeight="1">
      <c r="A1534" s="9">
        <v>45563</v>
      </c>
      <c r="B1534" s="10"/>
      <c r="C1534" s="10" t="s">
        <v>4581</v>
      </c>
      <c r="D1534" s="10" t="s">
        <v>4578</v>
      </c>
      <c r="E1534" s="10" t="s">
        <v>2145</v>
      </c>
      <c r="F1534" s="10" t="str">
        <f>IFERROR(VLOOKUP(VENTAS[[#This Row],[Código del producto Vendido]],STOCK[],5,FALSE),"-")</f>
        <v>Falda Bohemia de mezclilla de cintura alta con detalles de botón</v>
      </c>
      <c r="G1534" s="10">
        <v>1</v>
      </c>
      <c r="H1534" s="12">
        <v>30</v>
      </c>
      <c r="I1534" s="12">
        <f>VENTAS[[#This Row],[Cantidad]]*VENTAS[[#This Row],[Precio Venta]]</f>
        <v>30</v>
      </c>
      <c r="J1534" s="12">
        <f>IF(VENTAS[[#This Row],[Nombre del Gestor]]&gt;1,VENTAS[[#This Row],[Total]]*10%,0)</f>
        <v>3</v>
      </c>
      <c r="K1534" s="12">
        <f>IFERROR(VLOOKUP(VENTAS[[#This Row],[Código del producto Vendido]],STOCK[],16,FALSE)*VENTAS[[#This Row],[Cantidad]]+VLOOKUP(VENTAS[[#This Row],[Código del producto Vendido]],STOCK[],19,FALSE)*VENTAS[[#This Row],[Cantidad]],VENTAS[[#This Row],[Total]])</f>
        <v>7.05</v>
      </c>
      <c r="L1534" s="12">
        <f>VENTAS[[#This Row],[Total]]-VENTAS[[#This Row],[Comisión 10%]]-VENTAS[[#This Row],[Costo SIN Comision]]</f>
        <v>19.95</v>
      </c>
      <c r="M1534" s="12"/>
      <c r="N1534" s="16"/>
    </row>
    <row r="1535" spans="1:14" ht="20" hidden="1" customHeight="1">
      <c r="A1535" s="9">
        <v>45552</v>
      </c>
      <c r="B1535" s="10"/>
      <c r="C1535" s="10" t="s">
        <v>4582</v>
      </c>
      <c r="D1535" s="10" t="s">
        <v>4578</v>
      </c>
      <c r="E1535" s="10" t="s">
        <v>1770</v>
      </c>
      <c r="F1535" s="10" t="str">
        <f>IFERROR(VLOOKUP(VENTAS[[#This Row],[Código del producto Vendido]],STOCK[],5,FALSE),"-")</f>
        <v>Calcetines bajos</v>
      </c>
      <c r="G1535" s="10">
        <v>5</v>
      </c>
      <c r="H1535" s="12">
        <v>1</v>
      </c>
      <c r="I1535" s="12">
        <f>VENTAS[[#This Row],[Cantidad]]*VENTAS[[#This Row],[Precio Venta]]</f>
        <v>5</v>
      </c>
      <c r="J1535" s="12">
        <f>IF(VENTAS[[#This Row],[Nombre del Gestor]]&gt;1,VENTAS[[#This Row],[Total]]*10%,0)</f>
        <v>0.5</v>
      </c>
      <c r="K1535" s="12">
        <f>IFERROR(VLOOKUP(VENTAS[[#This Row],[Código del producto Vendido]],STOCK[],16,FALSE)*VENTAS[[#This Row],[Cantidad]]+VLOOKUP(VENTAS[[#This Row],[Código del producto Vendido]],STOCK[],19,FALSE)*VENTAS[[#This Row],[Cantidad]],VENTAS[[#This Row],[Total]])</f>
        <v>2.1470588235294099</v>
      </c>
      <c r="L1535" s="12">
        <f>VENTAS[[#This Row],[Total]]-VENTAS[[#This Row],[Comisión 10%]]-VENTAS[[#This Row],[Costo SIN Comision]]</f>
        <v>2.3529411764705901</v>
      </c>
      <c r="M1535" s="12"/>
      <c r="N1535" s="16"/>
    </row>
    <row r="1536" spans="1:14" ht="20" hidden="1" customHeight="1">
      <c r="A1536" s="9">
        <v>45552</v>
      </c>
      <c r="B1536" s="10"/>
      <c r="C1536" s="10" t="s">
        <v>4580</v>
      </c>
      <c r="D1536" s="10" t="s">
        <v>4578</v>
      </c>
      <c r="E1536" s="10" t="s">
        <v>1740</v>
      </c>
      <c r="F1536" s="10" t="str">
        <f>IFERROR(VLOOKUP(VENTAS[[#This Row],[Código del producto Vendido]],STOCK[],5,FALSE),"-")</f>
        <v>Chaleco de traje Blanco</v>
      </c>
      <c r="G1536" s="10">
        <v>0</v>
      </c>
      <c r="H1536" s="12">
        <v>25</v>
      </c>
      <c r="I1536" s="12">
        <f>VENTAS[[#This Row],[Cantidad]]*VENTAS[[#This Row],[Precio Venta]]</f>
        <v>0</v>
      </c>
      <c r="J1536" s="12">
        <f>IF(VENTAS[[#This Row],[Nombre del Gestor]]&gt;1,VENTAS[[#This Row],[Total]]*10%,0)</f>
        <v>0</v>
      </c>
      <c r="K1536" s="12">
        <f>IFERROR(VLOOKUP(VENTAS[[#This Row],[Código del producto Vendido]],STOCK[],16,FALSE)*VENTAS[[#This Row],[Cantidad]]+VLOOKUP(VENTAS[[#This Row],[Código del producto Vendido]],STOCK[],19,FALSE)*VENTAS[[#This Row],[Cantidad]],VENTAS[[#This Row],[Total]])</f>
        <v>0</v>
      </c>
      <c r="L1536" s="12">
        <f>VENTAS[[#This Row],[Total]]-VENTAS[[#This Row],[Comisión 10%]]-VENTAS[[#This Row],[Costo SIN Comision]]</f>
        <v>0</v>
      </c>
      <c r="M1536" s="12"/>
      <c r="N1536" s="16"/>
    </row>
    <row r="1537" spans="1:14" ht="20" hidden="1" customHeight="1">
      <c r="A1537" s="9">
        <v>45565</v>
      </c>
      <c r="B1537" s="10"/>
      <c r="C1537" s="10" t="s">
        <v>4583</v>
      </c>
      <c r="D1537" s="10" t="s">
        <v>4378</v>
      </c>
      <c r="E1537" s="10" t="s">
        <v>3002</v>
      </c>
      <c r="F1537" s="10" t="str">
        <f>IFERROR(VLOOKUP(VENTAS[[#This Row],[Código del producto Vendido]],STOCK[],5,FALSE),"-")</f>
        <v xml:space="preserve">Traje de baño enterizo elegante de un hombro talla grande </v>
      </c>
      <c r="G1537" s="10">
        <v>1</v>
      </c>
      <c r="H1537" s="12">
        <v>28</v>
      </c>
      <c r="I1537" s="12">
        <f>VENTAS[[#This Row],[Cantidad]]*VENTAS[[#This Row],[Precio Venta]]</f>
        <v>28</v>
      </c>
      <c r="J1537" s="12">
        <f>IF(VENTAS[[#This Row],[Nombre del Gestor]]&gt;1,VENTAS[[#This Row],[Total]]*10%,0)</f>
        <v>2.8000000000000003</v>
      </c>
      <c r="K1537" s="12">
        <f>IFERROR(VLOOKUP(VENTAS[[#This Row],[Código del producto Vendido]],STOCK[],16,FALSE)*VENTAS[[#This Row],[Cantidad]]+VLOOKUP(VENTAS[[#This Row],[Código del producto Vendido]],STOCK[],19,FALSE)*VENTAS[[#This Row],[Cantidad]],VENTAS[[#This Row],[Total]])</f>
        <v>13.33</v>
      </c>
      <c r="L1537" s="12">
        <f>VENTAS[[#This Row],[Total]]-VENTAS[[#This Row],[Comisión 10%]]-VENTAS[[#This Row],[Costo SIN Comision]]</f>
        <v>11.87</v>
      </c>
      <c r="M1537" s="12"/>
      <c r="N1537" s="16"/>
    </row>
    <row r="1538" spans="1:14" ht="20" hidden="1" customHeight="1">
      <c r="A1538" s="9">
        <v>45563</v>
      </c>
      <c r="B1538" s="10"/>
      <c r="C1538" s="10" t="s">
        <v>4584</v>
      </c>
      <c r="D1538" s="10" t="s">
        <v>4378</v>
      </c>
      <c r="E1538" s="10" t="s">
        <v>2797</v>
      </c>
      <c r="F1538" s="10" t="str">
        <f>IFERROR(VLOOKUP(VENTAS[[#This Row],[Código del producto Vendido]],STOCK[],5,FALSE),"-")</f>
        <v>Sandalias estilo chunky de suela gruesa en contraste de color</v>
      </c>
      <c r="G1538" s="10">
        <v>1</v>
      </c>
      <c r="H1538" s="12">
        <v>35</v>
      </c>
      <c r="I1538" s="12">
        <f>VENTAS[[#This Row],[Cantidad]]*VENTAS[[#This Row],[Precio Venta]]</f>
        <v>35</v>
      </c>
      <c r="J1538" s="12">
        <f>IF(VENTAS[[#This Row],[Nombre del Gestor]]&gt;1,VENTAS[[#This Row],[Total]]*10%,0)</f>
        <v>3.5</v>
      </c>
      <c r="K1538" s="12">
        <f>IFERROR(VLOOKUP(VENTAS[[#This Row],[Código del producto Vendido]],STOCK[],16,FALSE)*VENTAS[[#This Row],[Cantidad]]+VLOOKUP(VENTAS[[#This Row],[Código del producto Vendido]],STOCK[],19,FALSE)*VENTAS[[#This Row],[Cantidad]],VENTAS[[#This Row],[Total]])</f>
        <v>13.4</v>
      </c>
      <c r="L1538" s="12">
        <f>VENTAS[[#This Row],[Total]]-VENTAS[[#This Row],[Comisión 10%]]-VENTAS[[#This Row],[Costo SIN Comision]]</f>
        <v>18.100000000000001</v>
      </c>
      <c r="M1538" s="12"/>
      <c r="N1538" s="16"/>
    </row>
    <row r="1539" spans="1:14" ht="20" hidden="1" customHeight="1">
      <c r="A1539" s="9">
        <v>45560</v>
      </c>
      <c r="B1539" s="10"/>
      <c r="C1539" s="10" t="s">
        <v>4585</v>
      </c>
      <c r="D1539" s="10" t="s">
        <v>4378</v>
      </c>
      <c r="E1539" s="10" t="s">
        <v>2973</v>
      </c>
      <c r="F1539" s="10" t="str">
        <f>IFERROR(VLOOKUP(VENTAS[[#This Row],[Código del producto Vendido]],STOCK[],5,FALSE),"-")</f>
        <v>Vestido de un hombro con abertura trasera color azul celeste</v>
      </c>
      <c r="G1539" s="10">
        <v>1</v>
      </c>
      <c r="H1539" s="12">
        <v>25</v>
      </c>
      <c r="I1539" s="12">
        <f>VENTAS[[#This Row],[Cantidad]]*VENTAS[[#This Row],[Precio Venta]]</f>
        <v>25</v>
      </c>
      <c r="J1539" s="12">
        <f>IF(VENTAS[[#This Row],[Nombre del Gestor]]&gt;1,VENTAS[[#This Row],[Total]]*10%,0)</f>
        <v>2.5</v>
      </c>
      <c r="K1539" s="12">
        <f>IFERROR(VLOOKUP(VENTAS[[#This Row],[Código del producto Vendido]],STOCK[],16,FALSE)*VENTAS[[#This Row],[Cantidad]]+VLOOKUP(VENTAS[[#This Row],[Código del producto Vendido]],STOCK[],19,FALSE)*VENTAS[[#This Row],[Cantidad]],VENTAS[[#This Row],[Total]])</f>
        <v>12.32</v>
      </c>
      <c r="L1539" s="12">
        <f>VENTAS[[#This Row],[Total]]-VENTAS[[#This Row],[Comisión 10%]]-VENTAS[[#This Row],[Costo SIN Comision]]</f>
        <v>10.18</v>
      </c>
      <c r="M1539" s="12"/>
      <c r="N1539" s="16"/>
    </row>
    <row r="1540" spans="1:14" ht="20" hidden="1" customHeight="1">
      <c r="A1540" s="9">
        <v>45565</v>
      </c>
      <c r="B1540" s="10"/>
      <c r="C1540" s="10" t="s">
        <v>4586</v>
      </c>
      <c r="D1540" s="10" t="s">
        <v>4535</v>
      </c>
      <c r="E1540" s="10" t="s">
        <v>2858</v>
      </c>
      <c r="F1540" s="10" t="str">
        <f>IFERROR(VLOOKUP(VENTAS[[#This Row],[Código del producto Vendido]],STOCK[],5,FALSE),"-")</f>
        <v>Bolso cuadrado tejido de rafia Tamaño grande Color Carmelita</v>
      </c>
      <c r="G1540" s="10">
        <v>1</v>
      </c>
      <c r="H1540" s="12">
        <v>25</v>
      </c>
      <c r="I1540" s="12">
        <f>VENTAS[[#This Row],[Cantidad]]*VENTAS[[#This Row],[Precio Venta]]</f>
        <v>25</v>
      </c>
      <c r="J1540" s="12">
        <f>IF(VENTAS[[#This Row],[Nombre del Gestor]]&gt;1,VENTAS[[#This Row],[Total]]*10%,0)</f>
        <v>2.5</v>
      </c>
      <c r="K1540" s="12">
        <f>IFERROR(VLOOKUP(VENTAS[[#This Row],[Código del producto Vendido]],STOCK[],16,FALSE)*VENTAS[[#This Row],[Cantidad]]+VLOOKUP(VENTAS[[#This Row],[Código del producto Vendido]],STOCK[],19,FALSE)*VENTAS[[#This Row],[Cantidad]],VENTAS[[#This Row],[Total]])</f>
        <v>14.85</v>
      </c>
      <c r="L1540" s="12">
        <f>VENTAS[[#This Row],[Total]]-VENTAS[[#This Row],[Comisión 10%]]-VENTAS[[#This Row],[Costo SIN Comision]]</f>
        <v>7.65</v>
      </c>
      <c r="M1540" s="12"/>
      <c r="N1540" s="16"/>
    </row>
    <row r="1541" spans="1:14" ht="20" hidden="1" customHeight="1">
      <c r="A1541" s="9">
        <v>45563</v>
      </c>
      <c r="B1541" s="10"/>
      <c r="C1541" s="10" t="s">
        <v>4587</v>
      </c>
      <c r="D1541" s="10" t="s">
        <v>4381</v>
      </c>
      <c r="E1541" s="10" t="s">
        <v>2807</v>
      </c>
      <c r="F1541" s="10" t="str">
        <f>IFERROR(VLOOKUP(VENTAS[[#This Row],[Código del producto Vendido]],STOCK[],5,FALSE),"-")</f>
        <v>Sandalias espadriles de cuña de correas transparentes</v>
      </c>
      <c r="G1541" s="10">
        <v>1</v>
      </c>
      <c r="H1541" s="12">
        <v>40</v>
      </c>
      <c r="I1541" s="12">
        <f>VENTAS[[#This Row],[Cantidad]]*VENTAS[[#This Row],[Precio Venta]]</f>
        <v>40</v>
      </c>
      <c r="J1541" s="12">
        <f>IF(VENTAS[[#This Row],[Nombre del Gestor]]&gt;1,VENTAS[[#This Row],[Total]]*10%,0)</f>
        <v>4</v>
      </c>
      <c r="K1541" s="12">
        <f>IFERROR(VLOOKUP(VENTAS[[#This Row],[Código del producto Vendido]],STOCK[],16,FALSE)*VENTAS[[#This Row],[Cantidad]]+VLOOKUP(VENTAS[[#This Row],[Código del producto Vendido]],STOCK[],19,FALSE)*VENTAS[[#This Row],[Cantidad]],VENTAS[[#This Row],[Total]])</f>
        <v>13.01</v>
      </c>
      <c r="L1541" s="12">
        <f>VENTAS[[#This Row],[Total]]-VENTAS[[#This Row],[Comisión 10%]]-VENTAS[[#This Row],[Costo SIN Comision]]</f>
        <v>22.990000000000002</v>
      </c>
      <c r="M1541" s="12"/>
      <c r="N1541" s="16"/>
    </row>
    <row r="1542" spans="1:14" ht="20" hidden="1" customHeight="1">
      <c r="A1542" s="9">
        <v>45562</v>
      </c>
      <c r="B1542" s="10"/>
      <c r="C1542" s="10" t="s">
        <v>4469</v>
      </c>
      <c r="D1542" s="10" t="s">
        <v>4381</v>
      </c>
      <c r="E1542" s="10" t="s">
        <v>2814</v>
      </c>
      <c r="F1542" s="10" t="str">
        <f>IFERROR(VLOOKUP(VENTAS[[#This Row],[Código del producto Vendido]],STOCK[],5,FALSE),"-")</f>
        <v>Bolso elegante de estilo sillín</v>
      </c>
      <c r="G1542" s="10">
        <v>1</v>
      </c>
      <c r="H1542" s="12">
        <v>30</v>
      </c>
      <c r="I1542" s="12">
        <f>VENTAS[[#This Row],[Cantidad]]*VENTAS[[#This Row],[Precio Venta]]</f>
        <v>30</v>
      </c>
      <c r="J1542" s="12">
        <f>IF(VENTAS[[#This Row],[Nombre del Gestor]]&gt;1,VENTAS[[#This Row],[Total]]*10%,0)</f>
        <v>3</v>
      </c>
      <c r="K1542" s="12">
        <f>IFERROR(VLOOKUP(VENTAS[[#This Row],[Código del producto Vendido]],STOCK[],16,FALSE)*VENTAS[[#This Row],[Cantidad]]+VLOOKUP(VENTAS[[#This Row],[Código del producto Vendido]],STOCK[],19,FALSE)*VENTAS[[#This Row],[Cantidad]],VENTAS[[#This Row],[Total]])</f>
        <v>10.280000000000001</v>
      </c>
      <c r="L1542" s="12">
        <f>VENTAS[[#This Row],[Total]]-VENTAS[[#This Row],[Comisión 10%]]-VENTAS[[#This Row],[Costo SIN Comision]]</f>
        <v>16.72</v>
      </c>
      <c r="M1542" s="12"/>
      <c r="N1542" s="16"/>
    </row>
    <row r="1543" spans="1:14" ht="20" hidden="1" customHeight="1">
      <c r="A1543" s="9">
        <v>45563</v>
      </c>
      <c r="B1543" s="10"/>
      <c r="C1543" s="10" t="s">
        <v>4588</v>
      </c>
      <c r="D1543" s="10" t="s">
        <v>4381</v>
      </c>
      <c r="E1543" s="10" t="s">
        <v>2699</v>
      </c>
      <c r="F1543" s="10" t="str">
        <f>IFERROR(VLOOKUP(VENTAS[[#This Row],[Código del producto Vendido]],STOCK[],5,FALSE),"-")</f>
        <v>Set de Splash y crema de Victoria Secret (Original) Love Spell</v>
      </c>
      <c r="G1543" s="10">
        <v>0</v>
      </c>
      <c r="H1543" s="12">
        <v>40</v>
      </c>
      <c r="I1543" s="12">
        <f>VENTAS[[#This Row],[Cantidad]]*VENTAS[[#This Row],[Precio Venta]]</f>
        <v>0</v>
      </c>
      <c r="J1543" s="12">
        <f>IF(VENTAS[[#This Row],[Nombre del Gestor]]&gt;1,VENTAS[[#This Row],[Total]]*10%,0)</f>
        <v>0</v>
      </c>
      <c r="K1543" s="12">
        <f>IFERROR(VLOOKUP(VENTAS[[#This Row],[Código del producto Vendido]],STOCK[],16,FALSE)*VENTAS[[#This Row],[Cantidad]]+VLOOKUP(VENTAS[[#This Row],[Código del producto Vendido]],STOCK[],19,FALSE)*VENTAS[[#This Row],[Cantidad]],VENTAS[[#This Row],[Total]])</f>
        <v>0</v>
      </c>
      <c r="L1543" s="12">
        <f>VENTAS[[#This Row],[Total]]-VENTAS[[#This Row],[Comisión 10%]]-VENTAS[[#This Row],[Costo SIN Comision]]</f>
        <v>0</v>
      </c>
      <c r="M1543" s="12"/>
      <c r="N1543" s="16"/>
    </row>
    <row r="1544" spans="1:14" ht="20" hidden="1" customHeight="1">
      <c r="A1544" s="9">
        <v>45560</v>
      </c>
      <c r="B1544" s="10"/>
      <c r="C1544" s="10" t="s">
        <v>4589</v>
      </c>
      <c r="D1544" s="10" t="s">
        <v>4381</v>
      </c>
      <c r="E1544" s="10" t="s">
        <v>2775</v>
      </c>
      <c r="F1544" s="10" t="str">
        <f>IFERROR(VLOOKUP(VENTAS[[#This Row],[Código del producto Vendido]],STOCK[],5,FALSE),"-")</f>
        <v>Sandalias de plataforma de rafia natural</v>
      </c>
      <c r="G1544" s="10">
        <v>0</v>
      </c>
      <c r="H1544" s="12">
        <v>45</v>
      </c>
      <c r="I1544" s="12">
        <f>VENTAS[[#This Row],[Cantidad]]*VENTAS[[#This Row],[Precio Venta]]</f>
        <v>0</v>
      </c>
      <c r="J1544" s="12">
        <f>IF(VENTAS[[#This Row],[Nombre del Gestor]]&gt;1,VENTAS[[#This Row],[Total]]*10%,0)</f>
        <v>0</v>
      </c>
      <c r="K1544" s="12">
        <f>IFERROR(VLOOKUP(VENTAS[[#This Row],[Código del producto Vendido]],STOCK[],16,FALSE)*VENTAS[[#This Row],[Cantidad]]+VLOOKUP(VENTAS[[#This Row],[Código del producto Vendido]],STOCK[],19,FALSE)*VENTAS[[#This Row],[Cantidad]],VENTAS[[#This Row],[Total]])</f>
        <v>0</v>
      </c>
      <c r="L1544" s="12">
        <f>VENTAS[[#This Row],[Total]]-VENTAS[[#This Row],[Comisión 10%]]-VENTAS[[#This Row],[Costo SIN Comision]]</f>
        <v>0</v>
      </c>
      <c r="M1544" s="12"/>
      <c r="N1544" s="16"/>
    </row>
    <row r="1545" spans="1:14" ht="20" hidden="1" customHeight="1">
      <c r="A1545" s="9">
        <v>45559</v>
      </c>
      <c r="B1545" s="10"/>
      <c r="C1545" s="10" t="s">
        <v>4590</v>
      </c>
      <c r="D1545" s="10" t="s">
        <v>4381</v>
      </c>
      <c r="E1545" s="10" t="s">
        <v>2816</v>
      </c>
      <c r="F1545" s="10" t="str">
        <f>IFERROR(VLOOKUP(VENTAS[[#This Row],[Código del producto Vendido]],STOCK[],5,FALSE),"-")</f>
        <v>Bolso de ratán de Moda para vacaciones tamaño mediano con diseño de listas negras</v>
      </c>
      <c r="G1545" s="10">
        <v>1</v>
      </c>
      <c r="H1545" s="12">
        <v>22</v>
      </c>
      <c r="I1545" s="12">
        <f>VENTAS[[#This Row],[Cantidad]]*VENTAS[[#This Row],[Precio Venta]]</f>
        <v>22</v>
      </c>
      <c r="J1545" s="12">
        <f>IF(VENTAS[[#This Row],[Nombre del Gestor]]&gt;1,VENTAS[[#This Row],[Total]]*10%,0)</f>
        <v>2.2000000000000002</v>
      </c>
      <c r="K1545" s="12">
        <f>IFERROR(VLOOKUP(VENTAS[[#This Row],[Código del producto Vendido]],STOCK[],16,FALSE)*VENTAS[[#This Row],[Cantidad]]+VLOOKUP(VENTAS[[#This Row],[Código del producto Vendido]],STOCK[],19,FALSE)*VENTAS[[#This Row],[Cantidad]],VENTAS[[#This Row],[Total]])</f>
        <v>12.17</v>
      </c>
      <c r="L1545" s="12">
        <f>VENTAS[[#This Row],[Total]]-VENTAS[[#This Row],[Comisión 10%]]-VENTAS[[#This Row],[Costo SIN Comision]]</f>
        <v>7.6300000000000008</v>
      </c>
      <c r="M1545" s="12"/>
      <c r="N1545" s="16"/>
    </row>
    <row r="1546" spans="1:14" ht="20" hidden="1" customHeight="1">
      <c r="A1546" s="9">
        <v>45559</v>
      </c>
      <c r="B1546" s="10"/>
      <c r="C1546" s="10" t="s">
        <v>4591</v>
      </c>
      <c r="D1546" s="10" t="s">
        <v>4381</v>
      </c>
      <c r="E1546" s="10" t="s">
        <v>2816</v>
      </c>
      <c r="F1546" s="10" t="str">
        <f>IFERROR(VLOOKUP(VENTAS[[#This Row],[Código del producto Vendido]],STOCK[],5,FALSE),"-")</f>
        <v>Bolso de ratán de Moda para vacaciones tamaño mediano con diseño de listas negras</v>
      </c>
      <c r="G1546" s="10">
        <v>1</v>
      </c>
      <c r="H1546" s="12">
        <v>22</v>
      </c>
      <c r="I1546" s="12">
        <f>VENTAS[[#This Row],[Cantidad]]*VENTAS[[#This Row],[Precio Venta]]</f>
        <v>22</v>
      </c>
      <c r="J1546" s="12">
        <f>IF(VENTAS[[#This Row],[Nombre del Gestor]]&gt;1,VENTAS[[#This Row],[Total]]*10%,0)</f>
        <v>2.2000000000000002</v>
      </c>
      <c r="K1546" s="12">
        <f>IFERROR(VLOOKUP(VENTAS[[#This Row],[Código del producto Vendido]],STOCK[],16,FALSE)*VENTAS[[#This Row],[Cantidad]]+VLOOKUP(VENTAS[[#This Row],[Código del producto Vendido]],STOCK[],19,FALSE)*VENTAS[[#This Row],[Cantidad]],VENTAS[[#This Row],[Total]])</f>
        <v>12.17</v>
      </c>
      <c r="L1546" s="12">
        <f>VENTAS[[#This Row],[Total]]-VENTAS[[#This Row],[Comisión 10%]]-VENTAS[[#This Row],[Costo SIN Comision]]</f>
        <v>7.6300000000000008</v>
      </c>
      <c r="M1546" s="12"/>
      <c r="N1546" s="16"/>
    </row>
    <row r="1547" spans="1:14" ht="20" hidden="1" customHeight="1">
      <c r="A1547" s="9">
        <v>45553</v>
      </c>
      <c r="B1547" s="10"/>
      <c r="C1547" s="10" t="s">
        <v>4592</v>
      </c>
      <c r="D1547" s="10" t="s">
        <v>4381</v>
      </c>
      <c r="E1547" s="10" t="s">
        <v>2763</v>
      </c>
      <c r="F1547" s="10" t="str">
        <f>IFERROR(VLOOKUP(VENTAS[[#This Row],[Código del producto Vendido]],STOCK[],5,FALSE),"-")</f>
        <v>Set de bikini estilo europeo blanco en tendencia</v>
      </c>
      <c r="G1547" s="10">
        <v>0</v>
      </c>
      <c r="H1547" s="12">
        <v>22</v>
      </c>
      <c r="I1547" s="12">
        <f>VENTAS[[#This Row],[Cantidad]]*VENTAS[[#This Row],[Precio Venta]]</f>
        <v>0</v>
      </c>
      <c r="J1547" s="12">
        <f>IF(VENTAS[[#This Row],[Nombre del Gestor]]&gt;1,VENTAS[[#This Row],[Total]]*10%,0)</f>
        <v>0</v>
      </c>
      <c r="K1547" s="12">
        <f>IFERROR(VLOOKUP(VENTAS[[#This Row],[Código del producto Vendido]],STOCK[],16,FALSE)*VENTAS[[#This Row],[Cantidad]]+VLOOKUP(VENTAS[[#This Row],[Código del producto Vendido]],STOCK[],19,FALSE)*VENTAS[[#This Row],[Cantidad]],VENTAS[[#This Row],[Total]])</f>
        <v>0</v>
      </c>
      <c r="L1547" s="12">
        <f>VENTAS[[#This Row],[Total]]-VENTAS[[#This Row],[Comisión 10%]]-VENTAS[[#This Row],[Costo SIN Comision]]</f>
        <v>0</v>
      </c>
      <c r="M1547" s="12"/>
      <c r="N1547" s="16"/>
    </row>
    <row r="1548" spans="1:14" ht="20" hidden="1" customHeight="1">
      <c r="A1548" s="9">
        <v>45567</v>
      </c>
      <c r="B1548" s="10"/>
      <c r="C1548" s="10" t="s">
        <v>4593</v>
      </c>
      <c r="D1548" s="10" t="s">
        <v>4594</v>
      </c>
      <c r="E1548" s="10" t="s">
        <v>2824</v>
      </c>
      <c r="F1548" s="10" t="str">
        <f>IFERROR(VLOOKUP(VENTAS[[#This Row],[Código del producto Vendido]],STOCK[],5,FALSE),"-")</f>
        <v>Bolso de playa en bloque de color tejido en algodón</v>
      </c>
      <c r="G1548" s="10">
        <v>1</v>
      </c>
      <c r="H1548" s="12">
        <v>25</v>
      </c>
      <c r="I1548" s="12">
        <f>VENTAS[[#This Row],[Cantidad]]*VENTAS[[#This Row],[Precio Venta]]</f>
        <v>25</v>
      </c>
      <c r="J1548" s="12">
        <f>IF(VENTAS[[#This Row],[Nombre del Gestor]]&gt;1,VENTAS[[#This Row],[Total]]*10%,0)</f>
        <v>2.5</v>
      </c>
      <c r="K1548" s="12">
        <f>IFERROR(VLOOKUP(VENTAS[[#This Row],[Código del producto Vendido]],STOCK[],16,FALSE)*VENTAS[[#This Row],[Cantidad]]+VLOOKUP(VENTAS[[#This Row],[Código del producto Vendido]],STOCK[],19,FALSE)*VENTAS[[#This Row],[Cantidad]],VENTAS[[#This Row],[Total]])</f>
        <v>13.35</v>
      </c>
      <c r="L1548" s="12">
        <f>VENTAS[[#This Row],[Total]]-VENTAS[[#This Row],[Comisión 10%]]-VENTAS[[#This Row],[Costo SIN Comision]]</f>
        <v>9.15</v>
      </c>
      <c r="M1548" s="12"/>
      <c r="N1548" s="16"/>
    </row>
    <row r="1549" spans="1:14" ht="20" hidden="1" customHeight="1">
      <c r="A1549" s="9"/>
      <c r="B1549" s="10"/>
      <c r="C1549" s="10"/>
      <c r="D1549" s="10" t="s">
        <v>4595</v>
      </c>
      <c r="E1549" s="10" t="s">
        <v>2858</v>
      </c>
      <c r="F1549" s="10" t="str">
        <f>IFERROR(VLOOKUP(VENTAS[[#This Row],[Código del producto Vendido]],STOCK[],5,FALSE),"-")</f>
        <v>Bolso cuadrado tejido de rafia Tamaño grande Color Carmelita</v>
      </c>
      <c r="G1549" s="10">
        <v>1</v>
      </c>
      <c r="H1549" s="12">
        <v>22</v>
      </c>
      <c r="I1549" s="12">
        <f>VENTAS[[#This Row],[Cantidad]]*VENTAS[[#This Row],[Precio Venta]]</f>
        <v>22</v>
      </c>
      <c r="J1549" s="12">
        <f>IF(VENTAS[[#This Row],[Nombre del Gestor]]&gt;1,VENTAS[[#This Row],[Total]]*10%,0)</f>
        <v>2.2000000000000002</v>
      </c>
      <c r="K1549" s="12">
        <f>IFERROR(VLOOKUP(VENTAS[[#This Row],[Código del producto Vendido]],STOCK[],16,FALSE)*VENTAS[[#This Row],[Cantidad]]+VLOOKUP(VENTAS[[#This Row],[Código del producto Vendido]],STOCK[],19,FALSE)*VENTAS[[#This Row],[Cantidad]],VENTAS[[#This Row],[Total]])</f>
        <v>14.85</v>
      </c>
      <c r="L1549" s="12">
        <f>VENTAS[[#This Row],[Total]]-VENTAS[[#This Row],[Comisión 10%]]-VENTAS[[#This Row],[Costo SIN Comision]]</f>
        <v>4.9500000000000011</v>
      </c>
      <c r="M1549" s="12"/>
      <c r="N1549" s="16"/>
    </row>
    <row r="1550" spans="1:14" ht="20" hidden="1" customHeight="1">
      <c r="A1550" s="9"/>
      <c r="B1550" s="10"/>
      <c r="C1550" s="10"/>
      <c r="D1550" s="10" t="s">
        <v>4595</v>
      </c>
      <c r="E1550" s="10" t="s">
        <v>2858</v>
      </c>
      <c r="F1550" s="10" t="str">
        <f>IFERROR(VLOOKUP(VENTAS[[#This Row],[Código del producto Vendido]],STOCK[],5,FALSE),"-")</f>
        <v>Bolso cuadrado tejido de rafia Tamaño grande Color Carmelita</v>
      </c>
      <c r="G1550" s="10">
        <v>1</v>
      </c>
      <c r="H1550" s="12">
        <v>10.8</v>
      </c>
      <c r="I1550" s="12">
        <f>VENTAS[[#This Row],[Cantidad]]*VENTAS[[#This Row],[Precio Venta]]</f>
        <v>10.8</v>
      </c>
      <c r="J1550" s="12">
        <f>IF(VENTAS[[#This Row],[Nombre del Gestor]]&gt;1,VENTAS[[#This Row],[Total]]*10%,0)</f>
        <v>1.08</v>
      </c>
      <c r="K1550" s="12">
        <f>IFERROR(VLOOKUP(VENTAS[[#This Row],[Código del producto Vendido]],STOCK[],16,FALSE)*VENTAS[[#This Row],[Cantidad]]+VLOOKUP(VENTAS[[#This Row],[Código del producto Vendido]],STOCK[],19,FALSE)*VENTAS[[#This Row],[Cantidad]],VENTAS[[#This Row],[Total]])</f>
        <v>14.85</v>
      </c>
      <c r="L1550" s="12">
        <f>VENTAS[[#This Row],[Total]]-VENTAS[[#This Row],[Comisión 10%]]-VENTAS[[#This Row],[Costo SIN Comision]]</f>
        <v>-5.129999999999999</v>
      </c>
      <c r="M1550" s="12"/>
      <c r="N1550" s="16"/>
    </row>
    <row r="1551" spans="1:14" ht="20" hidden="1" customHeight="1">
      <c r="A1551" s="9"/>
      <c r="B1551" s="10"/>
      <c r="C1551" s="10"/>
      <c r="D1551" s="10" t="s">
        <v>4184</v>
      </c>
      <c r="E1551" s="10" t="s">
        <v>2393</v>
      </c>
      <c r="F1551" s="10" t="str">
        <f>IFERROR(VLOOKUP(VENTAS[[#This Row],[Código del producto Vendido]],STOCK[],5,FALSE),"-")</f>
        <v>Sandalias de tiras con tacón cuadrado Marca H&amp;M</v>
      </c>
      <c r="G1551" s="10">
        <v>1</v>
      </c>
      <c r="H1551" s="12">
        <v>35</v>
      </c>
      <c r="I1551" s="12">
        <f>VENTAS[[#This Row],[Cantidad]]*VENTAS[[#This Row],[Precio Venta]]</f>
        <v>35</v>
      </c>
      <c r="J1551" s="12">
        <f>IF(VENTAS[[#This Row],[Nombre del Gestor]]&gt;1,VENTAS[[#This Row],[Total]]*10%,0)</f>
        <v>3.5</v>
      </c>
      <c r="K1551" s="12">
        <f>IFERROR(VLOOKUP(VENTAS[[#This Row],[Código del producto Vendido]],STOCK[],16,FALSE)*VENTAS[[#This Row],[Cantidad]]+VLOOKUP(VENTAS[[#This Row],[Código del producto Vendido]],STOCK[],19,FALSE)*VENTAS[[#This Row],[Cantidad]],VENTAS[[#This Row],[Total]])</f>
        <v>17.252021151586401</v>
      </c>
      <c r="L1551" s="12">
        <f>VENTAS[[#This Row],[Total]]-VENTAS[[#This Row],[Comisión 10%]]-VENTAS[[#This Row],[Costo SIN Comision]]</f>
        <v>14.247978848413599</v>
      </c>
      <c r="M1551" s="12"/>
      <c r="N1551" s="16"/>
    </row>
    <row r="1552" spans="1:14" ht="20" hidden="1" customHeight="1">
      <c r="A1552" s="9"/>
      <c r="B1552" s="10"/>
      <c r="C1552" s="10"/>
      <c r="D1552" s="10"/>
      <c r="E1552" s="10" t="s">
        <v>2560</v>
      </c>
      <c r="F1552" s="10" t="str">
        <f>IFERROR(VLOOKUP(VENTAS[[#This Row],[Código del producto Vendido]],STOCK[],5,FALSE),"-")</f>
        <v>Maxi vestido de algodón cruzado con estampado floral vibrante</v>
      </c>
      <c r="G1552" s="10">
        <v>1</v>
      </c>
      <c r="H1552" s="12">
        <v>35</v>
      </c>
      <c r="I1552" s="12">
        <f>VENTAS[[#This Row],[Cantidad]]*VENTAS[[#This Row],[Precio Venta]]</f>
        <v>35</v>
      </c>
      <c r="J1552" s="12">
        <f>IF(VENTAS[[#This Row],[Nombre del Gestor]]&gt;1,VENTAS[[#This Row],[Total]]*10%,0)</f>
        <v>0</v>
      </c>
      <c r="K1552" s="12">
        <f>IFERROR(VLOOKUP(VENTAS[[#This Row],[Código del producto Vendido]],STOCK[],16,FALSE)*VENTAS[[#This Row],[Cantidad]]+VLOOKUP(VENTAS[[#This Row],[Código del producto Vendido]],STOCK[],19,FALSE)*VENTAS[[#This Row],[Cantidad]],VENTAS[[#This Row],[Total]])</f>
        <v>18.259999999999998</v>
      </c>
      <c r="L1552" s="12">
        <f>VENTAS[[#This Row],[Total]]-VENTAS[[#This Row],[Comisión 10%]]-VENTAS[[#This Row],[Costo SIN Comision]]</f>
        <v>16.740000000000002</v>
      </c>
      <c r="M1552" s="12"/>
      <c r="N1552" s="16"/>
    </row>
    <row r="1553" spans="1:14" ht="20" hidden="1" customHeight="1">
      <c r="A1553" s="9"/>
      <c r="B1553" s="10"/>
      <c r="C1553" s="10"/>
      <c r="D1553" s="10" t="s">
        <v>4320</v>
      </c>
      <c r="E1553" s="10" t="s">
        <v>2672</v>
      </c>
      <c r="F1553" s="10" t="str">
        <f>IFERROR(VLOOKUP(VENTAS[[#This Row],[Código del producto Vendido]],STOCK[],5,FALSE),"-")</f>
        <v>Pullover Celeste algodón PRIMARK</v>
      </c>
      <c r="G1553" s="10">
        <v>1</v>
      </c>
      <c r="H1553" s="12">
        <v>13</v>
      </c>
      <c r="I1553" s="12">
        <f>VENTAS[[#This Row],[Cantidad]]*VENTAS[[#This Row],[Precio Venta]]</f>
        <v>13</v>
      </c>
      <c r="J1553" s="12">
        <f>IF(VENTAS[[#This Row],[Nombre del Gestor]]&gt;1,VENTAS[[#This Row],[Total]]*10%,0)</f>
        <v>1.3</v>
      </c>
      <c r="K1553" s="12">
        <f>IFERROR(VLOOKUP(VENTAS[[#This Row],[Código del producto Vendido]],STOCK[],16,FALSE)*VENTAS[[#This Row],[Cantidad]]+VLOOKUP(VENTAS[[#This Row],[Código del producto Vendido]],STOCK[],19,FALSE)*VENTAS[[#This Row],[Cantidad]],VENTAS[[#This Row],[Total]])</f>
        <v>7</v>
      </c>
      <c r="L1553" s="12">
        <f>VENTAS[[#This Row],[Total]]-VENTAS[[#This Row],[Comisión 10%]]-VENTAS[[#This Row],[Costo SIN Comision]]</f>
        <v>4.6999999999999993</v>
      </c>
      <c r="M1553" s="12"/>
      <c r="N1553" s="16"/>
    </row>
    <row r="1554" spans="1:14" ht="20" hidden="1" customHeight="1">
      <c r="A1554" s="9"/>
      <c r="B1554" s="10"/>
      <c r="C1554" s="10"/>
      <c r="D1554" s="10"/>
      <c r="E1554" s="10" t="s">
        <v>2680</v>
      </c>
      <c r="F1554" s="10" t="str">
        <f>IFERROR(VLOOKUP(VENTAS[[#This Row],[Código del producto Vendido]],STOCK[],5,FALSE),"-")</f>
        <v>Traje de baño clásico en bloque de color de talle alto</v>
      </c>
      <c r="G1554" s="10">
        <v>0</v>
      </c>
      <c r="H1554" s="12">
        <v>28</v>
      </c>
      <c r="I1554" s="12">
        <f>VENTAS[[#This Row],[Cantidad]]*VENTAS[[#This Row],[Precio Venta]]</f>
        <v>0</v>
      </c>
      <c r="J1554" s="12">
        <f>IF(VENTAS[[#This Row],[Nombre del Gestor]]&gt;1,VENTAS[[#This Row],[Total]]*10%,0)</f>
        <v>0</v>
      </c>
      <c r="K1554" s="12">
        <f>IFERROR(VLOOKUP(VENTAS[[#This Row],[Código del producto Vendido]],STOCK[],16,FALSE)*VENTAS[[#This Row],[Cantidad]]+VLOOKUP(VENTAS[[#This Row],[Código del producto Vendido]],STOCK[],19,FALSE)*VENTAS[[#This Row],[Cantidad]],VENTAS[[#This Row],[Total]])</f>
        <v>0</v>
      </c>
      <c r="L1554" s="12">
        <f>VENTAS[[#This Row],[Total]]-VENTAS[[#This Row],[Comisión 10%]]-VENTAS[[#This Row],[Costo SIN Comision]]</f>
        <v>0</v>
      </c>
      <c r="M1554" s="12"/>
      <c r="N1554" s="16"/>
    </row>
    <row r="1555" spans="1:14" ht="20" hidden="1" customHeight="1">
      <c r="A1555" s="9"/>
      <c r="B1555" s="10"/>
      <c r="C1555" s="10"/>
      <c r="D1555" s="10" t="s">
        <v>4374</v>
      </c>
      <c r="E1555" s="10" t="s">
        <v>2754</v>
      </c>
      <c r="F1555" s="10" t="str">
        <f>IFERROR(VLOOKUP(VENTAS[[#This Row],[Código del producto Vendido]],STOCK[],5,FALSE),"-")</f>
        <v>Vestido Privé Unicolor Sin Mangas ajustado con pliegues color negro</v>
      </c>
      <c r="G1555" s="10">
        <v>0</v>
      </c>
      <c r="H1555" s="12">
        <v>20</v>
      </c>
      <c r="I1555" s="12">
        <f>VENTAS[[#This Row],[Cantidad]]*VENTAS[[#This Row],[Precio Venta]]</f>
        <v>0</v>
      </c>
      <c r="J1555" s="12">
        <f>IF(VENTAS[[#This Row],[Nombre del Gestor]]&gt;1,VENTAS[[#This Row],[Total]]*10%,0)</f>
        <v>0</v>
      </c>
      <c r="K1555" s="12">
        <f>IFERROR(VLOOKUP(VENTAS[[#This Row],[Código del producto Vendido]],STOCK[],16,FALSE)*VENTAS[[#This Row],[Cantidad]]+VLOOKUP(VENTAS[[#This Row],[Código del producto Vendido]],STOCK[],19,FALSE)*VENTAS[[#This Row],[Cantidad]],VENTAS[[#This Row],[Total]])</f>
        <v>0</v>
      </c>
      <c r="L1555" s="12">
        <f>VENTAS[[#This Row],[Total]]-VENTAS[[#This Row],[Comisión 10%]]-VENTAS[[#This Row],[Costo SIN Comision]]</f>
        <v>0</v>
      </c>
      <c r="M1555" s="12"/>
      <c r="N1555" s="16"/>
    </row>
    <row r="1556" spans="1:14" ht="20" hidden="1" customHeight="1">
      <c r="A1556" s="9"/>
      <c r="B1556" s="10"/>
      <c r="C1556" s="10"/>
      <c r="D1556" s="10" t="s">
        <v>4184</v>
      </c>
      <c r="E1556" s="10" t="s">
        <v>2794</v>
      </c>
      <c r="F1556" s="10" t="str">
        <f>IFERROR(VLOOKUP(VENTAS[[#This Row],[Código del producto Vendido]],STOCK[],5,FALSE),"-")</f>
        <v>Sandalias estilo chunky de suela gruesa en contraste de color</v>
      </c>
      <c r="G1556" s="10">
        <v>1</v>
      </c>
      <c r="H1556" s="12">
        <v>35</v>
      </c>
      <c r="I1556" s="12">
        <f>VENTAS[[#This Row],[Cantidad]]*VENTAS[[#This Row],[Precio Venta]]</f>
        <v>35</v>
      </c>
      <c r="J1556" s="12">
        <f>IF(VENTAS[[#This Row],[Nombre del Gestor]]&gt;1,VENTAS[[#This Row],[Total]]*10%,0)</f>
        <v>3.5</v>
      </c>
      <c r="K1556" s="12">
        <f>IFERROR(VLOOKUP(VENTAS[[#This Row],[Código del producto Vendido]],STOCK[],16,FALSE)*VENTAS[[#This Row],[Cantidad]]+VLOOKUP(VENTAS[[#This Row],[Código del producto Vendido]],STOCK[],19,FALSE)*VENTAS[[#This Row],[Cantidad]],VENTAS[[#This Row],[Total]])</f>
        <v>13.4</v>
      </c>
      <c r="L1556" s="12">
        <f>VENTAS[[#This Row],[Total]]-VENTAS[[#This Row],[Comisión 10%]]-VENTAS[[#This Row],[Costo SIN Comision]]</f>
        <v>18.100000000000001</v>
      </c>
      <c r="M1556" s="12"/>
      <c r="N1556" s="16"/>
    </row>
    <row r="1557" spans="1:14" ht="20" hidden="1" customHeight="1">
      <c r="A1557" s="9"/>
      <c r="B1557" s="10"/>
      <c r="C1557" s="10"/>
      <c r="D1557" s="10" t="s">
        <v>4184</v>
      </c>
      <c r="E1557" s="10" t="s">
        <v>2796</v>
      </c>
      <c r="F1557" s="10" t="str">
        <f>IFERROR(VLOOKUP(VENTAS[[#This Row],[Código del producto Vendido]],STOCK[],5,FALSE),"-")</f>
        <v>Sandalias estilo chunky de suela gruesa en contraste de color</v>
      </c>
      <c r="G1557" s="10">
        <v>1</v>
      </c>
      <c r="H1557" s="12">
        <v>35</v>
      </c>
      <c r="I1557" s="12">
        <f>VENTAS[[#This Row],[Cantidad]]*VENTAS[[#This Row],[Precio Venta]]</f>
        <v>35</v>
      </c>
      <c r="J1557" s="12">
        <f>IF(VENTAS[[#This Row],[Nombre del Gestor]]&gt;1,VENTAS[[#This Row],[Total]]*10%,0)</f>
        <v>3.5</v>
      </c>
      <c r="K1557" s="12">
        <f>IFERROR(VLOOKUP(VENTAS[[#This Row],[Código del producto Vendido]],STOCK[],16,FALSE)*VENTAS[[#This Row],[Cantidad]]+VLOOKUP(VENTAS[[#This Row],[Código del producto Vendido]],STOCK[],19,FALSE)*VENTAS[[#This Row],[Cantidad]],VENTAS[[#This Row],[Total]])</f>
        <v>11.4</v>
      </c>
      <c r="L1557" s="12">
        <f>VENTAS[[#This Row],[Total]]-VENTAS[[#This Row],[Comisión 10%]]-VENTAS[[#This Row],[Costo SIN Comision]]</f>
        <v>20.100000000000001</v>
      </c>
      <c r="M1557" s="12"/>
      <c r="N1557" s="16"/>
    </row>
    <row r="1558" spans="1:14" ht="20" hidden="1" customHeight="1">
      <c r="A1558" s="9"/>
      <c r="B1558" s="10"/>
      <c r="C1558" s="10"/>
      <c r="D1558" s="10"/>
      <c r="E1558" s="10" t="s">
        <v>2796</v>
      </c>
      <c r="F1558" s="10" t="str">
        <f>IFERROR(VLOOKUP(VENTAS[[#This Row],[Código del producto Vendido]],STOCK[],5,FALSE),"-")</f>
        <v>Sandalias estilo chunky de suela gruesa en contraste de color</v>
      </c>
      <c r="G1558" s="10">
        <v>1</v>
      </c>
      <c r="H1558" s="12">
        <v>35</v>
      </c>
      <c r="I1558" s="12">
        <f>VENTAS[[#This Row],[Cantidad]]*VENTAS[[#This Row],[Precio Venta]]</f>
        <v>35</v>
      </c>
      <c r="J1558" s="12">
        <f>IF(VENTAS[[#This Row],[Nombre del Gestor]]&gt;1,VENTAS[[#This Row],[Total]]*10%,0)</f>
        <v>0</v>
      </c>
      <c r="K1558" s="12">
        <f>IFERROR(VLOOKUP(VENTAS[[#This Row],[Código del producto Vendido]],STOCK[],16,FALSE)*VENTAS[[#This Row],[Cantidad]]+VLOOKUP(VENTAS[[#This Row],[Código del producto Vendido]],STOCK[],19,FALSE)*VENTAS[[#This Row],[Cantidad]],VENTAS[[#This Row],[Total]])</f>
        <v>11.4</v>
      </c>
      <c r="L1558" s="12">
        <f>VENTAS[[#This Row],[Total]]-VENTAS[[#This Row],[Comisión 10%]]-VENTAS[[#This Row],[Costo SIN Comision]]</f>
        <v>23.6</v>
      </c>
      <c r="M1558" s="12"/>
      <c r="N1558" s="16"/>
    </row>
    <row r="1559" spans="1:14" ht="20" hidden="1" customHeight="1">
      <c r="A1559" s="9"/>
      <c r="B1559" s="10"/>
      <c r="C1559" s="10"/>
      <c r="D1559" s="10" t="s">
        <v>4330</v>
      </c>
      <c r="E1559" s="10" t="s">
        <v>2799</v>
      </c>
      <c r="F1559" s="10" t="str">
        <f>IFERROR(VLOOKUP(VENTAS[[#This Row],[Código del producto Vendido]],STOCK[],5,FALSE),"-")</f>
        <v>Sandalias estilo chunky de suela gruesa en contraste de color</v>
      </c>
      <c r="G1559" s="10">
        <v>1</v>
      </c>
      <c r="H1559" s="12">
        <v>35</v>
      </c>
      <c r="I1559" s="12">
        <f>VENTAS[[#This Row],[Cantidad]]*VENTAS[[#This Row],[Precio Venta]]</f>
        <v>35</v>
      </c>
      <c r="J1559" s="12">
        <f>IF(VENTAS[[#This Row],[Nombre del Gestor]]&gt;1,VENTAS[[#This Row],[Total]]*10%,0)</f>
        <v>3.5</v>
      </c>
      <c r="K1559" s="12">
        <f>IFERROR(VLOOKUP(VENTAS[[#This Row],[Código del producto Vendido]],STOCK[],16,FALSE)*VENTAS[[#This Row],[Cantidad]]+VLOOKUP(VENTAS[[#This Row],[Código del producto Vendido]],STOCK[],19,FALSE)*VENTAS[[#This Row],[Cantidad]],VENTAS[[#This Row],[Total]])</f>
        <v>13.4</v>
      </c>
      <c r="L1559" s="12">
        <f>VENTAS[[#This Row],[Total]]-VENTAS[[#This Row],[Comisión 10%]]-VENTAS[[#This Row],[Costo SIN Comision]]</f>
        <v>18.100000000000001</v>
      </c>
      <c r="M1559" s="12"/>
      <c r="N1559" s="16"/>
    </row>
    <row r="1560" spans="1:14" ht="20" hidden="1" customHeight="1">
      <c r="A1560" s="9"/>
      <c r="B1560" s="10"/>
      <c r="C1560" s="10"/>
      <c r="D1560" s="10"/>
      <c r="E1560" s="10" t="s">
        <v>2799</v>
      </c>
      <c r="F1560" s="10" t="str">
        <f>IFERROR(VLOOKUP(VENTAS[[#This Row],[Código del producto Vendido]],STOCK[],5,FALSE),"-")</f>
        <v>Sandalias estilo chunky de suela gruesa en contraste de color</v>
      </c>
      <c r="G1560" s="10">
        <v>1</v>
      </c>
      <c r="H1560" s="12">
        <v>35</v>
      </c>
      <c r="I1560" s="12">
        <f>VENTAS[[#This Row],[Cantidad]]*VENTAS[[#This Row],[Precio Venta]]</f>
        <v>35</v>
      </c>
      <c r="J1560" s="12">
        <f>IF(VENTAS[[#This Row],[Nombre del Gestor]]&gt;1,VENTAS[[#This Row],[Total]]*10%,0)</f>
        <v>0</v>
      </c>
      <c r="K1560" s="12">
        <f>IFERROR(VLOOKUP(VENTAS[[#This Row],[Código del producto Vendido]],STOCK[],16,FALSE)*VENTAS[[#This Row],[Cantidad]]+VLOOKUP(VENTAS[[#This Row],[Código del producto Vendido]],STOCK[],19,FALSE)*VENTAS[[#This Row],[Cantidad]],VENTAS[[#This Row],[Total]])</f>
        <v>13.4</v>
      </c>
      <c r="L1560" s="12">
        <f>VENTAS[[#This Row],[Total]]-VENTAS[[#This Row],[Comisión 10%]]-VENTAS[[#This Row],[Costo SIN Comision]]</f>
        <v>21.6</v>
      </c>
      <c r="M1560" s="12"/>
      <c r="N1560" s="16"/>
    </row>
    <row r="1561" spans="1:14" ht="20" hidden="1" customHeight="1">
      <c r="A1561" s="9"/>
      <c r="B1561" s="10"/>
      <c r="C1561" s="10" t="s">
        <v>4596</v>
      </c>
      <c r="D1561" s="10"/>
      <c r="E1561" s="10" t="s">
        <v>2814</v>
      </c>
      <c r="F1561" s="10" t="str">
        <f>IFERROR(VLOOKUP(VENTAS[[#This Row],[Código del producto Vendido]],STOCK[],5,FALSE),"-")</f>
        <v>Bolso elegante de estilo sillín</v>
      </c>
      <c r="G1561" s="10">
        <v>1</v>
      </c>
      <c r="H1561" s="12">
        <v>22</v>
      </c>
      <c r="I1561" s="12">
        <f>VENTAS[[#This Row],[Cantidad]]*VENTAS[[#This Row],[Precio Venta]]</f>
        <v>22</v>
      </c>
      <c r="J1561" s="12">
        <f>IF(VENTAS[[#This Row],[Nombre del Gestor]]&gt;1,VENTAS[[#This Row],[Total]]*10%,0)</f>
        <v>0</v>
      </c>
      <c r="K1561" s="12">
        <f>IFERROR(VLOOKUP(VENTAS[[#This Row],[Código del producto Vendido]],STOCK[],16,FALSE)*VENTAS[[#This Row],[Cantidad]]+VLOOKUP(VENTAS[[#This Row],[Código del producto Vendido]],STOCK[],19,FALSE)*VENTAS[[#This Row],[Cantidad]],VENTAS[[#This Row],[Total]])</f>
        <v>10.280000000000001</v>
      </c>
      <c r="L1561" s="12">
        <f>VENTAS[[#This Row],[Total]]-VENTAS[[#This Row],[Comisión 10%]]-VENTAS[[#This Row],[Costo SIN Comision]]</f>
        <v>11.719999999999999</v>
      </c>
      <c r="M1561" s="12"/>
      <c r="N1561" s="16"/>
    </row>
    <row r="1562" spans="1:14" ht="20" hidden="1" customHeight="1">
      <c r="A1562" s="9"/>
      <c r="B1562" s="10"/>
      <c r="C1562" s="10"/>
      <c r="D1562" s="10"/>
      <c r="E1562" s="10" t="s">
        <v>2821</v>
      </c>
      <c r="F1562" s="10" t="str">
        <f>IFERROR(VLOOKUP(VENTAS[[#This Row],[Código del producto Vendido]],STOCK[],5,FALSE),"-")</f>
        <v>Bolso de diario ligero y casual de gran capacidad elegante de cocodrilo</v>
      </c>
      <c r="G1562" s="10">
        <v>1</v>
      </c>
      <c r="H1562" s="12">
        <v>25</v>
      </c>
      <c r="I1562" s="12">
        <f>VENTAS[[#This Row],[Cantidad]]*VENTAS[[#This Row],[Precio Venta]]</f>
        <v>25</v>
      </c>
      <c r="J1562" s="12">
        <f>IF(VENTAS[[#This Row],[Nombre del Gestor]]&gt;1,VENTAS[[#This Row],[Total]]*10%,0)</f>
        <v>0</v>
      </c>
      <c r="K1562" s="12">
        <f>IFERROR(VLOOKUP(VENTAS[[#This Row],[Código del producto Vendido]],STOCK[],16,FALSE)*VENTAS[[#This Row],[Cantidad]]+VLOOKUP(VENTAS[[#This Row],[Código del producto Vendido]],STOCK[],19,FALSE)*VENTAS[[#This Row],[Cantidad]],VENTAS[[#This Row],[Total]])</f>
        <v>10.14</v>
      </c>
      <c r="L1562" s="12">
        <f>VENTAS[[#This Row],[Total]]-VENTAS[[#This Row],[Comisión 10%]]-VENTAS[[#This Row],[Costo SIN Comision]]</f>
        <v>14.86</v>
      </c>
      <c r="M1562" s="12"/>
      <c r="N1562" s="16"/>
    </row>
    <row r="1563" spans="1:14" ht="20" hidden="1" customHeight="1">
      <c r="A1563" s="9">
        <v>45562</v>
      </c>
      <c r="B1563" s="10"/>
      <c r="C1563" s="10"/>
      <c r="D1563" s="10" t="s">
        <v>4374</v>
      </c>
      <c r="E1563" s="10" t="s">
        <v>2821</v>
      </c>
      <c r="F1563" s="10" t="str">
        <f>IFERROR(VLOOKUP(VENTAS[[#This Row],[Código del producto Vendido]],STOCK[],5,FALSE),"-")</f>
        <v>Bolso de diario ligero y casual de gran capacidad elegante de cocodrilo</v>
      </c>
      <c r="G1563" s="10">
        <v>1</v>
      </c>
      <c r="H1563" s="12">
        <v>25</v>
      </c>
      <c r="I1563" s="12">
        <f>VENTAS[[#This Row],[Cantidad]]*VENTAS[[#This Row],[Precio Venta]]</f>
        <v>25</v>
      </c>
      <c r="J1563" s="12">
        <f>IF(VENTAS[[#This Row],[Nombre del Gestor]]&gt;1,VENTAS[[#This Row],[Total]]*10%,0)</f>
        <v>2.5</v>
      </c>
      <c r="K1563" s="12">
        <f>IFERROR(VLOOKUP(VENTAS[[#This Row],[Código del producto Vendido]],STOCK[],16,FALSE)*VENTAS[[#This Row],[Cantidad]]+VLOOKUP(VENTAS[[#This Row],[Código del producto Vendido]],STOCK[],19,FALSE)*VENTAS[[#This Row],[Cantidad]],VENTAS[[#This Row],[Total]])</f>
        <v>10.14</v>
      </c>
      <c r="L1563" s="12">
        <f>VENTAS[[#This Row],[Total]]-VENTAS[[#This Row],[Comisión 10%]]-VENTAS[[#This Row],[Costo SIN Comision]]</f>
        <v>12.36</v>
      </c>
      <c r="M1563" s="12"/>
      <c r="N1563" s="16"/>
    </row>
    <row r="1564" spans="1:14" ht="20" hidden="1" customHeight="1">
      <c r="A1564" s="9">
        <v>45562</v>
      </c>
      <c r="B1564" s="10"/>
      <c r="C1564" s="10"/>
      <c r="D1564" s="10" t="s">
        <v>4473</v>
      </c>
      <c r="E1564" s="10" t="s">
        <v>2824</v>
      </c>
      <c r="F1564" s="10" t="str">
        <f>IFERROR(VLOOKUP(VENTAS[[#This Row],[Código del producto Vendido]],STOCK[],5,FALSE),"-")</f>
        <v>Bolso de playa en bloque de color tejido en algodón</v>
      </c>
      <c r="G1564" s="10">
        <v>1</v>
      </c>
      <c r="H1564" s="12">
        <v>25</v>
      </c>
      <c r="I1564" s="12">
        <f>VENTAS[[#This Row],[Cantidad]]*VENTAS[[#This Row],[Precio Venta]]</f>
        <v>25</v>
      </c>
      <c r="J1564" s="12">
        <f>IF(VENTAS[[#This Row],[Nombre del Gestor]]&gt;1,VENTAS[[#This Row],[Total]]*10%,0)</f>
        <v>2.5</v>
      </c>
      <c r="K1564" s="12">
        <f>IFERROR(VLOOKUP(VENTAS[[#This Row],[Código del producto Vendido]],STOCK[],16,FALSE)*VENTAS[[#This Row],[Cantidad]]+VLOOKUP(VENTAS[[#This Row],[Código del producto Vendido]],STOCK[],19,FALSE)*VENTAS[[#This Row],[Cantidad]],VENTAS[[#This Row],[Total]])</f>
        <v>13.35</v>
      </c>
      <c r="L1564" s="12">
        <f>VENTAS[[#This Row],[Total]]-VENTAS[[#This Row],[Comisión 10%]]-VENTAS[[#This Row],[Costo SIN Comision]]</f>
        <v>9.15</v>
      </c>
      <c r="M1564" s="12"/>
      <c r="N1564" s="16"/>
    </row>
    <row r="1565" spans="1:14" ht="20" hidden="1" customHeight="1">
      <c r="A1565" s="9">
        <v>45562</v>
      </c>
      <c r="B1565" s="10"/>
      <c r="C1565" s="10"/>
      <c r="D1565" s="10" t="s">
        <v>4374</v>
      </c>
      <c r="E1565" s="10" t="s">
        <v>2824</v>
      </c>
      <c r="F1565" s="10" t="str">
        <f>IFERROR(VLOOKUP(VENTAS[[#This Row],[Código del producto Vendido]],STOCK[],5,FALSE),"-")</f>
        <v>Bolso de playa en bloque de color tejido en algodón</v>
      </c>
      <c r="G1565" s="10">
        <v>1</v>
      </c>
      <c r="H1565" s="12">
        <v>25</v>
      </c>
      <c r="I1565" s="12">
        <f>VENTAS[[#This Row],[Cantidad]]*VENTAS[[#This Row],[Precio Venta]]</f>
        <v>25</v>
      </c>
      <c r="J1565" s="12">
        <f>IF(VENTAS[[#This Row],[Nombre del Gestor]]&gt;1,VENTAS[[#This Row],[Total]]*10%,0)</f>
        <v>2.5</v>
      </c>
      <c r="K1565" s="12">
        <f>IFERROR(VLOOKUP(VENTAS[[#This Row],[Código del producto Vendido]],STOCK[],16,FALSE)*VENTAS[[#This Row],[Cantidad]]+VLOOKUP(VENTAS[[#This Row],[Código del producto Vendido]],STOCK[],19,FALSE)*VENTAS[[#This Row],[Cantidad]],VENTAS[[#This Row],[Total]])</f>
        <v>13.35</v>
      </c>
      <c r="L1565" s="12">
        <f>VENTAS[[#This Row],[Total]]-VENTAS[[#This Row],[Comisión 10%]]-VENTAS[[#This Row],[Costo SIN Comision]]</f>
        <v>9.15</v>
      </c>
      <c r="M1565" s="12"/>
      <c r="N1565" s="16"/>
    </row>
    <row r="1566" spans="1:14" ht="20" hidden="1" customHeight="1">
      <c r="A1566" s="9"/>
      <c r="B1566" s="10"/>
      <c r="C1566" s="10"/>
      <c r="D1566" s="10"/>
      <c r="E1566" s="10" t="s">
        <v>2824</v>
      </c>
      <c r="F1566" s="10" t="str">
        <f>IFERROR(VLOOKUP(VENTAS[[#This Row],[Código del producto Vendido]],STOCK[],5,FALSE),"-")</f>
        <v>Bolso de playa en bloque de color tejido en algodón</v>
      </c>
      <c r="G1566" s="10">
        <v>1</v>
      </c>
      <c r="H1566" s="12">
        <v>25</v>
      </c>
      <c r="I1566" s="12">
        <f>VENTAS[[#This Row],[Cantidad]]*VENTAS[[#This Row],[Precio Venta]]</f>
        <v>25</v>
      </c>
      <c r="J1566" s="12">
        <f>IF(VENTAS[[#This Row],[Nombre del Gestor]]&gt;1,VENTAS[[#This Row],[Total]]*10%,0)</f>
        <v>0</v>
      </c>
      <c r="K1566" s="12">
        <f>IFERROR(VLOOKUP(VENTAS[[#This Row],[Código del producto Vendido]],STOCK[],16,FALSE)*VENTAS[[#This Row],[Cantidad]]+VLOOKUP(VENTAS[[#This Row],[Código del producto Vendido]],STOCK[],19,FALSE)*VENTAS[[#This Row],[Cantidad]],VENTAS[[#This Row],[Total]])</f>
        <v>13.35</v>
      </c>
      <c r="L1566" s="12">
        <f>VENTAS[[#This Row],[Total]]-VENTAS[[#This Row],[Comisión 10%]]-VENTAS[[#This Row],[Costo SIN Comision]]</f>
        <v>11.65</v>
      </c>
      <c r="M1566" s="12"/>
      <c r="N1566" s="16"/>
    </row>
    <row r="1567" spans="1:14" ht="20" hidden="1" customHeight="1">
      <c r="A1567" s="9"/>
      <c r="B1567" s="10"/>
      <c r="C1567" s="10"/>
      <c r="D1567" s="10" t="s">
        <v>4571</v>
      </c>
      <c r="E1567" s="10" t="s">
        <v>2828</v>
      </c>
      <c r="F1567" s="10" t="str">
        <f>IFERROR(VLOOKUP(VENTAS[[#This Row],[Código del producto Vendido]],STOCK[],5,FALSE),"-")</f>
        <v>Bolso tejido redondo de gran capacidad Carmelita</v>
      </c>
      <c r="G1567" s="10">
        <v>1</v>
      </c>
      <c r="H1567" s="12">
        <v>25</v>
      </c>
      <c r="I1567" s="12">
        <f>VENTAS[[#This Row],[Cantidad]]*VENTAS[[#This Row],[Precio Venta]]</f>
        <v>25</v>
      </c>
      <c r="J1567" s="12">
        <f>IF(VENTAS[[#This Row],[Nombre del Gestor]]&gt;1,VENTAS[[#This Row],[Total]]*10%,0)</f>
        <v>2.5</v>
      </c>
      <c r="K1567" s="12">
        <f>IFERROR(VLOOKUP(VENTAS[[#This Row],[Código del producto Vendido]],STOCK[],16,FALSE)*VENTAS[[#This Row],[Cantidad]]+VLOOKUP(VENTAS[[#This Row],[Código del producto Vendido]],STOCK[],19,FALSE)*VENTAS[[#This Row],[Cantidad]],VENTAS[[#This Row],[Total]])</f>
        <v>13.31</v>
      </c>
      <c r="L1567" s="12">
        <f>VENTAS[[#This Row],[Total]]-VENTAS[[#This Row],[Comisión 10%]]-VENTAS[[#This Row],[Costo SIN Comision]]</f>
        <v>9.19</v>
      </c>
      <c r="M1567" s="12"/>
      <c r="N1567" s="16"/>
    </row>
    <row r="1568" spans="1:14" ht="20" hidden="1" customHeight="1">
      <c r="A1568" s="9"/>
      <c r="B1568" s="10"/>
      <c r="C1568" s="10"/>
      <c r="D1568" s="10"/>
      <c r="E1568" s="10" t="s">
        <v>2837</v>
      </c>
      <c r="F1568" s="10" t="str">
        <f>IFERROR(VLOOKUP(VENTAS[[#This Row],[Código del producto Vendido]],STOCK[],5,FALSE),"-")</f>
        <v>Vestido elegante de crochet de de cuello profundo y espalda cruzada</v>
      </c>
      <c r="G1568" s="10">
        <v>1</v>
      </c>
      <c r="H1568" s="12">
        <v>30</v>
      </c>
      <c r="I1568" s="12">
        <f>VENTAS[[#This Row],[Cantidad]]*VENTAS[[#This Row],[Precio Venta]]</f>
        <v>30</v>
      </c>
      <c r="J1568" s="12">
        <f>IF(VENTAS[[#This Row],[Nombre del Gestor]]&gt;1,VENTAS[[#This Row],[Total]]*10%,0)</f>
        <v>0</v>
      </c>
      <c r="K1568" s="12">
        <f>IFERROR(VLOOKUP(VENTAS[[#This Row],[Código del producto Vendido]],STOCK[],16,FALSE)*VENTAS[[#This Row],[Cantidad]]+VLOOKUP(VENTAS[[#This Row],[Código del producto Vendido]],STOCK[],19,FALSE)*VENTAS[[#This Row],[Cantidad]],VENTAS[[#This Row],[Total]])</f>
        <v>13.5</v>
      </c>
      <c r="L1568" s="12">
        <f>VENTAS[[#This Row],[Total]]-VENTAS[[#This Row],[Comisión 10%]]-VENTAS[[#This Row],[Costo SIN Comision]]</f>
        <v>16.5</v>
      </c>
      <c r="M1568" s="12"/>
      <c r="N1568" s="16"/>
    </row>
    <row r="1569" spans="1:14" ht="20" hidden="1" customHeight="1">
      <c r="A1569" s="9"/>
      <c r="B1569" s="10"/>
      <c r="C1569" s="10"/>
      <c r="D1569" s="10"/>
      <c r="E1569" s="10" t="s">
        <v>2838</v>
      </c>
      <c r="F1569" s="10" t="str">
        <f>IFERROR(VLOOKUP(VENTAS[[#This Row],[Código del producto Vendido]],STOCK[],5,FALSE),"-")</f>
        <v>Vestido elegante de crochet de de cuello profundo y espalda cruzada</v>
      </c>
      <c r="G1569" s="10">
        <v>1</v>
      </c>
      <c r="H1569" s="12">
        <v>30</v>
      </c>
      <c r="I1569" s="12">
        <f>VENTAS[[#This Row],[Cantidad]]*VENTAS[[#This Row],[Precio Venta]]</f>
        <v>30</v>
      </c>
      <c r="J1569" s="12">
        <f>IF(VENTAS[[#This Row],[Nombre del Gestor]]&gt;1,VENTAS[[#This Row],[Total]]*10%,0)</f>
        <v>0</v>
      </c>
      <c r="K1569" s="12">
        <f>IFERROR(VLOOKUP(VENTAS[[#This Row],[Código del producto Vendido]],STOCK[],16,FALSE)*VENTAS[[#This Row],[Cantidad]]+VLOOKUP(VENTAS[[#This Row],[Código del producto Vendido]],STOCK[],19,FALSE)*VENTAS[[#This Row],[Cantidad]],VENTAS[[#This Row],[Total]])</f>
        <v>13.5</v>
      </c>
      <c r="L1569" s="12">
        <f>VENTAS[[#This Row],[Total]]-VENTAS[[#This Row],[Comisión 10%]]-VENTAS[[#This Row],[Costo SIN Comision]]</f>
        <v>16.5</v>
      </c>
      <c r="M1569" s="12"/>
      <c r="N1569" s="16"/>
    </row>
    <row r="1570" spans="1:14" ht="20" hidden="1" customHeight="1">
      <c r="A1570" s="9"/>
      <c r="B1570" s="10"/>
      <c r="C1570" s="10"/>
      <c r="D1570" s="10"/>
      <c r="E1570" s="10" t="s">
        <v>2839</v>
      </c>
      <c r="F1570" s="10" t="str">
        <f>IFERROR(VLOOKUP(VENTAS[[#This Row],[Código del producto Vendido]],STOCK[],5,FALSE),"-")</f>
        <v>Vestido elegante de crochet de de cuello profundo y espalda cruzada</v>
      </c>
      <c r="G1570" s="10">
        <v>1</v>
      </c>
      <c r="H1570" s="12">
        <v>30</v>
      </c>
      <c r="I1570" s="12">
        <f>VENTAS[[#This Row],[Cantidad]]*VENTAS[[#This Row],[Precio Venta]]</f>
        <v>30</v>
      </c>
      <c r="J1570" s="12">
        <f>IF(VENTAS[[#This Row],[Nombre del Gestor]]&gt;1,VENTAS[[#This Row],[Total]]*10%,0)</f>
        <v>0</v>
      </c>
      <c r="K1570" s="12">
        <f>IFERROR(VLOOKUP(VENTAS[[#This Row],[Código del producto Vendido]],STOCK[],16,FALSE)*VENTAS[[#This Row],[Cantidad]]+VLOOKUP(VENTAS[[#This Row],[Código del producto Vendido]],STOCK[],19,FALSE)*VENTAS[[#This Row],[Cantidad]],VENTAS[[#This Row],[Total]])</f>
        <v>13.5</v>
      </c>
      <c r="L1570" s="12">
        <f>VENTAS[[#This Row],[Total]]-VENTAS[[#This Row],[Comisión 10%]]-VENTAS[[#This Row],[Costo SIN Comision]]</f>
        <v>16.5</v>
      </c>
      <c r="M1570" s="12"/>
      <c r="N1570" s="16"/>
    </row>
    <row r="1571" spans="1:14" ht="20" hidden="1" customHeight="1">
      <c r="A1571" s="9">
        <v>45575</v>
      </c>
      <c r="B1571" s="10"/>
      <c r="C1571" s="10"/>
      <c r="D1571" s="10" t="s">
        <v>4378</v>
      </c>
      <c r="E1571" s="10" t="s">
        <v>2839</v>
      </c>
      <c r="F1571" s="10" t="str">
        <f>IFERROR(VLOOKUP(VENTAS[[#This Row],[Código del producto Vendido]],STOCK[],5,FALSE),"-")</f>
        <v>Vestido elegante de crochet de de cuello profundo y espalda cruzada</v>
      </c>
      <c r="G1571" s="10">
        <v>1</v>
      </c>
      <c r="H1571" s="12">
        <v>30</v>
      </c>
      <c r="I1571" s="12">
        <f>VENTAS[[#This Row],[Cantidad]]*VENTAS[[#This Row],[Precio Venta]]</f>
        <v>30</v>
      </c>
      <c r="J1571" s="12">
        <f>IF(VENTAS[[#This Row],[Nombre del Gestor]]&gt;1,VENTAS[[#This Row],[Total]]*10%,0)</f>
        <v>3</v>
      </c>
      <c r="K1571" s="12">
        <f>IFERROR(VLOOKUP(VENTAS[[#This Row],[Código del producto Vendido]],STOCK[],16,FALSE)*VENTAS[[#This Row],[Cantidad]]+VLOOKUP(VENTAS[[#This Row],[Código del producto Vendido]],STOCK[],19,FALSE)*VENTAS[[#This Row],[Cantidad]],VENTAS[[#This Row],[Total]])</f>
        <v>13.5</v>
      </c>
      <c r="L1571" s="12">
        <f>VENTAS[[#This Row],[Total]]-VENTAS[[#This Row],[Comisión 10%]]-VENTAS[[#This Row],[Costo SIN Comision]]</f>
        <v>13.5</v>
      </c>
      <c r="M1571" s="12"/>
      <c r="N1571" s="16"/>
    </row>
    <row r="1572" spans="1:14" ht="20" hidden="1" customHeight="1">
      <c r="A1572" s="9"/>
      <c r="B1572" s="10"/>
      <c r="C1572" s="10"/>
      <c r="D1572" s="10" t="s">
        <v>4184</v>
      </c>
      <c r="E1572" s="10" t="s">
        <v>2845</v>
      </c>
      <c r="F1572" s="10" t="str">
        <f>IFERROR(VLOOKUP(VENTAS[[#This Row],[Código del producto Vendido]],STOCK[],5,FALSE),"-")</f>
        <v>Pantalones largros rayados de moda de gran comodidad</v>
      </c>
      <c r="G1572" s="10">
        <v>1</v>
      </c>
      <c r="H1572" s="12">
        <v>22</v>
      </c>
      <c r="I1572" s="12">
        <f>VENTAS[[#This Row],[Cantidad]]*VENTAS[[#This Row],[Precio Venta]]</f>
        <v>22</v>
      </c>
      <c r="J1572" s="12">
        <f>IF(VENTAS[[#This Row],[Nombre del Gestor]]&gt;1,VENTAS[[#This Row],[Total]]*10%,0)</f>
        <v>2.2000000000000002</v>
      </c>
      <c r="K1572" s="12">
        <f>IFERROR(VLOOKUP(VENTAS[[#This Row],[Código del producto Vendido]],STOCK[],16,FALSE)*VENTAS[[#This Row],[Cantidad]]+VLOOKUP(VENTAS[[#This Row],[Código del producto Vendido]],STOCK[],19,FALSE)*VENTAS[[#This Row],[Cantidad]],VENTAS[[#This Row],[Total]])</f>
        <v>10.52</v>
      </c>
      <c r="L1572" s="12">
        <f>VENTAS[[#This Row],[Total]]-VENTAS[[#This Row],[Comisión 10%]]-VENTAS[[#This Row],[Costo SIN Comision]]</f>
        <v>9.2800000000000011</v>
      </c>
      <c r="M1572" s="12"/>
      <c r="N1572" s="16"/>
    </row>
    <row r="1573" spans="1:14" ht="20" hidden="1" customHeight="1">
      <c r="A1573" s="9"/>
      <c r="B1573" s="10"/>
      <c r="C1573" s="10"/>
      <c r="D1573" s="10"/>
      <c r="E1573" s="10" t="s">
        <v>2850</v>
      </c>
      <c r="F1573" s="10" t="str">
        <f>IFERROR(VLOOKUP(VENTAS[[#This Row],[Código del producto Vendido]],STOCK[],5,FALSE),"-")</f>
        <v>Pantalones largros rayados de moda de gran comodidad</v>
      </c>
      <c r="G1573" s="10">
        <v>1</v>
      </c>
      <c r="H1573" s="12">
        <v>22</v>
      </c>
      <c r="I1573" s="12">
        <f>VENTAS[[#This Row],[Cantidad]]*VENTAS[[#This Row],[Precio Venta]]</f>
        <v>22</v>
      </c>
      <c r="J1573" s="12">
        <f>IF(VENTAS[[#This Row],[Nombre del Gestor]]&gt;1,VENTAS[[#This Row],[Total]]*10%,0)</f>
        <v>0</v>
      </c>
      <c r="K1573" s="12">
        <f>IFERROR(VLOOKUP(VENTAS[[#This Row],[Código del producto Vendido]],STOCK[],16,FALSE)*VENTAS[[#This Row],[Cantidad]]+VLOOKUP(VENTAS[[#This Row],[Código del producto Vendido]],STOCK[],19,FALSE)*VENTAS[[#This Row],[Cantidad]],VENTAS[[#This Row],[Total]])</f>
        <v>10.52</v>
      </c>
      <c r="L1573" s="12">
        <f>VENTAS[[#This Row],[Total]]-VENTAS[[#This Row],[Comisión 10%]]-VENTAS[[#This Row],[Costo SIN Comision]]</f>
        <v>11.48</v>
      </c>
      <c r="M1573" s="12"/>
      <c r="N1573" s="16"/>
    </row>
    <row r="1574" spans="1:14" ht="20" hidden="1" customHeight="1">
      <c r="A1574" s="9">
        <v>45566</v>
      </c>
      <c r="B1574" s="10"/>
      <c r="C1574" s="10"/>
      <c r="D1574" s="10" t="s">
        <v>4473</v>
      </c>
      <c r="E1574" s="10" t="s">
        <v>2850</v>
      </c>
      <c r="F1574" s="10" t="str">
        <f>IFERROR(VLOOKUP(VENTAS[[#This Row],[Código del producto Vendido]],STOCK[],5,FALSE),"-")</f>
        <v>Pantalones largros rayados de moda de gran comodidad</v>
      </c>
      <c r="G1574" s="10">
        <v>1</v>
      </c>
      <c r="H1574" s="12">
        <v>22</v>
      </c>
      <c r="I1574" s="12">
        <f>VENTAS[[#This Row],[Cantidad]]*VENTAS[[#This Row],[Precio Venta]]</f>
        <v>22</v>
      </c>
      <c r="J1574" s="12">
        <f>IF(VENTAS[[#This Row],[Nombre del Gestor]]&gt;1,VENTAS[[#This Row],[Total]]*10%,0)</f>
        <v>2.2000000000000002</v>
      </c>
      <c r="K1574" s="12">
        <f>IFERROR(VLOOKUP(VENTAS[[#This Row],[Código del producto Vendido]],STOCK[],16,FALSE)*VENTAS[[#This Row],[Cantidad]]+VLOOKUP(VENTAS[[#This Row],[Código del producto Vendido]],STOCK[],19,FALSE)*VENTAS[[#This Row],[Cantidad]],VENTAS[[#This Row],[Total]])</f>
        <v>10.52</v>
      </c>
      <c r="L1574" s="12">
        <f>VENTAS[[#This Row],[Total]]-VENTAS[[#This Row],[Comisión 10%]]-VENTAS[[#This Row],[Costo SIN Comision]]</f>
        <v>9.2800000000000011</v>
      </c>
      <c r="M1574" s="12"/>
      <c r="N1574" s="16"/>
    </row>
    <row r="1575" spans="1:14" ht="20" hidden="1" customHeight="1">
      <c r="A1575" s="9"/>
      <c r="B1575" s="10"/>
      <c r="C1575" s="10"/>
      <c r="D1575" s="10"/>
      <c r="E1575" s="10" t="s">
        <v>2858</v>
      </c>
      <c r="F1575" s="10" t="str">
        <f>IFERROR(VLOOKUP(VENTAS[[#This Row],[Código del producto Vendido]],STOCK[],5,FALSE),"-")</f>
        <v>Bolso cuadrado tejido de rafia Tamaño grande Color Carmelita</v>
      </c>
      <c r="G1575" s="10">
        <v>1</v>
      </c>
      <c r="H1575" s="12">
        <v>25</v>
      </c>
      <c r="I1575" s="12">
        <f>VENTAS[[#This Row],[Cantidad]]*VENTAS[[#This Row],[Precio Venta]]</f>
        <v>25</v>
      </c>
      <c r="J1575" s="12">
        <f>IF(VENTAS[[#This Row],[Nombre del Gestor]]&gt;1,VENTAS[[#This Row],[Total]]*10%,0)</f>
        <v>0</v>
      </c>
      <c r="K1575" s="12">
        <f>IFERROR(VLOOKUP(VENTAS[[#This Row],[Código del producto Vendido]],STOCK[],16,FALSE)*VENTAS[[#This Row],[Cantidad]]+VLOOKUP(VENTAS[[#This Row],[Código del producto Vendido]],STOCK[],19,FALSE)*VENTAS[[#This Row],[Cantidad]],VENTAS[[#This Row],[Total]])</f>
        <v>14.85</v>
      </c>
      <c r="L1575" s="12">
        <f>VENTAS[[#This Row],[Total]]-VENTAS[[#This Row],[Comisión 10%]]-VENTAS[[#This Row],[Costo SIN Comision]]</f>
        <v>10.15</v>
      </c>
      <c r="M1575" s="12"/>
      <c r="N1575" s="16"/>
    </row>
    <row r="1576" spans="1:14" ht="20" hidden="1" customHeight="1">
      <c r="A1576" s="9"/>
      <c r="B1576" s="10"/>
      <c r="C1576" s="10"/>
      <c r="D1576" s="10"/>
      <c r="E1576" s="10" t="s">
        <v>2868</v>
      </c>
      <c r="F1576" s="10" t="str">
        <f>IFERROR(VLOOKUP(VENTAS[[#This Row],[Código del producto Vendido]],STOCK[],5,FALSE),"-")</f>
        <v>Blusa corta de mangas abombadas de lazos delanteros color rojo</v>
      </c>
      <c r="G1576" s="10">
        <v>1</v>
      </c>
      <c r="H1576" s="12">
        <v>18</v>
      </c>
      <c r="I1576" s="12">
        <f>VENTAS[[#This Row],[Cantidad]]*VENTAS[[#This Row],[Precio Venta]]</f>
        <v>18</v>
      </c>
      <c r="J1576" s="12">
        <f>IF(VENTAS[[#This Row],[Nombre del Gestor]]&gt;1,VENTAS[[#This Row],[Total]]*10%,0)</f>
        <v>0</v>
      </c>
      <c r="K1576" s="12">
        <f>IFERROR(VLOOKUP(VENTAS[[#This Row],[Código del producto Vendido]],STOCK[],16,FALSE)*VENTAS[[#This Row],[Cantidad]]+VLOOKUP(VENTAS[[#This Row],[Código del producto Vendido]],STOCK[],19,FALSE)*VENTAS[[#This Row],[Cantidad]],VENTAS[[#This Row],[Total]])</f>
        <v>10.18</v>
      </c>
      <c r="L1576" s="12">
        <f>VENTAS[[#This Row],[Total]]-VENTAS[[#This Row],[Comisión 10%]]-VENTAS[[#This Row],[Costo SIN Comision]]</f>
        <v>7.82</v>
      </c>
      <c r="M1576" s="12"/>
      <c r="N1576" s="16"/>
    </row>
    <row r="1577" spans="1:14" ht="20" hidden="1" customHeight="1">
      <c r="A1577" s="9">
        <v>45575</v>
      </c>
      <c r="B1577" s="10"/>
      <c r="C1577" s="10" t="s">
        <v>4597</v>
      </c>
      <c r="D1577" s="10" t="s">
        <v>4473</v>
      </c>
      <c r="E1577" s="10" t="s">
        <v>2883</v>
      </c>
      <c r="F1577" s="10" t="str">
        <f>IFERROR(VLOOKUP(VENTAS[[#This Row],[Código del producto Vendido]],STOCK[],5,FALSE),"-")</f>
        <v>Mono Sailor con botón delantero y cinturón naranja quemada</v>
      </c>
      <c r="G1577" s="10">
        <v>1</v>
      </c>
      <c r="H1577" s="12">
        <v>30</v>
      </c>
      <c r="I1577" s="12">
        <f>VENTAS[[#This Row],[Cantidad]]*VENTAS[[#This Row],[Precio Venta]]</f>
        <v>30</v>
      </c>
      <c r="J1577" s="12">
        <f>IF(VENTAS[[#This Row],[Nombre del Gestor]]&gt;1,VENTAS[[#This Row],[Total]]*10%,0)</f>
        <v>3</v>
      </c>
      <c r="K1577" s="12">
        <f>IFERROR(VLOOKUP(VENTAS[[#This Row],[Código del producto Vendido]],STOCK[],16,FALSE)*VENTAS[[#This Row],[Cantidad]]+VLOOKUP(VENTAS[[#This Row],[Código del producto Vendido]],STOCK[],19,FALSE)*VENTAS[[#This Row],[Cantidad]],VENTAS[[#This Row],[Total]])</f>
        <v>11.57</v>
      </c>
      <c r="L1577" s="12">
        <f>VENTAS[[#This Row],[Total]]-VENTAS[[#This Row],[Comisión 10%]]-VENTAS[[#This Row],[Costo SIN Comision]]</f>
        <v>15.43</v>
      </c>
      <c r="M1577" s="12"/>
      <c r="N1577" s="16"/>
    </row>
    <row r="1578" spans="1:14" ht="20" hidden="1" customHeight="1">
      <c r="A1578" s="9">
        <v>45574</v>
      </c>
      <c r="B1578" s="10"/>
      <c r="C1578" s="10"/>
      <c r="D1578" s="10" t="s">
        <v>4473</v>
      </c>
      <c r="E1578" s="10" t="s">
        <v>2830</v>
      </c>
      <c r="F1578" s="10" t="str">
        <f>IFERROR(VLOOKUP(VENTAS[[#This Row],[Código del producto Vendido]],STOCK[],5,FALSE),"-")</f>
        <v>Bolso tejido redondo de gran capacidad Ojo Turco</v>
      </c>
      <c r="G1578" s="10">
        <v>1</v>
      </c>
      <c r="H1578" s="12">
        <v>25</v>
      </c>
      <c r="I1578" s="12">
        <f>VENTAS[[#This Row],[Cantidad]]*VENTAS[[#This Row],[Precio Venta]]</f>
        <v>25</v>
      </c>
      <c r="J1578" s="12">
        <f>IF(VENTAS[[#This Row],[Nombre del Gestor]]&gt;1,VENTAS[[#This Row],[Total]]*10%,0)</f>
        <v>2.5</v>
      </c>
      <c r="K1578" s="12">
        <f>IFERROR(VLOOKUP(VENTAS[[#This Row],[Código del producto Vendido]],STOCK[],16,FALSE)*VENTAS[[#This Row],[Cantidad]]+VLOOKUP(VENTAS[[#This Row],[Código del producto Vendido]],STOCK[],19,FALSE)*VENTAS[[#This Row],[Cantidad]],VENTAS[[#This Row],[Total]])</f>
        <v>13.030000000000001</v>
      </c>
      <c r="L1578" s="12">
        <f>VENTAS[[#This Row],[Total]]-VENTAS[[#This Row],[Comisión 10%]]-VENTAS[[#This Row],[Costo SIN Comision]]</f>
        <v>9.4699999999999989</v>
      </c>
      <c r="M1578" s="12"/>
      <c r="N1578" s="16"/>
    </row>
    <row r="1579" spans="1:14" ht="20" hidden="1" customHeight="1">
      <c r="A1579" s="9"/>
      <c r="B1579" s="10"/>
      <c r="C1579" s="10"/>
      <c r="D1579" s="10"/>
      <c r="E1579" s="10"/>
      <c r="F1579" s="10" t="str">
        <f>IFERROR(VLOOKUP(VENTAS[[#This Row],[Código del producto Vendido]],STOCK[],5,FALSE),"-")</f>
        <v>-</v>
      </c>
      <c r="G1579" s="10"/>
      <c r="H1579" s="12"/>
      <c r="I1579" s="12">
        <f>VENTAS[[#This Row],[Cantidad]]*VENTAS[[#This Row],[Precio Venta]]</f>
        <v>0</v>
      </c>
      <c r="J1579" s="12">
        <f>IF(VENTAS[[#This Row],[Nombre del Gestor]]&gt;1,VENTAS[[#This Row],[Total]]*10%,0)</f>
        <v>0</v>
      </c>
      <c r="K1579" s="12">
        <f>IFERROR(VLOOKUP(VENTAS[[#This Row],[Código del producto Vendido]],STOCK[],16,FALSE)*VENTAS[[#This Row],[Cantidad]]+VLOOKUP(VENTAS[[#This Row],[Código del producto Vendido]],STOCK[],19,FALSE)*VENTAS[[#This Row],[Cantidad]],VENTAS[[#This Row],[Total]])</f>
        <v>0</v>
      </c>
      <c r="L1579" s="12">
        <f>VENTAS[[#This Row],[Total]]-VENTAS[[#This Row],[Comisión 10%]]-VENTAS[[#This Row],[Costo SIN Comision]]</f>
        <v>0</v>
      </c>
      <c r="M1579" s="12"/>
      <c r="N1579" s="16"/>
    </row>
    <row r="1580" spans="1:14" ht="20" hidden="1" customHeight="1">
      <c r="A1580" s="9">
        <v>45566</v>
      </c>
      <c r="B1580" s="10"/>
      <c r="C1580" s="10"/>
      <c r="D1580" s="10" t="s">
        <v>4381</v>
      </c>
      <c r="E1580" s="10" t="s">
        <v>2936</v>
      </c>
      <c r="F1580" s="10" t="str">
        <f>IFERROR(VLOOKUP(VENTAS[[#This Row],[Código del producto Vendido]],STOCK[],5,FALSE),"-")</f>
        <v>Sandalias cómodas para mujer con adorno de clip dorado</v>
      </c>
      <c r="G1580" s="10">
        <v>1</v>
      </c>
      <c r="H1580" s="12">
        <v>18</v>
      </c>
      <c r="I1580" s="12">
        <f>VENTAS[[#This Row],[Cantidad]]*VENTAS[[#This Row],[Precio Venta]]</f>
        <v>18</v>
      </c>
      <c r="J1580" s="12">
        <f>IF(VENTAS[[#This Row],[Nombre del Gestor]]&gt;1,VENTAS[[#This Row],[Total]]*10%,0)</f>
        <v>1.8</v>
      </c>
      <c r="K1580" s="12">
        <f>IFERROR(VLOOKUP(VENTAS[[#This Row],[Código del producto Vendido]],STOCK[],16,FALSE)*VENTAS[[#This Row],[Cantidad]]+VLOOKUP(VENTAS[[#This Row],[Código del producto Vendido]],STOCK[],19,FALSE)*VENTAS[[#This Row],[Cantidad]],VENTAS[[#This Row],[Total]])</f>
        <v>9.4599999999999991</v>
      </c>
      <c r="L1580" s="12">
        <f>VENTAS[[#This Row],[Total]]-VENTAS[[#This Row],[Comisión 10%]]-VENTAS[[#This Row],[Costo SIN Comision]]</f>
        <v>6.74</v>
      </c>
      <c r="M1580" s="12"/>
      <c r="N1580" s="16"/>
    </row>
    <row r="1581" spans="1:14" ht="20" hidden="1" customHeight="1">
      <c r="A1581" s="9">
        <v>45536</v>
      </c>
      <c r="B1581" s="10"/>
      <c r="C1581" s="10"/>
      <c r="D1581" s="10"/>
      <c r="E1581" s="10" t="s">
        <v>2958</v>
      </c>
      <c r="F1581" s="10" t="str">
        <f>IFERROR(VLOOKUP(VENTAS[[#This Row],[Código del producto Vendido]],STOCK[],5,FALSE),"-")</f>
        <v>Vestido elegante largo ajustado con hombro atado</v>
      </c>
      <c r="G1581" s="10">
        <v>1</v>
      </c>
      <c r="H1581" s="12">
        <v>25</v>
      </c>
      <c r="I1581" s="12">
        <f>VENTAS[[#This Row],[Cantidad]]*VENTAS[[#This Row],[Precio Venta]]</f>
        <v>25</v>
      </c>
      <c r="J1581" s="12">
        <f>IF(VENTAS[[#This Row],[Nombre del Gestor]]&gt;1,VENTAS[[#This Row],[Total]]*10%,0)</f>
        <v>0</v>
      </c>
      <c r="K1581" s="12">
        <f>IFERROR(VLOOKUP(VENTAS[[#This Row],[Código del producto Vendido]],STOCK[],16,FALSE)*VENTAS[[#This Row],[Cantidad]]+VLOOKUP(VENTAS[[#This Row],[Código del producto Vendido]],STOCK[],19,FALSE)*VENTAS[[#This Row],[Cantidad]],VENTAS[[#This Row],[Total]])</f>
        <v>15.13</v>
      </c>
      <c r="L1581" s="12">
        <f>VENTAS[[#This Row],[Total]]-VENTAS[[#This Row],[Comisión 10%]]-VENTAS[[#This Row],[Costo SIN Comision]]</f>
        <v>9.8699999999999992</v>
      </c>
      <c r="M1581" s="12"/>
      <c r="N1581" s="16"/>
    </row>
    <row r="1582" spans="1:14" ht="20" hidden="1" customHeight="1">
      <c r="A1582" s="9">
        <v>45567</v>
      </c>
      <c r="B1582" s="10"/>
      <c r="C1582" s="10"/>
      <c r="D1582" s="10" t="s">
        <v>4473</v>
      </c>
      <c r="E1582" s="10" t="s">
        <v>2990</v>
      </c>
      <c r="F1582" s="10" t="str">
        <f>IFERROR(VLOOKUP(VENTAS[[#This Row],[Código del producto Vendido]],STOCK[],5,FALSE),"-")</f>
        <v>Traje de baño casual con ajustes laterales</v>
      </c>
      <c r="G1582" s="10">
        <v>1</v>
      </c>
      <c r="H1582" s="12">
        <v>20</v>
      </c>
      <c r="I1582" s="12">
        <f>VENTAS[[#This Row],[Cantidad]]*VENTAS[[#This Row],[Precio Venta]]</f>
        <v>20</v>
      </c>
      <c r="J1582" s="12">
        <f>IF(VENTAS[[#This Row],[Nombre del Gestor]]&gt;1,VENTAS[[#This Row],[Total]]*10%,0)</f>
        <v>2</v>
      </c>
      <c r="K1582" s="12">
        <f>IFERROR(VLOOKUP(VENTAS[[#This Row],[Código del producto Vendido]],STOCK[],16,FALSE)*VENTAS[[#This Row],[Cantidad]]+VLOOKUP(VENTAS[[#This Row],[Código del producto Vendido]],STOCK[],19,FALSE)*VENTAS[[#This Row],[Cantidad]],VENTAS[[#This Row],[Total]])</f>
        <v>10.620000000000001</v>
      </c>
      <c r="L1582" s="12">
        <f>VENTAS[[#This Row],[Total]]-VENTAS[[#This Row],[Comisión 10%]]-VENTAS[[#This Row],[Costo SIN Comision]]</f>
        <v>7.379999999999999</v>
      </c>
      <c r="M1582" s="12"/>
      <c r="N1582" s="16"/>
    </row>
    <row r="1583" spans="1:14" ht="20" hidden="1" customHeight="1">
      <c r="A1583" s="9">
        <v>45575</v>
      </c>
      <c r="B1583" s="10"/>
      <c r="C1583" s="10"/>
      <c r="D1583" s="10" t="s">
        <v>4380</v>
      </c>
      <c r="E1583" s="10" t="s">
        <v>2994</v>
      </c>
      <c r="F1583" s="45" t="str">
        <f>IFERROR(VLOOKUP(VENTAS[[#This Row],[Código del producto Vendido]],STOCK[],5,FALSE),"-")</f>
        <v>Camiseta de moda con estampado de cereza</v>
      </c>
      <c r="G1583" s="10"/>
      <c r="H1583" s="12">
        <v>15</v>
      </c>
      <c r="I1583" s="12">
        <f>VENTAS[[#This Row],[Cantidad]]*VENTAS[[#This Row],[Precio Venta]]</f>
        <v>0</v>
      </c>
      <c r="J1583" s="12">
        <f>IF(VENTAS[[#This Row],[Nombre del Gestor]]&gt;1,VENTAS[[#This Row],[Total]]*10%,0)</f>
        <v>0</v>
      </c>
      <c r="K1583" s="12">
        <f>IFERROR(VLOOKUP(VENTAS[[#This Row],[Código del producto Vendido]],STOCK[],16,FALSE)*VENTAS[[#This Row],[Cantidad]]+VLOOKUP(VENTAS[[#This Row],[Código del producto Vendido]],STOCK[],19,FALSE)*VENTAS[[#This Row],[Cantidad]],VENTAS[[#This Row],[Total]])</f>
        <v>0</v>
      </c>
      <c r="L1583" s="12">
        <f>VENTAS[[#This Row],[Total]]-VENTAS[[#This Row],[Comisión 10%]]-VENTAS[[#This Row],[Costo SIN Comision]]</f>
        <v>0</v>
      </c>
      <c r="M1583" s="12"/>
      <c r="N1583" s="16"/>
    </row>
    <row r="1584" spans="1:14" ht="20" hidden="1" customHeight="1">
      <c r="A1584" s="9">
        <v>45566</v>
      </c>
      <c r="B1584" s="10"/>
      <c r="C1584" s="10"/>
      <c r="D1584" s="10" t="s">
        <v>4484</v>
      </c>
      <c r="E1584" s="10" t="s">
        <v>2998</v>
      </c>
      <c r="F1584" s="10" t="str">
        <f>IFERROR(VLOOKUP(VENTAS[[#This Row],[Código del producto Vendido]],STOCK[],5,FALSE),"-")</f>
        <v>Camiseta de moda con estampado de cereza</v>
      </c>
      <c r="G1584" s="10"/>
      <c r="H1584" s="12">
        <v>15</v>
      </c>
      <c r="I1584" s="12">
        <f>VENTAS[[#This Row],[Cantidad]]*VENTAS[[#This Row],[Precio Venta]]</f>
        <v>0</v>
      </c>
      <c r="J1584" s="12">
        <f>IF(VENTAS[[#This Row],[Nombre del Gestor]]&gt;1,VENTAS[[#This Row],[Total]]*10%,0)</f>
        <v>0</v>
      </c>
      <c r="K1584" s="12">
        <f>IFERROR(VLOOKUP(VENTAS[[#This Row],[Código del producto Vendido]],STOCK[],16,FALSE)*VENTAS[[#This Row],[Cantidad]]+VLOOKUP(VENTAS[[#This Row],[Código del producto Vendido]],STOCK[],19,FALSE)*VENTAS[[#This Row],[Cantidad]],VENTAS[[#This Row],[Total]])</f>
        <v>0</v>
      </c>
      <c r="L1584" s="12">
        <f>VENTAS[[#This Row],[Total]]-VENTAS[[#This Row],[Comisión 10%]]-VENTAS[[#This Row],[Costo SIN Comision]]</f>
        <v>0</v>
      </c>
      <c r="M1584" s="12"/>
      <c r="N1584" s="16"/>
    </row>
    <row r="1585" spans="1:14" ht="20" hidden="1" customHeight="1">
      <c r="A1585" s="9">
        <v>45566</v>
      </c>
      <c r="B1585" s="10"/>
      <c r="C1585" s="10"/>
      <c r="D1585" s="10" t="s">
        <v>4535</v>
      </c>
      <c r="E1585" s="10" t="s">
        <v>2977</v>
      </c>
      <c r="F1585" s="10" t="str">
        <f>IFERROR(VLOOKUP(VENTAS[[#This Row],[Código del producto Vendido]],STOCK[],5,FALSE),"-")</f>
        <v>Bolsa casual con diseño de gato y mariposa de tamaño mediano</v>
      </c>
      <c r="G1585" s="10">
        <v>1</v>
      </c>
      <c r="H1585" s="12">
        <v>12</v>
      </c>
      <c r="I1585" s="12">
        <f>VENTAS[[#This Row],[Cantidad]]*VENTAS[[#This Row],[Precio Venta]]</f>
        <v>12</v>
      </c>
      <c r="J1585" s="12">
        <f>IF(VENTAS[[#This Row],[Nombre del Gestor]]&gt;1,VENTAS[[#This Row],[Total]]*10%,0)</f>
        <v>1.2000000000000002</v>
      </c>
      <c r="K1585" s="12">
        <f>IFERROR(VLOOKUP(VENTAS[[#This Row],[Código del producto Vendido]],STOCK[],16,FALSE)*VENTAS[[#This Row],[Cantidad]]+VLOOKUP(VENTAS[[#This Row],[Código del producto Vendido]],STOCK[],19,FALSE)*VENTAS[[#This Row],[Cantidad]],VENTAS[[#This Row],[Total]])</f>
        <v>4.6400000000000006</v>
      </c>
      <c r="L1585" s="12">
        <f>VENTAS[[#This Row],[Total]]-VENTAS[[#This Row],[Comisión 10%]]-VENTAS[[#This Row],[Costo SIN Comision]]</f>
        <v>6.16</v>
      </c>
      <c r="M1585" s="12"/>
      <c r="N1585" s="16"/>
    </row>
    <row r="1586" spans="1:14" ht="20" hidden="1" customHeight="1">
      <c r="A1586" s="9">
        <v>45536</v>
      </c>
      <c r="B1586" s="10"/>
      <c r="C1586" s="10"/>
      <c r="D1586" s="10"/>
      <c r="E1586" s="10" t="s">
        <v>2976</v>
      </c>
      <c r="F1586" s="10" t="str">
        <f>IFERROR(VLOOKUP(VENTAS[[#This Row],[Código del producto Vendido]],STOCK[],5,FALSE),"-")</f>
        <v>Vestido de un hombro con abertura trasera color azul celeste</v>
      </c>
      <c r="G1586" s="10">
        <v>1</v>
      </c>
      <c r="H1586" s="12">
        <v>25</v>
      </c>
      <c r="I1586" s="12">
        <f>VENTAS[[#This Row],[Cantidad]]*VENTAS[[#This Row],[Precio Venta]]</f>
        <v>25</v>
      </c>
      <c r="J1586" s="12">
        <f>IF(VENTAS[[#This Row],[Nombre del Gestor]]&gt;1,VENTAS[[#This Row],[Total]]*10%,0)</f>
        <v>0</v>
      </c>
      <c r="K1586" s="12">
        <f>IFERROR(VLOOKUP(VENTAS[[#This Row],[Código del producto Vendido]],STOCK[],16,FALSE)*VENTAS[[#This Row],[Cantidad]]+VLOOKUP(VENTAS[[#This Row],[Código del producto Vendido]],STOCK[],19,FALSE)*VENTAS[[#This Row],[Cantidad]],VENTAS[[#This Row],[Total]])</f>
        <v>12.32</v>
      </c>
      <c r="L1586" s="12">
        <f>VENTAS[[#This Row],[Total]]-VENTAS[[#This Row],[Comisión 10%]]-VENTAS[[#This Row],[Costo SIN Comision]]</f>
        <v>12.68</v>
      </c>
      <c r="M1586" s="12"/>
      <c r="N1586" s="16"/>
    </row>
    <row r="1587" spans="1:14" ht="20" hidden="1" customHeight="1">
      <c r="A1587" s="9"/>
      <c r="B1587" s="10"/>
      <c r="C1587" s="10"/>
      <c r="D1587" s="10"/>
      <c r="E1587" s="10" t="s">
        <v>2972</v>
      </c>
      <c r="F1587" s="10" t="str">
        <f>IFERROR(VLOOKUP(VENTAS[[#This Row],[Código del producto Vendido]],STOCK[],5,FALSE),"-")</f>
        <v>Vestido camisola negro con abertura</v>
      </c>
      <c r="G1587" s="10">
        <v>1</v>
      </c>
      <c r="H1587" s="12">
        <v>20</v>
      </c>
      <c r="I1587" s="12">
        <f>VENTAS[[#This Row],[Cantidad]]*VENTAS[[#This Row],[Precio Venta]]</f>
        <v>20</v>
      </c>
      <c r="J1587" s="12">
        <f>IF(VENTAS[[#This Row],[Nombre del Gestor]]&gt;1,VENTAS[[#This Row],[Total]]*10%,0)</f>
        <v>0</v>
      </c>
      <c r="K1587" s="12">
        <f>IFERROR(VLOOKUP(VENTAS[[#This Row],[Código del producto Vendido]],STOCK[],16,FALSE)*VENTAS[[#This Row],[Cantidad]]+VLOOKUP(VENTAS[[#This Row],[Código del producto Vendido]],STOCK[],19,FALSE)*VENTAS[[#This Row],[Cantidad]],VENTAS[[#This Row],[Total]])</f>
        <v>7.6300000000000008</v>
      </c>
      <c r="L1587" s="12">
        <f>VENTAS[[#This Row],[Total]]-VENTAS[[#This Row],[Comisión 10%]]-VENTAS[[#This Row],[Costo SIN Comision]]</f>
        <v>12.37</v>
      </c>
      <c r="M1587" s="12"/>
      <c r="N1587" s="16"/>
    </row>
    <row r="1588" spans="1:14" ht="20" hidden="1" customHeight="1">
      <c r="A1588" s="9"/>
      <c r="B1588" s="10"/>
      <c r="C1588" s="10"/>
      <c r="D1588" s="10"/>
      <c r="E1588" s="10" t="s">
        <v>2972</v>
      </c>
      <c r="F1588" s="10" t="str">
        <f>IFERROR(VLOOKUP(VENTAS[[#This Row],[Código del producto Vendido]],STOCK[],5,FALSE),"-")</f>
        <v>Vestido camisola negro con abertura</v>
      </c>
      <c r="G1588" s="10">
        <v>1</v>
      </c>
      <c r="H1588" s="12">
        <v>20</v>
      </c>
      <c r="I1588" s="12">
        <f>VENTAS[[#This Row],[Cantidad]]*VENTAS[[#This Row],[Precio Venta]]</f>
        <v>20</v>
      </c>
      <c r="J1588" s="12">
        <f>IF(VENTAS[[#This Row],[Nombre del Gestor]]&gt;1,VENTAS[[#This Row],[Total]]*10%,0)</f>
        <v>0</v>
      </c>
      <c r="K1588" s="12">
        <f>IFERROR(VLOOKUP(VENTAS[[#This Row],[Código del producto Vendido]],STOCK[],16,FALSE)*VENTAS[[#This Row],[Cantidad]]+VLOOKUP(VENTAS[[#This Row],[Código del producto Vendido]],STOCK[],19,FALSE)*VENTAS[[#This Row],[Cantidad]],VENTAS[[#This Row],[Total]])</f>
        <v>7.6300000000000008</v>
      </c>
      <c r="L1588" s="12">
        <f>VENTAS[[#This Row],[Total]]-VENTAS[[#This Row],[Comisión 10%]]-VENTAS[[#This Row],[Costo SIN Comision]]</f>
        <v>12.37</v>
      </c>
      <c r="M1588" s="12"/>
      <c r="N1588" s="16"/>
    </row>
    <row r="1589" spans="1:14" ht="20" hidden="1" customHeight="1">
      <c r="A1589" s="9"/>
      <c r="B1589" s="10"/>
      <c r="C1589" s="10"/>
      <c r="D1589" s="10"/>
      <c r="E1589" s="10" t="s">
        <v>2969</v>
      </c>
      <c r="F1589" s="10" t="str">
        <f>IFERROR(VLOOKUP(VENTAS[[#This Row],[Código del producto Vendido]],STOCK[],5,FALSE),"-")</f>
        <v>Vestido camisola negro con abertura</v>
      </c>
      <c r="G1589" s="10">
        <v>1</v>
      </c>
      <c r="H1589" s="12">
        <v>20</v>
      </c>
      <c r="I1589" s="12">
        <f>VENTAS[[#This Row],[Cantidad]]*VENTAS[[#This Row],[Precio Venta]]</f>
        <v>20</v>
      </c>
      <c r="J1589" s="12">
        <f>IF(VENTAS[[#This Row],[Nombre del Gestor]]&gt;1,VENTAS[[#This Row],[Total]]*10%,0)</f>
        <v>0</v>
      </c>
      <c r="K1589" s="12">
        <f>IFERROR(VLOOKUP(VENTAS[[#This Row],[Código del producto Vendido]],STOCK[],16,FALSE)*VENTAS[[#This Row],[Cantidad]]+VLOOKUP(VENTAS[[#This Row],[Código del producto Vendido]],STOCK[],19,FALSE)*VENTAS[[#This Row],[Cantidad]],VENTAS[[#This Row],[Total]])</f>
        <v>7.6300000000000008</v>
      </c>
      <c r="L1589" s="12">
        <f>VENTAS[[#This Row],[Total]]-VENTAS[[#This Row],[Comisión 10%]]-VENTAS[[#This Row],[Costo SIN Comision]]</f>
        <v>12.37</v>
      </c>
      <c r="M1589" s="12"/>
      <c r="N1589" s="16"/>
    </row>
    <row r="1590" spans="1:14" ht="20" hidden="1" customHeight="1">
      <c r="A1590" s="9"/>
      <c r="B1590" s="10"/>
      <c r="C1590" s="10"/>
      <c r="D1590" s="10"/>
      <c r="E1590" s="10" t="s">
        <v>2938</v>
      </c>
      <c r="F1590" s="10" t="str">
        <f>IFERROR(VLOOKUP(VENTAS[[#This Row],[Código del producto Vendido]],STOCK[],5,FALSE),"-")</f>
        <v>Sandalias cómodas para mujer con adorno de clip dorado</v>
      </c>
      <c r="G1590" s="10">
        <v>1</v>
      </c>
      <c r="H1590" s="12">
        <v>18</v>
      </c>
      <c r="I1590" s="12">
        <f>VENTAS[[#This Row],[Cantidad]]*VENTAS[[#This Row],[Precio Venta]]</f>
        <v>18</v>
      </c>
      <c r="J1590" s="12">
        <f>IF(VENTAS[[#This Row],[Nombre del Gestor]]&gt;1,VENTAS[[#This Row],[Total]]*10%,0)</f>
        <v>0</v>
      </c>
      <c r="K1590" s="12">
        <f>IFERROR(VLOOKUP(VENTAS[[#This Row],[Código del producto Vendido]],STOCK[],16,FALSE)*VENTAS[[#This Row],[Cantidad]]+VLOOKUP(VENTAS[[#This Row],[Código del producto Vendido]],STOCK[],19,FALSE)*VENTAS[[#This Row],[Cantidad]],VENTAS[[#This Row],[Total]])</f>
        <v>9.4599999999999991</v>
      </c>
      <c r="L1590" s="12">
        <f>VENTAS[[#This Row],[Total]]-VENTAS[[#This Row],[Comisión 10%]]-VENTAS[[#This Row],[Costo SIN Comision]]</f>
        <v>8.5400000000000009</v>
      </c>
      <c r="M1590" s="12"/>
      <c r="N1590" s="16"/>
    </row>
    <row r="1591" spans="1:14" ht="20" hidden="1" customHeight="1">
      <c r="A1591" s="9">
        <v>45567</v>
      </c>
      <c r="B1591" s="10"/>
      <c r="C1591" s="10"/>
      <c r="D1591" s="10" t="s">
        <v>4473</v>
      </c>
      <c r="E1591" s="10" t="s">
        <v>2962</v>
      </c>
      <c r="F1591" s="10" t="str">
        <f>IFERROR(VLOOKUP(VENTAS[[#This Row],[Código del producto Vendido]],STOCK[],5,FALSE),"-")</f>
        <v>Vestido largo Sexy y elegante de espalda corrida en degradado de color</v>
      </c>
      <c r="G1591" s="10">
        <v>1</v>
      </c>
      <c r="H1591" s="12">
        <v>25</v>
      </c>
      <c r="I1591" s="12">
        <f>VENTAS[[#This Row],[Cantidad]]*VENTAS[[#This Row],[Precio Venta]]</f>
        <v>25</v>
      </c>
      <c r="J1591" s="12">
        <f>IF(VENTAS[[#This Row],[Nombre del Gestor]]&gt;1,VENTAS[[#This Row],[Total]]*10%,0)</f>
        <v>2.5</v>
      </c>
      <c r="K1591" s="12">
        <f>IFERROR(VLOOKUP(VENTAS[[#This Row],[Código del producto Vendido]],STOCK[],16,FALSE)*VENTAS[[#This Row],[Cantidad]]+VLOOKUP(VENTAS[[#This Row],[Código del producto Vendido]],STOCK[],19,FALSE)*VENTAS[[#This Row],[Cantidad]],VENTAS[[#This Row],[Total]])</f>
        <v>13.63</v>
      </c>
      <c r="L1591" s="12">
        <f>VENTAS[[#This Row],[Total]]-VENTAS[[#This Row],[Comisión 10%]]-VENTAS[[#This Row],[Costo SIN Comision]]</f>
        <v>8.8699999999999992</v>
      </c>
      <c r="M1591" s="12"/>
      <c r="N1591" s="16"/>
    </row>
    <row r="1592" spans="1:14" ht="20" hidden="1" customHeight="1">
      <c r="A1592" s="9">
        <v>45575</v>
      </c>
      <c r="B1592" s="10"/>
      <c r="C1592" s="10"/>
      <c r="D1592" s="10" t="s">
        <v>4184</v>
      </c>
      <c r="E1592" s="10" t="s">
        <v>602</v>
      </c>
      <c r="F1592" s="10" t="str">
        <f>IFERROR(VLOOKUP(VENTAS[[#This Row],[Código del producto Vendido]],STOCK[],5,FALSE),"-")</f>
        <v>Vestido floral de mangas farol</v>
      </c>
      <c r="G1592" s="10">
        <v>1</v>
      </c>
      <c r="H1592" s="12">
        <v>18</v>
      </c>
      <c r="I1592" s="12">
        <f>VENTAS[[#This Row],[Cantidad]]*VENTAS[[#This Row],[Precio Venta]]</f>
        <v>18</v>
      </c>
      <c r="J1592" s="12">
        <f>IF(VENTAS[[#This Row],[Nombre del Gestor]]&gt;1,VENTAS[[#This Row],[Total]]*10%,0)</f>
        <v>1.8</v>
      </c>
      <c r="K1592" s="12">
        <f>IFERROR(VLOOKUP(VENTAS[[#This Row],[Código del producto Vendido]],STOCK[],16,FALSE)*VENTAS[[#This Row],[Cantidad]]+VLOOKUP(VENTAS[[#This Row],[Código del producto Vendido]],STOCK[],19,FALSE)*VENTAS[[#This Row],[Cantidad]],VENTAS[[#This Row],[Total]])</f>
        <v>10.72222222222222</v>
      </c>
      <c r="L1592" s="12">
        <f>VENTAS[[#This Row],[Total]]-VENTAS[[#This Row],[Comisión 10%]]-VENTAS[[#This Row],[Costo SIN Comision]]</f>
        <v>5.4777777777777796</v>
      </c>
      <c r="M1592" s="12"/>
      <c r="N1592" s="16"/>
    </row>
    <row r="1593" spans="1:14" ht="20" hidden="1" customHeight="1">
      <c r="A1593" s="9">
        <v>45575</v>
      </c>
      <c r="B1593" s="10"/>
      <c r="C1593" s="10"/>
      <c r="D1593" s="10" t="s">
        <v>4184</v>
      </c>
      <c r="E1593" s="10" t="s">
        <v>2897</v>
      </c>
      <c r="F1593" s="10" t="str">
        <f>IFERROR(VLOOKUP(VENTAS[[#This Row],[Código del producto Vendido]],STOCK[],5,FALSE),"-")</f>
        <v>Sujetador de gran confort antideslizante sin tirantes color negro</v>
      </c>
      <c r="G1593" s="10">
        <v>1</v>
      </c>
      <c r="H1593" s="12">
        <v>15</v>
      </c>
      <c r="I1593" s="12">
        <f>VENTAS[[#This Row],[Cantidad]]*VENTAS[[#This Row],[Precio Venta]]</f>
        <v>15</v>
      </c>
      <c r="J1593" s="12">
        <f>IF(VENTAS[[#This Row],[Nombre del Gestor]]&gt;1,VENTAS[[#This Row],[Total]]*10%,0)</f>
        <v>1.5</v>
      </c>
      <c r="K1593" s="12">
        <f>IFERROR(VLOOKUP(VENTAS[[#This Row],[Código del producto Vendido]],STOCK[],16,FALSE)*VENTAS[[#This Row],[Cantidad]]+VLOOKUP(VENTAS[[#This Row],[Código del producto Vendido]],STOCK[],19,FALSE)*VENTAS[[#This Row],[Cantidad]],VENTAS[[#This Row],[Total]])</f>
        <v>6.3800000000000008</v>
      </c>
      <c r="L1593" s="12">
        <f>VENTAS[[#This Row],[Total]]-VENTAS[[#This Row],[Comisión 10%]]-VENTAS[[#This Row],[Costo SIN Comision]]</f>
        <v>7.1199999999999992</v>
      </c>
      <c r="M1593" s="12"/>
      <c r="N1593" s="16"/>
    </row>
    <row r="1594" spans="1:14" ht="20" hidden="1" customHeight="1">
      <c r="A1594" s="9">
        <v>45574</v>
      </c>
      <c r="B1594" s="10"/>
      <c r="C1594" s="10"/>
      <c r="D1594" s="10" t="s">
        <v>4324</v>
      </c>
      <c r="E1594" s="10" t="s">
        <v>2902</v>
      </c>
      <c r="F1594" s="10" t="str">
        <f>IFERROR(VLOOKUP(VENTAS[[#This Row],[Código del producto Vendido]],STOCK[],5,FALSE),"-")</f>
        <v>Sujetador de gran confort antideslizante sin tirantes color negro</v>
      </c>
      <c r="G1594" s="10">
        <v>1</v>
      </c>
      <c r="H1594" s="12">
        <v>15</v>
      </c>
      <c r="I1594" s="12">
        <f>VENTAS[[#This Row],[Cantidad]]*VENTAS[[#This Row],[Precio Venta]]</f>
        <v>15</v>
      </c>
      <c r="J1594" s="12">
        <f>IF(VENTAS[[#This Row],[Nombre del Gestor]]&gt;1,VENTAS[[#This Row],[Total]]*10%,0)</f>
        <v>1.5</v>
      </c>
      <c r="K1594" s="12">
        <f>IFERROR(VLOOKUP(VENTAS[[#This Row],[Código del producto Vendido]],STOCK[],16,FALSE)*VENTAS[[#This Row],[Cantidad]]+VLOOKUP(VENTAS[[#This Row],[Código del producto Vendido]],STOCK[],19,FALSE)*VENTAS[[#This Row],[Cantidad]],VENTAS[[#This Row],[Total]])</f>
        <v>6.3800000000000008</v>
      </c>
      <c r="L1594" s="12">
        <f>VENTAS[[#This Row],[Total]]-VENTAS[[#This Row],[Comisión 10%]]-VENTAS[[#This Row],[Costo SIN Comision]]</f>
        <v>7.1199999999999992</v>
      </c>
      <c r="M1594" s="12"/>
      <c r="N1594" s="16"/>
    </row>
    <row r="1595" spans="1:14" ht="20" hidden="1" customHeight="1">
      <c r="A1595" s="9">
        <v>45574</v>
      </c>
      <c r="B1595" s="10"/>
      <c r="C1595" s="10"/>
      <c r="D1595" s="10" t="s">
        <v>4324</v>
      </c>
      <c r="E1595" s="10" t="s">
        <v>2907</v>
      </c>
      <c r="F1595" s="10" t="str">
        <f>IFERROR(VLOOKUP(VENTAS[[#This Row],[Código del producto Vendido]],STOCK[],5,FALSE),"-")</f>
        <v>Sujetador de gran confort antideslizante sin tirantes color crema</v>
      </c>
      <c r="G1595" s="10">
        <v>1</v>
      </c>
      <c r="H1595" s="12">
        <v>15</v>
      </c>
      <c r="I1595" s="12">
        <f>VENTAS[[#This Row],[Cantidad]]*VENTAS[[#This Row],[Precio Venta]]</f>
        <v>15</v>
      </c>
      <c r="J1595" s="12">
        <f>IF(VENTAS[[#This Row],[Nombre del Gestor]]&gt;1,VENTAS[[#This Row],[Total]]*10%,0)</f>
        <v>1.5</v>
      </c>
      <c r="K1595" s="12">
        <f>IFERROR(VLOOKUP(VENTAS[[#This Row],[Código del producto Vendido]],STOCK[],16,FALSE)*VENTAS[[#This Row],[Cantidad]]+VLOOKUP(VENTAS[[#This Row],[Código del producto Vendido]],STOCK[],19,FALSE)*VENTAS[[#This Row],[Cantidad]],VENTAS[[#This Row],[Total]])</f>
        <v>8.15</v>
      </c>
      <c r="L1595" s="12">
        <f>VENTAS[[#This Row],[Total]]-VENTAS[[#This Row],[Comisión 10%]]-VENTAS[[#This Row],[Costo SIN Comision]]</f>
        <v>5.35</v>
      </c>
      <c r="M1595" s="12"/>
      <c r="N1595" s="16"/>
    </row>
    <row r="1596" spans="1:14" ht="20" hidden="1" customHeight="1">
      <c r="A1596" s="9">
        <v>45575</v>
      </c>
      <c r="B1596" s="10"/>
      <c r="C1596" s="10"/>
      <c r="D1596" s="10" t="s">
        <v>4378</v>
      </c>
      <c r="E1596" s="10" t="s">
        <v>2830</v>
      </c>
      <c r="F1596" s="10" t="str">
        <f>IFERROR(VLOOKUP(VENTAS[[#This Row],[Código del producto Vendido]],STOCK[],5,FALSE),"-")</f>
        <v>Bolso tejido redondo de gran capacidad Ojo Turco</v>
      </c>
      <c r="G1596" s="10">
        <v>1</v>
      </c>
      <c r="H1596" s="12">
        <v>25</v>
      </c>
      <c r="I1596" s="12">
        <f>VENTAS[[#This Row],[Cantidad]]*VENTAS[[#This Row],[Precio Venta]]</f>
        <v>25</v>
      </c>
      <c r="J1596" s="12">
        <f>IF(VENTAS[[#This Row],[Nombre del Gestor]]&gt;1,VENTAS[[#This Row],[Total]]*10%,0)</f>
        <v>2.5</v>
      </c>
      <c r="K1596" s="12">
        <f>IFERROR(VLOOKUP(VENTAS[[#This Row],[Código del producto Vendido]],STOCK[],16,FALSE)*VENTAS[[#This Row],[Cantidad]]+VLOOKUP(VENTAS[[#This Row],[Código del producto Vendido]],STOCK[],19,FALSE)*VENTAS[[#This Row],[Cantidad]],VENTAS[[#This Row],[Total]])</f>
        <v>13.030000000000001</v>
      </c>
      <c r="L1596" s="12">
        <f>VENTAS[[#This Row],[Total]]-VENTAS[[#This Row],[Comisión 10%]]-VENTAS[[#This Row],[Costo SIN Comision]]</f>
        <v>9.4699999999999989</v>
      </c>
      <c r="M1596" s="12"/>
      <c r="N1596" s="16"/>
    </row>
    <row r="1597" spans="1:14" ht="20" hidden="1" customHeight="1">
      <c r="A1597" s="9">
        <v>45574</v>
      </c>
      <c r="B1597" s="10"/>
      <c r="C1597" s="10"/>
      <c r="D1597" s="10" t="s">
        <v>4380</v>
      </c>
      <c r="E1597" s="10" t="s">
        <v>2941</v>
      </c>
      <c r="F1597" s="45" t="str">
        <f>IFERROR(VLOOKUP(VENTAS[[#This Row],[Código del producto Vendido]],STOCK[],5,FALSE),"-")</f>
        <v>Vestido maxi sólido con espalda ajustable</v>
      </c>
      <c r="G1597" s="10"/>
      <c r="H1597" s="12">
        <v>25</v>
      </c>
      <c r="I1597" s="12">
        <f>VENTAS[[#This Row],[Cantidad]]*VENTAS[[#This Row],[Precio Venta]]</f>
        <v>0</v>
      </c>
      <c r="J1597" s="12">
        <f>IF(VENTAS[[#This Row],[Nombre del Gestor]]&gt;1,VENTAS[[#This Row],[Total]]*10%,0)</f>
        <v>0</v>
      </c>
      <c r="K1597" s="12">
        <f>IFERROR(VLOOKUP(VENTAS[[#This Row],[Código del producto Vendido]],STOCK[],16,FALSE)*VENTAS[[#This Row],[Cantidad]]+VLOOKUP(VENTAS[[#This Row],[Código del producto Vendido]],STOCK[],19,FALSE)*VENTAS[[#This Row],[Cantidad]],VENTAS[[#This Row],[Total]])</f>
        <v>0</v>
      </c>
      <c r="L1597" s="12">
        <f>VENTAS[[#This Row],[Total]]-VENTAS[[#This Row],[Comisión 10%]]-VENTAS[[#This Row],[Costo SIN Comision]]</f>
        <v>0</v>
      </c>
      <c r="M1597" s="12"/>
      <c r="N1597" s="16"/>
    </row>
    <row r="1598" spans="1:14" ht="20" hidden="1" customHeight="1">
      <c r="A1598" s="9">
        <v>45572</v>
      </c>
      <c r="B1598" s="10"/>
      <c r="C1598" s="10" t="s">
        <v>4490</v>
      </c>
      <c r="D1598" s="10" t="s">
        <v>4374</v>
      </c>
      <c r="E1598" s="10" t="s">
        <v>2849</v>
      </c>
      <c r="F1598" s="10" t="str">
        <f>IFERROR(VLOOKUP(VENTAS[[#This Row],[Código del producto Vendido]],STOCK[],5,FALSE),"-")</f>
        <v>Pantalones largros rayados de moda de gran comodidad</v>
      </c>
      <c r="G1598" s="10">
        <v>1</v>
      </c>
      <c r="H1598" s="12">
        <v>22</v>
      </c>
      <c r="I1598" s="12">
        <f>VENTAS[[#This Row],[Cantidad]]*VENTAS[[#This Row],[Precio Venta]]</f>
        <v>22</v>
      </c>
      <c r="J1598" s="12">
        <f>IF(VENTAS[[#This Row],[Nombre del Gestor]]&gt;1,VENTAS[[#This Row],[Total]]*10%,0)</f>
        <v>2.2000000000000002</v>
      </c>
      <c r="K1598" s="12">
        <f>IFERROR(VLOOKUP(VENTAS[[#This Row],[Código del producto Vendido]],STOCK[],16,FALSE)*VENTAS[[#This Row],[Cantidad]]+VLOOKUP(VENTAS[[#This Row],[Código del producto Vendido]],STOCK[],19,FALSE)*VENTAS[[#This Row],[Cantidad]],VENTAS[[#This Row],[Total]])</f>
        <v>10.52</v>
      </c>
      <c r="L1598" s="12">
        <f>VENTAS[[#This Row],[Total]]-VENTAS[[#This Row],[Comisión 10%]]-VENTAS[[#This Row],[Costo SIN Comision]]</f>
        <v>9.2800000000000011</v>
      </c>
      <c r="M1598" s="12"/>
      <c r="N1598" s="16"/>
    </row>
    <row r="1599" spans="1:14" ht="20" hidden="1" customHeight="1">
      <c r="A1599" s="9">
        <v>45572</v>
      </c>
      <c r="B1599" s="10"/>
      <c r="C1599" s="10" t="s">
        <v>4490</v>
      </c>
      <c r="D1599" s="10" t="s">
        <v>4374</v>
      </c>
      <c r="E1599" s="10" t="s">
        <v>2433</v>
      </c>
      <c r="F1599" s="10" t="str">
        <f>IFERROR(VLOOKUP(VENTAS[[#This Row],[Código del producto Vendido]],STOCK[],5,FALSE),"-")</f>
        <v>Pantalón ancho con cordón ajustable</v>
      </c>
      <c r="G1599" s="10">
        <v>1</v>
      </c>
      <c r="H1599" s="12">
        <v>23</v>
      </c>
      <c r="I1599" s="12">
        <f>VENTAS[[#This Row],[Cantidad]]*VENTAS[[#This Row],[Precio Venta]]</f>
        <v>23</v>
      </c>
      <c r="J1599" s="12">
        <f>IF(VENTAS[[#This Row],[Nombre del Gestor]]&gt;1,VENTAS[[#This Row],[Total]]*10%,0)</f>
        <v>2.3000000000000003</v>
      </c>
      <c r="K1599" s="12">
        <f>IFERROR(VLOOKUP(VENTAS[[#This Row],[Código del producto Vendido]],STOCK[],16,FALSE)*VENTAS[[#This Row],[Cantidad]]+VLOOKUP(VENTAS[[#This Row],[Código del producto Vendido]],STOCK[],19,FALSE)*VENTAS[[#This Row],[Cantidad]],VENTAS[[#This Row],[Total]])</f>
        <v>11.43533490011751</v>
      </c>
      <c r="L1599" s="12">
        <f>VENTAS[[#This Row],[Total]]-VENTAS[[#This Row],[Comisión 10%]]-VENTAS[[#This Row],[Costo SIN Comision]]</f>
        <v>9.2646650998824889</v>
      </c>
      <c r="M1599" s="12"/>
      <c r="N1599" s="16"/>
    </row>
    <row r="1600" spans="1:14" ht="20" hidden="1" customHeight="1">
      <c r="A1600" s="9"/>
      <c r="B1600" s="10"/>
      <c r="C1600" s="10"/>
      <c r="D1600" s="10"/>
      <c r="E1600" s="10" t="s">
        <v>2996</v>
      </c>
      <c r="F1600" s="10" t="str">
        <f>IFERROR(VLOOKUP(VENTAS[[#This Row],[Código del producto Vendido]],STOCK[],5,FALSE),"-")</f>
        <v>Camiseta de moda con estampado de cereza</v>
      </c>
      <c r="G1600" s="10">
        <v>1</v>
      </c>
      <c r="H1600" s="12">
        <v>15</v>
      </c>
      <c r="I1600" s="12">
        <f>VENTAS[[#This Row],[Cantidad]]*VENTAS[[#This Row],[Precio Venta]]</f>
        <v>15</v>
      </c>
      <c r="J1600" s="12">
        <f>IF(VENTAS[[#This Row],[Nombre del Gestor]]&gt;1,VENTAS[[#This Row],[Total]]*10%,0)</f>
        <v>0</v>
      </c>
      <c r="K1600" s="12">
        <f>IFERROR(VLOOKUP(VENTAS[[#This Row],[Código del producto Vendido]],STOCK[],16,FALSE)*VENTAS[[#This Row],[Cantidad]]+VLOOKUP(VENTAS[[#This Row],[Código del producto Vendido]],STOCK[],19,FALSE)*VENTAS[[#This Row],[Cantidad]],VENTAS[[#This Row],[Total]])</f>
        <v>5.92</v>
      </c>
      <c r="L1600" s="12">
        <f>VENTAS[[#This Row],[Total]]-VENTAS[[#This Row],[Comisión 10%]]-VENTAS[[#This Row],[Costo SIN Comision]]</f>
        <v>9.08</v>
      </c>
      <c r="M1600" s="12"/>
      <c r="N1600" s="16"/>
    </row>
    <row r="1601" spans="1:14" ht="20" hidden="1" customHeight="1">
      <c r="A1601" s="9">
        <v>45546</v>
      </c>
      <c r="B1601" s="10"/>
      <c r="C1601" s="10" t="s">
        <v>4598</v>
      </c>
      <c r="D1601" s="10" t="s">
        <v>4528</v>
      </c>
      <c r="E1601" s="10" t="s">
        <v>555</v>
      </c>
      <c r="F1601" s="10" t="str">
        <f>IFERROR(VLOOKUP(VENTAS[[#This Row],[Código del producto Vendido]],STOCK[],5,FALSE),"-")</f>
        <v>Sandalias plateadas con pedrería</v>
      </c>
      <c r="G1601" s="10">
        <v>1</v>
      </c>
      <c r="H1601" s="12">
        <v>25</v>
      </c>
      <c r="I1601" s="12">
        <f>VENTAS[[#This Row],[Cantidad]]*VENTAS[[#This Row],[Precio Venta]]</f>
        <v>25</v>
      </c>
      <c r="J1601" s="12">
        <f>IF(VENTAS[[#This Row],[Nombre del Gestor]]&gt;1,VENTAS[[#This Row],[Total]]*10%,0)</f>
        <v>2.5</v>
      </c>
      <c r="K1601" s="12">
        <f>IFERROR(VLOOKUP(VENTAS[[#This Row],[Código del producto Vendido]],STOCK[],16,FALSE)*VENTAS[[#This Row],[Cantidad]]+VLOOKUP(VENTAS[[#This Row],[Código del producto Vendido]],STOCK[],19,FALSE)*VENTAS[[#This Row],[Cantidad]],VENTAS[[#This Row],[Total]])</f>
        <v>26.035</v>
      </c>
      <c r="L1601" s="12">
        <f>VENTAS[[#This Row],[Total]]-VENTAS[[#This Row],[Comisión 10%]]-VENTAS[[#This Row],[Costo SIN Comision]]</f>
        <v>-3.5350000000000001</v>
      </c>
      <c r="M1601" s="12"/>
      <c r="N1601" s="16"/>
    </row>
    <row r="1602" spans="1:14" ht="20" hidden="1" customHeight="1">
      <c r="A1602" s="9"/>
      <c r="B1602" s="10"/>
      <c r="C1602" s="10"/>
      <c r="D1602" s="10" t="s">
        <v>4578</v>
      </c>
      <c r="E1602" s="10" t="s">
        <v>358</v>
      </c>
      <c r="F1602" s="10" t="str">
        <f>IFERROR(VLOOKUP(VENTAS[[#This Row],[Código del producto Vendido]],STOCK[],5,FALSE),"-")</f>
        <v>Vestido elegante de espalda corrida</v>
      </c>
      <c r="G1602" s="10">
        <v>0</v>
      </c>
      <c r="H1602" s="12">
        <v>20</v>
      </c>
      <c r="I1602" s="12">
        <f>VENTAS[[#This Row],[Cantidad]]*VENTAS[[#This Row],[Precio Venta]]</f>
        <v>0</v>
      </c>
      <c r="J1602" s="12">
        <f>IF(VENTAS[[#This Row],[Nombre del Gestor]]&gt;1,VENTAS[[#This Row],[Total]]*10%,0)</f>
        <v>0</v>
      </c>
      <c r="K1602" s="12">
        <f>IFERROR(VLOOKUP(VENTAS[[#This Row],[Código del producto Vendido]],STOCK[],16,FALSE)*VENTAS[[#This Row],[Cantidad]]+VLOOKUP(VENTAS[[#This Row],[Código del producto Vendido]],STOCK[],19,FALSE)*VENTAS[[#This Row],[Cantidad]],VENTAS[[#This Row],[Total]])</f>
        <v>0</v>
      </c>
      <c r="L1602" s="12">
        <f>VENTAS[[#This Row],[Total]]-VENTAS[[#This Row],[Comisión 10%]]-VENTAS[[#This Row],[Costo SIN Comision]]</f>
        <v>0</v>
      </c>
      <c r="M1602" s="12"/>
      <c r="N1602" s="16"/>
    </row>
    <row r="1603" spans="1:14" ht="20" hidden="1" customHeight="1">
      <c r="A1603" s="9">
        <v>45575</v>
      </c>
      <c r="B1603" s="10"/>
      <c r="C1603" s="10"/>
      <c r="D1603" s="10" t="s">
        <v>4184</v>
      </c>
      <c r="E1603" s="10" t="s">
        <v>1161</v>
      </c>
      <c r="F1603" s="10" t="str">
        <f>IFERROR(VLOOKUP(VENTAS[[#This Row],[Código del producto Vendido]],STOCK[],5,FALSE),"-")</f>
        <v>Pezoneras de silicona</v>
      </c>
      <c r="G1603" s="10">
        <v>1</v>
      </c>
      <c r="H1603" s="12">
        <v>5</v>
      </c>
      <c r="I1603" s="12">
        <f>VENTAS[[#This Row],[Cantidad]]*VENTAS[[#This Row],[Precio Venta]]</f>
        <v>5</v>
      </c>
      <c r="J1603" s="12">
        <f>IF(VENTAS[[#This Row],[Nombre del Gestor]]&gt;1,VENTAS[[#This Row],[Total]]*10%,0)</f>
        <v>0.5</v>
      </c>
      <c r="K1603" s="12">
        <f>IFERROR(VLOOKUP(VENTAS[[#This Row],[Código del producto Vendido]],STOCK[],16,FALSE)*VENTAS[[#This Row],[Cantidad]]+VLOOKUP(VENTAS[[#This Row],[Código del producto Vendido]],STOCK[],19,FALSE)*VENTAS[[#This Row],[Cantidad]],VENTAS[[#This Row],[Total]])</f>
        <v>2.0300000000000002</v>
      </c>
      <c r="L1603" s="12">
        <f>VENTAS[[#This Row],[Total]]-VENTAS[[#This Row],[Comisión 10%]]-VENTAS[[#This Row],[Costo SIN Comision]]</f>
        <v>2.4699999999999998</v>
      </c>
      <c r="M1603" s="12"/>
      <c r="N1603" s="16"/>
    </row>
    <row r="1604" spans="1:14" ht="20" hidden="1" customHeight="1">
      <c r="A1604" s="9"/>
      <c r="B1604" s="10"/>
      <c r="C1604" s="10"/>
      <c r="D1604" s="10"/>
      <c r="E1604" s="10" t="s">
        <v>2286</v>
      </c>
      <c r="F1604" s="10" t="str">
        <f>IFERROR(VLOOKUP(VENTAS[[#This Row],[Código del producto Vendido]],STOCK[],5,FALSE),"-")</f>
        <v>Bolso de lienzo estampado de corazón</v>
      </c>
      <c r="G1604" s="10">
        <v>1</v>
      </c>
      <c r="H1604" s="12">
        <v>12</v>
      </c>
      <c r="I1604" s="12">
        <f>VENTAS[[#This Row],[Cantidad]]*VENTAS[[#This Row],[Precio Venta]]</f>
        <v>12</v>
      </c>
      <c r="J1604" s="12">
        <f>IF(VENTAS[[#This Row],[Nombre del Gestor]]&gt;1,VENTAS[[#This Row],[Total]]*10%,0)</f>
        <v>0</v>
      </c>
      <c r="K1604" s="12">
        <f>IFERROR(VLOOKUP(VENTAS[[#This Row],[Código del producto Vendido]],STOCK[],16,FALSE)*VENTAS[[#This Row],[Cantidad]]+VLOOKUP(VENTAS[[#This Row],[Código del producto Vendido]],STOCK[],19,FALSE)*VENTAS[[#This Row],[Cantidad]],VENTAS[[#This Row],[Total]])</f>
        <v>4.2299999999999995</v>
      </c>
      <c r="L1604" s="12">
        <f>VENTAS[[#This Row],[Total]]-VENTAS[[#This Row],[Comisión 10%]]-VENTAS[[#This Row],[Costo SIN Comision]]</f>
        <v>7.7700000000000005</v>
      </c>
      <c r="M1604" s="12"/>
      <c r="N1604" s="16"/>
    </row>
    <row r="1605" spans="1:14" ht="20" hidden="1" customHeight="1">
      <c r="A1605" s="9"/>
      <c r="B1605" s="10"/>
      <c r="C1605" s="10"/>
      <c r="D1605" s="10" t="s">
        <v>4374</v>
      </c>
      <c r="E1605" s="10" t="s">
        <v>2565</v>
      </c>
      <c r="F1605" s="10" t="str">
        <f>IFERROR(VLOOKUP(VENTAS[[#This Row],[Código del producto Vendido]],STOCK[],5,FALSE),"-")</f>
        <v xml:space="preserve">Top corto de lazo delantero </v>
      </c>
      <c r="G1605" s="10">
        <v>1</v>
      </c>
      <c r="H1605" s="12">
        <v>17</v>
      </c>
      <c r="I1605" s="12">
        <f>VENTAS[[#This Row],[Cantidad]]*VENTAS[[#This Row],[Precio Venta]]</f>
        <v>17</v>
      </c>
      <c r="J1605" s="12">
        <f>IF(VENTAS[[#This Row],[Nombre del Gestor]]&gt;1,VENTAS[[#This Row],[Total]]*10%,0)</f>
        <v>1.7000000000000002</v>
      </c>
      <c r="K1605" s="12">
        <f>IFERROR(VLOOKUP(VENTAS[[#This Row],[Código del producto Vendido]],STOCK[],16,FALSE)*VENTAS[[#This Row],[Cantidad]]+VLOOKUP(VENTAS[[#This Row],[Código del producto Vendido]],STOCK[],19,FALSE)*VENTAS[[#This Row],[Cantidad]],VENTAS[[#This Row],[Total]])</f>
        <v>11.450000000000001</v>
      </c>
      <c r="L1605" s="12">
        <f>VENTAS[[#This Row],[Total]]-VENTAS[[#This Row],[Comisión 10%]]-VENTAS[[#This Row],[Costo SIN Comision]]</f>
        <v>3.8499999999999996</v>
      </c>
      <c r="M1605" s="12"/>
      <c r="N1605" s="16"/>
    </row>
    <row r="1606" spans="1:14" ht="20" hidden="1" customHeight="1">
      <c r="A1606" s="9"/>
      <c r="B1606" s="10"/>
      <c r="C1606" s="10"/>
      <c r="D1606" s="10"/>
      <c r="E1606" s="10" t="s">
        <v>2968</v>
      </c>
      <c r="F1606" s="10" t="str">
        <f>IFERROR(VLOOKUP(VENTAS[[#This Row],[Código del producto Vendido]],STOCK[],5,FALSE),"-")</f>
        <v>Vestido camisola negro con abertura</v>
      </c>
      <c r="G1606" s="10">
        <v>1</v>
      </c>
      <c r="H1606" s="12">
        <v>20</v>
      </c>
      <c r="I1606" s="12">
        <f>VENTAS[[#This Row],[Cantidad]]*VENTAS[[#This Row],[Precio Venta]]</f>
        <v>20</v>
      </c>
      <c r="J1606" s="12">
        <f>IF(VENTAS[[#This Row],[Nombre del Gestor]]&gt;1,VENTAS[[#This Row],[Total]]*10%,0)</f>
        <v>0</v>
      </c>
      <c r="K1606" s="12">
        <f>IFERROR(VLOOKUP(VENTAS[[#This Row],[Código del producto Vendido]],STOCK[],16,FALSE)*VENTAS[[#This Row],[Cantidad]]+VLOOKUP(VENTAS[[#This Row],[Código del producto Vendido]],STOCK[],19,FALSE)*VENTAS[[#This Row],[Cantidad]],VENTAS[[#This Row],[Total]])</f>
        <v>7.6300000000000008</v>
      </c>
      <c r="L1606" s="12">
        <f>VENTAS[[#This Row],[Total]]-VENTAS[[#This Row],[Comisión 10%]]-VENTAS[[#This Row],[Costo SIN Comision]]</f>
        <v>12.37</v>
      </c>
      <c r="M1606" s="12"/>
      <c r="N1606" s="16"/>
    </row>
    <row r="1607" spans="1:14" ht="20" hidden="1" customHeight="1">
      <c r="A1607" s="9"/>
      <c r="B1607" s="10"/>
      <c r="C1607" s="10"/>
      <c r="D1607" s="10" t="s">
        <v>4571</v>
      </c>
      <c r="E1607" s="10" t="s">
        <v>2970</v>
      </c>
      <c r="F1607" s="10" t="str">
        <f>IFERROR(VLOOKUP(VENTAS[[#This Row],[Código del producto Vendido]],STOCK[],5,FALSE),"-")</f>
        <v>Conjunto de dos prendas elegante-casual color blanco</v>
      </c>
      <c r="G1607" s="10">
        <v>1</v>
      </c>
      <c r="H1607" s="12">
        <v>40</v>
      </c>
      <c r="I1607" s="12">
        <f>VENTAS[[#This Row],[Cantidad]]*VENTAS[[#This Row],[Precio Venta]]</f>
        <v>40</v>
      </c>
      <c r="J1607" s="12">
        <f>IF(VENTAS[[#This Row],[Nombre del Gestor]]&gt;1,VENTAS[[#This Row],[Total]]*10%,0)</f>
        <v>4</v>
      </c>
      <c r="K1607" s="12">
        <f>IFERROR(VLOOKUP(VENTAS[[#This Row],[Código del producto Vendido]],STOCK[],16,FALSE)*VENTAS[[#This Row],[Cantidad]]+VLOOKUP(VENTAS[[#This Row],[Código del producto Vendido]],STOCK[],19,FALSE)*VENTAS[[#This Row],[Cantidad]],VENTAS[[#This Row],[Total]])</f>
        <v>14.57</v>
      </c>
      <c r="L1607" s="12">
        <f>VENTAS[[#This Row],[Total]]-VENTAS[[#This Row],[Comisión 10%]]-VENTAS[[#This Row],[Costo SIN Comision]]</f>
        <v>21.43</v>
      </c>
      <c r="M1607" s="12"/>
      <c r="N1607" s="16"/>
    </row>
    <row r="1608" spans="1:14" ht="20" hidden="1" customHeight="1">
      <c r="A1608" s="9"/>
      <c r="B1608" s="10"/>
      <c r="C1608" s="10"/>
      <c r="D1608" s="10"/>
      <c r="E1608" s="10" t="s">
        <v>2997</v>
      </c>
      <c r="F1608" s="10" t="str">
        <f>IFERROR(VLOOKUP(VENTAS[[#This Row],[Código del producto Vendido]],STOCK[],5,FALSE),"-")</f>
        <v>Camiseta de moda con estampado de cereza</v>
      </c>
      <c r="G1608" s="10">
        <v>1</v>
      </c>
      <c r="H1608" s="12">
        <v>15</v>
      </c>
      <c r="I1608" s="12">
        <f>VENTAS[[#This Row],[Cantidad]]*VENTAS[[#This Row],[Precio Venta]]</f>
        <v>15</v>
      </c>
      <c r="J1608" s="12">
        <f>IF(VENTAS[[#This Row],[Nombre del Gestor]]&gt;1,VENTAS[[#This Row],[Total]]*10%,0)</f>
        <v>0</v>
      </c>
      <c r="K1608" s="12">
        <f>IFERROR(VLOOKUP(VENTAS[[#This Row],[Código del producto Vendido]],STOCK[],16,FALSE)*VENTAS[[#This Row],[Cantidad]]+VLOOKUP(VENTAS[[#This Row],[Código del producto Vendido]],STOCK[],19,FALSE)*VENTAS[[#This Row],[Cantidad]],VENTAS[[#This Row],[Total]])</f>
        <v>5.92</v>
      </c>
      <c r="L1608" s="12">
        <f>VENTAS[[#This Row],[Total]]-VENTAS[[#This Row],[Comisión 10%]]-VENTAS[[#This Row],[Costo SIN Comision]]</f>
        <v>9.08</v>
      </c>
      <c r="M1608" s="12"/>
      <c r="N1608" s="16"/>
    </row>
    <row r="1609" spans="1:14" ht="20" hidden="1" customHeight="1">
      <c r="A1609" s="9"/>
      <c r="B1609" s="10"/>
      <c r="C1609" s="10"/>
      <c r="D1609" s="10"/>
      <c r="E1609" s="10" t="s">
        <v>2997</v>
      </c>
      <c r="F1609" s="10" t="str">
        <f>IFERROR(VLOOKUP(VENTAS[[#This Row],[Código del producto Vendido]],STOCK[],5,FALSE),"-")</f>
        <v>Camiseta de moda con estampado de cereza</v>
      </c>
      <c r="G1609" s="10">
        <v>1</v>
      </c>
      <c r="H1609" s="12">
        <v>15</v>
      </c>
      <c r="I1609" s="12">
        <f>VENTAS[[#This Row],[Cantidad]]*VENTAS[[#This Row],[Precio Venta]]</f>
        <v>15</v>
      </c>
      <c r="J1609" s="12">
        <f>IF(VENTAS[[#This Row],[Nombre del Gestor]]&gt;1,VENTAS[[#This Row],[Total]]*10%,0)</f>
        <v>0</v>
      </c>
      <c r="K1609" s="12">
        <f>IFERROR(VLOOKUP(VENTAS[[#This Row],[Código del producto Vendido]],STOCK[],16,FALSE)*VENTAS[[#This Row],[Cantidad]]+VLOOKUP(VENTAS[[#This Row],[Código del producto Vendido]],STOCK[],19,FALSE)*VENTAS[[#This Row],[Cantidad]],VENTAS[[#This Row],[Total]])</f>
        <v>5.92</v>
      </c>
      <c r="L1609" s="12">
        <f>VENTAS[[#This Row],[Total]]-VENTAS[[#This Row],[Comisión 10%]]-VENTAS[[#This Row],[Costo SIN Comision]]</f>
        <v>9.08</v>
      </c>
      <c r="M1609" s="12"/>
      <c r="N1609" s="16"/>
    </row>
    <row r="1610" spans="1:14" ht="20" hidden="1" customHeight="1">
      <c r="A1610" s="9"/>
      <c r="B1610" s="10"/>
      <c r="C1610" s="10"/>
      <c r="D1610" s="10" t="s">
        <v>4320</v>
      </c>
      <c r="E1610" s="10" t="s">
        <v>2551</v>
      </c>
      <c r="F1610" s="10" t="str">
        <f>IFERROR(VLOOKUP(VENTAS[[#This Row],[Código del producto Vendido]],STOCK[],5,FALSE),"-")</f>
        <v>Pullover largo unicolor tela traslúcida terracota</v>
      </c>
      <c r="G1610" s="10">
        <v>1</v>
      </c>
      <c r="H1610" s="12">
        <v>10</v>
      </c>
      <c r="I1610" s="12">
        <f>VENTAS[[#This Row],[Cantidad]]*VENTAS[[#This Row],[Precio Venta]]</f>
        <v>10</v>
      </c>
      <c r="J1610" s="12">
        <f>IF(VENTAS[[#This Row],[Nombre del Gestor]]&gt;1,VENTAS[[#This Row],[Total]]*10%,0)</f>
        <v>1</v>
      </c>
      <c r="K1610" s="12">
        <f>IFERROR(VLOOKUP(VENTAS[[#This Row],[Código del producto Vendido]],STOCK[],16,FALSE)*VENTAS[[#This Row],[Cantidad]]+VLOOKUP(VENTAS[[#This Row],[Código del producto Vendido]],STOCK[],19,FALSE)*VENTAS[[#This Row],[Cantidad]],VENTAS[[#This Row],[Total]])</f>
        <v>4.32</v>
      </c>
      <c r="L1610" s="12">
        <f>VENTAS[[#This Row],[Total]]-VENTAS[[#This Row],[Comisión 10%]]-VENTAS[[#This Row],[Costo SIN Comision]]</f>
        <v>4.68</v>
      </c>
      <c r="M1610" s="12"/>
      <c r="N1610" s="16"/>
    </row>
    <row r="1611" spans="1:14" ht="20" hidden="1" customHeight="1">
      <c r="A1611" s="9"/>
      <c r="B1611" s="10"/>
      <c r="C1611" s="10"/>
      <c r="D1611" s="10" t="s">
        <v>4320</v>
      </c>
      <c r="E1611" s="10" t="s">
        <v>2554</v>
      </c>
      <c r="F1611" s="10" t="str">
        <f>IFERROR(VLOOKUP(VENTAS[[#This Row],[Código del producto Vendido]],STOCK[],5,FALSE),"-")</f>
        <v>Pullover largo unicolor tela traslúcida beige</v>
      </c>
      <c r="G1611" s="10">
        <v>0</v>
      </c>
      <c r="H1611" s="12">
        <v>10</v>
      </c>
      <c r="I1611" s="12">
        <f>VENTAS[[#This Row],[Cantidad]]*VENTAS[[#This Row],[Precio Venta]]</f>
        <v>0</v>
      </c>
      <c r="J1611" s="12">
        <f>IF(VENTAS[[#This Row],[Nombre del Gestor]]&gt;1,VENTAS[[#This Row],[Total]]*10%,0)</f>
        <v>0</v>
      </c>
      <c r="K1611" s="12">
        <f>IFERROR(VLOOKUP(VENTAS[[#This Row],[Código del producto Vendido]],STOCK[],16,FALSE)*VENTAS[[#This Row],[Cantidad]]+VLOOKUP(VENTAS[[#This Row],[Código del producto Vendido]],STOCK[],19,FALSE)*VENTAS[[#This Row],[Cantidad]],VENTAS[[#This Row],[Total]])</f>
        <v>0</v>
      </c>
      <c r="L1611" s="12">
        <f>VENTAS[[#This Row],[Total]]-VENTAS[[#This Row],[Comisión 10%]]-VENTAS[[#This Row],[Costo SIN Comision]]</f>
        <v>0</v>
      </c>
      <c r="M1611" s="12"/>
      <c r="N1611" s="16"/>
    </row>
    <row r="1612" spans="1:14" ht="20" hidden="1" customHeight="1">
      <c r="A1612" s="9"/>
      <c r="B1612" s="10"/>
      <c r="C1612" s="10"/>
      <c r="D1612" s="10"/>
      <c r="E1612" s="10" t="s">
        <v>816</v>
      </c>
      <c r="F1612" s="10" t="str">
        <f>IFERROR(VLOOKUP(VENTAS[[#This Row],[Código del producto Vendido]],STOCK[],5,FALSE),"-")</f>
        <v>Blusa verde menta vuelos</v>
      </c>
      <c r="G1612" s="10">
        <v>0</v>
      </c>
      <c r="H1612" s="12">
        <v>10</v>
      </c>
      <c r="I1612" s="12">
        <f>VENTAS[[#This Row],[Cantidad]]*VENTAS[[#This Row],[Precio Venta]]</f>
        <v>0</v>
      </c>
      <c r="J1612" s="12">
        <f>IF(VENTAS[[#This Row],[Nombre del Gestor]]&gt;1,VENTAS[[#This Row],[Total]]*10%,0)</f>
        <v>0</v>
      </c>
      <c r="K1612" s="12">
        <f>IFERROR(VLOOKUP(VENTAS[[#This Row],[Código del producto Vendido]],STOCK[],16,FALSE)*VENTAS[[#This Row],[Cantidad]]+VLOOKUP(VENTAS[[#This Row],[Código del producto Vendido]],STOCK[],19,FALSE)*VENTAS[[#This Row],[Cantidad]],VENTAS[[#This Row],[Total]])</f>
        <v>0</v>
      </c>
      <c r="L1612" s="12">
        <f>VENTAS[[#This Row],[Total]]-VENTAS[[#This Row],[Comisión 10%]]-VENTAS[[#This Row],[Costo SIN Comision]]</f>
        <v>0</v>
      </c>
      <c r="M1612" s="12"/>
      <c r="N1612" s="16"/>
    </row>
    <row r="1613" spans="1:14" ht="20" hidden="1" customHeight="1">
      <c r="A1613" s="9">
        <v>45588</v>
      </c>
      <c r="B1613" s="10"/>
      <c r="C1613" s="10" t="s">
        <v>4599</v>
      </c>
      <c r="D1613" s="10"/>
      <c r="E1613" s="10" t="s">
        <v>3142</v>
      </c>
      <c r="F1613" s="10" t="str">
        <f>IFERROR(VLOOKUP(VENTAS[[#This Row],[Código del producto Vendido]],STOCK[],5,FALSE),"-")</f>
        <v>Suéter oversize de cuello redondo crema con listas finas negras Marca H&amp;M</v>
      </c>
      <c r="G1613" s="10">
        <v>1</v>
      </c>
      <c r="H1613" s="12">
        <v>12</v>
      </c>
      <c r="I1613" s="12">
        <f>VENTAS[[#This Row],[Cantidad]]*VENTAS[[#This Row],[Precio Venta]]</f>
        <v>12</v>
      </c>
      <c r="J1613" s="12">
        <f>IF(VENTAS[[#This Row],[Nombre del Gestor]]&gt;1,VENTAS[[#This Row],[Total]]*10%,0)</f>
        <v>0</v>
      </c>
      <c r="K1613" s="12">
        <f>IFERROR(VLOOKUP(VENTAS[[#This Row],[Código del producto Vendido]],STOCK[],16,FALSE)*VENTAS[[#This Row],[Cantidad]]+VLOOKUP(VENTAS[[#This Row],[Código del producto Vendido]],STOCK[],19,FALSE)*VENTAS[[#This Row],[Cantidad]],VENTAS[[#This Row],[Total]])</f>
        <v>12</v>
      </c>
      <c r="L1613" s="12">
        <f>VENTAS[[#This Row],[Total]]-VENTAS[[#This Row],[Comisión 10%]]-VENTAS[[#This Row],[Costo SIN Comision]]</f>
        <v>0</v>
      </c>
      <c r="M1613" s="12"/>
      <c r="N1613" s="16"/>
    </row>
    <row r="1614" spans="1:14" ht="20" hidden="1" customHeight="1">
      <c r="A1614" s="9">
        <v>45588</v>
      </c>
      <c r="B1614" s="10"/>
      <c r="C1614" s="10" t="s">
        <v>4600</v>
      </c>
      <c r="D1614" s="10"/>
      <c r="E1614" s="10" t="s">
        <v>3099</v>
      </c>
      <c r="F1614" s="10" t="str">
        <f>IFERROR(VLOOKUP(VENTAS[[#This Row],[Código del producto Vendido]],STOCK[],5,FALSE),"-")</f>
        <v xml:space="preserve">Blusa negra con hombreras </v>
      </c>
      <c r="G1614" s="10">
        <v>1</v>
      </c>
      <c r="H1614" s="12">
        <v>8</v>
      </c>
      <c r="I1614" s="12">
        <f>VENTAS[[#This Row],[Cantidad]]*VENTAS[[#This Row],[Precio Venta]]</f>
        <v>8</v>
      </c>
      <c r="J1614" s="12">
        <f>IF(VENTAS[[#This Row],[Nombre del Gestor]]&gt;1,VENTAS[[#This Row],[Total]]*10%,0)</f>
        <v>0</v>
      </c>
      <c r="K1614" s="12">
        <f>IFERROR(VLOOKUP(VENTAS[[#This Row],[Código del producto Vendido]],STOCK[],16,FALSE)*VENTAS[[#This Row],[Cantidad]]+VLOOKUP(VENTAS[[#This Row],[Código del producto Vendido]],STOCK[],19,FALSE)*VENTAS[[#This Row],[Cantidad]],VENTAS[[#This Row],[Total]])</f>
        <v>8</v>
      </c>
      <c r="L1614" s="12">
        <f>VENTAS[[#This Row],[Total]]-VENTAS[[#This Row],[Comisión 10%]]-VENTAS[[#This Row],[Costo SIN Comision]]</f>
        <v>0</v>
      </c>
      <c r="M1614" s="12"/>
      <c r="N1614" s="16"/>
    </row>
    <row r="1615" spans="1:14" ht="20" hidden="1" customHeight="1">
      <c r="A1615" s="9">
        <v>45588</v>
      </c>
      <c r="B1615" s="10"/>
      <c r="C1615" s="10" t="s">
        <v>4601</v>
      </c>
      <c r="D1615" s="10"/>
      <c r="E1615" s="10" t="s">
        <v>3161</v>
      </c>
      <c r="F1615" s="10" t="str">
        <f>IFERROR(VLOOKUP(VENTAS[[#This Row],[Código del producto Vendido]],STOCK[],5,FALSE),"-")</f>
        <v>Tanga brasileña color verde de algodón Marca H&amp;M</v>
      </c>
      <c r="G1615" s="10">
        <v>4</v>
      </c>
      <c r="H1615" s="12">
        <v>0.86</v>
      </c>
      <c r="I1615" s="12">
        <f>VENTAS[[#This Row],[Cantidad]]*VENTAS[[#This Row],[Precio Venta]]</f>
        <v>3.44</v>
      </c>
      <c r="J1615" s="12">
        <f>IF(VENTAS[[#This Row],[Nombre del Gestor]]&gt;1,VENTAS[[#This Row],[Total]]*10%,0)</f>
        <v>0</v>
      </c>
      <c r="K1615" s="12">
        <f>IFERROR(VLOOKUP(VENTAS[[#This Row],[Código del producto Vendido]],STOCK[],16,FALSE)*VENTAS[[#This Row],[Cantidad]]+VLOOKUP(VENTAS[[#This Row],[Código del producto Vendido]],STOCK[],19,FALSE)*VENTAS[[#This Row],[Cantidad]],VENTAS[[#This Row],[Total]])</f>
        <v>3.44</v>
      </c>
      <c r="L1615" s="12">
        <f>VENTAS[[#This Row],[Total]]-VENTAS[[#This Row],[Comisión 10%]]-VENTAS[[#This Row],[Costo SIN Comision]]</f>
        <v>0</v>
      </c>
      <c r="M1615" s="12"/>
      <c r="N1615" s="16"/>
    </row>
    <row r="1616" spans="1:14" ht="20" hidden="1" customHeight="1">
      <c r="A1616" s="9">
        <v>45588</v>
      </c>
      <c r="B1616" s="10"/>
      <c r="C1616" s="10" t="s">
        <v>4602</v>
      </c>
      <c r="D1616" s="10"/>
      <c r="E1616" s="10" t="s">
        <v>3167</v>
      </c>
      <c r="F1616" s="10" t="str">
        <f>IFERROR(VLOOKUP(VENTAS[[#This Row],[Código del producto Vendido]],STOCK[],5,FALSE),"-")</f>
        <v>Falda negra ajustada a media pierna Marca H&amp;M</v>
      </c>
      <c r="G1616" s="10">
        <v>1</v>
      </c>
      <c r="H1616" s="12">
        <v>6</v>
      </c>
      <c r="I1616" s="12">
        <f>VENTAS[[#This Row],[Cantidad]]*VENTAS[[#This Row],[Precio Venta]]</f>
        <v>6</v>
      </c>
      <c r="J1616" s="12">
        <f>IF(VENTAS[[#This Row],[Nombre del Gestor]]&gt;1,VENTAS[[#This Row],[Total]]*10%,0)</f>
        <v>0</v>
      </c>
      <c r="K1616" s="12">
        <f>IFERROR(VLOOKUP(VENTAS[[#This Row],[Código del producto Vendido]],STOCK[],16,FALSE)*VENTAS[[#This Row],[Cantidad]]+VLOOKUP(VENTAS[[#This Row],[Código del producto Vendido]],STOCK[],19,FALSE)*VENTAS[[#This Row],[Cantidad]],VENTAS[[#This Row],[Total]])</f>
        <v>6</v>
      </c>
      <c r="L1616" s="12">
        <f>VENTAS[[#This Row],[Total]]-VENTAS[[#This Row],[Comisión 10%]]-VENTAS[[#This Row],[Costo SIN Comision]]</f>
        <v>0</v>
      </c>
      <c r="M1616" s="12"/>
      <c r="N1616" s="16"/>
    </row>
    <row r="1617" spans="1:14" ht="20" hidden="1" customHeight="1">
      <c r="A1617" s="9">
        <v>45588</v>
      </c>
      <c r="B1617" s="10"/>
      <c r="C1617" s="10" t="s">
        <v>4603</v>
      </c>
      <c r="D1617" s="10"/>
      <c r="E1617" s="10" t="s">
        <v>3171</v>
      </c>
      <c r="F1617" s="10" t="str">
        <f>IFERROR(VLOOKUP(VENTAS[[#This Row],[Código del producto Vendido]],STOCK[],5,FALSE),"-")</f>
        <v>Leggings mallas negros no transparentables Marca H&amp;M</v>
      </c>
      <c r="G1617" s="10">
        <v>1</v>
      </c>
      <c r="H1617" s="12">
        <v>5</v>
      </c>
      <c r="I1617" s="12">
        <f>VENTAS[[#This Row],[Cantidad]]*VENTAS[[#This Row],[Precio Venta]]</f>
        <v>5</v>
      </c>
      <c r="J1617" s="12">
        <f>IF(VENTAS[[#This Row],[Nombre del Gestor]]&gt;1,VENTAS[[#This Row],[Total]]*10%,0)</f>
        <v>0</v>
      </c>
      <c r="K1617" s="12">
        <f>IFERROR(VLOOKUP(VENTAS[[#This Row],[Código del producto Vendido]],STOCK[],16,FALSE)*VENTAS[[#This Row],[Cantidad]]+VLOOKUP(VENTAS[[#This Row],[Código del producto Vendido]],STOCK[],19,FALSE)*VENTAS[[#This Row],[Cantidad]],VENTAS[[#This Row],[Total]])</f>
        <v>5</v>
      </c>
      <c r="L1617" s="12">
        <f>VENTAS[[#This Row],[Total]]-VENTAS[[#This Row],[Comisión 10%]]-VENTAS[[#This Row],[Costo SIN Comision]]</f>
        <v>0</v>
      </c>
      <c r="M1617" s="12"/>
      <c r="N1617" s="16"/>
    </row>
    <row r="1618" spans="1:14" ht="20" hidden="1" customHeight="1">
      <c r="A1618" s="9">
        <v>45588</v>
      </c>
      <c r="B1618" s="10"/>
      <c r="C1618" s="10" t="s">
        <v>4604</v>
      </c>
      <c r="D1618" s="10"/>
      <c r="E1618" s="10" t="s">
        <v>3179</v>
      </c>
      <c r="F1618" s="10" t="str">
        <f>IFERROR(VLOOKUP(VENTAS[[#This Row],[Código del producto Vendido]],STOCK[],5,FALSE),"-")</f>
        <v xml:space="preserve">Pullover deportivo verde </v>
      </c>
      <c r="G1618" s="10">
        <v>1</v>
      </c>
      <c r="H1618" s="12">
        <v>10</v>
      </c>
      <c r="I1618" s="12">
        <f>VENTAS[[#This Row],[Cantidad]]*VENTAS[[#This Row],[Precio Venta]]</f>
        <v>10</v>
      </c>
      <c r="J1618" s="12">
        <f>IF(VENTAS[[#This Row],[Nombre del Gestor]]&gt;1,VENTAS[[#This Row],[Total]]*10%,0)</f>
        <v>0</v>
      </c>
      <c r="K1618" s="12">
        <f>IFERROR(VLOOKUP(VENTAS[[#This Row],[Código del producto Vendido]],STOCK[],16,FALSE)*VENTAS[[#This Row],[Cantidad]]+VLOOKUP(VENTAS[[#This Row],[Código del producto Vendido]],STOCK[],19,FALSE)*VENTAS[[#This Row],[Cantidad]],VENTAS[[#This Row],[Total]])</f>
        <v>10</v>
      </c>
      <c r="L1618" s="12">
        <f>VENTAS[[#This Row],[Total]]-VENTAS[[#This Row],[Comisión 10%]]-VENTAS[[#This Row],[Costo SIN Comision]]</f>
        <v>0</v>
      </c>
      <c r="M1618" s="12"/>
      <c r="N1618" s="16"/>
    </row>
    <row r="1619" spans="1:14" ht="20" hidden="1" customHeight="1">
      <c r="A1619" s="9">
        <v>45588</v>
      </c>
      <c r="B1619" s="10"/>
      <c r="C1619" s="10" t="s">
        <v>4605</v>
      </c>
      <c r="D1619" s="10"/>
      <c r="E1619" s="10" t="s">
        <v>3226</v>
      </c>
      <c r="F1619" s="10" t="str">
        <f>IFERROR(VLOOKUP(VENTAS[[#This Row],[Código del producto Vendido]],STOCK[],5,FALSE),"-")</f>
        <v>Enguatada gris jaspeado oscuro Marca H&amp;M</v>
      </c>
      <c r="G1619" s="10">
        <v>1</v>
      </c>
      <c r="H1619" s="12">
        <v>12</v>
      </c>
      <c r="I1619" s="12">
        <f>VENTAS[[#This Row],[Cantidad]]*VENTAS[[#This Row],[Precio Venta]]</f>
        <v>12</v>
      </c>
      <c r="J1619" s="12">
        <f>IF(VENTAS[[#This Row],[Nombre del Gestor]]&gt;1,VENTAS[[#This Row],[Total]]*10%,0)</f>
        <v>0</v>
      </c>
      <c r="K1619" s="12">
        <f>IFERROR(VLOOKUP(VENTAS[[#This Row],[Código del producto Vendido]],STOCK[],16,FALSE)*VENTAS[[#This Row],[Cantidad]]+VLOOKUP(VENTAS[[#This Row],[Código del producto Vendido]],STOCK[],19,FALSE)*VENTAS[[#This Row],[Cantidad]],VENTAS[[#This Row],[Total]])</f>
        <v>12</v>
      </c>
      <c r="L1619" s="12">
        <f>VENTAS[[#This Row],[Total]]-VENTAS[[#This Row],[Comisión 10%]]-VENTAS[[#This Row],[Costo SIN Comision]]</f>
        <v>0</v>
      </c>
      <c r="M1619" s="12"/>
      <c r="N1619" s="16"/>
    </row>
    <row r="1620" spans="1:14" ht="20" hidden="1" customHeight="1">
      <c r="A1620" s="9">
        <v>45588</v>
      </c>
      <c r="B1620" s="10"/>
      <c r="C1620" s="10" t="s">
        <v>4606</v>
      </c>
      <c r="D1620" s="10"/>
      <c r="E1620" s="10" t="s">
        <v>3231</v>
      </c>
      <c r="F1620" s="10" t="str">
        <f>IFERROR(VLOOKUP(VENTAS[[#This Row],[Código del producto Vendido]],STOCK[],5,FALSE),"-")</f>
        <v xml:space="preserve">Niños abrigos   </v>
      </c>
      <c r="G1620" s="10">
        <v>2</v>
      </c>
      <c r="H1620" s="12">
        <v>8</v>
      </c>
      <c r="I1620" s="12">
        <f>VENTAS[[#This Row],[Cantidad]]*VENTAS[[#This Row],[Precio Venta]]</f>
        <v>16</v>
      </c>
      <c r="J1620" s="12">
        <f>IF(VENTAS[[#This Row],[Nombre del Gestor]]&gt;1,VENTAS[[#This Row],[Total]]*10%,0)</f>
        <v>0</v>
      </c>
      <c r="K1620" s="12">
        <f>IFERROR(VLOOKUP(VENTAS[[#This Row],[Código del producto Vendido]],STOCK[],16,FALSE)*VENTAS[[#This Row],[Cantidad]]+VLOOKUP(VENTAS[[#This Row],[Código del producto Vendido]],STOCK[],19,FALSE)*VENTAS[[#This Row],[Cantidad]],VENTAS[[#This Row],[Total]])</f>
        <v>16</v>
      </c>
      <c r="L1620" s="12">
        <f>VENTAS[[#This Row],[Total]]-VENTAS[[#This Row],[Comisión 10%]]-VENTAS[[#This Row],[Costo SIN Comision]]</f>
        <v>0</v>
      </c>
      <c r="M1620" s="12"/>
      <c r="N1620" s="16"/>
    </row>
    <row r="1621" spans="1:14" ht="20" hidden="1" customHeight="1">
      <c r="A1621" s="9">
        <v>45588</v>
      </c>
      <c r="B1621" s="10"/>
      <c r="C1621" s="10" t="s">
        <v>4607</v>
      </c>
      <c r="D1621" s="10"/>
      <c r="E1621" s="10" t="s">
        <v>3234</v>
      </c>
      <c r="F1621" s="10" t="str">
        <f>IFERROR(VLOOKUP(VENTAS[[#This Row],[Código del producto Vendido]],STOCK[],5,FALSE),"-")</f>
        <v>Jogger negro de estilo cargo Marca H&amp;M</v>
      </c>
      <c r="G1621" s="10">
        <v>1</v>
      </c>
      <c r="H1621" s="12">
        <v>12</v>
      </c>
      <c r="I1621" s="12">
        <f>VENTAS[[#This Row],[Cantidad]]*VENTAS[[#This Row],[Precio Venta]]</f>
        <v>12</v>
      </c>
      <c r="J1621" s="12">
        <f>IF(VENTAS[[#This Row],[Nombre del Gestor]]&gt;1,VENTAS[[#This Row],[Total]]*10%,0)</f>
        <v>0</v>
      </c>
      <c r="K1621" s="12">
        <f>IFERROR(VLOOKUP(VENTAS[[#This Row],[Código del producto Vendido]],STOCK[],16,FALSE)*VENTAS[[#This Row],[Cantidad]]+VLOOKUP(VENTAS[[#This Row],[Código del producto Vendido]],STOCK[],19,FALSE)*VENTAS[[#This Row],[Cantidad]],VENTAS[[#This Row],[Total]])</f>
        <v>12</v>
      </c>
      <c r="L1621" s="12">
        <f>VENTAS[[#This Row],[Total]]-VENTAS[[#This Row],[Comisión 10%]]-VENTAS[[#This Row],[Costo SIN Comision]]</f>
        <v>0</v>
      </c>
      <c r="M1621" s="12"/>
      <c r="N1621" s="16"/>
    </row>
    <row r="1622" spans="1:14" ht="20" hidden="1" customHeight="1">
      <c r="A1622" s="9">
        <v>45588</v>
      </c>
      <c r="B1622" s="10"/>
      <c r="C1622" s="10"/>
      <c r="D1622" s="10" t="s">
        <v>4374</v>
      </c>
      <c r="E1622" s="10" t="s">
        <v>3245</v>
      </c>
      <c r="F1622" s="10" t="str">
        <f>IFERROR(VLOOKUP(VENTAS[[#This Row],[Código del producto Vendido]],STOCK[],5,FALSE),"-")</f>
        <v>Jogger gris jaspeado con bolsillos discretos Marca H&amp;M</v>
      </c>
      <c r="G1622" s="10">
        <v>1</v>
      </c>
      <c r="H1622" s="12">
        <v>12</v>
      </c>
      <c r="I1622" s="12">
        <f>VENTAS[[#This Row],[Cantidad]]*VENTAS[[#This Row],[Precio Venta]]</f>
        <v>12</v>
      </c>
      <c r="J1622" s="12">
        <f>IF(VENTAS[[#This Row],[Nombre del Gestor]]&gt;1,VENTAS[[#This Row],[Total]]*10%,0)</f>
        <v>1.2000000000000002</v>
      </c>
      <c r="K1622" s="12">
        <f>IFERROR(VLOOKUP(VENTAS[[#This Row],[Código del producto Vendido]],STOCK[],16,FALSE)*VENTAS[[#This Row],[Cantidad]]+VLOOKUP(VENTAS[[#This Row],[Código del producto Vendido]],STOCK[],19,FALSE)*VENTAS[[#This Row],[Cantidad]],VENTAS[[#This Row],[Total]])</f>
        <v>12</v>
      </c>
      <c r="L1622" s="12">
        <f>VENTAS[[#This Row],[Total]]-VENTAS[[#This Row],[Comisión 10%]]-VENTAS[[#This Row],[Costo SIN Comision]]</f>
        <v>-1.1999999999999993</v>
      </c>
      <c r="M1622" s="12"/>
      <c r="N1622" s="16"/>
    </row>
    <row r="1623" spans="1:14" ht="20" hidden="1" customHeight="1">
      <c r="A1623" s="9">
        <v>45588</v>
      </c>
      <c r="B1623" s="10"/>
      <c r="C1623" s="10" t="s">
        <v>4608</v>
      </c>
      <c r="D1623" s="10"/>
      <c r="E1623" s="10" t="s">
        <v>3247</v>
      </c>
      <c r="F1623" s="10" t="str">
        <f>IFERROR(VLOOKUP(VENTAS[[#This Row],[Código del producto Vendido]],STOCK[],5,FALSE),"-")</f>
        <v>Ajustadores Bralette de encaje Blanco Marca H&amp;M</v>
      </c>
      <c r="G1623" s="10">
        <v>1</v>
      </c>
      <c r="H1623" s="12">
        <v>3</v>
      </c>
      <c r="I1623" s="12">
        <f>VENTAS[[#This Row],[Cantidad]]*VENTAS[[#This Row],[Precio Venta]]</f>
        <v>3</v>
      </c>
      <c r="J1623" s="12">
        <f>IF(VENTAS[[#This Row],[Nombre del Gestor]]&gt;1,VENTAS[[#This Row],[Total]]*10%,0)</f>
        <v>0</v>
      </c>
      <c r="K1623" s="12">
        <f>IFERROR(VLOOKUP(VENTAS[[#This Row],[Código del producto Vendido]],STOCK[],16,FALSE)*VENTAS[[#This Row],[Cantidad]]+VLOOKUP(VENTAS[[#This Row],[Código del producto Vendido]],STOCK[],19,FALSE)*VENTAS[[#This Row],[Cantidad]],VENTAS[[#This Row],[Total]])</f>
        <v>3</v>
      </c>
      <c r="L1623" s="12">
        <f>VENTAS[[#This Row],[Total]]-VENTAS[[#This Row],[Comisión 10%]]-VENTAS[[#This Row],[Costo SIN Comision]]</f>
        <v>0</v>
      </c>
      <c r="M1623" s="12"/>
      <c r="N1623" s="16"/>
    </row>
    <row r="1624" spans="1:14" ht="20" hidden="1" customHeight="1">
      <c r="A1624" s="9">
        <v>45588</v>
      </c>
      <c r="B1624" s="10"/>
      <c r="C1624" s="10" t="s">
        <v>4609</v>
      </c>
      <c r="D1624" s="10"/>
      <c r="E1624" s="10" t="s">
        <v>3250</v>
      </c>
      <c r="F1624" s="10" t="str">
        <f>IFERROR(VLOOKUP(VENTAS[[#This Row],[Código del producto Vendido]],STOCK[],5,FALSE),"-")</f>
        <v>Ajustadores Bralette de encaje Negro Marca H&amp;M</v>
      </c>
      <c r="G1624" s="10">
        <v>1</v>
      </c>
      <c r="H1624" s="12">
        <v>3</v>
      </c>
      <c r="I1624" s="12">
        <f>VENTAS[[#This Row],[Cantidad]]*VENTAS[[#This Row],[Precio Venta]]</f>
        <v>3</v>
      </c>
      <c r="J1624" s="12">
        <f>IF(VENTAS[[#This Row],[Nombre del Gestor]]&gt;1,VENTAS[[#This Row],[Total]]*10%,0)</f>
        <v>0</v>
      </c>
      <c r="K1624" s="12">
        <f>IFERROR(VLOOKUP(VENTAS[[#This Row],[Código del producto Vendido]],STOCK[],16,FALSE)*VENTAS[[#This Row],[Cantidad]]+VLOOKUP(VENTAS[[#This Row],[Código del producto Vendido]],STOCK[],19,FALSE)*VENTAS[[#This Row],[Cantidad]],VENTAS[[#This Row],[Total]])</f>
        <v>3</v>
      </c>
      <c r="L1624" s="12">
        <f>VENTAS[[#This Row],[Total]]-VENTAS[[#This Row],[Comisión 10%]]-VENTAS[[#This Row],[Costo SIN Comision]]</f>
        <v>0</v>
      </c>
      <c r="M1624" s="12"/>
      <c r="N1624" s="16"/>
    </row>
    <row r="1625" spans="1:14" ht="20" hidden="1" customHeight="1">
      <c r="A1625" s="9">
        <v>45588</v>
      </c>
      <c r="B1625" s="10"/>
      <c r="C1625" s="10" t="s">
        <v>4610</v>
      </c>
      <c r="D1625" s="10"/>
      <c r="E1625" s="10" t="s">
        <v>3257</v>
      </c>
      <c r="F1625" s="10" t="str">
        <f>IFERROR(VLOOKUP(VENTAS[[#This Row],[Código del producto Vendido]],STOCK[],5,FALSE),"-")</f>
        <v>Calcetines bajos de algodón color beich</v>
      </c>
      <c r="G1625" s="10">
        <v>2</v>
      </c>
      <c r="H1625" s="12">
        <v>0.86</v>
      </c>
      <c r="I1625" s="12">
        <f>VENTAS[[#This Row],[Cantidad]]*VENTAS[[#This Row],[Precio Venta]]</f>
        <v>1.72</v>
      </c>
      <c r="J1625" s="12">
        <f>IF(VENTAS[[#This Row],[Nombre del Gestor]]&gt;1,VENTAS[[#This Row],[Total]]*10%,0)</f>
        <v>0</v>
      </c>
      <c r="K1625" s="12">
        <f>IFERROR(VLOOKUP(VENTAS[[#This Row],[Código del producto Vendido]],STOCK[],16,FALSE)*VENTAS[[#This Row],[Cantidad]]+VLOOKUP(VENTAS[[#This Row],[Código del producto Vendido]],STOCK[],19,FALSE)*VENTAS[[#This Row],[Cantidad]],VENTAS[[#This Row],[Total]])</f>
        <v>1.72</v>
      </c>
      <c r="L1625" s="12">
        <f>VENTAS[[#This Row],[Total]]-VENTAS[[#This Row],[Comisión 10%]]-VENTAS[[#This Row],[Costo SIN Comision]]</f>
        <v>0</v>
      </c>
      <c r="M1625" s="12"/>
      <c r="N1625" s="16"/>
    </row>
    <row r="1626" spans="1:14" ht="20" hidden="1" customHeight="1">
      <c r="A1626" s="9">
        <v>45588</v>
      </c>
      <c r="B1626" s="10"/>
      <c r="C1626" s="10" t="s">
        <v>4611</v>
      </c>
      <c r="D1626" s="10"/>
      <c r="E1626" s="10" t="s">
        <v>3260</v>
      </c>
      <c r="F1626" s="10" t="str">
        <f>IFERROR(VLOOKUP(VENTAS[[#This Row],[Código del producto Vendido]],STOCK[],5,FALSE),"-")</f>
        <v>Calcetines bajos de algodón color blanco</v>
      </c>
      <c r="G1626" s="10">
        <v>1</v>
      </c>
      <c r="H1626" s="12">
        <v>0.86</v>
      </c>
      <c r="I1626" s="12">
        <f>VENTAS[[#This Row],[Cantidad]]*VENTAS[[#This Row],[Precio Venta]]</f>
        <v>0.86</v>
      </c>
      <c r="J1626" s="12">
        <f>IF(VENTAS[[#This Row],[Nombre del Gestor]]&gt;1,VENTAS[[#This Row],[Total]]*10%,0)</f>
        <v>0</v>
      </c>
      <c r="K1626" s="12">
        <f>IFERROR(VLOOKUP(VENTAS[[#This Row],[Código del producto Vendido]],STOCK[],16,FALSE)*VENTAS[[#This Row],[Cantidad]]+VLOOKUP(VENTAS[[#This Row],[Código del producto Vendido]],STOCK[],19,FALSE)*VENTAS[[#This Row],[Cantidad]],VENTAS[[#This Row],[Total]])</f>
        <v>0.86</v>
      </c>
      <c r="L1626" s="12">
        <f>VENTAS[[#This Row],[Total]]-VENTAS[[#This Row],[Comisión 10%]]-VENTAS[[#This Row],[Costo SIN Comision]]</f>
        <v>0</v>
      </c>
      <c r="M1626" s="12"/>
      <c r="N1626" s="16"/>
    </row>
    <row r="1627" spans="1:14" ht="20" hidden="1" customHeight="1">
      <c r="A1627" s="9">
        <v>45588</v>
      </c>
      <c r="B1627" s="10"/>
      <c r="C1627" s="10" t="s">
        <v>4612</v>
      </c>
      <c r="D1627" s="10"/>
      <c r="E1627" s="10"/>
      <c r="F1627" s="10" t="str">
        <f>IFERROR(VLOOKUP(VENTAS[[#This Row],[Código del producto Vendido]],STOCK[],5,FALSE),"-")</f>
        <v>-</v>
      </c>
      <c r="G1627" s="10"/>
      <c r="H1627" s="12">
        <v>0</v>
      </c>
      <c r="I1627" s="12">
        <f>VENTAS[[#This Row],[Cantidad]]*VENTAS[[#This Row],[Precio Venta]]</f>
        <v>0</v>
      </c>
      <c r="J1627" s="12">
        <f>IF(VENTAS[[#This Row],[Nombre del Gestor]]&gt;1,VENTAS[[#This Row],[Total]]*10%,0)</f>
        <v>0</v>
      </c>
      <c r="K1627" s="12">
        <f>IFERROR(VLOOKUP(VENTAS[[#This Row],[Código del producto Vendido]],STOCK[],16,FALSE)*VENTAS[[#This Row],[Cantidad]]+VLOOKUP(VENTAS[[#This Row],[Código del producto Vendido]],STOCK[],19,FALSE)*VENTAS[[#This Row],[Cantidad]],VENTAS[[#This Row],[Total]])</f>
        <v>0</v>
      </c>
      <c r="L1627" s="12">
        <f>VENTAS[[#This Row],[Total]]-VENTAS[[#This Row],[Comisión 10%]]-VENTAS[[#This Row],[Costo SIN Comision]]</f>
        <v>0</v>
      </c>
      <c r="M1627" s="12"/>
      <c r="N1627" s="16"/>
    </row>
    <row r="1628" spans="1:14" ht="20" hidden="1" customHeight="1">
      <c r="A1628" s="9">
        <v>45588</v>
      </c>
      <c r="B1628" s="10"/>
      <c r="C1628" s="10"/>
      <c r="D1628" s="10"/>
      <c r="E1628" s="10" t="s">
        <v>2832</v>
      </c>
      <c r="F1628" s="10" t="str">
        <f>IFERROR(VLOOKUP(VENTAS[[#This Row],[Código del producto Vendido]],STOCK[],5,FALSE),"-")</f>
        <v xml:space="preserve">Traje de baño en bloque de color </v>
      </c>
      <c r="G1628" s="10">
        <v>1</v>
      </c>
      <c r="H1628" s="12">
        <v>25</v>
      </c>
      <c r="I1628" s="12">
        <f>VENTAS[[#This Row],[Cantidad]]*VENTAS[[#This Row],[Precio Venta]]</f>
        <v>25</v>
      </c>
      <c r="J1628" s="12">
        <f>IF(VENTAS[[#This Row],[Nombre del Gestor]]&gt;1,VENTAS[[#This Row],[Total]]*10%,0)</f>
        <v>0</v>
      </c>
      <c r="K1628" s="12">
        <f>IFERROR(VLOOKUP(VENTAS[[#This Row],[Código del producto Vendido]],STOCK[],16,FALSE)*VENTAS[[#This Row],[Cantidad]]+VLOOKUP(VENTAS[[#This Row],[Código del producto Vendido]],STOCK[],19,FALSE)*VENTAS[[#This Row],[Cantidad]],VENTAS[[#This Row],[Total]])</f>
        <v>11.94</v>
      </c>
      <c r="L1628" s="12">
        <f>VENTAS[[#This Row],[Total]]-VENTAS[[#This Row],[Comisión 10%]]-VENTAS[[#This Row],[Costo SIN Comision]]</f>
        <v>13.06</v>
      </c>
      <c r="M1628" s="12"/>
      <c r="N1628" s="16"/>
    </row>
    <row r="1629" spans="1:14" ht="20" hidden="1" customHeight="1">
      <c r="A1629" s="9"/>
      <c r="B1629" s="10"/>
      <c r="C1629" s="10"/>
      <c r="D1629" s="10" t="s">
        <v>4511</v>
      </c>
      <c r="E1629" s="10" t="s">
        <v>2826</v>
      </c>
      <c r="F1629" s="10" t="str">
        <f>IFERROR(VLOOKUP(VENTAS[[#This Row],[Código del producto Vendido]],STOCK[],5,FALSE),"-")</f>
        <v>Bolso tejido redondo de gran capacidad Beis</v>
      </c>
      <c r="G1629" s="10">
        <v>1</v>
      </c>
      <c r="H1629" s="12">
        <v>25</v>
      </c>
      <c r="I1629" s="12">
        <f>VENTAS[[#This Row],[Cantidad]]*VENTAS[[#This Row],[Precio Venta]]</f>
        <v>25</v>
      </c>
      <c r="J1629" s="12">
        <f>IF(VENTAS[[#This Row],[Nombre del Gestor]]&gt;1,VENTAS[[#This Row],[Total]]*10%,0)</f>
        <v>2.5</v>
      </c>
      <c r="K1629" s="12">
        <f>IFERROR(VLOOKUP(VENTAS[[#This Row],[Código del producto Vendido]],STOCK[],16,FALSE)*VENTAS[[#This Row],[Cantidad]]+VLOOKUP(VENTAS[[#This Row],[Código del producto Vendido]],STOCK[],19,FALSE)*VENTAS[[#This Row],[Cantidad]],VENTAS[[#This Row],[Total]])</f>
        <v>12.74</v>
      </c>
      <c r="L1629" s="12">
        <f>VENTAS[[#This Row],[Total]]-VENTAS[[#This Row],[Comisión 10%]]-VENTAS[[#This Row],[Costo SIN Comision]]</f>
        <v>9.76</v>
      </c>
      <c r="M1629" s="12"/>
      <c r="N1629" s="16"/>
    </row>
    <row r="1630" spans="1:14" ht="20" hidden="1" customHeight="1">
      <c r="A1630" s="9"/>
      <c r="B1630" s="10"/>
      <c r="C1630" s="10"/>
      <c r="D1630" s="10" t="s">
        <v>4511</v>
      </c>
      <c r="E1630" s="10" t="s">
        <v>2814</v>
      </c>
      <c r="F1630" s="10" t="str">
        <f>IFERROR(VLOOKUP(VENTAS[[#This Row],[Código del producto Vendido]],STOCK[],5,FALSE),"-")</f>
        <v>Bolso elegante de estilo sillín</v>
      </c>
      <c r="G1630" s="10">
        <v>1</v>
      </c>
      <c r="H1630" s="12">
        <v>22</v>
      </c>
      <c r="I1630" s="12">
        <f>VENTAS[[#This Row],[Cantidad]]*VENTAS[[#This Row],[Precio Venta]]</f>
        <v>22</v>
      </c>
      <c r="J1630" s="12">
        <f>IF(VENTAS[[#This Row],[Nombre del Gestor]]&gt;1,VENTAS[[#This Row],[Total]]*10%,0)</f>
        <v>2.2000000000000002</v>
      </c>
      <c r="K1630" s="12">
        <f>IFERROR(VLOOKUP(VENTAS[[#This Row],[Código del producto Vendido]],STOCK[],16,FALSE)*VENTAS[[#This Row],[Cantidad]]+VLOOKUP(VENTAS[[#This Row],[Código del producto Vendido]],STOCK[],19,FALSE)*VENTAS[[#This Row],[Cantidad]],VENTAS[[#This Row],[Total]])</f>
        <v>10.280000000000001</v>
      </c>
      <c r="L1630" s="12">
        <f>VENTAS[[#This Row],[Total]]-VENTAS[[#This Row],[Comisión 10%]]-VENTAS[[#This Row],[Costo SIN Comision]]</f>
        <v>9.52</v>
      </c>
      <c r="M1630" s="12"/>
      <c r="N1630" s="16"/>
    </row>
    <row r="1631" spans="1:14" ht="20" hidden="1" customHeight="1">
      <c r="A1631" s="9"/>
      <c r="B1631" s="10"/>
      <c r="C1631" s="10"/>
      <c r="D1631" s="10" t="s">
        <v>4380</v>
      </c>
      <c r="E1631" s="10" t="s">
        <v>2777</v>
      </c>
      <c r="F1631" s="10" t="str">
        <f>IFERROR(VLOOKUP(VENTAS[[#This Row],[Código del producto Vendido]],STOCK[],5,FALSE),"-")</f>
        <v>Sandalias espadriles de saco nude atada al tobillo</v>
      </c>
      <c r="G1631" s="10">
        <v>0</v>
      </c>
      <c r="H1631" s="12">
        <v>35</v>
      </c>
      <c r="I1631" s="12">
        <f>VENTAS[[#This Row],[Cantidad]]*VENTAS[[#This Row],[Precio Venta]]</f>
        <v>0</v>
      </c>
      <c r="J1631" s="12">
        <f>IF(VENTAS[[#This Row],[Nombre del Gestor]]&gt;1,VENTAS[[#This Row],[Total]]*10%,0)</f>
        <v>0</v>
      </c>
      <c r="K1631" s="12">
        <f>IFERROR(VLOOKUP(VENTAS[[#This Row],[Código del producto Vendido]],STOCK[],16,FALSE)*VENTAS[[#This Row],[Cantidad]]+VLOOKUP(VENTAS[[#This Row],[Código del producto Vendido]],STOCK[],19,FALSE)*VENTAS[[#This Row],[Cantidad]],VENTAS[[#This Row],[Total]])</f>
        <v>0</v>
      </c>
      <c r="L1631" s="12">
        <f>VENTAS[[#This Row],[Total]]-VENTAS[[#This Row],[Comisión 10%]]-VENTAS[[#This Row],[Costo SIN Comision]]</f>
        <v>0</v>
      </c>
      <c r="M1631" s="12"/>
      <c r="N1631" s="16"/>
    </row>
    <row r="1632" spans="1:14" ht="20" hidden="1" customHeight="1">
      <c r="A1632" s="9"/>
      <c r="B1632" s="10"/>
      <c r="C1632" s="10" t="s">
        <v>4406</v>
      </c>
      <c r="D1632" s="10"/>
      <c r="E1632" s="10"/>
      <c r="F1632" s="10" t="str">
        <f>IFERROR(VLOOKUP(VENTAS[[#This Row],[Código del producto Vendido]],STOCK[],5,FALSE),"-")</f>
        <v>-</v>
      </c>
      <c r="G1632" s="10"/>
      <c r="H1632" s="12">
        <v>15</v>
      </c>
      <c r="I1632" s="12">
        <f>VENTAS[[#This Row],[Cantidad]]*VENTAS[[#This Row],[Precio Venta]]</f>
        <v>0</v>
      </c>
      <c r="J1632" s="12">
        <f>IF(VENTAS[[#This Row],[Nombre del Gestor]]&gt;1,VENTAS[[#This Row],[Total]]*10%,0)</f>
        <v>0</v>
      </c>
      <c r="K1632" s="12">
        <f>IFERROR(VLOOKUP(VENTAS[[#This Row],[Código del producto Vendido]],STOCK[],16,FALSE)*VENTAS[[#This Row],[Cantidad]]+VLOOKUP(VENTAS[[#This Row],[Código del producto Vendido]],STOCK[],19,FALSE)*VENTAS[[#This Row],[Cantidad]],VENTAS[[#This Row],[Total]])</f>
        <v>0</v>
      </c>
      <c r="L1632" s="12">
        <f>VENTAS[[#This Row],[Total]]-VENTAS[[#This Row],[Comisión 10%]]-VENTAS[[#This Row],[Costo SIN Comision]]</f>
        <v>0</v>
      </c>
      <c r="M1632" s="12"/>
      <c r="N1632" s="16"/>
    </row>
    <row r="1633" spans="1:14" ht="20" hidden="1" customHeight="1">
      <c r="A1633" s="9"/>
      <c r="B1633" s="10"/>
      <c r="C1633" s="10"/>
      <c r="D1633" s="10"/>
      <c r="E1633" s="10" t="s">
        <v>2826</v>
      </c>
      <c r="F1633" s="10" t="str">
        <f>IFERROR(VLOOKUP(VENTAS[[#This Row],[Código del producto Vendido]],STOCK[],5,FALSE),"-")</f>
        <v>Bolso tejido redondo de gran capacidad Beis</v>
      </c>
      <c r="G1633" s="10">
        <v>1</v>
      </c>
      <c r="H1633" s="12">
        <v>25</v>
      </c>
      <c r="I1633" s="12">
        <f>VENTAS[[#This Row],[Cantidad]]*VENTAS[[#This Row],[Precio Venta]]</f>
        <v>25</v>
      </c>
      <c r="J1633" s="12">
        <f>IF(VENTAS[[#This Row],[Nombre del Gestor]]&gt;1,VENTAS[[#This Row],[Total]]*10%,0)</f>
        <v>0</v>
      </c>
      <c r="K1633" s="12">
        <f>IFERROR(VLOOKUP(VENTAS[[#This Row],[Código del producto Vendido]],STOCK[],16,FALSE)*VENTAS[[#This Row],[Cantidad]]+VLOOKUP(VENTAS[[#This Row],[Código del producto Vendido]],STOCK[],19,FALSE)*VENTAS[[#This Row],[Cantidad]],VENTAS[[#This Row],[Total]])</f>
        <v>12.74</v>
      </c>
      <c r="L1633" s="12">
        <f>VENTAS[[#This Row],[Total]]-VENTAS[[#This Row],[Comisión 10%]]-VENTAS[[#This Row],[Costo SIN Comision]]</f>
        <v>12.26</v>
      </c>
      <c r="M1633" s="12"/>
      <c r="N1633" s="16"/>
    </row>
    <row r="1634" spans="1:14" ht="20" hidden="1" customHeight="1">
      <c r="A1634" s="9"/>
      <c r="B1634" s="10"/>
      <c r="C1634" s="10"/>
      <c r="D1634" s="10" t="s">
        <v>4532</v>
      </c>
      <c r="E1634" s="10" t="s">
        <v>1285</v>
      </c>
      <c r="F1634" s="10" t="str">
        <f>IFERROR(VLOOKUP(VENTAS[[#This Row],[Código del producto Vendido]],STOCK[],5,FALSE),"-")</f>
        <v>Pantalón de corte recto</v>
      </c>
      <c r="G1634" s="10">
        <v>1</v>
      </c>
      <c r="H1634" s="12">
        <v>28</v>
      </c>
      <c r="I1634" s="12">
        <f>VENTAS[[#This Row],[Cantidad]]*VENTAS[[#This Row],[Precio Venta]]</f>
        <v>28</v>
      </c>
      <c r="J1634" s="12">
        <f>IF(VENTAS[[#This Row],[Nombre del Gestor]]&gt;1,VENTAS[[#This Row],[Total]]*10%,0)</f>
        <v>2.8000000000000003</v>
      </c>
      <c r="K1634" s="12">
        <f>IFERROR(VLOOKUP(VENTAS[[#This Row],[Código del producto Vendido]],STOCK[],16,FALSE)*VENTAS[[#This Row],[Cantidad]]+VLOOKUP(VENTAS[[#This Row],[Código del producto Vendido]],STOCK[],19,FALSE)*VENTAS[[#This Row],[Cantidad]],VENTAS[[#This Row],[Total]])</f>
        <v>20.78</v>
      </c>
      <c r="L1634" s="12">
        <f>VENTAS[[#This Row],[Total]]-VENTAS[[#This Row],[Comisión 10%]]-VENTAS[[#This Row],[Costo SIN Comision]]</f>
        <v>4.4199999999999982</v>
      </c>
      <c r="M1634" s="12"/>
      <c r="N1634" s="16"/>
    </row>
    <row r="1635" spans="1:14" ht="20" hidden="1" customHeight="1">
      <c r="A1635" s="9"/>
      <c r="B1635" s="10"/>
      <c r="C1635" s="10"/>
      <c r="D1635" s="10"/>
      <c r="E1635" s="10" t="s">
        <v>2022</v>
      </c>
      <c r="F1635" s="10" t="str">
        <f>IFERROR(VLOOKUP(VENTAS[[#This Row],[Código del producto Vendido]],STOCK[],5,FALSE),"-")</f>
        <v xml:space="preserve">Jogger afelpado de talle alto </v>
      </c>
      <c r="G1635" s="10">
        <v>0</v>
      </c>
      <c r="H1635" s="12">
        <v>22</v>
      </c>
      <c r="I1635" s="12">
        <f>VENTAS[[#This Row],[Cantidad]]*VENTAS[[#This Row],[Precio Venta]]</f>
        <v>0</v>
      </c>
      <c r="J1635" s="12">
        <f>IF(VENTAS[[#This Row],[Nombre del Gestor]]&gt;1,VENTAS[[#This Row],[Total]]*10%,0)</f>
        <v>0</v>
      </c>
      <c r="K1635" s="12">
        <f>IFERROR(VLOOKUP(VENTAS[[#This Row],[Código del producto Vendido]],STOCK[],16,FALSE)*VENTAS[[#This Row],[Cantidad]]+VLOOKUP(VENTAS[[#This Row],[Código del producto Vendido]],STOCK[],19,FALSE)*VENTAS[[#This Row],[Cantidad]],VENTAS[[#This Row],[Total]])</f>
        <v>0</v>
      </c>
      <c r="L1635" s="12">
        <f>VENTAS[[#This Row],[Total]]-VENTAS[[#This Row],[Comisión 10%]]-VENTAS[[#This Row],[Costo SIN Comision]]</f>
        <v>0</v>
      </c>
      <c r="M1635" s="12"/>
      <c r="N1635" s="16"/>
    </row>
    <row r="1636" spans="1:14" ht="20" hidden="1" customHeight="1">
      <c r="A1636" s="9"/>
      <c r="B1636" s="10"/>
      <c r="C1636" s="10" t="s">
        <v>4613</v>
      </c>
      <c r="D1636" s="10"/>
      <c r="E1636" s="10" t="s">
        <v>2407</v>
      </c>
      <c r="F1636" s="10" t="str">
        <f>IFERROR(VLOOKUP(VENTAS[[#This Row],[Código del producto Vendido]],STOCK[],5,FALSE),"-")</f>
        <v>Pantalón de vestir de viscosa y lino (beige claro)</v>
      </c>
      <c r="G1636" s="10">
        <v>1</v>
      </c>
      <c r="H1636" s="12">
        <v>0</v>
      </c>
      <c r="I1636" s="12">
        <f>VENTAS[[#This Row],[Cantidad]]*VENTAS[[#This Row],[Precio Venta]]</f>
        <v>0</v>
      </c>
      <c r="J1636" s="12">
        <f>IF(VENTAS[[#This Row],[Nombre del Gestor]]&gt;1,VENTAS[[#This Row],[Total]]*10%,0)</f>
        <v>0</v>
      </c>
      <c r="K1636" s="12">
        <f>IFERROR(VLOOKUP(VENTAS[[#This Row],[Código del producto Vendido]],STOCK[],16,FALSE)*VENTAS[[#This Row],[Cantidad]]+VLOOKUP(VENTAS[[#This Row],[Código del producto Vendido]],STOCK[],19,FALSE)*VENTAS[[#This Row],[Cantidad]],VENTAS[[#This Row],[Total]])</f>
        <v>17.252021151586401</v>
      </c>
      <c r="L1636" s="12">
        <f>VENTAS[[#This Row],[Total]]-VENTAS[[#This Row],[Comisión 10%]]-VENTAS[[#This Row],[Costo SIN Comision]]</f>
        <v>-17.252021151586401</v>
      </c>
      <c r="M1636" s="12"/>
      <c r="N1636" s="16"/>
    </row>
    <row r="1637" spans="1:14" ht="20" hidden="1" customHeight="1">
      <c r="A1637" s="9"/>
      <c r="B1637" s="10"/>
      <c r="C1637" s="10"/>
      <c r="D1637" s="10"/>
      <c r="E1637" s="10" t="s">
        <v>2412</v>
      </c>
      <c r="F1637" s="10" t="str">
        <f>IFERROR(VLOOKUP(VENTAS[[#This Row],[Código del producto Vendido]],STOCK[],5,FALSE),"-")</f>
        <v>Pantalón de vestir de viscosa y lino (beige claro)</v>
      </c>
      <c r="G1637" s="10">
        <v>1</v>
      </c>
      <c r="H1637" s="12">
        <v>35</v>
      </c>
      <c r="I1637" s="12">
        <f>VENTAS[[#This Row],[Cantidad]]*VENTAS[[#This Row],[Precio Venta]]</f>
        <v>35</v>
      </c>
      <c r="J1637" s="12">
        <f>IF(VENTAS[[#This Row],[Nombre del Gestor]]&gt;1,VENTAS[[#This Row],[Total]]*10%,0)</f>
        <v>0</v>
      </c>
      <c r="K1637" s="12">
        <f>IFERROR(VLOOKUP(VENTAS[[#This Row],[Código del producto Vendido]],STOCK[],16,FALSE)*VENTAS[[#This Row],[Cantidad]]+VLOOKUP(VENTAS[[#This Row],[Código del producto Vendido]],STOCK[],19,FALSE)*VENTAS[[#This Row],[Cantidad]],VENTAS[[#This Row],[Total]])</f>
        <v>17.252021151586401</v>
      </c>
      <c r="L1637" s="12">
        <f>VENTAS[[#This Row],[Total]]-VENTAS[[#This Row],[Comisión 10%]]-VENTAS[[#This Row],[Costo SIN Comision]]</f>
        <v>17.747978848413599</v>
      </c>
      <c r="M1637" s="12"/>
      <c r="N1637" s="16"/>
    </row>
    <row r="1638" spans="1:14" ht="20" hidden="1" customHeight="1">
      <c r="A1638" s="9"/>
      <c r="B1638" s="10"/>
      <c r="C1638" s="10"/>
      <c r="D1638" s="10"/>
      <c r="E1638" s="10" t="s">
        <v>2412</v>
      </c>
      <c r="F1638" s="10" t="str">
        <f>IFERROR(VLOOKUP(VENTAS[[#This Row],[Código del producto Vendido]],STOCK[],5,FALSE),"-")</f>
        <v>Pantalón de vestir de viscosa y lino (beige claro)</v>
      </c>
      <c r="G1638" s="10">
        <v>1</v>
      </c>
      <c r="H1638" s="12">
        <v>35</v>
      </c>
      <c r="I1638" s="12">
        <f>VENTAS[[#This Row],[Cantidad]]*VENTAS[[#This Row],[Precio Venta]]</f>
        <v>35</v>
      </c>
      <c r="J1638" s="12">
        <f>IF(VENTAS[[#This Row],[Nombre del Gestor]]&gt;1,VENTAS[[#This Row],[Total]]*10%,0)</f>
        <v>0</v>
      </c>
      <c r="K1638" s="12">
        <f>IFERROR(VLOOKUP(VENTAS[[#This Row],[Código del producto Vendido]],STOCK[],16,FALSE)*VENTAS[[#This Row],[Cantidad]]+VLOOKUP(VENTAS[[#This Row],[Código del producto Vendido]],STOCK[],19,FALSE)*VENTAS[[#This Row],[Cantidad]],VENTAS[[#This Row],[Total]])</f>
        <v>17.252021151586401</v>
      </c>
      <c r="L1638" s="12">
        <f>VENTAS[[#This Row],[Total]]-VENTAS[[#This Row],[Comisión 10%]]-VENTAS[[#This Row],[Costo SIN Comision]]</f>
        <v>17.747978848413599</v>
      </c>
      <c r="M1638" s="12"/>
      <c r="N1638" s="16"/>
    </row>
    <row r="1639" spans="1:14" ht="20" hidden="1" customHeight="1">
      <c r="A1639" s="9"/>
      <c r="B1639" s="10"/>
      <c r="C1639" s="10"/>
      <c r="D1639" s="10"/>
      <c r="E1639" s="10" t="s">
        <v>2410</v>
      </c>
      <c r="F1639" s="10" t="str">
        <f>IFERROR(VLOOKUP(VENTAS[[#This Row],[Código del producto Vendido]],STOCK[],5,FALSE),"-")</f>
        <v>Pantalón de vestir de viscosa y lino (beige claro)</v>
      </c>
      <c r="G1639" s="10">
        <v>0</v>
      </c>
      <c r="H1639" s="12">
        <v>35</v>
      </c>
      <c r="I1639" s="12">
        <f>VENTAS[[#This Row],[Cantidad]]*VENTAS[[#This Row],[Precio Venta]]</f>
        <v>0</v>
      </c>
      <c r="J1639" s="12">
        <f>IF(VENTAS[[#This Row],[Nombre del Gestor]]&gt;1,VENTAS[[#This Row],[Total]]*10%,0)</f>
        <v>0</v>
      </c>
      <c r="K1639" s="12">
        <f>IFERROR(VLOOKUP(VENTAS[[#This Row],[Código del producto Vendido]],STOCK[],16,FALSE)*VENTAS[[#This Row],[Cantidad]]+VLOOKUP(VENTAS[[#This Row],[Código del producto Vendido]],STOCK[],19,FALSE)*VENTAS[[#This Row],[Cantidad]],VENTAS[[#This Row],[Total]])</f>
        <v>0</v>
      </c>
      <c r="L1639" s="12">
        <f>VENTAS[[#This Row],[Total]]-VENTAS[[#This Row],[Comisión 10%]]-VENTAS[[#This Row],[Costo SIN Comision]]</f>
        <v>0</v>
      </c>
      <c r="M1639" s="12"/>
      <c r="N1639" s="16"/>
    </row>
    <row r="1640" spans="1:14" ht="20" hidden="1" customHeight="1">
      <c r="A1640" s="9"/>
      <c r="B1640" s="10"/>
      <c r="C1640" s="10"/>
      <c r="D1640" s="10"/>
      <c r="E1640" s="10" t="s">
        <v>2985</v>
      </c>
      <c r="F1640" s="10" t="str">
        <f>IFERROR(VLOOKUP(VENTAS[[#This Row],[Código del producto Vendido]],STOCK[],5,FALSE),"-")</f>
        <v>Vestido playero largo de mangas con escote V</v>
      </c>
      <c r="G1640" s="10">
        <v>1</v>
      </c>
      <c r="H1640" s="12">
        <v>30</v>
      </c>
      <c r="I1640" s="12">
        <f>VENTAS[[#This Row],[Cantidad]]*VENTAS[[#This Row],[Precio Venta]]</f>
        <v>30</v>
      </c>
      <c r="J1640" s="12">
        <f>IF(VENTAS[[#This Row],[Nombre del Gestor]]&gt;1,VENTAS[[#This Row],[Total]]*10%,0)</f>
        <v>0</v>
      </c>
      <c r="K1640" s="12">
        <f>IFERROR(VLOOKUP(VENTAS[[#This Row],[Código del producto Vendido]],STOCK[],16,FALSE)*VENTAS[[#This Row],[Cantidad]]+VLOOKUP(VENTAS[[#This Row],[Código del producto Vendido]],STOCK[],19,FALSE)*VENTAS[[#This Row],[Cantidad]],VENTAS[[#This Row],[Total]])</f>
        <v>11.02</v>
      </c>
      <c r="L1640" s="12">
        <f>VENTAS[[#This Row],[Total]]-VENTAS[[#This Row],[Comisión 10%]]-VENTAS[[#This Row],[Costo SIN Comision]]</f>
        <v>18.98</v>
      </c>
      <c r="M1640" s="12"/>
      <c r="N1640" s="16"/>
    </row>
    <row r="1641" spans="1:14" ht="20" hidden="1" customHeight="1">
      <c r="A1641" s="9"/>
      <c r="B1641" s="10"/>
      <c r="C1641" s="10"/>
      <c r="D1641" s="10"/>
      <c r="E1641" s="10" t="s">
        <v>2864</v>
      </c>
      <c r="F1641" s="10" t="str">
        <f>IFERROR(VLOOKUP(VENTAS[[#This Row],[Código del producto Vendido]],STOCK[],5,FALSE),"-")</f>
        <v>Vestido de espalda descubierta de color sólido y tirantes de espagueti</v>
      </c>
      <c r="G1641" s="10">
        <v>1</v>
      </c>
      <c r="H1641" s="12">
        <v>25</v>
      </c>
      <c r="I1641" s="12">
        <f>VENTAS[[#This Row],[Cantidad]]*VENTAS[[#This Row],[Precio Venta]]</f>
        <v>25</v>
      </c>
      <c r="J1641" s="12">
        <f>IF(VENTAS[[#This Row],[Nombre del Gestor]]&gt;1,VENTAS[[#This Row],[Total]]*10%,0)</f>
        <v>0</v>
      </c>
      <c r="K1641" s="12">
        <f>IFERROR(VLOOKUP(VENTAS[[#This Row],[Código del producto Vendido]],STOCK[],16,FALSE)*VENTAS[[#This Row],[Cantidad]]+VLOOKUP(VENTAS[[#This Row],[Código del producto Vendido]],STOCK[],19,FALSE)*VENTAS[[#This Row],[Cantidad]],VENTAS[[#This Row],[Total]])</f>
        <v>11.98</v>
      </c>
      <c r="L1641" s="12">
        <f>VENTAS[[#This Row],[Total]]-VENTAS[[#This Row],[Comisión 10%]]-VENTAS[[#This Row],[Costo SIN Comision]]</f>
        <v>13.02</v>
      </c>
      <c r="M1641" s="12"/>
      <c r="N1641" s="16"/>
    </row>
    <row r="1642" spans="1:14" ht="20" hidden="1" customHeight="1">
      <c r="A1642" s="9"/>
      <c r="B1642" s="10"/>
      <c r="C1642" s="10"/>
      <c r="D1642" s="10"/>
      <c r="E1642" s="10" t="s">
        <v>2864</v>
      </c>
      <c r="F1642" s="10" t="str">
        <f>IFERROR(VLOOKUP(VENTAS[[#This Row],[Código del producto Vendido]],STOCK[],5,FALSE),"-")</f>
        <v>Vestido de espalda descubierta de color sólido y tirantes de espagueti</v>
      </c>
      <c r="G1642" s="10">
        <v>1</v>
      </c>
      <c r="H1642" s="12">
        <v>25</v>
      </c>
      <c r="I1642" s="12">
        <f>VENTAS[[#This Row],[Cantidad]]*VENTAS[[#This Row],[Precio Venta]]</f>
        <v>25</v>
      </c>
      <c r="J1642" s="12">
        <f>IF(VENTAS[[#This Row],[Nombre del Gestor]]&gt;1,VENTAS[[#This Row],[Total]]*10%,0)</f>
        <v>0</v>
      </c>
      <c r="K1642" s="12">
        <f>IFERROR(VLOOKUP(VENTAS[[#This Row],[Código del producto Vendido]],STOCK[],16,FALSE)*VENTAS[[#This Row],[Cantidad]]+VLOOKUP(VENTAS[[#This Row],[Código del producto Vendido]],STOCK[],19,FALSE)*VENTAS[[#This Row],[Cantidad]],VENTAS[[#This Row],[Total]])</f>
        <v>11.98</v>
      </c>
      <c r="L1642" s="12">
        <f>VENTAS[[#This Row],[Total]]-VENTAS[[#This Row],[Comisión 10%]]-VENTAS[[#This Row],[Costo SIN Comision]]</f>
        <v>13.02</v>
      </c>
      <c r="M1642" s="12"/>
      <c r="N1642" s="16"/>
    </row>
    <row r="1643" spans="1:14" ht="20" hidden="1" customHeight="1">
      <c r="A1643" s="9"/>
      <c r="B1643" s="10"/>
      <c r="C1643" s="10"/>
      <c r="D1643" s="10"/>
      <c r="E1643" s="10" t="s">
        <v>2866</v>
      </c>
      <c r="F1643" s="10" t="str">
        <f>IFERROR(VLOOKUP(VENTAS[[#This Row],[Código del producto Vendido]],STOCK[],5,FALSE),"-")</f>
        <v>Vestido de espalda descubierta de color sólido y tirantes de espagueti</v>
      </c>
      <c r="G1643" s="10">
        <v>1</v>
      </c>
      <c r="H1643" s="12">
        <v>25</v>
      </c>
      <c r="I1643" s="12">
        <f>VENTAS[[#This Row],[Cantidad]]*VENTAS[[#This Row],[Precio Venta]]</f>
        <v>25</v>
      </c>
      <c r="J1643" s="12">
        <f>IF(VENTAS[[#This Row],[Nombre del Gestor]]&gt;1,VENTAS[[#This Row],[Total]]*10%,0)</f>
        <v>0</v>
      </c>
      <c r="K1643" s="12">
        <f>IFERROR(VLOOKUP(VENTAS[[#This Row],[Código del producto Vendido]],STOCK[],16,FALSE)*VENTAS[[#This Row],[Cantidad]]+VLOOKUP(VENTAS[[#This Row],[Código del producto Vendido]],STOCK[],19,FALSE)*VENTAS[[#This Row],[Cantidad]],VENTAS[[#This Row],[Total]])</f>
        <v>11.98</v>
      </c>
      <c r="L1643" s="12">
        <f>VENTAS[[#This Row],[Total]]-VENTAS[[#This Row],[Comisión 10%]]-VENTAS[[#This Row],[Costo SIN Comision]]</f>
        <v>13.02</v>
      </c>
      <c r="M1643" s="12"/>
      <c r="N1643" s="16"/>
    </row>
    <row r="1644" spans="1:14" ht="20" hidden="1" customHeight="1">
      <c r="A1644" s="9"/>
      <c r="B1644" s="10"/>
      <c r="C1644" s="10" t="s">
        <v>4614</v>
      </c>
      <c r="D1644" s="10"/>
      <c r="E1644" s="10" t="s">
        <v>2440</v>
      </c>
      <c r="F1644" s="10" t="str">
        <f>IFERROR(VLOOKUP(VENTAS[[#This Row],[Código del producto Vendido]],STOCK[],5,FALSE),"-")</f>
        <v>Pantalón cigarrette ajustado elegante</v>
      </c>
      <c r="G1644" s="10">
        <v>1</v>
      </c>
      <c r="H1644" s="12">
        <v>35</v>
      </c>
      <c r="I1644" s="12">
        <f>VENTAS[[#This Row],[Cantidad]]*VENTAS[[#This Row],[Precio Venta]]</f>
        <v>35</v>
      </c>
      <c r="J1644" s="12">
        <f>IF(VENTAS[[#This Row],[Nombre del Gestor]]&gt;1,VENTAS[[#This Row],[Total]]*10%,0)</f>
        <v>0</v>
      </c>
      <c r="K1644" s="12">
        <f>IFERROR(VLOOKUP(VENTAS[[#This Row],[Código del producto Vendido]],STOCK[],16,FALSE)*VENTAS[[#This Row],[Cantidad]]+VLOOKUP(VENTAS[[#This Row],[Código del producto Vendido]],STOCK[],19,FALSE)*VENTAS[[#This Row],[Cantidad]],VENTAS[[#This Row],[Total]])</f>
        <v>16.1944418331375</v>
      </c>
      <c r="L1644" s="12">
        <f>VENTAS[[#This Row],[Total]]-VENTAS[[#This Row],[Comisión 10%]]-VENTAS[[#This Row],[Costo SIN Comision]]</f>
        <v>18.8055581668625</v>
      </c>
      <c r="M1644" s="12"/>
      <c r="N1644" s="16"/>
    </row>
    <row r="1645" spans="1:14" ht="20" hidden="1" customHeight="1">
      <c r="A1645" s="9"/>
      <c r="B1645" s="10"/>
      <c r="C1645" s="10"/>
      <c r="D1645" s="10"/>
      <c r="E1645" s="10" t="s">
        <v>2442</v>
      </c>
      <c r="F1645" s="10" t="str">
        <f>IFERROR(VLOOKUP(VENTAS[[#This Row],[Código del producto Vendido]],STOCK[],5,FALSE),"-")</f>
        <v>Pantalón de vestir de viscosa y lino negro</v>
      </c>
      <c r="G1645" s="10">
        <v>0</v>
      </c>
      <c r="H1645" s="12">
        <v>35</v>
      </c>
      <c r="I1645" s="12">
        <f>VENTAS[[#This Row],[Cantidad]]*VENTAS[[#This Row],[Precio Venta]]</f>
        <v>0</v>
      </c>
      <c r="J1645" s="12">
        <f>IF(VENTAS[[#This Row],[Nombre del Gestor]]&gt;1,VENTAS[[#This Row],[Total]]*10%,0)</f>
        <v>0</v>
      </c>
      <c r="K1645" s="12">
        <f>IFERROR(VLOOKUP(VENTAS[[#This Row],[Código del producto Vendido]],STOCK[],16,FALSE)*VENTAS[[#This Row],[Cantidad]]+VLOOKUP(VENTAS[[#This Row],[Código del producto Vendido]],STOCK[],19,FALSE)*VENTAS[[#This Row],[Cantidad]],VENTAS[[#This Row],[Total]])</f>
        <v>0</v>
      </c>
      <c r="L1645" s="12">
        <f>VENTAS[[#This Row],[Total]]-VENTAS[[#This Row],[Comisión 10%]]-VENTAS[[#This Row],[Costo SIN Comision]]</f>
        <v>0</v>
      </c>
      <c r="M1645" s="12"/>
      <c r="N1645" s="16"/>
    </row>
    <row r="1646" spans="1:14" ht="20" hidden="1" customHeight="1">
      <c r="A1646" s="9"/>
      <c r="B1646" s="10"/>
      <c r="C1646" s="10"/>
      <c r="D1646" s="10"/>
      <c r="E1646" s="10" t="s">
        <v>2445</v>
      </c>
      <c r="F1646" s="10" t="str">
        <f>IFERROR(VLOOKUP(VENTAS[[#This Row],[Código del producto Vendido]],STOCK[],5,FALSE),"-")</f>
        <v>Pantalón de vestir de viscosa y lino negro</v>
      </c>
      <c r="G1646" s="10">
        <v>1</v>
      </c>
      <c r="H1646" s="12">
        <v>35</v>
      </c>
      <c r="I1646" s="12">
        <f>VENTAS[[#This Row],[Cantidad]]*VENTAS[[#This Row],[Precio Venta]]</f>
        <v>35</v>
      </c>
      <c r="J1646" s="12">
        <f>IF(VENTAS[[#This Row],[Nombre del Gestor]]&gt;1,VENTAS[[#This Row],[Total]]*10%,0)</f>
        <v>0</v>
      </c>
      <c r="K1646" s="12">
        <f>IFERROR(VLOOKUP(VENTAS[[#This Row],[Código del producto Vendido]],STOCK[],16,FALSE)*VENTAS[[#This Row],[Cantidad]]+VLOOKUP(VENTAS[[#This Row],[Código del producto Vendido]],STOCK[],19,FALSE)*VENTAS[[#This Row],[Cantidad]],VENTAS[[#This Row],[Total]])</f>
        <v>15.282021151586401</v>
      </c>
      <c r="L1646" s="12">
        <f>VENTAS[[#This Row],[Total]]-VENTAS[[#This Row],[Comisión 10%]]-VENTAS[[#This Row],[Costo SIN Comision]]</f>
        <v>19.717978848413601</v>
      </c>
      <c r="M1646" s="12"/>
      <c r="N1646" s="16"/>
    </row>
    <row r="1647" spans="1:14" ht="20" hidden="1" customHeight="1">
      <c r="A1647" s="9"/>
      <c r="B1647" s="10"/>
      <c r="C1647" s="10"/>
      <c r="D1647" s="10"/>
      <c r="E1647" s="10" t="s">
        <v>2845</v>
      </c>
      <c r="F1647" s="10" t="str">
        <f>IFERROR(VLOOKUP(VENTAS[[#This Row],[Código del producto Vendido]],STOCK[],5,FALSE),"-")</f>
        <v>Pantalones largros rayados de moda de gran comodidad</v>
      </c>
      <c r="G1647" s="10">
        <v>1</v>
      </c>
      <c r="H1647" s="12">
        <v>22</v>
      </c>
      <c r="I1647" s="12">
        <f>VENTAS[[#This Row],[Cantidad]]*VENTAS[[#This Row],[Precio Venta]]</f>
        <v>22</v>
      </c>
      <c r="J1647" s="12">
        <f>IF(VENTAS[[#This Row],[Nombre del Gestor]]&gt;1,VENTAS[[#This Row],[Total]]*10%,0)</f>
        <v>0</v>
      </c>
      <c r="K1647" s="12">
        <f>IFERROR(VLOOKUP(VENTAS[[#This Row],[Código del producto Vendido]],STOCK[],16,FALSE)*VENTAS[[#This Row],[Cantidad]]+VLOOKUP(VENTAS[[#This Row],[Código del producto Vendido]],STOCK[],19,FALSE)*VENTAS[[#This Row],[Cantidad]],VENTAS[[#This Row],[Total]])</f>
        <v>10.52</v>
      </c>
      <c r="L1647" s="12">
        <f>VENTAS[[#This Row],[Total]]-VENTAS[[#This Row],[Comisión 10%]]-VENTAS[[#This Row],[Costo SIN Comision]]</f>
        <v>11.48</v>
      </c>
      <c r="M1647" s="12"/>
      <c r="N1647" s="16"/>
    </row>
    <row r="1648" spans="1:14" ht="20" hidden="1" customHeight="1">
      <c r="A1648" s="9"/>
      <c r="B1648" s="10"/>
      <c r="C1648" s="10"/>
      <c r="D1648" s="10"/>
      <c r="E1648" s="10" t="s">
        <v>2849</v>
      </c>
      <c r="F1648" s="10" t="str">
        <f>IFERROR(VLOOKUP(VENTAS[[#This Row],[Código del producto Vendido]],STOCK[],5,FALSE),"-")</f>
        <v>Pantalones largros rayados de moda de gran comodidad</v>
      </c>
      <c r="G1648" s="10">
        <v>2</v>
      </c>
      <c r="H1648" s="12">
        <v>22</v>
      </c>
      <c r="I1648" s="12">
        <f>VENTAS[[#This Row],[Cantidad]]*VENTAS[[#This Row],[Precio Venta]]</f>
        <v>44</v>
      </c>
      <c r="J1648" s="12">
        <f>IF(VENTAS[[#This Row],[Nombre del Gestor]]&gt;1,VENTAS[[#This Row],[Total]]*10%,0)</f>
        <v>0</v>
      </c>
      <c r="K1648" s="12">
        <f>IFERROR(VLOOKUP(VENTAS[[#This Row],[Código del producto Vendido]],STOCK[],16,FALSE)*VENTAS[[#This Row],[Cantidad]]+VLOOKUP(VENTAS[[#This Row],[Código del producto Vendido]],STOCK[],19,FALSE)*VENTAS[[#This Row],[Cantidad]],VENTAS[[#This Row],[Total]])</f>
        <v>21.04</v>
      </c>
      <c r="L1648" s="12">
        <f>VENTAS[[#This Row],[Total]]-VENTAS[[#This Row],[Comisión 10%]]-VENTAS[[#This Row],[Costo SIN Comision]]</f>
        <v>22.96</v>
      </c>
      <c r="M1648" s="12"/>
      <c r="N1648" s="16"/>
    </row>
    <row r="1649" spans="1:14" ht="20" hidden="1" customHeight="1">
      <c r="A1649" s="9"/>
      <c r="B1649" s="10"/>
      <c r="C1649" s="10"/>
      <c r="D1649" s="10"/>
      <c r="E1649" s="10" t="s">
        <v>3011</v>
      </c>
      <c r="F1649" s="10" t="str">
        <f>IFERROR(VLOOKUP(VENTAS[[#This Row],[Código del producto Vendido]],STOCK[],5,FALSE),"-")</f>
        <v>Pantalón alto de pierna ancha color caramelo</v>
      </c>
      <c r="G1649" s="10">
        <v>1</v>
      </c>
      <c r="H1649" s="12">
        <v>30</v>
      </c>
      <c r="I1649" s="12">
        <f>VENTAS[[#This Row],[Cantidad]]*VENTAS[[#This Row],[Precio Venta]]</f>
        <v>30</v>
      </c>
      <c r="J1649" s="12">
        <f>IF(VENTAS[[#This Row],[Nombre del Gestor]]&gt;1,VENTAS[[#This Row],[Total]]*10%,0)</f>
        <v>0</v>
      </c>
      <c r="K1649" s="12">
        <f>IFERROR(VLOOKUP(VENTAS[[#This Row],[Código del producto Vendido]],STOCK[],16,FALSE)*VENTAS[[#This Row],[Cantidad]]+VLOOKUP(VENTAS[[#This Row],[Código del producto Vendido]],STOCK[],19,FALSE)*VENTAS[[#This Row],[Cantidad]],VENTAS[[#This Row],[Total]])</f>
        <v>12.63</v>
      </c>
      <c r="L1649" s="12">
        <f>VENTAS[[#This Row],[Total]]-VENTAS[[#This Row],[Comisión 10%]]-VENTAS[[#This Row],[Costo SIN Comision]]</f>
        <v>17.369999999999997</v>
      </c>
      <c r="M1649" s="12"/>
      <c r="N1649" s="16"/>
    </row>
    <row r="1650" spans="1:14" ht="20" hidden="1" customHeight="1">
      <c r="A1650" s="9"/>
      <c r="B1650" s="10"/>
      <c r="C1650" s="10"/>
      <c r="D1650" s="10"/>
      <c r="E1650" s="10" t="s">
        <v>3014</v>
      </c>
      <c r="F1650" s="10" t="str">
        <f>IFERROR(VLOOKUP(VENTAS[[#This Row],[Código del producto Vendido]],STOCK[],5,FALSE),"-")</f>
        <v>Pantalón alto de pierna ancha color caramelo</v>
      </c>
      <c r="G1650" s="10">
        <v>1</v>
      </c>
      <c r="H1650" s="12">
        <v>30</v>
      </c>
      <c r="I1650" s="12">
        <f>VENTAS[[#This Row],[Cantidad]]*VENTAS[[#This Row],[Precio Venta]]</f>
        <v>30</v>
      </c>
      <c r="J1650" s="12">
        <f>IF(VENTAS[[#This Row],[Nombre del Gestor]]&gt;1,VENTAS[[#This Row],[Total]]*10%,0)</f>
        <v>0</v>
      </c>
      <c r="K1650" s="12">
        <f>IFERROR(VLOOKUP(VENTAS[[#This Row],[Código del producto Vendido]],STOCK[],16,FALSE)*VENTAS[[#This Row],[Cantidad]]+VLOOKUP(VENTAS[[#This Row],[Código del producto Vendido]],STOCK[],19,FALSE)*VENTAS[[#This Row],[Cantidad]],VENTAS[[#This Row],[Total]])</f>
        <v>12.63</v>
      </c>
      <c r="L1650" s="12">
        <f>VENTAS[[#This Row],[Total]]-VENTAS[[#This Row],[Comisión 10%]]-VENTAS[[#This Row],[Costo SIN Comision]]</f>
        <v>17.369999999999997</v>
      </c>
      <c r="M1650" s="12"/>
      <c r="N1650" s="16"/>
    </row>
    <row r="1651" spans="1:14" ht="20" hidden="1" customHeight="1">
      <c r="A1651" s="9"/>
      <c r="B1651" s="10"/>
      <c r="C1651" s="10"/>
      <c r="D1651" s="10"/>
      <c r="E1651" s="10" t="s">
        <v>3015</v>
      </c>
      <c r="F1651" s="10" t="str">
        <f>IFERROR(VLOOKUP(VENTAS[[#This Row],[Código del producto Vendido]],STOCK[],5,FALSE),"-")</f>
        <v>Pantalón alto de pierna ancha color caramelo</v>
      </c>
      <c r="G1651" s="10">
        <v>1</v>
      </c>
      <c r="H1651" s="12">
        <v>30</v>
      </c>
      <c r="I1651" s="12">
        <f>VENTAS[[#This Row],[Cantidad]]*VENTAS[[#This Row],[Precio Venta]]</f>
        <v>30</v>
      </c>
      <c r="J1651" s="12">
        <f>IF(VENTAS[[#This Row],[Nombre del Gestor]]&gt;1,VENTAS[[#This Row],[Total]]*10%,0)</f>
        <v>0</v>
      </c>
      <c r="K1651" s="12">
        <f>IFERROR(VLOOKUP(VENTAS[[#This Row],[Código del producto Vendido]],STOCK[],16,FALSE)*VENTAS[[#This Row],[Cantidad]]+VLOOKUP(VENTAS[[#This Row],[Código del producto Vendido]],STOCK[],19,FALSE)*VENTAS[[#This Row],[Cantidad]],VENTAS[[#This Row],[Total]])</f>
        <v>12.63</v>
      </c>
      <c r="L1651" s="12">
        <f>VENTAS[[#This Row],[Total]]-VENTAS[[#This Row],[Comisión 10%]]-VENTAS[[#This Row],[Costo SIN Comision]]</f>
        <v>17.369999999999997</v>
      </c>
      <c r="M1651" s="12"/>
      <c r="N1651" s="16"/>
    </row>
    <row r="1652" spans="1:14" ht="20" hidden="1" customHeight="1">
      <c r="A1652" s="9"/>
      <c r="B1652" s="10"/>
      <c r="C1652" s="10"/>
      <c r="D1652" s="10"/>
      <c r="E1652" s="10" t="s">
        <v>3015</v>
      </c>
      <c r="F1652" s="10" t="str">
        <f>IFERROR(VLOOKUP(VENTAS[[#This Row],[Código del producto Vendido]],STOCK[],5,FALSE),"-")</f>
        <v>Pantalón alto de pierna ancha color caramelo</v>
      </c>
      <c r="G1652" s="10">
        <v>1</v>
      </c>
      <c r="H1652" s="12">
        <v>30</v>
      </c>
      <c r="I1652" s="12">
        <f>VENTAS[[#This Row],[Cantidad]]*VENTAS[[#This Row],[Precio Venta]]</f>
        <v>30</v>
      </c>
      <c r="J1652" s="12">
        <f>IF(VENTAS[[#This Row],[Nombre del Gestor]]&gt;1,VENTAS[[#This Row],[Total]]*10%,0)</f>
        <v>0</v>
      </c>
      <c r="K1652" s="12">
        <f>IFERROR(VLOOKUP(VENTAS[[#This Row],[Código del producto Vendido]],STOCK[],16,FALSE)*VENTAS[[#This Row],[Cantidad]]+VLOOKUP(VENTAS[[#This Row],[Código del producto Vendido]],STOCK[],19,FALSE)*VENTAS[[#This Row],[Cantidad]],VENTAS[[#This Row],[Total]])</f>
        <v>12.63</v>
      </c>
      <c r="L1652" s="12">
        <f>VENTAS[[#This Row],[Total]]-VENTAS[[#This Row],[Comisión 10%]]-VENTAS[[#This Row],[Costo SIN Comision]]</f>
        <v>17.369999999999997</v>
      </c>
      <c r="M1652" s="12"/>
      <c r="N1652" s="16"/>
    </row>
    <row r="1653" spans="1:14" ht="20" hidden="1" customHeight="1">
      <c r="A1653" s="9"/>
      <c r="B1653" s="10"/>
      <c r="C1653" s="10"/>
      <c r="D1653" s="10"/>
      <c r="E1653" s="10" t="s">
        <v>4615</v>
      </c>
      <c r="F1653" s="10" t="str">
        <f>IFERROR(VLOOKUP(VENTAS[[#This Row],[Código del producto Vendido]],STOCK[],5,FALSE),"-")</f>
        <v>-</v>
      </c>
      <c r="G1653" s="10">
        <v>1</v>
      </c>
      <c r="H1653" s="12">
        <v>23</v>
      </c>
      <c r="I1653" s="12">
        <f>VENTAS[[#This Row],[Cantidad]]*VENTAS[[#This Row],[Precio Venta]]</f>
        <v>23</v>
      </c>
      <c r="J1653" s="12">
        <f>IF(VENTAS[[#This Row],[Nombre del Gestor]]&gt;1,VENTAS[[#This Row],[Total]]*10%,0)</f>
        <v>0</v>
      </c>
      <c r="K1653" s="12">
        <f>IFERROR(VLOOKUP(VENTAS[[#This Row],[Código del producto Vendido]],STOCK[],16,FALSE)*VENTAS[[#This Row],[Cantidad]]+VLOOKUP(VENTAS[[#This Row],[Código del producto Vendido]],STOCK[],19,FALSE)*VENTAS[[#This Row],[Cantidad]],VENTAS[[#This Row],[Total]])</f>
        <v>23</v>
      </c>
      <c r="L1653" s="12">
        <f>VENTAS[[#This Row],[Total]]-VENTAS[[#This Row],[Comisión 10%]]-VENTAS[[#This Row],[Costo SIN Comision]]</f>
        <v>0</v>
      </c>
      <c r="M1653" s="12"/>
      <c r="N1653" s="16"/>
    </row>
    <row r="1654" spans="1:14" ht="20" hidden="1" customHeight="1">
      <c r="A1654" s="9"/>
      <c r="B1654" s="10"/>
      <c r="C1654" s="10"/>
      <c r="D1654" s="10"/>
      <c r="E1654" s="10" t="s">
        <v>3264</v>
      </c>
      <c r="F1654" s="10" t="str">
        <f>IFERROR(VLOOKUP(VENTAS[[#This Row],[Código del producto Vendido]],STOCK[],5,FALSE),"-")</f>
        <v>Tanga brasileña color crema de algodón Marca H&amp;M</v>
      </c>
      <c r="G1654" s="10">
        <v>2</v>
      </c>
      <c r="H1654" s="12">
        <v>0</v>
      </c>
      <c r="I1654" s="12">
        <f>VENTAS[[#This Row],[Cantidad]]*VENTAS[[#This Row],[Precio Venta]]</f>
        <v>0</v>
      </c>
      <c r="J1654" s="12">
        <f>IF(VENTAS[[#This Row],[Nombre del Gestor]]&gt;1,VENTAS[[#This Row],[Total]]*10%,0)</f>
        <v>0</v>
      </c>
      <c r="K1654" s="12">
        <f>IFERROR(VLOOKUP(VENTAS[[#This Row],[Código del producto Vendido]],STOCK[],16,FALSE)*VENTAS[[#This Row],[Cantidad]]+VLOOKUP(VENTAS[[#This Row],[Código del producto Vendido]],STOCK[],19,FALSE)*VENTAS[[#This Row],[Cantidad]],VENTAS[[#This Row],[Total]])</f>
        <v>1.72</v>
      </c>
      <c r="L1654" s="12">
        <f>VENTAS[[#This Row],[Total]]-VENTAS[[#This Row],[Comisión 10%]]-VENTAS[[#This Row],[Costo SIN Comision]]</f>
        <v>-1.72</v>
      </c>
      <c r="M1654" s="12"/>
      <c r="N1654" s="16"/>
    </row>
    <row r="1655" spans="1:14" ht="20" hidden="1" customHeight="1">
      <c r="A1655" s="9"/>
      <c r="B1655" s="10"/>
      <c r="C1655" s="10"/>
      <c r="D1655" s="10"/>
      <c r="E1655" s="10" t="s">
        <v>3260</v>
      </c>
      <c r="F1655" s="10" t="str">
        <f>IFERROR(VLOOKUP(VENTAS[[#This Row],[Código del producto Vendido]],STOCK[],5,FALSE),"-")</f>
        <v>Calcetines bajos de algodón color blanco</v>
      </c>
      <c r="G1655" s="10">
        <v>1</v>
      </c>
      <c r="H1655" s="12">
        <v>0</v>
      </c>
      <c r="I1655" s="12">
        <f>VENTAS[[#This Row],[Cantidad]]*VENTAS[[#This Row],[Precio Venta]]</f>
        <v>0</v>
      </c>
      <c r="J1655" s="12">
        <f>IF(VENTAS[[#This Row],[Nombre del Gestor]]&gt;1,VENTAS[[#This Row],[Total]]*10%,0)</f>
        <v>0</v>
      </c>
      <c r="K1655" s="12">
        <f>IFERROR(VLOOKUP(VENTAS[[#This Row],[Código del producto Vendido]],STOCK[],16,FALSE)*VENTAS[[#This Row],[Cantidad]]+VLOOKUP(VENTAS[[#This Row],[Código del producto Vendido]],STOCK[],19,FALSE)*VENTAS[[#This Row],[Cantidad]],VENTAS[[#This Row],[Total]])</f>
        <v>0.86</v>
      </c>
      <c r="L1655" s="12">
        <f>VENTAS[[#This Row],[Total]]-VENTAS[[#This Row],[Comisión 10%]]-VENTAS[[#This Row],[Costo SIN Comision]]</f>
        <v>-0.86</v>
      </c>
      <c r="M1655" s="12"/>
      <c r="N1655" s="16"/>
    </row>
    <row r="1656" spans="1:14" ht="20" hidden="1" customHeight="1">
      <c r="A1656" s="9"/>
      <c r="B1656" s="10"/>
      <c r="C1656" s="10"/>
      <c r="D1656" s="10"/>
      <c r="E1656" s="10" t="s">
        <v>3161</v>
      </c>
      <c r="F1656" s="10" t="str">
        <f>IFERROR(VLOOKUP(VENTAS[[#This Row],[Código del producto Vendido]],STOCK[],5,FALSE),"-")</f>
        <v>Tanga brasileña color verde de algodón Marca H&amp;M</v>
      </c>
      <c r="G1656" s="10">
        <v>2</v>
      </c>
      <c r="H1656" s="12">
        <v>1</v>
      </c>
      <c r="I1656" s="12">
        <f>VENTAS[[#This Row],[Cantidad]]*VENTAS[[#This Row],[Precio Venta]]</f>
        <v>2</v>
      </c>
      <c r="J1656" s="12">
        <f>IF(VENTAS[[#This Row],[Nombre del Gestor]]&gt;1,VENTAS[[#This Row],[Total]]*10%,0)</f>
        <v>0</v>
      </c>
      <c r="K1656" s="12">
        <f>IFERROR(VLOOKUP(VENTAS[[#This Row],[Código del producto Vendido]],STOCK[],16,FALSE)*VENTAS[[#This Row],[Cantidad]]+VLOOKUP(VENTAS[[#This Row],[Código del producto Vendido]],STOCK[],19,FALSE)*VENTAS[[#This Row],[Cantidad]],VENTAS[[#This Row],[Total]])</f>
        <v>1.72</v>
      </c>
      <c r="L1656" s="12">
        <f>VENTAS[[#This Row],[Total]]-VENTAS[[#This Row],[Comisión 10%]]-VENTAS[[#This Row],[Costo SIN Comision]]</f>
        <v>0.28000000000000003</v>
      </c>
      <c r="M1656" s="12"/>
      <c r="N1656" s="16"/>
    </row>
    <row r="1657" spans="1:14" ht="20" hidden="1" customHeight="1">
      <c r="A1657" s="9"/>
      <c r="B1657" s="10"/>
      <c r="C1657" s="10"/>
      <c r="D1657" s="10"/>
      <c r="E1657" s="10" t="s">
        <v>2992</v>
      </c>
      <c r="F1657" s="10" t="str">
        <f>IFERROR(VLOOKUP(VENTAS[[#This Row],[Código del producto Vendido]],STOCK[],5,FALSE),"-")</f>
        <v>Traje de baño casual con ajustes laterales</v>
      </c>
      <c r="G1657" s="10">
        <v>1</v>
      </c>
      <c r="H1657" s="12">
        <v>20</v>
      </c>
      <c r="I1657" s="12">
        <f>VENTAS[[#This Row],[Cantidad]]*VENTAS[[#This Row],[Precio Venta]]</f>
        <v>20</v>
      </c>
      <c r="J1657" s="12">
        <f>IF(VENTAS[[#This Row],[Nombre del Gestor]]&gt;1,VENTAS[[#This Row],[Total]]*10%,0)</f>
        <v>0</v>
      </c>
      <c r="K1657" s="12">
        <f>IFERROR(VLOOKUP(VENTAS[[#This Row],[Código del producto Vendido]],STOCK[],16,FALSE)*VENTAS[[#This Row],[Cantidad]]+VLOOKUP(VENTAS[[#This Row],[Código del producto Vendido]],STOCK[],19,FALSE)*VENTAS[[#This Row],[Cantidad]],VENTAS[[#This Row],[Total]])</f>
        <v>10.620000000000001</v>
      </c>
      <c r="L1657" s="12">
        <f>VENTAS[[#This Row],[Total]]-VENTAS[[#This Row],[Comisión 10%]]-VENTAS[[#This Row],[Costo SIN Comision]]</f>
        <v>9.379999999999999</v>
      </c>
      <c r="M1657" s="12"/>
      <c r="N1657" s="16"/>
    </row>
    <row r="1658" spans="1:14" ht="20" hidden="1" customHeight="1">
      <c r="A1658" s="9"/>
      <c r="B1658" s="10"/>
      <c r="C1658" s="10"/>
      <c r="D1658" s="10"/>
      <c r="E1658" s="10" t="s">
        <v>2873</v>
      </c>
      <c r="F1658" s="10" t="str">
        <f>IFERROR(VLOOKUP(VENTAS[[#This Row],[Código del producto Vendido]],STOCK[],5,FALSE),"-")</f>
        <v>Traje de baño de una sola pieza unicolor</v>
      </c>
      <c r="G1658" s="10">
        <v>1</v>
      </c>
      <c r="H1658" s="12">
        <v>18</v>
      </c>
      <c r="I1658" s="12">
        <f>VENTAS[[#This Row],[Cantidad]]*VENTAS[[#This Row],[Precio Venta]]</f>
        <v>18</v>
      </c>
      <c r="J1658" s="12">
        <f>IF(VENTAS[[#This Row],[Nombre del Gestor]]&gt;1,VENTAS[[#This Row],[Total]]*10%,0)</f>
        <v>0</v>
      </c>
      <c r="K1658" s="12">
        <f>IFERROR(VLOOKUP(VENTAS[[#This Row],[Código del producto Vendido]],STOCK[],16,FALSE)*VENTAS[[#This Row],[Cantidad]]+VLOOKUP(VENTAS[[#This Row],[Código del producto Vendido]],STOCK[],19,FALSE)*VENTAS[[#This Row],[Cantidad]],VENTAS[[#This Row],[Total]])</f>
        <v>4.93</v>
      </c>
      <c r="L1658" s="12">
        <f>VENTAS[[#This Row],[Total]]-VENTAS[[#This Row],[Comisión 10%]]-VENTAS[[#This Row],[Costo SIN Comision]]</f>
        <v>13.07</v>
      </c>
      <c r="M1658" s="12"/>
      <c r="N1658" s="16"/>
    </row>
    <row r="1659" spans="1:14" ht="20" hidden="1" customHeight="1">
      <c r="A1659" s="9"/>
      <c r="B1659" s="10"/>
      <c r="C1659" s="10"/>
      <c r="D1659" s="10"/>
      <c r="E1659" s="10" t="s">
        <v>3002</v>
      </c>
      <c r="F1659" s="10" t="str">
        <f>IFERROR(VLOOKUP(VENTAS[[#This Row],[Código del producto Vendido]],STOCK[],5,FALSE),"-")</f>
        <v xml:space="preserve">Traje de baño enterizo elegante de un hombro talla grande </v>
      </c>
      <c r="G1659" s="10">
        <v>1</v>
      </c>
      <c r="H1659" s="12">
        <v>28</v>
      </c>
      <c r="I1659" s="12">
        <f>VENTAS[[#This Row],[Cantidad]]*VENTAS[[#This Row],[Precio Venta]]</f>
        <v>28</v>
      </c>
      <c r="J1659" s="12">
        <f>IF(VENTAS[[#This Row],[Nombre del Gestor]]&gt;1,VENTAS[[#This Row],[Total]]*10%,0)</f>
        <v>0</v>
      </c>
      <c r="K1659" s="12">
        <f>IFERROR(VLOOKUP(VENTAS[[#This Row],[Código del producto Vendido]],STOCK[],16,FALSE)*VENTAS[[#This Row],[Cantidad]]+VLOOKUP(VENTAS[[#This Row],[Código del producto Vendido]],STOCK[],19,FALSE)*VENTAS[[#This Row],[Cantidad]],VENTAS[[#This Row],[Total]])</f>
        <v>13.33</v>
      </c>
      <c r="L1659" s="12">
        <f>VENTAS[[#This Row],[Total]]-VENTAS[[#This Row],[Comisión 10%]]-VENTAS[[#This Row],[Costo SIN Comision]]</f>
        <v>14.67</v>
      </c>
      <c r="M1659" s="12"/>
      <c r="N1659" s="16"/>
    </row>
    <row r="1660" spans="1:14" s="4" customFormat="1" ht="20" hidden="1" customHeight="1">
      <c r="A1660" s="46">
        <v>45486</v>
      </c>
      <c r="B1660" s="47"/>
      <c r="C1660" s="47"/>
      <c r="D1660" s="47" t="s">
        <v>4349</v>
      </c>
      <c r="E1660" s="47" t="s">
        <v>2187</v>
      </c>
      <c r="F1660" s="10" t="str">
        <f>IFERROR(VLOOKUP(VENTAS[[#This Row],[Código del producto Vendido]],STOCK[],5,FALSE),"-")</f>
        <v>Bikini sexy de pierna alta en tendencia</v>
      </c>
      <c r="G1660" s="47">
        <v>1</v>
      </c>
      <c r="H1660" s="48">
        <v>20</v>
      </c>
      <c r="I1660" s="12">
        <f>VENTAS[[#This Row],[Cantidad]]*VENTAS[[#This Row],[Precio Venta]]</f>
        <v>20</v>
      </c>
      <c r="J1660" s="12">
        <f>IF(VENTAS[[#This Row],[Nombre del Gestor]]&gt;1,VENTAS[[#This Row],[Total]]*10%,0)</f>
        <v>2</v>
      </c>
      <c r="K1660" s="12">
        <f>IFERROR(VLOOKUP(VENTAS[[#This Row],[Código del producto Vendido]],STOCK[],16,FALSE)*VENTAS[[#This Row],[Cantidad]]+VLOOKUP(VENTAS[[#This Row],[Código del producto Vendido]],STOCK[],19,FALSE)*VENTAS[[#This Row],[Cantidad]],VENTAS[[#This Row],[Total]])</f>
        <v>6.6199999999999992</v>
      </c>
      <c r="L1660" s="12">
        <f>VENTAS[[#This Row],[Total]]-VENTAS[[#This Row],[Comisión 10%]]-VENTAS[[#This Row],[Costo SIN Comision]]</f>
        <v>11.38</v>
      </c>
      <c r="M1660" s="48"/>
      <c r="N1660" s="16" t="s">
        <v>4616</v>
      </c>
    </row>
    <row r="1661" spans="1:14" s="4" customFormat="1" ht="20" hidden="1" customHeight="1">
      <c r="A1661" s="46">
        <v>45486</v>
      </c>
      <c r="B1661" s="47"/>
      <c r="C1661" s="47"/>
      <c r="D1661" s="47" t="s">
        <v>4349</v>
      </c>
      <c r="E1661" s="47" t="s">
        <v>2177</v>
      </c>
      <c r="F1661" s="10" t="str">
        <f>IFERROR(VLOOKUP(VENTAS[[#This Row],[Código del producto Vendido]],STOCK[],5,FALSE),"-")</f>
        <v>Set de bikini 2 piezas estampado de colores con adorno de aro</v>
      </c>
      <c r="G1661" s="47">
        <v>1</v>
      </c>
      <c r="H1661" s="48">
        <v>20</v>
      </c>
      <c r="I1661" s="12">
        <f>VENTAS[[#This Row],[Cantidad]]*VENTAS[[#This Row],[Precio Venta]]</f>
        <v>20</v>
      </c>
      <c r="J1661" s="12">
        <f>IF(VENTAS[[#This Row],[Nombre del Gestor]]&gt;1,VENTAS[[#This Row],[Total]]*10%,0)</f>
        <v>2</v>
      </c>
      <c r="K1661" s="12">
        <f>IFERROR(VLOOKUP(VENTAS[[#This Row],[Código del producto Vendido]],STOCK[],16,FALSE)*VENTAS[[#This Row],[Cantidad]]+VLOOKUP(VENTAS[[#This Row],[Código del producto Vendido]],STOCK[],19,FALSE)*VENTAS[[#This Row],[Cantidad]],VENTAS[[#This Row],[Total]])</f>
        <v>4.43</v>
      </c>
      <c r="L1661" s="12">
        <f>VENTAS[[#This Row],[Total]]-VENTAS[[#This Row],[Comisión 10%]]-VENTAS[[#This Row],[Costo SIN Comision]]</f>
        <v>13.57</v>
      </c>
      <c r="M1661" s="48"/>
      <c r="N1661" s="16" t="s">
        <v>4617</v>
      </c>
    </row>
    <row r="1662" spans="1:14" s="4" customFormat="1" ht="20" hidden="1" customHeight="1">
      <c r="A1662" s="46">
        <v>45506</v>
      </c>
      <c r="B1662" s="47"/>
      <c r="C1662" s="47"/>
      <c r="D1662" s="47" t="s">
        <v>4618</v>
      </c>
      <c r="E1662" s="47" t="s">
        <v>1259</v>
      </c>
      <c r="F1662" s="10" t="str">
        <f>IFERROR(VLOOKUP(VENTAS[[#This Row],[Código del producto Vendido]],STOCK[],5,FALSE),"-")</f>
        <v>Maxi vestido de espalda cruzada</v>
      </c>
      <c r="G1662" s="47">
        <v>1</v>
      </c>
      <c r="H1662" s="48">
        <v>30</v>
      </c>
      <c r="I1662" s="12">
        <f>VENTAS[[#This Row],[Cantidad]]*VENTAS[[#This Row],[Precio Venta]]</f>
        <v>30</v>
      </c>
      <c r="J1662" s="12">
        <f>IF(VENTAS[[#This Row],[Nombre del Gestor]]&gt;1,VENTAS[[#This Row],[Total]]*10%,0)</f>
        <v>3</v>
      </c>
      <c r="K1662" s="12">
        <f>IFERROR(VLOOKUP(VENTAS[[#This Row],[Código del producto Vendido]],STOCK[],16,FALSE)*VENTAS[[#This Row],[Cantidad]]+VLOOKUP(VENTAS[[#This Row],[Código del producto Vendido]],STOCK[],19,FALSE)*VENTAS[[#This Row],[Cantidad]],VENTAS[[#This Row],[Total]])</f>
        <v>23.95</v>
      </c>
      <c r="L1662" s="12">
        <f>VENTAS[[#This Row],[Total]]-VENTAS[[#This Row],[Comisión 10%]]-VENTAS[[#This Row],[Costo SIN Comision]]</f>
        <v>3.0500000000000007</v>
      </c>
      <c r="M1662" s="48"/>
      <c r="N1662" s="16" t="s">
        <v>4619</v>
      </c>
    </row>
    <row r="1663" spans="1:14" s="4" customFormat="1" ht="20" hidden="1" customHeight="1">
      <c r="A1663" s="46">
        <v>45507</v>
      </c>
      <c r="B1663" s="47"/>
      <c r="C1663" s="47"/>
      <c r="D1663" s="47" t="s">
        <v>4620</v>
      </c>
      <c r="E1663" s="47" t="s">
        <v>2366</v>
      </c>
      <c r="F1663" s="10" t="str">
        <f>IFERROR(VLOOKUP(VENTAS[[#This Row],[Código del producto Vendido]],STOCK[],5,FALSE),"-")</f>
        <v>2 piezas bikini push up accesorio</v>
      </c>
      <c r="G1663" s="47">
        <v>1</v>
      </c>
      <c r="H1663" s="48">
        <v>5</v>
      </c>
      <c r="I1663" s="12">
        <f>VENTAS[[#This Row],[Cantidad]]*VENTAS[[#This Row],[Precio Venta]]</f>
        <v>5</v>
      </c>
      <c r="J1663" s="12">
        <f>IF(VENTAS[[#This Row],[Nombre del Gestor]]&gt;1,VENTAS[[#This Row],[Total]]*10%,0)</f>
        <v>0.5</v>
      </c>
      <c r="K1663" s="12">
        <f>IFERROR(VLOOKUP(VENTAS[[#This Row],[Código del producto Vendido]],STOCK[],16,FALSE)*VENTAS[[#This Row],[Cantidad]]+VLOOKUP(VENTAS[[#This Row],[Código del producto Vendido]],STOCK[],19,FALSE)*VENTAS[[#This Row],[Cantidad]],VENTAS[[#This Row],[Total]])</f>
        <v>3.3356249999999998</v>
      </c>
      <c r="L1663" s="12">
        <f>VENTAS[[#This Row],[Total]]-VENTAS[[#This Row],[Comisión 10%]]-VENTAS[[#This Row],[Costo SIN Comision]]</f>
        <v>1.1643750000000002</v>
      </c>
      <c r="M1663" s="48"/>
      <c r="N1663" s="16" t="s">
        <v>4621</v>
      </c>
    </row>
    <row r="1664" spans="1:14" s="4" customFormat="1" ht="20" hidden="1" customHeight="1">
      <c r="A1664" s="46">
        <v>45507</v>
      </c>
      <c r="B1664" s="47"/>
      <c r="C1664" s="47"/>
      <c r="D1664" s="47" t="s">
        <v>4184</v>
      </c>
      <c r="E1664" s="47" t="s">
        <v>2363</v>
      </c>
      <c r="F1664" s="10" t="str">
        <f>IFERROR(VLOOKUP(VENTAS[[#This Row],[Código del producto Vendido]],STOCK[],5,FALSE),"-")</f>
        <v>Espejuelos estilo cat eye</v>
      </c>
      <c r="G1664" s="47">
        <v>1</v>
      </c>
      <c r="H1664" s="48">
        <v>10</v>
      </c>
      <c r="I1664" s="12">
        <f>VENTAS[[#This Row],[Cantidad]]*VENTAS[[#This Row],[Precio Venta]]</f>
        <v>10</v>
      </c>
      <c r="J1664" s="12">
        <f>IF(VENTAS[[#This Row],[Nombre del Gestor]]&gt;1,VENTAS[[#This Row],[Total]]*10%,0)</f>
        <v>1</v>
      </c>
      <c r="K1664" s="12">
        <f>IFERROR(VLOOKUP(VENTAS[[#This Row],[Código del producto Vendido]],STOCK[],16,FALSE)*VENTAS[[#This Row],[Cantidad]]+VLOOKUP(VENTAS[[#This Row],[Código del producto Vendido]],STOCK[],19,FALSE)*VENTAS[[#This Row],[Cantidad]],VENTAS[[#This Row],[Total]])</f>
        <v>5.1218750000000002</v>
      </c>
      <c r="L1664" s="12">
        <f>VENTAS[[#This Row],[Total]]-VENTAS[[#This Row],[Comisión 10%]]-VENTAS[[#This Row],[Costo SIN Comision]]</f>
        <v>3.8781249999999998</v>
      </c>
      <c r="M1664" s="48"/>
      <c r="N1664" s="16" t="s">
        <v>4622</v>
      </c>
    </row>
    <row r="1665" spans="1:14" s="4" customFormat="1" ht="20" hidden="1" customHeight="1">
      <c r="A1665" s="46">
        <v>45509</v>
      </c>
      <c r="B1665" s="47"/>
      <c r="C1665" s="47"/>
      <c r="D1665" s="47" t="s">
        <v>4349</v>
      </c>
      <c r="E1665" s="47" t="s">
        <v>2334</v>
      </c>
      <c r="F1665" s="10" t="str">
        <f>IFERROR(VLOOKUP(VENTAS[[#This Row],[Código del producto Vendido]],STOCK[],5,FALSE),"-")</f>
        <v>Set de 3 piezas bikini con estampado floral</v>
      </c>
      <c r="G1665" s="47">
        <v>1</v>
      </c>
      <c r="H1665" s="48">
        <v>20</v>
      </c>
      <c r="I1665" s="12">
        <f>VENTAS[[#This Row],[Cantidad]]*VENTAS[[#This Row],[Precio Venta]]</f>
        <v>20</v>
      </c>
      <c r="J1665" s="12">
        <f>IF(VENTAS[[#This Row],[Nombre del Gestor]]&gt;1,VENTAS[[#This Row],[Total]]*10%,0)</f>
        <v>2</v>
      </c>
      <c r="K1665" s="12">
        <f>IFERROR(VLOOKUP(VENTAS[[#This Row],[Código del producto Vendido]],STOCK[],16,FALSE)*VENTAS[[#This Row],[Cantidad]]+VLOOKUP(VENTAS[[#This Row],[Código del producto Vendido]],STOCK[],19,FALSE)*VENTAS[[#This Row],[Cantidad]],VENTAS[[#This Row],[Total]])</f>
        <v>13.409375000000001</v>
      </c>
      <c r="L1665" s="12">
        <f>VENTAS[[#This Row],[Total]]-VENTAS[[#This Row],[Comisión 10%]]-VENTAS[[#This Row],[Costo SIN Comision]]</f>
        <v>4.5906249999999993</v>
      </c>
      <c r="M1665" s="48"/>
      <c r="N1665" s="16" t="s">
        <v>4623</v>
      </c>
    </row>
    <row r="1666" spans="1:14" s="4" customFormat="1" ht="20" hidden="1" customHeight="1">
      <c r="A1666" s="46">
        <v>45509</v>
      </c>
      <c r="B1666" s="47"/>
      <c r="C1666" s="47"/>
      <c r="D1666" s="47" t="s">
        <v>4374</v>
      </c>
      <c r="E1666" s="47" t="s">
        <v>809</v>
      </c>
      <c r="F1666" s="10" t="str">
        <f>IFERROR(VLOOKUP(VENTAS[[#This Row],[Código del producto Vendido]],STOCK[],5,FALSE),"-")</f>
        <v>Bañador estampado en contraste</v>
      </c>
      <c r="G1666" s="47">
        <v>1</v>
      </c>
      <c r="H1666" s="48">
        <v>12</v>
      </c>
      <c r="I1666" s="12">
        <f>VENTAS[[#This Row],[Cantidad]]*VENTAS[[#This Row],[Precio Venta]]</f>
        <v>12</v>
      </c>
      <c r="J1666" s="12">
        <f>IF(VENTAS[[#This Row],[Nombre del Gestor]]&gt;1,VENTAS[[#This Row],[Total]]*10%,0)</f>
        <v>1.2000000000000002</v>
      </c>
      <c r="K1666" s="12">
        <f>IFERROR(VLOOKUP(VENTAS[[#This Row],[Código del producto Vendido]],STOCK[],16,FALSE)*VENTAS[[#This Row],[Cantidad]]+VLOOKUP(VENTAS[[#This Row],[Código del producto Vendido]],STOCK[],19,FALSE)*VENTAS[[#This Row],[Cantidad]],VENTAS[[#This Row],[Total]])</f>
        <v>7.8333333333333304</v>
      </c>
      <c r="L1666" s="12">
        <f>VENTAS[[#This Row],[Total]]-VENTAS[[#This Row],[Comisión 10%]]-VENTAS[[#This Row],[Costo SIN Comision]]</f>
        <v>2.9666666666666703</v>
      </c>
      <c r="M1666" s="48"/>
      <c r="N1666" s="16" t="s">
        <v>4624</v>
      </c>
    </row>
    <row r="1667" spans="1:14" s="4" customFormat="1" ht="20" hidden="1" customHeight="1">
      <c r="A1667" s="46">
        <v>45509</v>
      </c>
      <c r="B1667" s="47"/>
      <c r="C1667" s="47"/>
      <c r="D1667" s="47"/>
      <c r="E1667" s="47" t="s">
        <v>4625</v>
      </c>
      <c r="F1667" s="10" t="str">
        <f>IFERROR(VLOOKUP(VENTAS[[#This Row],[Código del producto Vendido]],STOCK[],5,FALSE),"-")</f>
        <v>-</v>
      </c>
      <c r="G1667" s="47">
        <v>1</v>
      </c>
      <c r="H1667" s="48">
        <v>20</v>
      </c>
      <c r="I1667" s="12">
        <f>VENTAS[[#This Row],[Cantidad]]*VENTAS[[#This Row],[Precio Venta]]</f>
        <v>20</v>
      </c>
      <c r="J1667" s="12">
        <f>IF(VENTAS[[#This Row],[Nombre del Gestor]]&gt;1,VENTAS[[#This Row],[Total]]*10%,0)</f>
        <v>0</v>
      </c>
      <c r="K1667" s="12">
        <f>IFERROR(VLOOKUP(VENTAS[[#This Row],[Código del producto Vendido]],STOCK[],16,FALSE)*VENTAS[[#This Row],[Cantidad]]+VLOOKUP(VENTAS[[#This Row],[Código del producto Vendido]],STOCK[],19,FALSE)*VENTAS[[#This Row],[Cantidad]],VENTAS[[#This Row],[Total]])</f>
        <v>20</v>
      </c>
      <c r="L1667" s="12">
        <f>VENTAS[[#This Row],[Total]]-VENTAS[[#This Row],[Comisión 10%]]-VENTAS[[#This Row],[Costo SIN Comision]]</f>
        <v>0</v>
      </c>
      <c r="M1667" s="48"/>
      <c r="N1667" s="16" t="s">
        <v>4626</v>
      </c>
    </row>
    <row r="1668" spans="1:14" s="4" customFormat="1" ht="20" hidden="1" customHeight="1">
      <c r="A1668" s="46">
        <v>45509</v>
      </c>
      <c r="B1668" s="47"/>
      <c r="C1668" s="47"/>
      <c r="D1668" s="47"/>
      <c r="E1668" s="47" t="s">
        <v>1899</v>
      </c>
      <c r="F1668" s="10" t="str">
        <f>IFERROR(VLOOKUP(VENTAS[[#This Row],[Código del producto Vendido]],STOCK[],5,FALSE),"-")</f>
        <v>Bolso mochila estampado</v>
      </c>
      <c r="G1668" s="47">
        <v>0</v>
      </c>
      <c r="H1668" s="48">
        <v>25</v>
      </c>
      <c r="I1668" s="12">
        <f>VENTAS[[#This Row],[Cantidad]]*VENTAS[[#This Row],[Precio Venta]]</f>
        <v>0</v>
      </c>
      <c r="J1668" s="12">
        <f>IF(VENTAS[[#This Row],[Nombre del Gestor]]&gt;1,VENTAS[[#This Row],[Total]]*10%,0)</f>
        <v>0</v>
      </c>
      <c r="K1668" s="12">
        <f>IFERROR(VLOOKUP(VENTAS[[#This Row],[Código del producto Vendido]],STOCK[],16,FALSE)*VENTAS[[#This Row],[Cantidad]]+VLOOKUP(VENTAS[[#This Row],[Código del producto Vendido]],STOCK[],19,FALSE)*VENTAS[[#This Row],[Cantidad]],VENTAS[[#This Row],[Total]])</f>
        <v>0</v>
      </c>
      <c r="L1668" s="12">
        <f>VENTAS[[#This Row],[Total]]-VENTAS[[#This Row],[Comisión 10%]]-VENTAS[[#This Row],[Costo SIN Comision]]</f>
        <v>0</v>
      </c>
      <c r="M1668" s="48"/>
      <c r="N1668" s="16" t="s">
        <v>4627</v>
      </c>
    </row>
    <row r="1669" spans="1:14" s="4" customFormat="1" ht="20" hidden="1" customHeight="1">
      <c r="A1669" s="46">
        <v>45509</v>
      </c>
      <c r="B1669" s="47"/>
      <c r="C1669" s="47"/>
      <c r="D1669" s="47"/>
      <c r="E1669" s="47" t="s">
        <v>4628</v>
      </c>
      <c r="F1669" s="10" t="str">
        <f>IFERROR(VLOOKUP(VENTAS[[#This Row],[Código del producto Vendido]],STOCK[],5,FALSE),"-")</f>
        <v>-</v>
      </c>
      <c r="G1669" s="47">
        <v>1</v>
      </c>
      <c r="H1669" s="48">
        <v>25</v>
      </c>
      <c r="I1669" s="12">
        <f>VENTAS[[#This Row],[Cantidad]]*VENTAS[[#This Row],[Precio Venta]]</f>
        <v>25</v>
      </c>
      <c r="J1669" s="12">
        <f>IF(VENTAS[[#This Row],[Nombre del Gestor]]&gt;1,VENTAS[[#This Row],[Total]]*10%,0)</f>
        <v>0</v>
      </c>
      <c r="K1669" s="12">
        <f>IFERROR(VLOOKUP(VENTAS[[#This Row],[Código del producto Vendido]],STOCK[],16,FALSE)*VENTAS[[#This Row],[Cantidad]]+VLOOKUP(VENTAS[[#This Row],[Código del producto Vendido]],STOCK[],19,FALSE)*VENTAS[[#This Row],[Cantidad]],VENTAS[[#This Row],[Total]])</f>
        <v>25</v>
      </c>
      <c r="L1669" s="12">
        <f>VENTAS[[#This Row],[Total]]-VENTAS[[#This Row],[Comisión 10%]]-VENTAS[[#This Row],[Costo SIN Comision]]</f>
        <v>0</v>
      </c>
      <c r="M1669" s="48"/>
      <c r="N1669" s="16" t="s">
        <v>4629</v>
      </c>
    </row>
    <row r="1670" spans="1:14" s="4" customFormat="1" ht="20" hidden="1" customHeight="1">
      <c r="A1670" s="46">
        <v>45511</v>
      </c>
      <c r="B1670" s="47"/>
      <c r="C1670" s="47"/>
      <c r="D1670" s="47"/>
      <c r="E1670" s="47" t="s">
        <v>798</v>
      </c>
      <c r="F1670" s="10" t="str">
        <f>IFERROR(VLOOKUP(VENTAS[[#This Row],[Código del producto Vendido]],STOCK[],5,FALSE),"-")</f>
        <v>Bañador  animal print</v>
      </c>
      <c r="G1670" s="47">
        <v>1</v>
      </c>
      <c r="H1670" s="48">
        <v>15</v>
      </c>
      <c r="I1670" s="12">
        <f>VENTAS[[#This Row],[Cantidad]]*VENTAS[[#This Row],[Precio Venta]]</f>
        <v>15</v>
      </c>
      <c r="J1670" s="12">
        <f>IF(VENTAS[[#This Row],[Nombre del Gestor]]&gt;1,VENTAS[[#This Row],[Total]]*10%,0)</f>
        <v>0</v>
      </c>
      <c r="K1670" s="12">
        <f>IFERROR(VLOOKUP(VENTAS[[#This Row],[Código del producto Vendido]],STOCK[],16,FALSE)*VENTAS[[#This Row],[Cantidad]]+VLOOKUP(VENTAS[[#This Row],[Código del producto Vendido]],STOCK[],19,FALSE)*VENTAS[[#This Row],[Cantidad]],VENTAS[[#This Row],[Total]])</f>
        <v>7.2777777777777803</v>
      </c>
      <c r="L1670" s="12">
        <f>VENTAS[[#This Row],[Total]]-VENTAS[[#This Row],[Comisión 10%]]-VENTAS[[#This Row],[Costo SIN Comision]]</f>
        <v>7.7222222222222197</v>
      </c>
      <c r="M1670" s="48"/>
      <c r="N1670" s="16" t="s">
        <v>4630</v>
      </c>
    </row>
    <row r="1671" spans="1:14" s="4" customFormat="1" ht="20" hidden="1" customHeight="1">
      <c r="A1671" s="46">
        <v>45531</v>
      </c>
      <c r="B1671" s="47"/>
      <c r="C1671" s="47"/>
      <c r="D1671" s="47" t="s">
        <v>4349</v>
      </c>
      <c r="E1671" s="47" t="s">
        <v>1099</v>
      </c>
      <c r="F1671" s="10" t="str">
        <f>IFERROR(VLOOKUP(VENTAS[[#This Row],[Código del producto Vendido]],STOCK[],5,FALSE),"-")</f>
        <v>Sandalias crema</v>
      </c>
      <c r="G1671" s="47">
        <v>1</v>
      </c>
      <c r="H1671" s="48">
        <v>35</v>
      </c>
      <c r="I1671" s="12">
        <f>VENTAS[[#This Row],[Cantidad]]*VENTAS[[#This Row],[Precio Venta]]</f>
        <v>35</v>
      </c>
      <c r="J1671" s="12">
        <f>IF(VENTAS[[#This Row],[Nombre del Gestor]]&gt;1,VENTAS[[#This Row],[Total]]*10%,0)</f>
        <v>3.5</v>
      </c>
      <c r="K1671" s="12">
        <f>IFERROR(VLOOKUP(VENTAS[[#This Row],[Código del producto Vendido]],STOCK[],16,FALSE)*VENTAS[[#This Row],[Cantidad]]+VLOOKUP(VENTAS[[#This Row],[Código del producto Vendido]],STOCK[],19,FALSE)*VENTAS[[#This Row],[Cantidad]],VENTAS[[#This Row],[Total]])</f>
        <v>26.852941176470601</v>
      </c>
      <c r="L1671" s="12">
        <f>VENTAS[[#This Row],[Total]]-VENTAS[[#This Row],[Comisión 10%]]-VENTAS[[#This Row],[Costo SIN Comision]]</f>
        <v>4.6470588235293988</v>
      </c>
      <c r="M1671" s="48"/>
      <c r="N1671" s="16" t="s">
        <v>4631</v>
      </c>
    </row>
    <row r="1672" spans="1:14" s="4" customFormat="1" ht="20" hidden="1" customHeight="1">
      <c r="A1672" s="46">
        <v>45534</v>
      </c>
      <c r="B1672" s="47"/>
      <c r="C1672" s="47"/>
      <c r="D1672" s="47" t="s">
        <v>4320</v>
      </c>
      <c r="E1672" s="47" t="s">
        <v>2596</v>
      </c>
      <c r="F1672" s="10" t="str">
        <f>IFERROR(VLOOKUP(VENTAS[[#This Row],[Código del producto Vendido]],STOCK[],5,FALSE),"-")</f>
        <v>Falda larga de visillo con maxi estampado de flor</v>
      </c>
      <c r="G1672" s="47">
        <v>0</v>
      </c>
      <c r="H1672" s="48">
        <v>25</v>
      </c>
      <c r="I1672" s="12">
        <f>VENTAS[[#This Row],[Cantidad]]*VENTAS[[#This Row],[Precio Venta]]</f>
        <v>0</v>
      </c>
      <c r="J1672" s="12">
        <f>IF(VENTAS[[#This Row],[Nombre del Gestor]]&gt;1,VENTAS[[#This Row],[Total]]*10%,0)</f>
        <v>0</v>
      </c>
      <c r="K1672" s="12">
        <f>IFERROR(VLOOKUP(VENTAS[[#This Row],[Código del producto Vendido]],STOCK[],16,FALSE)*VENTAS[[#This Row],[Cantidad]]+VLOOKUP(VENTAS[[#This Row],[Código del producto Vendido]],STOCK[],19,FALSE)*VENTAS[[#This Row],[Cantidad]],VENTAS[[#This Row],[Total]])</f>
        <v>0</v>
      </c>
      <c r="L1672" s="12">
        <f>VENTAS[[#This Row],[Total]]-VENTAS[[#This Row],[Comisión 10%]]-VENTAS[[#This Row],[Costo SIN Comision]]</f>
        <v>0</v>
      </c>
      <c r="M1672" s="48"/>
      <c r="N1672" s="16" t="s">
        <v>4632</v>
      </c>
    </row>
    <row r="1673" spans="1:14" s="4" customFormat="1" ht="20" hidden="1" customHeight="1">
      <c r="A1673" s="46">
        <v>45534</v>
      </c>
      <c r="B1673" s="47"/>
      <c r="C1673" s="47"/>
      <c r="D1673" s="47"/>
      <c r="E1673" s="47" t="s">
        <v>4633</v>
      </c>
      <c r="F1673" s="10" t="str">
        <f>IFERROR(VLOOKUP(VENTAS[[#This Row],[Código del producto Vendido]],STOCK[],5,FALSE),"-")</f>
        <v>-</v>
      </c>
      <c r="G1673" s="47">
        <v>1</v>
      </c>
      <c r="H1673" s="48">
        <v>25</v>
      </c>
      <c r="I1673" s="12">
        <f>VENTAS[[#This Row],[Cantidad]]*VENTAS[[#This Row],[Precio Venta]]</f>
        <v>25</v>
      </c>
      <c r="J1673" s="12">
        <f>IF(VENTAS[[#This Row],[Nombre del Gestor]]&gt;1,VENTAS[[#This Row],[Total]]*10%,0)</f>
        <v>0</v>
      </c>
      <c r="K1673" s="12">
        <f>IFERROR(VLOOKUP(VENTAS[[#This Row],[Código del producto Vendido]],STOCK[],16,FALSE)*VENTAS[[#This Row],[Cantidad]]+VLOOKUP(VENTAS[[#This Row],[Código del producto Vendido]],STOCK[],19,FALSE)*VENTAS[[#This Row],[Cantidad]],VENTAS[[#This Row],[Total]])</f>
        <v>25</v>
      </c>
      <c r="L1673" s="12">
        <f>VENTAS[[#This Row],[Total]]-VENTAS[[#This Row],[Comisión 10%]]-VENTAS[[#This Row],[Costo SIN Comision]]</f>
        <v>0</v>
      </c>
      <c r="M1673" s="48"/>
      <c r="N1673" s="16" t="s">
        <v>4634</v>
      </c>
    </row>
    <row r="1674" spans="1:14" s="4" customFormat="1" ht="20" hidden="1" customHeight="1">
      <c r="A1674" s="46">
        <v>45534</v>
      </c>
      <c r="B1674" s="47"/>
      <c r="C1674" s="47"/>
      <c r="D1674" s="47"/>
      <c r="E1674" s="47" t="s">
        <v>4633</v>
      </c>
      <c r="F1674" s="10" t="str">
        <f>IFERROR(VLOOKUP(VENTAS[[#This Row],[Código del producto Vendido]],STOCK[],5,FALSE),"-")</f>
        <v>-</v>
      </c>
      <c r="G1674" s="47">
        <v>1</v>
      </c>
      <c r="H1674" s="48">
        <v>25</v>
      </c>
      <c r="I1674" s="12">
        <f>VENTAS[[#This Row],[Cantidad]]*VENTAS[[#This Row],[Precio Venta]]</f>
        <v>25</v>
      </c>
      <c r="J1674" s="12">
        <f>IF(VENTAS[[#This Row],[Nombre del Gestor]]&gt;1,VENTAS[[#This Row],[Total]]*10%,0)</f>
        <v>0</v>
      </c>
      <c r="K1674" s="12">
        <f>IFERROR(VLOOKUP(VENTAS[[#This Row],[Código del producto Vendido]],STOCK[],16,FALSE)*VENTAS[[#This Row],[Cantidad]]+VLOOKUP(VENTAS[[#This Row],[Código del producto Vendido]],STOCK[],19,FALSE)*VENTAS[[#This Row],[Cantidad]],VENTAS[[#This Row],[Total]])</f>
        <v>25</v>
      </c>
      <c r="L1674" s="12">
        <f>VENTAS[[#This Row],[Total]]-VENTAS[[#This Row],[Comisión 10%]]-VENTAS[[#This Row],[Costo SIN Comision]]</f>
        <v>0</v>
      </c>
      <c r="M1674" s="48"/>
      <c r="N1674" s="16" t="s">
        <v>4635</v>
      </c>
    </row>
    <row r="1675" spans="1:14" s="4" customFormat="1" ht="20" hidden="1" customHeight="1">
      <c r="A1675" s="46">
        <v>45534</v>
      </c>
      <c r="B1675" s="47"/>
      <c r="C1675" s="47"/>
      <c r="D1675" s="47"/>
      <c r="E1675" s="47" t="s">
        <v>2596</v>
      </c>
      <c r="F1675" s="10" t="str">
        <f>IFERROR(VLOOKUP(VENTAS[[#This Row],[Código del producto Vendido]],STOCK[],5,FALSE),"-")</f>
        <v>Falda larga de visillo con maxi estampado de flor</v>
      </c>
      <c r="G1675" s="47">
        <v>0</v>
      </c>
      <c r="H1675" s="48">
        <v>25</v>
      </c>
      <c r="I1675" s="12">
        <f>VENTAS[[#This Row],[Cantidad]]*VENTAS[[#This Row],[Precio Venta]]</f>
        <v>0</v>
      </c>
      <c r="J1675" s="12">
        <f>IF(VENTAS[[#This Row],[Nombre del Gestor]]&gt;1,VENTAS[[#This Row],[Total]]*10%,0)</f>
        <v>0</v>
      </c>
      <c r="K1675" s="12">
        <f>IFERROR(VLOOKUP(VENTAS[[#This Row],[Código del producto Vendido]],STOCK[],16,FALSE)*VENTAS[[#This Row],[Cantidad]]+VLOOKUP(VENTAS[[#This Row],[Código del producto Vendido]],STOCK[],19,FALSE)*VENTAS[[#This Row],[Cantidad]],VENTAS[[#This Row],[Total]])</f>
        <v>0</v>
      </c>
      <c r="L1675" s="12">
        <f>VENTAS[[#This Row],[Total]]-VENTAS[[#This Row],[Comisión 10%]]-VENTAS[[#This Row],[Costo SIN Comision]]</f>
        <v>0</v>
      </c>
      <c r="M1675" s="48"/>
      <c r="N1675" s="16" t="s">
        <v>4636</v>
      </c>
    </row>
    <row r="1676" spans="1:14" s="4" customFormat="1" ht="20" hidden="1" customHeight="1">
      <c r="A1676" s="46">
        <v>45535</v>
      </c>
      <c r="B1676" s="47"/>
      <c r="C1676" s="47"/>
      <c r="D1676" s="47" t="s">
        <v>4330</v>
      </c>
      <c r="E1676" s="47" t="s">
        <v>4637</v>
      </c>
      <c r="F1676" s="10" t="str">
        <f>IFERROR(VLOOKUP(VENTAS[[#This Row],[Código del producto Vendido]],STOCK[],5,FALSE),"-")</f>
        <v>-</v>
      </c>
      <c r="G1676" s="47">
        <v>1</v>
      </c>
      <c r="H1676" s="48">
        <v>25</v>
      </c>
      <c r="I1676" s="12">
        <f>VENTAS[[#This Row],[Cantidad]]*VENTAS[[#This Row],[Precio Venta]]</f>
        <v>25</v>
      </c>
      <c r="J1676" s="12">
        <f>IF(VENTAS[[#This Row],[Nombre del Gestor]]&gt;1,VENTAS[[#This Row],[Total]]*10%,0)</f>
        <v>2.5</v>
      </c>
      <c r="K1676" s="12">
        <f>IFERROR(VLOOKUP(VENTAS[[#This Row],[Código del producto Vendido]],STOCK[],16,FALSE)*VENTAS[[#This Row],[Cantidad]]+VLOOKUP(VENTAS[[#This Row],[Código del producto Vendido]],STOCK[],19,FALSE)*VENTAS[[#This Row],[Cantidad]],VENTAS[[#This Row],[Total]])</f>
        <v>25</v>
      </c>
      <c r="L1676" s="12">
        <f>VENTAS[[#This Row],[Total]]-VENTAS[[#This Row],[Comisión 10%]]-VENTAS[[#This Row],[Costo SIN Comision]]</f>
        <v>-2.5</v>
      </c>
      <c r="M1676" s="48"/>
      <c r="N1676" s="16" t="s">
        <v>4638</v>
      </c>
    </row>
    <row r="1677" spans="1:14" s="4" customFormat="1" ht="20" hidden="1" customHeight="1">
      <c r="A1677" s="46">
        <v>45535</v>
      </c>
      <c r="B1677" s="47"/>
      <c r="C1677" s="47"/>
      <c r="D1677" s="47" t="s">
        <v>4330</v>
      </c>
      <c r="E1677" s="47" t="s">
        <v>2647</v>
      </c>
      <c r="F1677" s="10" t="str">
        <f>IFERROR(VLOOKUP(VENTAS[[#This Row],[Código del producto Vendido]],STOCK[],5,FALSE),"-")</f>
        <v>Camisa Oversize en mezcla de lino H&amp;M</v>
      </c>
      <c r="G1677" s="47">
        <v>1</v>
      </c>
      <c r="H1677" s="48">
        <v>26</v>
      </c>
      <c r="I1677" s="12">
        <f>VENTAS[[#This Row],[Cantidad]]*VENTAS[[#This Row],[Precio Venta]]</f>
        <v>26</v>
      </c>
      <c r="J1677" s="12">
        <f>IF(VENTAS[[#This Row],[Nombre del Gestor]]&gt;1,VENTAS[[#This Row],[Total]]*10%,0)</f>
        <v>2.6</v>
      </c>
      <c r="K1677" s="12">
        <f>IFERROR(VLOOKUP(VENTAS[[#This Row],[Código del producto Vendido]],STOCK[],16,FALSE)*VENTAS[[#This Row],[Cantidad]]+VLOOKUP(VENTAS[[#This Row],[Código del producto Vendido]],STOCK[],19,FALSE)*VENTAS[[#This Row],[Cantidad]],VENTAS[[#This Row],[Total]])</f>
        <v>11.96</v>
      </c>
      <c r="L1677" s="12">
        <f>VENTAS[[#This Row],[Total]]-VENTAS[[#This Row],[Comisión 10%]]-VENTAS[[#This Row],[Costo SIN Comision]]</f>
        <v>11.439999999999998</v>
      </c>
      <c r="M1677" s="48"/>
      <c r="N1677" s="16" t="s">
        <v>4639</v>
      </c>
    </row>
    <row r="1678" spans="1:14" s="4" customFormat="1" ht="20" hidden="1" customHeight="1">
      <c r="A1678" s="46">
        <v>45535</v>
      </c>
      <c r="B1678" s="47"/>
      <c r="C1678" s="47"/>
      <c r="D1678" s="47" t="s">
        <v>4330</v>
      </c>
      <c r="E1678" s="47" t="s">
        <v>4640</v>
      </c>
      <c r="F1678" s="10" t="str">
        <f>IFERROR(VLOOKUP(VENTAS[[#This Row],[Código del producto Vendido]],STOCK[],5,FALSE),"-")</f>
        <v>-</v>
      </c>
      <c r="G1678" s="47">
        <v>1</v>
      </c>
      <c r="H1678" s="48">
        <v>27</v>
      </c>
      <c r="I1678" s="12">
        <f>VENTAS[[#This Row],[Cantidad]]*VENTAS[[#This Row],[Precio Venta]]</f>
        <v>27</v>
      </c>
      <c r="J1678" s="12">
        <f>IF(VENTAS[[#This Row],[Nombre del Gestor]]&gt;1,VENTAS[[#This Row],[Total]]*10%,0)</f>
        <v>2.7</v>
      </c>
      <c r="K1678" s="12">
        <f>IFERROR(VLOOKUP(VENTAS[[#This Row],[Código del producto Vendido]],STOCK[],16,FALSE)*VENTAS[[#This Row],[Cantidad]]+VLOOKUP(VENTAS[[#This Row],[Código del producto Vendido]],STOCK[],19,FALSE)*VENTAS[[#This Row],[Cantidad]],VENTAS[[#This Row],[Total]])</f>
        <v>27</v>
      </c>
      <c r="L1678" s="12">
        <f>VENTAS[[#This Row],[Total]]-VENTAS[[#This Row],[Comisión 10%]]-VENTAS[[#This Row],[Costo SIN Comision]]</f>
        <v>-2.6999999999999993</v>
      </c>
      <c r="M1678" s="48"/>
      <c r="N1678" s="16" t="s">
        <v>4641</v>
      </c>
    </row>
    <row r="1679" spans="1:14" s="4" customFormat="1" ht="20" hidden="1" customHeight="1">
      <c r="A1679" s="46">
        <v>45535</v>
      </c>
      <c r="B1679" s="47"/>
      <c r="C1679" s="47"/>
      <c r="D1679" s="47" t="s">
        <v>4330</v>
      </c>
      <c r="E1679" s="47" t="s">
        <v>2687</v>
      </c>
      <c r="F1679" s="10" t="str">
        <f>IFERROR(VLOOKUP(VENTAS[[#This Row],[Código del producto Vendido]],STOCK[],5,FALSE),"-")</f>
        <v>Camisa verde oversize</v>
      </c>
      <c r="G1679" s="47">
        <v>1</v>
      </c>
      <c r="H1679" s="48">
        <v>28</v>
      </c>
      <c r="I1679" s="12">
        <f>VENTAS[[#This Row],[Cantidad]]*VENTAS[[#This Row],[Precio Venta]]</f>
        <v>28</v>
      </c>
      <c r="J1679" s="12">
        <f>IF(VENTAS[[#This Row],[Nombre del Gestor]]&gt;1,VENTAS[[#This Row],[Total]]*10%,0)</f>
        <v>2.8000000000000003</v>
      </c>
      <c r="K1679" s="12">
        <f>IFERROR(VLOOKUP(VENTAS[[#This Row],[Código del producto Vendido]],STOCK[],16,FALSE)*VENTAS[[#This Row],[Cantidad]]+VLOOKUP(VENTAS[[#This Row],[Código del producto Vendido]],STOCK[],19,FALSE)*VENTAS[[#This Row],[Cantidad]],VENTAS[[#This Row],[Total]])</f>
        <v>12.690000000000001</v>
      </c>
      <c r="L1679" s="12">
        <f>VENTAS[[#This Row],[Total]]-VENTAS[[#This Row],[Comisión 10%]]-VENTAS[[#This Row],[Costo SIN Comision]]</f>
        <v>12.509999999999998</v>
      </c>
      <c r="M1679" s="48"/>
      <c r="N1679" s="16" t="s">
        <v>4642</v>
      </c>
    </row>
    <row r="1680" spans="1:14" s="4" customFormat="1" ht="20" hidden="1" customHeight="1">
      <c r="A1680" s="46">
        <v>45536</v>
      </c>
      <c r="B1680" s="47"/>
      <c r="C1680" s="47"/>
      <c r="D1680" s="47" t="s">
        <v>4184</v>
      </c>
      <c r="E1680" s="47" t="s">
        <v>1440</v>
      </c>
      <c r="F1680" s="10" t="str">
        <f>IFERROR(VLOOKUP(VENTAS[[#This Row],[Código del producto Vendido]],STOCK[],5,FALSE),"-")</f>
        <v>Sandalias negras acolchadas Marca F21</v>
      </c>
      <c r="G1680" s="47">
        <v>1</v>
      </c>
      <c r="H1680" s="48">
        <v>29</v>
      </c>
      <c r="I1680" s="12">
        <f>VENTAS[[#This Row],[Cantidad]]*VENTAS[[#This Row],[Precio Venta]]</f>
        <v>29</v>
      </c>
      <c r="J1680" s="12">
        <f>IF(VENTAS[[#This Row],[Nombre del Gestor]]&gt;1,VENTAS[[#This Row],[Total]]*10%,0)</f>
        <v>2.9000000000000004</v>
      </c>
      <c r="K1680" s="12">
        <f>IFERROR(VLOOKUP(VENTAS[[#This Row],[Código del producto Vendido]],STOCK[],16,FALSE)*VENTAS[[#This Row],[Cantidad]]+VLOOKUP(VENTAS[[#This Row],[Código del producto Vendido]],STOCK[],19,FALSE)*VENTAS[[#This Row],[Cantidad]],VENTAS[[#This Row],[Total]])</f>
        <v>12.49</v>
      </c>
      <c r="L1680" s="12">
        <f>VENTAS[[#This Row],[Total]]-VENTAS[[#This Row],[Comisión 10%]]-VENTAS[[#This Row],[Costo SIN Comision]]</f>
        <v>13.610000000000001</v>
      </c>
      <c r="M1680" s="48"/>
      <c r="N1680" s="16" t="s">
        <v>4643</v>
      </c>
    </row>
    <row r="1681" spans="1:14" s="4" customFormat="1" ht="20" hidden="1" customHeight="1">
      <c r="A1681" s="46">
        <v>45536</v>
      </c>
      <c r="B1681" s="47"/>
      <c r="C1681" s="47"/>
      <c r="D1681" s="47" t="s">
        <v>4184</v>
      </c>
      <c r="E1681" s="47" t="s">
        <v>4644</v>
      </c>
      <c r="F1681" s="10" t="str">
        <f>IFERROR(VLOOKUP(VENTAS[[#This Row],[Código del producto Vendido]],STOCK[],5,FALSE),"-")</f>
        <v>-</v>
      </c>
      <c r="G1681" s="47">
        <v>1</v>
      </c>
      <c r="H1681" s="48">
        <v>30</v>
      </c>
      <c r="I1681" s="12">
        <f>VENTAS[[#This Row],[Cantidad]]*VENTAS[[#This Row],[Precio Venta]]</f>
        <v>30</v>
      </c>
      <c r="J1681" s="12">
        <f>IF(VENTAS[[#This Row],[Nombre del Gestor]]&gt;1,VENTAS[[#This Row],[Total]]*10%,0)</f>
        <v>3</v>
      </c>
      <c r="K1681" s="12">
        <f>IFERROR(VLOOKUP(VENTAS[[#This Row],[Código del producto Vendido]],STOCK[],16,FALSE)*VENTAS[[#This Row],[Cantidad]]+VLOOKUP(VENTAS[[#This Row],[Código del producto Vendido]],STOCK[],19,FALSE)*VENTAS[[#This Row],[Cantidad]],VENTAS[[#This Row],[Total]])</f>
        <v>30</v>
      </c>
      <c r="L1681" s="12">
        <f>VENTAS[[#This Row],[Total]]-VENTAS[[#This Row],[Comisión 10%]]-VENTAS[[#This Row],[Costo SIN Comision]]</f>
        <v>-3</v>
      </c>
      <c r="M1681" s="48"/>
      <c r="N1681" s="16" t="s">
        <v>4645</v>
      </c>
    </row>
    <row r="1682" spans="1:14" s="4" customFormat="1" ht="20" hidden="1" customHeight="1">
      <c r="A1682" s="46">
        <v>45536</v>
      </c>
      <c r="B1682" s="47"/>
      <c r="C1682" s="47"/>
      <c r="D1682" s="47" t="s">
        <v>4349</v>
      </c>
      <c r="E1682" s="47" t="s">
        <v>2454</v>
      </c>
      <c r="F1682" s="10" t="str">
        <f>IFERROR(VLOOKUP(VENTAS[[#This Row],[Código del producto Vendido]],STOCK[],5,FALSE),"-")</f>
        <v>Sandalias carmelitas de moda con correa de velcro</v>
      </c>
      <c r="G1682" s="47">
        <v>0</v>
      </c>
      <c r="H1682" s="48">
        <v>31</v>
      </c>
      <c r="I1682" s="12">
        <f>VENTAS[[#This Row],[Cantidad]]*VENTAS[[#This Row],[Precio Venta]]</f>
        <v>0</v>
      </c>
      <c r="J1682" s="12">
        <f>IF(VENTAS[[#This Row],[Nombre del Gestor]]&gt;1,VENTAS[[#This Row],[Total]]*10%,0)</f>
        <v>0</v>
      </c>
      <c r="K1682" s="12">
        <f>IFERROR(VLOOKUP(VENTAS[[#This Row],[Código del producto Vendido]],STOCK[],16,FALSE)*VENTAS[[#This Row],[Cantidad]]+VLOOKUP(VENTAS[[#This Row],[Código del producto Vendido]],STOCK[],19,FALSE)*VENTAS[[#This Row],[Cantidad]],VENTAS[[#This Row],[Total]])</f>
        <v>0</v>
      </c>
      <c r="L1682" s="12">
        <f>VENTAS[[#This Row],[Total]]-VENTAS[[#This Row],[Comisión 10%]]-VENTAS[[#This Row],[Costo SIN Comision]]</f>
        <v>0</v>
      </c>
      <c r="M1682" s="48"/>
      <c r="N1682" s="16" t="s">
        <v>4646</v>
      </c>
    </row>
    <row r="1683" spans="1:14" s="4" customFormat="1" ht="20" hidden="1" customHeight="1">
      <c r="A1683" s="46">
        <v>45536</v>
      </c>
      <c r="B1683" s="47"/>
      <c r="C1683" s="47"/>
      <c r="D1683" s="47" t="s">
        <v>4380</v>
      </c>
      <c r="E1683" s="47" t="s">
        <v>4647</v>
      </c>
      <c r="F1683" s="10" t="str">
        <f>IFERROR(VLOOKUP(VENTAS[[#This Row],[Código del producto Vendido]],STOCK[],5,FALSE),"-")</f>
        <v>-</v>
      </c>
      <c r="G1683" s="47">
        <v>1</v>
      </c>
      <c r="H1683" s="48">
        <v>32</v>
      </c>
      <c r="I1683" s="12">
        <f>VENTAS[[#This Row],[Cantidad]]*VENTAS[[#This Row],[Precio Venta]]</f>
        <v>32</v>
      </c>
      <c r="J1683" s="12">
        <f>IF(VENTAS[[#This Row],[Nombre del Gestor]]&gt;1,VENTAS[[#This Row],[Total]]*10%,0)</f>
        <v>3.2</v>
      </c>
      <c r="K1683" s="12">
        <f>IFERROR(VLOOKUP(VENTAS[[#This Row],[Código del producto Vendido]],STOCK[],16,FALSE)*VENTAS[[#This Row],[Cantidad]]+VLOOKUP(VENTAS[[#This Row],[Código del producto Vendido]],STOCK[],19,FALSE)*VENTAS[[#This Row],[Cantidad]],VENTAS[[#This Row],[Total]])</f>
        <v>32</v>
      </c>
      <c r="L1683" s="12">
        <f>VENTAS[[#This Row],[Total]]-VENTAS[[#This Row],[Comisión 10%]]-VENTAS[[#This Row],[Costo SIN Comision]]</f>
        <v>-3.1999999999999993</v>
      </c>
      <c r="M1683" s="48"/>
      <c r="N1683" s="16" t="s">
        <v>4648</v>
      </c>
    </row>
    <row r="1684" spans="1:14" s="4" customFormat="1" ht="20" hidden="1" customHeight="1">
      <c r="A1684" s="46">
        <v>45536</v>
      </c>
      <c r="B1684" s="47"/>
      <c r="C1684" s="47"/>
      <c r="D1684" s="47" t="s">
        <v>4380</v>
      </c>
      <c r="E1684" s="47" t="s">
        <v>4649</v>
      </c>
      <c r="F1684" s="10" t="str">
        <f>IFERROR(VLOOKUP(VENTAS[[#This Row],[Código del producto Vendido]],STOCK[],5,FALSE),"-")</f>
        <v>-</v>
      </c>
      <c r="G1684" s="47">
        <v>1</v>
      </c>
      <c r="H1684" s="48">
        <v>33</v>
      </c>
      <c r="I1684" s="12">
        <f>VENTAS[[#This Row],[Cantidad]]*VENTAS[[#This Row],[Precio Venta]]</f>
        <v>33</v>
      </c>
      <c r="J1684" s="12">
        <f>IF(VENTAS[[#This Row],[Nombre del Gestor]]&gt;1,VENTAS[[#This Row],[Total]]*10%,0)</f>
        <v>3.3000000000000003</v>
      </c>
      <c r="K1684" s="12">
        <f>IFERROR(VLOOKUP(VENTAS[[#This Row],[Código del producto Vendido]],STOCK[],16,FALSE)*VENTAS[[#This Row],[Cantidad]]+VLOOKUP(VENTAS[[#This Row],[Código del producto Vendido]],STOCK[],19,FALSE)*VENTAS[[#This Row],[Cantidad]],VENTAS[[#This Row],[Total]])</f>
        <v>33</v>
      </c>
      <c r="L1684" s="12">
        <f>VENTAS[[#This Row],[Total]]-VENTAS[[#This Row],[Comisión 10%]]-VENTAS[[#This Row],[Costo SIN Comision]]</f>
        <v>-3.3000000000000007</v>
      </c>
      <c r="M1684" s="48"/>
      <c r="N1684" s="16" t="s">
        <v>4650</v>
      </c>
    </row>
    <row r="1685" spans="1:14" s="4" customFormat="1" ht="20" hidden="1" customHeight="1">
      <c r="A1685" s="46">
        <v>45536</v>
      </c>
      <c r="B1685" s="47"/>
      <c r="C1685" s="47"/>
      <c r="D1685" s="47" t="s">
        <v>4320</v>
      </c>
      <c r="E1685" s="47" t="s">
        <v>2115</v>
      </c>
      <c r="F1685" s="10" t="str">
        <f>IFERROR(VLOOKUP(VENTAS[[#This Row],[Código del producto Vendido]],STOCK[],5,FALSE),"-")</f>
        <v>Flor TOTE fashion bag</v>
      </c>
      <c r="G1685" s="47">
        <v>1</v>
      </c>
      <c r="H1685" s="48">
        <v>34</v>
      </c>
      <c r="I1685" s="12">
        <f>VENTAS[[#This Row],[Cantidad]]*VENTAS[[#This Row],[Precio Venta]]</f>
        <v>34</v>
      </c>
      <c r="J1685" s="12">
        <f>IF(VENTAS[[#This Row],[Nombre del Gestor]]&gt;1,VENTAS[[#This Row],[Total]]*10%,0)</f>
        <v>3.4000000000000004</v>
      </c>
      <c r="K1685" s="12">
        <f>IFERROR(VLOOKUP(VENTAS[[#This Row],[Código del producto Vendido]],STOCK[],16,FALSE)*VENTAS[[#This Row],[Cantidad]]+VLOOKUP(VENTAS[[#This Row],[Código del producto Vendido]],STOCK[],19,FALSE)*VENTAS[[#This Row],[Cantidad]],VENTAS[[#This Row],[Total]])</f>
        <v>3.77</v>
      </c>
      <c r="L1685" s="12">
        <f>VENTAS[[#This Row],[Total]]-VENTAS[[#This Row],[Comisión 10%]]-VENTAS[[#This Row],[Costo SIN Comision]]</f>
        <v>26.830000000000002</v>
      </c>
      <c r="M1685" s="48"/>
      <c r="N1685" s="16" t="s">
        <v>4651</v>
      </c>
    </row>
    <row r="1686" spans="1:14" s="4" customFormat="1" ht="20" hidden="1" customHeight="1">
      <c r="A1686" s="46">
        <v>45536</v>
      </c>
      <c r="B1686" s="47"/>
      <c r="C1686" s="47"/>
      <c r="D1686" s="47" t="s">
        <v>4320</v>
      </c>
      <c r="E1686" s="47" t="s">
        <v>4652</v>
      </c>
      <c r="F1686" s="10" t="str">
        <f>IFERROR(VLOOKUP(VENTAS[[#This Row],[Código del producto Vendido]],STOCK[],5,FALSE),"-")</f>
        <v>-</v>
      </c>
      <c r="G1686" s="47">
        <v>1</v>
      </c>
      <c r="H1686" s="48">
        <v>35</v>
      </c>
      <c r="I1686" s="12">
        <f>VENTAS[[#This Row],[Cantidad]]*VENTAS[[#This Row],[Precio Venta]]</f>
        <v>35</v>
      </c>
      <c r="J1686" s="12">
        <f>IF(VENTAS[[#This Row],[Nombre del Gestor]]&gt;1,VENTAS[[#This Row],[Total]]*10%,0)</f>
        <v>3.5</v>
      </c>
      <c r="K1686" s="12">
        <f>IFERROR(VLOOKUP(VENTAS[[#This Row],[Código del producto Vendido]],STOCK[],16,FALSE)*VENTAS[[#This Row],[Cantidad]]+VLOOKUP(VENTAS[[#This Row],[Código del producto Vendido]],STOCK[],19,FALSE)*VENTAS[[#This Row],[Cantidad]],VENTAS[[#This Row],[Total]])</f>
        <v>35</v>
      </c>
      <c r="L1686" s="12">
        <f>VENTAS[[#This Row],[Total]]-VENTAS[[#This Row],[Comisión 10%]]-VENTAS[[#This Row],[Costo SIN Comision]]</f>
        <v>-3.5</v>
      </c>
      <c r="M1686" s="48"/>
      <c r="N1686" s="16" t="s">
        <v>4653</v>
      </c>
    </row>
    <row r="1687" spans="1:14" s="4" customFormat="1" ht="20" hidden="1" customHeight="1">
      <c r="A1687" s="46">
        <v>45537</v>
      </c>
      <c r="B1687" s="47"/>
      <c r="C1687" s="47"/>
      <c r="D1687" s="47" t="s">
        <v>4380</v>
      </c>
      <c r="E1687" s="47" t="s">
        <v>2491</v>
      </c>
      <c r="F1687" s="10" t="str">
        <f>IFERROR(VLOOKUP(VENTAS[[#This Row],[Código del producto Vendido]],STOCK[],5,FALSE),"-")</f>
        <v>Sandalias prácticas chunky blanco crema</v>
      </c>
      <c r="G1687" s="47">
        <v>1</v>
      </c>
      <c r="H1687" s="48">
        <v>36</v>
      </c>
      <c r="I1687" s="12">
        <f>VENTAS[[#This Row],[Cantidad]]*VENTAS[[#This Row],[Precio Venta]]</f>
        <v>36</v>
      </c>
      <c r="J1687" s="12">
        <f>IF(VENTAS[[#This Row],[Nombre del Gestor]]&gt;1,VENTAS[[#This Row],[Total]]*10%,0)</f>
        <v>3.6</v>
      </c>
      <c r="K1687" s="12">
        <f>IFERROR(VLOOKUP(VENTAS[[#This Row],[Código del producto Vendido]],STOCK[],16,FALSE)*VENTAS[[#This Row],[Cantidad]]+VLOOKUP(VENTAS[[#This Row],[Código del producto Vendido]],STOCK[],19,FALSE)*VENTAS[[#This Row],[Cantidad]],VENTAS[[#This Row],[Total]])</f>
        <v>24.217399999999998</v>
      </c>
      <c r="L1687" s="12">
        <f>VENTAS[[#This Row],[Total]]-VENTAS[[#This Row],[Comisión 10%]]-VENTAS[[#This Row],[Costo SIN Comision]]</f>
        <v>8.1826000000000008</v>
      </c>
      <c r="M1687" s="48"/>
      <c r="N1687" s="16" t="s">
        <v>4654</v>
      </c>
    </row>
    <row r="1688" spans="1:14" s="4" customFormat="1" ht="20" hidden="1" customHeight="1">
      <c r="A1688" s="46">
        <v>45538</v>
      </c>
      <c r="B1688" s="47"/>
      <c r="C1688" s="47"/>
      <c r="D1688" s="47" t="s">
        <v>4380</v>
      </c>
      <c r="E1688" s="47" t="s">
        <v>1705</v>
      </c>
      <c r="F1688" s="10" t="str">
        <f>IFERROR(VLOOKUP(VENTAS[[#This Row],[Código del producto Vendido]],STOCK[],5,FALSE),"-")</f>
        <v>Vestido Frente Drapeado Negro y Blanco</v>
      </c>
      <c r="G1688" s="47">
        <v>1</v>
      </c>
      <c r="H1688" s="48">
        <v>37</v>
      </c>
      <c r="I1688" s="12">
        <f>VENTAS[[#This Row],[Cantidad]]*VENTAS[[#This Row],[Precio Venta]]</f>
        <v>37</v>
      </c>
      <c r="J1688" s="12">
        <f>IF(VENTAS[[#This Row],[Nombre del Gestor]]&gt;1,VENTAS[[#This Row],[Total]]*10%,0)</f>
        <v>3.7</v>
      </c>
      <c r="K1688" s="12">
        <f>IFERROR(VLOOKUP(VENTAS[[#This Row],[Código del producto Vendido]],STOCK[],16,FALSE)*VENTAS[[#This Row],[Cantidad]]+VLOOKUP(VENTAS[[#This Row],[Código del producto Vendido]],STOCK[],19,FALSE)*VENTAS[[#This Row],[Cantidad]],VENTAS[[#This Row],[Total]])</f>
        <v>11.4</v>
      </c>
      <c r="L1688" s="12">
        <f>VENTAS[[#This Row],[Total]]-VENTAS[[#This Row],[Comisión 10%]]-VENTAS[[#This Row],[Costo SIN Comision]]</f>
        <v>21.9</v>
      </c>
      <c r="M1688" s="48"/>
      <c r="N1688" s="16" t="s">
        <v>4655</v>
      </c>
    </row>
    <row r="1689" spans="1:14" s="4" customFormat="1" ht="20" hidden="1" customHeight="1">
      <c r="A1689" s="46">
        <v>45539</v>
      </c>
      <c r="B1689" s="47"/>
      <c r="C1689" s="47"/>
      <c r="D1689" s="47" t="s">
        <v>4349</v>
      </c>
      <c r="E1689" s="47" t="s">
        <v>2492</v>
      </c>
      <c r="F1689" s="10" t="str">
        <f>IFERROR(VLOOKUP(VENTAS[[#This Row],[Código del producto Vendido]],STOCK[],5,FALSE),"-")</f>
        <v>Sandalias prácticas chunky blanco crema</v>
      </c>
      <c r="G1689" s="47">
        <v>1</v>
      </c>
      <c r="H1689" s="48">
        <v>38</v>
      </c>
      <c r="I1689" s="12">
        <f>VENTAS[[#This Row],[Cantidad]]*VENTAS[[#This Row],[Precio Venta]]</f>
        <v>38</v>
      </c>
      <c r="J1689" s="12">
        <f>IF(VENTAS[[#This Row],[Nombre del Gestor]]&gt;1,VENTAS[[#This Row],[Total]]*10%,0)</f>
        <v>3.8000000000000003</v>
      </c>
      <c r="K1689" s="12">
        <f>IFERROR(VLOOKUP(VENTAS[[#This Row],[Código del producto Vendido]],STOCK[],16,FALSE)*VENTAS[[#This Row],[Cantidad]]+VLOOKUP(VENTAS[[#This Row],[Código del producto Vendido]],STOCK[],19,FALSE)*VENTAS[[#This Row],[Cantidad]],VENTAS[[#This Row],[Total]])</f>
        <v>24.217399999999998</v>
      </c>
      <c r="L1689" s="12">
        <f>VENTAS[[#This Row],[Total]]-VENTAS[[#This Row],[Comisión 10%]]-VENTAS[[#This Row],[Costo SIN Comision]]</f>
        <v>9.982600000000005</v>
      </c>
      <c r="M1689" s="48"/>
      <c r="N1689" s="16" t="s">
        <v>4656</v>
      </c>
    </row>
    <row r="1690" spans="1:14" s="4" customFormat="1" ht="20" hidden="1" customHeight="1">
      <c r="A1690" s="46">
        <v>45539</v>
      </c>
      <c r="B1690" s="47"/>
      <c r="C1690" s="47"/>
      <c r="D1690" s="47" t="s">
        <v>4657</v>
      </c>
      <c r="E1690" s="47" t="s">
        <v>2617</v>
      </c>
      <c r="F1690" s="10" t="str">
        <f>IFERROR(VLOOKUP(VENTAS[[#This Row],[Código del producto Vendido]],STOCK[],5,FALSE),"-")</f>
        <v>Vestido Blanco en Bordado Inglés</v>
      </c>
      <c r="G1690" s="47">
        <v>1</v>
      </c>
      <c r="H1690" s="48">
        <v>39</v>
      </c>
      <c r="I1690" s="12">
        <f>VENTAS[[#This Row],[Cantidad]]*VENTAS[[#This Row],[Precio Venta]]</f>
        <v>39</v>
      </c>
      <c r="J1690" s="12">
        <f>IF(VENTAS[[#This Row],[Nombre del Gestor]]&gt;1,VENTAS[[#This Row],[Total]]*10%,0)</f>
        <v>3.9000000000000004</v>
      </c>
      <c r="K1690" s="12">
        <f>IFERROR(VLOOKUP(VENTAS[[#This Row],[Código del producto Vendido]],STOCK[],16,FALSE)*VENTAS[[#This Row],[Cantidad]]+VLOOKUP(VENTAS[[#This Row],[Código del producto Vendido]],STOCK[],19,FALSE)*VENTAS[[#This Row],[Cantidad]],VENTAS[[#This Row],[Total]])</f>
        <v>13.48</v>
      </c>
      <c r="L1690" s="12">
        <f>VENTAS[[#This Row],[Total]]-VENTAS[[#This Row],[Comisión 10%]]-VENTAS[[#This Row],[Costo SIN Comision]]</f>
        <v>21.62</v>
      </c>
      <c r="M1690" s="48"/>
      <c r="N1690" s="16" t="s">
        <v>4658</v>
      </c>
    </row>
    <row r="1691" spans="1:14" s="4" customFormat="1" ht="20" hidden="1" customHeight="1">
      <c r="A1691" s="46">
        <v>45540</v>
      </c>
      <c r="B1691" s="47"/>
      <c r="C1691" s="47"/>
      <c r="D1691" s="47" t="s">
        <v>4408</v>
      </c>
      <c r="E1691" s="47" t="s">
        <v>816</v>
      </c>
      <c r="F1691" s="10" t="str">
        <f>IFERROR(VLOOKUP(VENTAS[[#This Row],[Código del producto Vendido]],STOCK[],5,FALSE),"-")</f>
        <v>Blusa verde menta vuelos</v>
      </c>
      <c r="G1691" s="47">
        <v>0</v>
      </c>
      <c r="H1691" s="48">
        <v>10</v>
      </c>
      <c r="I1691" s="12">
        <f>VENTAS[[#This Row],[Cantidad]]*VENTAS[[#This Row],[Precio Venta]]</f>
        <v>0</v>
      </c>
      <c r="J1691" s="12">
        <f>IF(VENTAS[[#This Row],[Nombre del Gestor]]&gt;1,VENTAS[[#This Row],[Total]]*10%,0)</f>
        <v>0</v>
      </c>
      <c r="K1691" s="12">
        <f>IFERROR(VLOOKUP(VENTAS[[#This Row],[Código del producto Vendido]],STOCK[],16,FALSE)*VENTAS[[#This Row],[Cantidad]]+VLOOKUP(VENTAS[[#This Row],[Código del producto Vendido]],STOCK[],19,FALSE)*VENTAS[[#This Row],[Cantidad]],VENTAS[[#This Row],[Total]])</f>
        <v>0</v>
      </c>
      <c r="L1691" s="12">
        <f>VENTAS[[#This Row],[Total]]-VENTAS[[#This Row],[Comisión 10%]]-VENTAS[[#This Row],[Costo SIN Comision]]</f>
        <v>0</v>
      </c>
      <c r="M1691" s="48"/>
      <c r="N1691" s="16" t="s">
        <v>4659</v>
      </c>
    </row>
    <row r="1692" spans="1:14" s="4" customFormat="1" ht="20" hidden="1" customHeight="1">
      <c r="A1692" s="46">
        <v>45540</v>
      </c>
      <c r="B1692" s="47"/>
      <c r="C1692" s="47"/>
      <c r="D1692" s="47" t="s">
        <v>4657</v>
      </c>
      <c r="E1692" s="47" t="s">
        <v>816</v>
      </c>
      <c r="F1692" s="10" t="str">
        <f>IFERROR(VLOOKUP(VENTAS[[#This Row],[Código del producto Vendido]],STOCK[],5,FALSE),"-")</f>
        <v>Blusa verde menta vuelos</v>
      </c>
      <c r="G1692" s="47">
        <v>1</v>
      </c>
      <c r="H1692" s="48">
        <v>10</v>
      </c>
      <c r="I1692" s="12">
        <f>VENTAS[[#This Row],[Cantidad]]*VENTAS[[#This Row],[Precio Venta]]</f>
        <v>10</v>
      </c>
      <c r="J1692" s="12">
        <f>IF(VENTAS[[#This Row],[Nombre del Gestor]]&gt;1,VENTAS[[#This Row],[Total]]*10%,0)</f>
        <v>1</v>
      </c>
      <c r="K1692" s="12">
        <f>IFERROR(VLOOKUP(VENTAS[[#This Row],[Código del producto Vendido]],STOCK[],16,FALSE)*VENTAS[[#This Row],[Cantidad]]+VLOOKUP(VENTAS[[#This Row],[Código del producto Vendido]],STOCK[],19,FALSE)*VENTAS[[#This Row],[Cantidad]],VENTAS[[#This Row],[Total]])</f>
        <v>6.7777777777777803</v>
      </c>
      <c r="L1692" s="12">
        <f>VENTAS[[#This Row],[Total]]-VENTAS[[#This Row],[Comisión 10%]]-VENTAS[[#This Row],[Costo SIN Comision]]</f>
        <v>2.2222222222222197</v>
      </c>
      <c r="M1692" s="48"/>
      <c r="N1692" s="16" t="s">
        <v>4660</v>
      </c>
    </row>
    <row r="1693" spans="1:14" s="4" customFormat="1" ht="20" hidden="1" customHeight="1">
      <c r="A1693" s="46">
        <v>45541</v>
      </c>
      <c r="B1693" s="47"/>
      <c r="C1693" s="47"/>
      <c r="D1693" s="47" t="s">
        <v>4320</v>
      </c>
      <c r="E1693" s="47" t="s">
        <v>2608</v>
      </c>
      <c r="F1693" s="10" t="str">
        <f>IFERROR(VLOOKUP(VENTAS[[#This Row],[Código del producto Vendido]],STOCK[],5,FALSE),"-")</f>
        <v>Vestido crema ajustado de hombro torcido</v>
      </c>
      <c r="G1693" s="47">
        <v>1</v>
      </c>
      <c r="H1693" s="48">
        <v>25</v>
      </c>
      <c r="I1693" s="12">
        <f>VENTAS[[#This Row],[Cantidad]]*VENTAS[[#This Row],[Precio Venta]]</f>
        <v>25</v>
      </c>
      <c r="J1693" s="12">
        <f>IF(VENTAS[[#This Row],[Nombre del Gestor]]&gt;1,VENTAS[[#This Row],[Total]]*10%,0)</f>
        <v>2.5</v>
      </c>
      <c r="K1693" s="12">
        <f>IFERROR(VLOOKUP(VENTAS[[#This Row],[Código del producto Vendido]],STOCK[],16,FALSE)*VENTAS[[#This Row],[Cantidad]]+VLOOKUP(VENTAS[[#This Row],[Código del producto Vendido]],STOCK[],19,FALSE)*VENTAS[[#This Row],[Cantidad]],VENTAS[[#This Row],[Total]])</f>
        <v>13.440000000000001</v>
      </c>
      <c r="L1693" s="12">
        <f>VENTAS[[#This Row],[Total]]-VENTAS[[#This Row],[Comisión 10%]]-VENTAS[[#This Row],[Costo SIN Comision]]</f>
        <v>9.0599999999999987</v>
      </c>
      <c r="M1693" s="48"/>
      <c r="N1693" s="16" t="s">
        <v>4661</v>
      </c>
    </row>
    <row r="1694" spans="1:14" s="4" customFormat="1" ht="20" hidden="1" customHeight="1">
      <c r="A1694" s="46">
        <v>45541</v>
      </c>
      <c r="B1694" s="47"/>
      <c r="C1694" s="47"/>
      <c r="D1694" s="47" t="s">
        <v>4184</v>
      </c>
      <c r="E1694" s="47" t="s">
        <v>2534</v>
      </c>
      <c r="F1694" s="10" t="str">
        <f>IFERROR(VLOOKUP(VENTAS[[#This Row],[Código del producto Vendido]],STOCK[],5,FALSE),"-")</f>
        <v>Pullover corto unicolor carmelita</v>
      </c>
      <c r="G1694" s="47">
        <v>0</v>
      </c>
      <c r="H1694" s="48">
        <v>10</v>
      </c>
      <c r="I1694" s="12">
        <f>VENTAS[[#This Row],[Cantidad]]*VENTAS[[#This Row],[Precio Venta]]</f>
        <v>0</v>
      </c>
      <c r="J1694" s="12">
        <f>IF(VENTAS[[#This Row],[Nombre del Gestor]]&gt;1,VENTAS[[#This Row],[Total]]*10%,0)</f>
        <v>0</v>
      </c>
      <c r="K1694" s="12">
        <f>IFERROR(VLOOKUP(VENTAS[[#This Row],[Código del producto Vendido]],STOCK[],16,FALSE)*VENTAS[[#This Row],[Cantidad]]+VLOOKUP(VENTAS[[#This Row],[Código del producto Vendido]],STOCK[],19,FALSE)*VENTAS[[#This Row],[Cantidad]],VENTAS[[#This Row],[Total]])</f>
        <v>0</v>
      </c>
      <c r="L1694" s="12">
        <f>VENTAS[[#This Row],[Total]]-VENTAS[[#This Row],[Comisión 10%]]-VENTAS[[#This Row],[Costo SIN Comision]]</f>
        <v>0</v>
      </c>
      <c r="M1694" s="48"/>
      <c r="N1694" s="16" t="s">
        <v>4662</v>
      </c>
    </row>
    <row r="1695" spans="1:14" s="4" customFormat="1" ht="20" hidden="1" customHeight="1">
      <c r="A1695" s="46">
        <v>45541</v>
      </c>
      <c r="B1695" s="47"/>
      <c r="C1695" s="47"/>
      <c r="D1695" s="47" t="s">
        <v>4184</v>
      </c>
      <c r="E1695" s="47" t="s">
        <v>2543</v>
      </c>
      <c r="F1695" s="10" t="str">
        <f>IFERROR(VLOOKUP(VENTAS[[#This Row],[Código del producto Vendido]],STOCK[],5,FALSE),"-")</f>
        <v>Pullover corto unicolor beige</v>
      </c>
      <c r="G1695" s="47">
        <v>1</v>
      </c>
      <c r="H1695" s="48">
        <v>10</v>
      </c>
      <c r="I1695" s="12">
        <f>VENTAS[[#This Row],[Cantidad]]*VENTAS[[#This Row],[Precio Venta]]</f>
        <v>10</v>
      </c>
      <c r="J1695" s="12">
        <f>IF(VENTAS[[#This Row],[Nombre del Gestor]]&gt;1,VENTAS[[#This Row],[Total]]*10%,0)</f>
        <v>1</v>
      </c>
      <c r="K1695" s="12">
        <f>IFERROR(VLOOKUP(VENTAS[[#This Row],[Código del producto Vendido]],STOCK[],16,FALSE)*VENTAS[[#This Row],[Cantidad]]+VLOOKUP(VENTAS[[#This Row],[Código del producto Vendido]],STOCK[],19,FALSE)*VENTAS[[#This Row],[Cantidad]],VENTAS[[#This Row],[Total]])</f>
        <v>4.32</v>
      </c>
      <c r="L1695" s="12">
        <f>VENTAS[[#This Row],[Total]]-VENTAS[[#This Row],[Comisión 10%]]-VENTAS[[#This Row],[Costo SIN Comision]]</f>
        <v>4.68</v>
      </c>
      <c r="M1695" s="48"/>
      <c r="N1695" s="16" t="s">
        <v>4663</v>
      </c>
    </row>
    <row r="1696" spans="1:14" s="4" customFormat="1" ht="20" hidden="1" customHeight="1">
      <c r="A1696" s="46">
        <v>45541</v>
      </c>
      <c r="B1696" s="47"/>
      <c r="C1696" s="47"/>
      <c r="D1696" s="47" t="s">
        <v>4184</v>
      </c>
      <c r="E1696" s="47" t="s">
        <v>1277</v>
      </c>
      <c r="F1696" s="10" t="str">
        <f>IFERROR(VLOOKUP(VENTAS[[#This Row],[Código del producto Vendido]],STOCK[],5,FALSE),"-")</f>
        <v>Top negro de cuello V con encaje</v>
      </c>
      <c r="G1696" s="47">
        <v>1</v>
      </c>
      <c r="H1696" s="48">
        <v>12</v>
      </c>
      <c r="I1696" s="12">
        <f>VENTAS[[#This Row],[Cantidad]]*VENTAS[[#This Row],[Precio Venta]]</f>
        <v>12</v>
      </c>
      <c r="J1696" s="12">
        <f>IF(VENTAS[[#This Row],[Nombre del Gestor]]&gt;1,VENTAS[[#This Row],[Total]]*10%,0)</f>
        <v>1.2000000000000002</v>
      </c>
      <c r="K1696" s="12">
        <f>IFERROR(VLOOKUP(VENTAS[[#This Row],[Código del producto Vendido]],STOCK[],16,FALSE)*VENTAS[[#This Row],[Cantidad]]+VLOOKUP(VENTAS[[#This Row],[Código del producto Vendido]],STOCK[],19,FALSE)*VENTAS[[#This Row],[Cantidad]],VENTAS[[#This Row],[Total]])</f>
        <v>8.09</v>
      </c>
      <c r="L1696" s="12">
        <f>VENTAS[[#This Row],[Total]]-VENTAS[[#This Row],[Comisión 10%]]-VENTAS[[#This Row],[Costo SIN Comision]]</f>
        <v>2.7100000000000009</v>
      </c>
      <c r="M1696" s="48"/>
      <c r="N1696" s="16" t="s">
        <v>4664</v>
      </c>
    </row>
    <row r="1697" spans="1:14" s="4" customFormat="1" ht="20" hidden="1" customHeight="1">
      <c r="A1697" s="46">
        <v>45541</v>
      </c>
      <c r="B1697" s="47"/>
      <c r="C1697" s="47"/>
      <c r="D1697" s="47" t="s">
        <v>4184</v>
      </c>
      <c r="E1697" s="47" t="s">
        <v>1293</v>
      </c>
      <c r="F1697" s="10" t="str">
        <f>IFERROR(VLOOKUP(VENTAS[[#This Row],[Código del producto Vendido]],STOCK[],5,FALSE),"-")</f>
        <v xml:space="preserve">Jean skinny oscuro </v>
      </c>
      <c r="G1697" s="47">
        <v>2</v>
      </c>
      <c r="H1697" s="48">
        <v>30</v>
      </c>
      <c r="I1697" s="12">
        <f>VENTAS[[#This Row],[Cantidad]]*VENTAS[[#This Row],[Precio Venta]]</f>
        <v>60</v>
      </c>
      <c r="J1697" s="12">
        <f>IF(VENTAS[[#This Row],[Nombre del Gestor]]&gt;1,VENTAS[[#This Row],[Total]]*10%,0)</f>
        <v>6</v>
      </c>
      <c r="K1697" s="12">
        <f>IFERROR(VLOOKUP(VENTAS[[#This Row],[Código del producto Vendido]],STOCK[],16,FALSE)*VENTAS[[#This Row],[Cantidad]]+VLOOKUP(VENTAS[[#This Row],[Código del producto Vendido]],STOCK[],19,FALSE)*VENTAS[[#This Row],[Cantidad]],VENTAS[[#This Row],[Total]])</f>
        <v>41.58</v>
      </c>
      <c r="L1697" s="12">
        <f>VENTAS[[#This Row],[Total]]-VENTAS[[#This Row],[Comisión 10%]]-VENTAS[[#This Row],[Costo SIN Comision]]</f>
        <v>12.420000000000002</v>
      </c>
      <c r="M1697" s="48"/>
      <c r="N1697" s="16" t="s">
        <v>4665</v>
      </c>
    </row>
    <row r="1698" spans="1:14" s="4" customFormat="1" ht="20" hidden="1" customHeight="1">
      <c r="A1698" s="46">
        <v>45541</v>
      </c>
      <c r="B1698" s="47"/>
      <c r="C1698" s="47"/>
      <c r="D1698" s="47" t="s">
        <v>4374</v>
      </c>
      <c r="E1698" s="47" t="s">
        <v>1737</v>
      </c>
      <c r="F1698" s="10" t="str">
        <f>IFERROR(VLOOKUP(VENTAS[[#This Row],[Código del producto Vendido]],STOCK[],5,FALSE),"-")</f>
        <v>Chaleco de traje Negro</v>
      </c>
      <c r="G1698" s="47">
        <v>0</v>
      </c>
      <c r="H1698" s="48">
        <v>25</v>
      </c>
      <c r="I1698" s="12">
        <f>VENTAS[[#This Row],[Cantidad]]*VENTAS[[#This Row],[Precio Venta]]</f>
        <v>0</v>
      </c>
      <c r="J1698" s="12">
        <f>IF(VENTAS[[#This Row],[Nombre del Gestor]]&gt;1,VENTAS[[#This Row],[Total]]*10%,0)</f>
        <v>0</v>
      </c>
      <c r="K1698" s="12">
        <f>IFERROR(VLOOKUP(VENTAS[[#This Row],[Código del producto Vendido]],STOCK[],16,FALSE)*VENTAS[[#This Row],[Cantidad]]+VLOOKUP(VENTAS[[#This Row],[Código del producto Vendido]],STOCK[],19,FALSE)*VENTAS[[#This Row],[Cantidad]],VENTAS[[#This Row],[Total]])</f>
        <v>0</v>
      </c>
      <c r="L1698" s="12">
        <f>VENTAS[[#This Row],[Total]]-VENTAS[[#This Row],[Comisión 10%]]-VENTAS[[#This Row],[Costo SIN Comision]]</f>
        <v>0</v>
      </c>
      <c r="M1698" s="48"/>
      <c r="N1698" s="16" t="s">
        <v>4666</v>
      </c>
    </row>
    <row r="1699" spans="1:14" s="4" customFormat="1" ht="20" hidden="1" customHeight="1">
      <c r="A1699" s="46">
        <v>45541</v>
      </c>
      <c r="B1699" s="47"/>
      <c r="C1699" s="47"/>
      <c r="D1699" s="47" t="s">
        <v>4374</v>
      </c>
      <c r="E1699" s="47" t="s">
        <v>1740</v>
      </c>
      <c r="F1699" s="10" t="str">
        <f>IFERROR(VLOOKUP(VENTAS[[#This Row],[Código del producto Vendido]],STOCK[],5,FALSE),"-")</f>
        <v>Chaleco de traje Blanco</v>
      </c>
      <c r="G1699" s="47">
        <v>1</v>
      </c>
      <c r="H1699" s="48">
        <v>25</v>
      </c>
      <c r="I1699" s="12">
        <f>VENTAS[[#This Row],[Cantidad]]*VENTAS[[#This Row],[Precio Venta]]</f>
        <v>25</v>
      </c>
      <c r="J1699" s="12">
        <f>IF(VENTAS[[#This Row],[Nombre del Gestor]]&gt;1,VENTAS[[#This Row],[Total]]*10%,0)</f>
        <v>2.5</v>
      </c>
      <c r="K1699" s="12">
        <f>IFERROR(VLOOKUP(VENTAS[[#This Row],[Código del producto Vendido]],STOCK[],16,FALSE)*VENTAS[[#This Row],[Cantidad]]+VLOOKUP(VENTAS[[#This Row],[Código del producto Vendido]],STOCK[],19,FALSE)*VENTAS[[#This Row],[Cantidad]],VENTAS[[#This Row],[Total]])</f>
        <v>17.9411764705882</v>
      </c>
      <c r="L1699" s="12">
        <f>VENTAS[[#This Row],[Total]]-VENTAS[[#This Row],[Comisión 10%]]-VENTAS[[#This Row],[Costo SIN Comision]]</f>
        <v>4.5588235294118</v>
      </c>
      <c r="M1699" s="48"/>
      <c r="N1699" s="16" t="s">
        <v>4667</v>
      </c>
    </row>
    <row r="1700" spans="1:14" s="4" customFormat="1" ht="20" hidden="1" customHeight="1">
      <c r="A1700" s="46">
        <v>45542</v>
      </c>
      <c r="B1700" s="47"/>
      <c r="C1700" s="47"/>
      <c r="D1700" s="47" t="s">
        <v>4473</v>
      </c>
      <c r="E1700" s="47" t="s">
        <v>965</v>
      </c>
      <c r="F1700" s="10" t="str">
        <f>IFERROR(VLOOKUP(VENTAS[[#This Row],[Código del producto Vendido]],STOCK[],5,FALSE),"-")</f>
        <v xml:space="preserve"> Top Básico Business </v>
      </c>
      <c r="G1700" s="47">
        <v>1</v>
      </c>
      <c r="H1700" s="48">
        <v>10</v>
      </c>
      <c r="I1700" s="12">
        <f>VENTAS[[#This Row],[Cantidad]]*VENTAS[[#This Row],[Precio Venta]]</f>
        <v>10</v>
      </c>
      <c r="J1700" s="12">
        <f>IF(VENTAS[[#This Row],[Nombre del Gestor]]&gt;1,VENTAS[[#This Row],[Total]]*10%,0)</f>
        <v>1</v>
      </c>
      <c r="K1700" s="12">
        <f>IFERROR(VLOOKUP(VENTAS[[#This Row],[Código del producto Vendido]],STOCK[],16,FALSE)*VENTAS[[#This Row],[Cantidad]]+VLOOKUP(VENTAS[[#This Row],[Código del producto Vendido]],STOCK[],19,FALSE)*VENTAS[[#This Row],[Cantidad]],VENTAS[[#This Row],[Total]])</f>
        <v>6.7840909090909101</v>
      </c>
      <c r="L1700" s="12">
        <f>VENTAS[[#This Row],[Total]]-VENTAS[[#This Row],[Comisión 10%]]-VENTAS[[#This Row],[Costo SIN Comision]]</f>
        <v>2.2159090909090899</v>
      </c>
      <c r="M1700" s="48"/>
      <c r="N1700" s="16" t="s">
        <v>4668</v>
      </c>
    </row>
    <row r="1701" spans="1:14" s="4" customFormat="1" ht="20" hidden="1" customHeight="1">
      <c r="A1701" s="46">
        <v>45542</v>
      </c>
      <c r="B1701" s="47"/>
      <c r="C1701" s="47"/>
      <c r="D1701" s="47" t="s">
        <v>4349</v>
      </c>
      <c r="E1701" s="47" t="s">
        <v>2664</v>
      </c>
      <c r="F1701" s="10" t="str">
        <f>IFERROR(VLOOKUP(VENTAS[[#This Row],[Código del producto Vendido]],STOCK[],5,FALSE),"-")</f>
        <v>Pullover negro acanalado de algodón PRIMARK</v>
      </c>
      <c r="G1701" s="47">
        <v>1</v>
      </c>
      <c r="H1701" s="48">
        <v>13</v>
      </c>
      <c r="I1701" s="12">
        <f>VENTAS[[#This Row],[Cantidad]]*VENTAS[[#This Row],[Precio Venta]]</f>
        <v>13</v>
      </c>
      <c r="J1701" s="12">
        <f>IF(VENTAS[[#This Row],[Nombre del Gestor]]&gt;1,VENTAS[[#This Row],[Total]]*10%,0)</f>
        <v>1.3</v>
      </c>
      <c r="K1701" s="12">
        <f>IFERROR(VLOOKUP(VENTAS[[#This Row],[Código del producto Vendido]],STOCK[],16,FALSE)*VENTAS[[#This Row],[Cantidad]]+VLOOKUP(VENTAS[[#This Row],[Código del producto Vendido]],STOCK[],19,FALSE)*VENTAS[[#This Row],[Cantidad]],VENTAS[[#This Row],[Total]])</f>
        <v>7</v>
      </c>
      <c r="L1701" s="12">
        <f>VENTAS[[#This Row],[Total]]-VENTAS[[#This Row],[Comisión 10%]]-VENTAS[[#This Row],[Costo SIN Comision]]</f>
        <v>4.6999999999999993</v>
      </c>
      <c r="M1701" s="48"/>
      <c r="N1701" s="16" t="s">
        <v>4669</v>
      </c>
    </row>
    <row r="1702" spans="1:14" s="4" customFormat="1" ht="20" hidden="1" customHeight="1">
      <c r="A1702" s="46">
        <v>45542</v>
      </c>
      <c r="B1702" s="47"/>
      <c r="C1702" s="47"/>
      <c r="D1702" s="47" t="s">
        <v>4349</v>
      </c>
      <c r="E1702" s="47" t="s">
        <v>2546</v>
      </c>
      <c r="F1702" s="10" t="str">
        <f>IFERROR(VLOOKUP(VENTAS[[#This Row],[Código del producto Vendido]],STOCK[],5,FALSE),"-")</f>
        <v>Pullover largo unicolor tela traslúcida negro</v>
      </c>
      <c r="G1702" s="47">
        <v>1</v>
      </c>
      <c r="H1702" s="48">
        <v>10</v>
      </c>
      <c r="I1702" s="12">
        <f>VENTAS[[#This Row],[Cantidad]]*VENTAS[[#This Row],[Precio Venta]]</f>
        <v>10</v>
      </c>
      <c r="J1702" s="12">
        <f>IF(VENTAS[[#This Row],[Nombre del Gestor]]&gt;1,VENTAS[[#This Row],[Total]]*10%,0)</f>
        <v>1</v>
      </c>
      <c r="K1702" s="12">
        <f>IFERROR(VLOOKUP(VENTAS[[#This Row],[Código del producto Vendido]],STOCK[],16,FALSE)*VENTAS[[#This Row],[Cantidad]]+VLOOKUP(VENTAS[[#This Row],[Código del producto Vendido]],STOCK[],19,FALSE)*VENTAS[[#This Row],[Cantidad]],VENTAS[[#This Row],[Total]])</f>
        <v>4.32</v>
      </c>
      <c r="L1702" s="12">
        <f>VENTAS[[#This Row],[Total]]-VENTAS[[#This Row],[Comisión 10%]]-VENTAS[[#This Row],[Costo SIN Comision]]</f>
        <v>4.68</v>
      </c>
      <c r="M1702" s="48"/>
      <c r="N1702" s="16" t="s">
        <v>4670</v>
      </c>
    </row>
    <row r="1703" spans="1:14" s="4" customFormat="1" ht="20" hidden="1" customHeight="1">
      <c r="A1703" s="46">
        <v>45542</v>
      </c>
      <c r="B1703" s="47"/>
      <c r="C1703" s="47"/>
      <c r="D1703" s="47" t="s">
        <v>4320</v>
      </c>
      <c r="E1703" s="47" t="s">
        <v>1616</v>
      </c>
      <c r="F1703" s="10" t="str">
        <f>IFERROR(VLOOKUP(VENTAS[[#This Row],[Código del producto Vendido]],STOCK[],5,FALSE),"-")</f>
        <v>Camisa Modely</v>
      </c>
      <c r="G1703" s="47">
        <v>1</v>
      </c>
      <c r="H1703" s="48">
        <v>22</v>
      </c>
      <c r="I1703" s="12">
        <f>VENTAS[[#This Row],[Cantidad]]*VENTAS[[#This Row],[Precio Venta]]</f>
        <v>22</v>
      </c>
      <c r="J1703" s="12">
        <f>IF(VENTAS[[#This Row],[Nombre del Gestor]]&gt;1,VENTAS[[#This Row],[Total]]*10%,0)</f>
        <v>2.2000000000000002</v>
      </c>
      <c r="K1703" s="12">
        <f>IFERROR(VLOOKUP(VENTAS[[#This Row],[Código del producto Vendido]],STOCK[],16,FALSE)*VENTAS[[#This Row],[Cantidad]]+VLOOKUP(VENTAS[[#This Row],[Código del producto Vendido]],STOCK[],19,FALSE)*VENTAS[[#This Row],[Cantidad]],VENTAS[[#This Row],[Total]])</f>
        <v>9.74</v>
      </c>
      <c r="L1703" s="12">
        <f>VENTAS[[#This Row],[Total]]-VENTAS[[#This Row],[Comisión 10%]]-VENTAS[[#This Row],[Costo SIN Comision]]</f>
        <v>10.06</v>
      </c>
      <c r="M1703" s="48"/>
      <c r="N1703" s="16" t="s">
        <v>4671</v>
      </c>
    </row>
    <row r="1704" spans="1:14" s="4" customFormat="1" ht="20" hidden="1" customHeight="1">
      <c r="A1704" s="46">
        <v>45542</v>
      </c>
      <c r="B1704" s="47"/>
      <c r="C1704" s="47"/>
      <c r="D1704" s="47" t="s">
        <v>4320</v>
      </c>
      <c r="E1704" s="47" t="s">
        <v>2634</v>
      </c>
      <c r="F1704" s="10" t="str">
        <f>IFERROR(VLOOKUP(VENTAS[[#This Row],[Código del producto Vendido]],STOCK[],5,FALSE),"-")</f>
        <v>Pantalón Caqui de Pierna Ancha De Talle Alto y Bolsillos H&amp;M</v>
      </c>
      <c r="G1704" s="47">
        <v>1</v>
      </c>
      <c r="H1704" s="48">
        <v>35</v>
      </c>
      <c r="I1704" s="12">
        <f>VENTAS[[#This Row],[Cantidad]]*VENTAS[[#This Row],[Precio Venta]]</f>
        <v>35</v>
      </c>
      <c r="J1704" s="12">
        <f>IF(VENTAS[[#This Row],[Nombre del Gestor]]&gt;1,VENTAS[[#This Row],[Total]]*10%,0)</f>
        <v>3.5</v>
      </c>
      <c r="K1704" s="12">
        <f>IFERROR(VLOOKUP(VENTAS[[#This Row],[Código del producto Vendido]],STOCK[],16,FALSE)*VENTAS[[#This Row],[Cantidad]]+VLOOKUP(VENTAS[[#This Row],[Código del producto Vendido]],STOCK[],19,FALSE)*VENTAS[[#This Row],[Cantidad]],VENTAS[[#This Row],[Total]])</f>
        <v>20.959999999999997</v>
      </c>
      <c r="L1704" s="12">
        <f>VENTAS[[#This Row],[Total]]-VENTAS[[#This Row],[Comisión 10%]]-VENTAS[[#This Row],[Costo SIN Comision]]</f>
        <v>10.540000000000003</v>
      </c>
      <c r="M1704" s="48"/>
      <c r="N1704" s="16" t="s">
        <v>4672</v>
      </c>
    </row>
    <row r="1705" spans="1:14" s="4" customFormat="1" ht="20" hidden="1" customHeight="1">
      <c r="A1705" s="46">
        <v>45542</v>
      </c>
      <c r="B1705" s="47"/>
      <c r="C1705" s="47"/>
      <c r="D1705" s="47" t="s">
        <v>4408</v>
      </c>
      <c r="E1705" s="47" t="s">
        <v>2419</v>
      </c>
      <c r="F1705" s="10" t="str">
        <f>IFERROR(VLOOKUP(VENTAS[[#This Row],[Código del producto Vendido]],STOCK[],5,FALSE),"-")</f>
        <v>Camisa blanca en mezcla de algodón</v>
      </c>
      <c r="G1705" s="47">
        <v>1</v>
      </c>
      <c r="H1705" s="48">
        <v>25</v>
      </c>
      <c r="I1705" s="12">
        <f>VENTAS[[#This Row],[Cantidad]]*VENTAS[[#This Row],[Precio Venta]]</f>
        <v>25</v>
      </c>
      <c r="J1705" s="12">
        <f>IF(VENTAS[[#This Row],[Nombre del Gestor]]&gt;1,VENTAS[[#This Row],[Total]]*10%,0)</f>
        <v>2.5</v>
      </c>
      <c r="K1705" s="12">
        <f>IFERROR(VLOOKUP(VENTAS[[#This Row],[Código del producto Vendido]],STOCK[],16,FALSE)*VENTAS[[#This Row],[Cantidad]]+VLOOKUP(VENTAS[[#This Row],[Código del producto Vendido]],STOCK[],19,FALSE)*VENTAS[[#This Row],[Cantidad]],VENTAS[[#This Row],[Total]])</f>
        <v>17.780810810810799</v>
      </c>
      <c r="L1705" s="12">
        <f>VENTAS[[#This Row],[Total]]-VENTAS[[#This Row],[Comisión 10%]]-VENTAS[[#This Row],[Costo SIN Comision]]</f>
        <v>4.7191891891892013</v>
      </c>
      <c r="M1705" s="48"/>
      <c r="N1705" s="16" t="s">
        <v>4673</v>
      </c>
    </row>
    <row r="1706" spans="1:14" s="4" customFormat="1" ht="20" hidden="1" customHeight="1">
      <c r="A1706" s="46">
        <v>45543</v>
      </c>
      <c r="B1706" s="47"/>
      <c r="C1706" s="47"/>
      <c r="D1706" s="47"/>
      <c r="E1706" s="47" t="s">
        <v>2429</v>
      </c>
      <c r="F1706" s="10" t="str">
        <f>IFERROR(VLOOKUP(VENTAS[[#This Row],[Código del producto Vendido]],STOCK[],5,FALSE),"-")</f>
        <v>Pantalón ancho con cordón ajustable</v>
      </c>
      <c r="G1706" s="47">
        <v>1</v>
      </c>
      <c r="H1706" s="48">
        <v>23</v>
      </c>
      <c r="I1706" s="12">
        <f>VENTAS[[#This Row],[Cantidad]]*VENTAS[[#This Row],[Precio Venta]]</f>
        <v>23</v>
      </c>
      <c r="J1706" s="12">
        <f>IF(VENTAS[[#This Row],[Nombre del Gestor]]&gt;1,VENTAS[[#This Row],[Total]]*10%,0)</f>
        <v>0</v>
      </c>
      <c r="K1706" s="12">
        <f>IFERROR(VLOOKUP(VENTAS[[#This Row],[Código del producto Vendido]],STOCK[],16,FALSE)*VENTAS[[#This Row],[Cantidad]]+VLOOKUP(VENTAS[[#This Row],[Código del producto Vendido]],STOCK[],19,FALSE)*VENTAS[[#This Row],[Cantidad]],VENTAS[[#This Row],[Total]])</f>
        <v>11.43533490011751</v>
      </c>
      <c r="L1706" s="12">
        <f>VENTAS[[#This Row],[Total]]-VENTAS[[#This Row],[Comisión 10%]]-VENTAS[[#This Row],[Costo SIN Comision]]</f>
        <v>11.56466509988249</v>
      </c>
      <c r="M1706" s="48"/>
      <c r="N1706" s="16" t="s">
        <v>4674</v>
      </c>
    </row>
    <row r="1707" spans="1:14" s="4" customFormat="1" ht="20" hidden="1" customHeight="1">
      <c r="A1707" s="46">
        <v>45543</v>
      </c>
      <c r="B1707" s="47"/>
      <c r="C1707" s="47"/>
      <c r="D1707" s="47" t="s">
        <v>4330</v>
      </c>
      <c r="E1707" s="47" t="s">
        <v>2410</v>
      </c>
      <c r="F1707" s="10" t="str">
        <f>IFERROR(VLOOKUP(VENTAS[[#This Row],[Código del producto Vendido]],STOCK[],5,FALSE),"-")</f>
        <v>Pantalón de vestir de viscosa y lino (beige claro)</v>
      </c>
      <c r="G1707" s="47">
        <v>1</v>
      </c>
      <c r="H1707" s="48">
        <v>35</v>
      </c>
      <c r="I1707" s="12">
        <f>VENTAS[[#This Row],[Cantidad]]*VENTAS[[#This Row],[Precio Venta]]</f>
        <v>35</v>
      </c>
      <c r="J1707" s="12">
        <f>IF(VENTAS[[#This Row],[Nombre del Gestor]]&gt;1,VENTAS[[#This Row],[Total]]*10%,0)</f>
        <v>3.5</v>
      </c>
      <c r="K1707" s="12">
        <f>IFERROR(VLOOKUP(VENTAS[[#This Row],[Código del producto Vendido]],STOCK[],16,FALSE)*VENTAS[[#This Row],[Cantidad]]+VLOOKUP(VENTAS[[#This Row],[Código del producto Vendido]],STOCK[],19,FALSE)*VENTAS[[#This Row],[Cantidad]],VENTAS[[#This Row],[Total]])</f>
        <v>17.252021151586401</v>
      </c>
      <c r="L1707" s="12">
        <f>VENTAS[[#This Row],[Total]]-VENTAS[[#This Row],[Comisión 10%]]-VENTAS[[#This Row],[Costo SIN Comision]]</f>
        <v>14.247978848413599</v>
      </c>
      <c r="M1707" s="48"/>
      <c r="N1707" s="16" t="s">
        <v>4675</v>
      </c>
    </row>
    <row r="1708" spans="1:14" s="4" customFormat="1" ht="20" hidden="1" customHeight="1">
      <c r="A1708" s="46">
        <v>45543</v>
      </c>
      <c r="B1708" s="47"/>
      <c r="C1708" s="47"/>
      <c r="D1708" s="47" t="s">
        <v>4330</v>
      </c>
      <c r="E1708" s="47" t="s">
        <v>2431</v>
      </c>
      <c r="F1708" s="10" t="str">
        <f>IFERROR(VLOOKUP(VENTAS[[#This Row],[Código del producto Vendido]],STOCK[],5,FALSE),"-")</f>
        <v>Pantalón ancho con cordón ajustable</v>
      </c>
      <c r="G1708" s="47">
        <v>1</v>
      </c>
      <c r="H1708" s="48">
        <v>23</v>
      </c>
      <c r="I1708" s="12">
        <f>VENTAS[[#This Row],[Cantidad]]*VENTAS[[#This Row],[Precio Venta]]</f>
        <v>23</v>
      </c>
      <c r="J1708" s="12">
        <f>IF(VENTAS[[#This Row],[Nombre del Gestor]]&gt;1,VENTAS[[#This Row],[Total]]*10%,0)</f>
        <v>2.3000000000000003</v>
      </c>
      <c r="K1708" s="12">
        <f>IFERROR(VLOOKUP(VENTAS[[#This Row],[Código del producto Vendido]],STOCK[],16,FALSE)*VENTAS[[#This Row],[Cantidad]]+VLOOKUP(VENTAS[[#This Row],[Código del producto Vendido]],STOCK[],19,FALSE)*VENTAS[[#This Row],[Cantidad]],VENTAS[[#This Row],[Total]])</f>
        <v>11.43533490011751</v>
      </c>
      <c r="L1708" s="12">
        <f>VENTAS[[#This Row],[Total]]-VENTAS[[#This Row],[Comisión 10%]]-VENTAS[[#This Row],[Costo SIN Comision]]</f>
        <v>9.2646650998824889</v>
      </c>
      <c r="M1708" s="48"/>
      <c r="N1708" s="16" t="s">
        <v>4676</v>
      </c>
    </row>
    <row r="1709" spans="1:14" s="4" customFormat="1" ht="20" hidden="1" customHeight="1">
      <c r="A1709" s="46">
        <v>45544</v>
      </c>
      <c r="B1709" s="47"/>
      <c r="C1709" s="47"/>
      <c r="D1709" s="47" t="s">
        <v>4320</v>
      </c>
      <c r="E1709" s="47" t="s">
        <v>2719</v>
      </c>
      <c r="F1709" s="10" t="str">
        <f>IFERROR(VLOOKUP(VENTAS[[#This Row],[Código del producto Vendido]],STOCK[],5,FALSE),"-")</f>
        <v>Chaleco Healter color crema y botones coral H&amp;M</v>
      </c>
      <c r="G1709" s="47">
        <v>1</v>
      </c>
      <c r="H1709" s="48">
        <v>30</v>
      </c>
      <c r="I1709" s="12">
        <f>VENTAS[[#This Row],[Cantidad]]*VENTAS[[#This Row],[Precio Venta]]</f>
        <v>30</v>
      </c>
      <c r="J1709" s="12">
        <f>IF(VENTAS[[#This Row],[Nombre del Gestor]]&gt;1,VENTAS[[#This Row],[Total]]*10%,0)</f>
        <v>3</v>
      </c>
      <c r="K1709" s="12">
        <f>IFERROR(VLOOKUP(VENTAS[[#This Row],[Código del producto Vendido]],STOCK[],16,FALSE)*VENTAS[[#This Row],[Cantidad]]+VLOOKUP(VENTAS[[#This Row],[Código del producto Vendido]],STOCK[],19,FALSE)*VENTAS[[#This Row],[Cantidad]],VENTAS[[#This Row],[Total]])</f>
        <v>19</v>
      </c>
      <c r="L1709" s="12">
        <f>VENTAS[[#This Row],[Total]]-VENTAS[[#This Row],[Comisión 10%]]-VENTAS[[#This Row],[Costo SIN Comision]]</f>
        <v>8</v>
      </c>
      <c r="M1709" s="48"/>
      <c r="N1709" s="16" t="s">
        <v>4677</v>
      </c>
    </row>
    <row r="1710" spans="1:14" s="4" customFormat="1" ht="20" hidden="1" customHeight="1">
      <c r="A1710" s="46">
        <v>45545</v>
      </c>
      <c r="B1710" s="47"/>
      <c r="C1710" s="47"/>
      <c r="D1710" s="47" t="s">
        <v>4320</v>
      </c>
      <c r="E1710" s="47" t="s">
        <v>2360</v>
      </c>
      <c r="F1710" s="10" t="str">
        <f>IFERROR(VLOOKUP(VENTAS[[#This Row],[Código del producto Vendido]],STOCK[],5,FALSE),"-")</f>
        <v>Espejuelos rectangulares unisex</v>
      </c>
      <c r="G1710" s="47">
        <v>1</v>
      </c>
      <c r="H1710" s="48">
        <v>10</v>
      </c>
      <c r="I1710" s="12">
        <f>VENTAS[[#This Row],[Cantidad]]*VENTAS[[#This Row],[Precio Venta]]</f>
        <v>10</v>
      </c>
      <c r="J1710" s="12">
        <f>IF(VENTAS[[#This Row],[Nombre del Gestor]]&gt;1,VENTAS[[#This Row],[Total]]*10%,0)</f>
        <v>1</v>
      </c>
      <c r="K1710" s="12">
        <f>IFERROR(VLOOKUP(VENTAS[[#This Row],[Código del producto Vendido]],STOCK[],16,FALSE)*VENTAS[[#This Row],[Cantidad]]+VLOOKUP(VENTAS[[#This Row],[Código del producto Vendido]],STOCK[],19,FALSE)*VENTAS[[#This Row],[Cantidad]],VENTAS[[#This Row],[Total]])</f>
        <v>6.3312499999999998</v>
      </c>
      <c r="L1710" s="12">
        <f>VENTAS[[#This Row],[Total]]-VENTAS[[#This Row],[Comisión 10%]]-VENTAS[[#This Row],[Costo SIN Comision]]</f>
        <v>2.6687500000000002</v>
      </c>
      <c r="M1710" s="48"/>
      <c r="N1710" s="16" t="s">
        <v>4678</v>
      </c>
    </row>
    <row r="1711" spans="1:14" s="4" customFormat="1" ht="20" hidden="1" customHeight="1">
      <c r="A1711" s="46">
        <v>45545</v>
      </c>
      <c r="B1711" s="47"/>
      <c r="C1711" s="47"/>
      <c r="D1711" s="47" t="s">
        <v>4374</v>
      </c>
      <c r="E1711" s="47" t="s">
        <v>2419</v>
      </c>
      <c r="F1711" s="10" t="str">
        <f>IFERROR(VLOOKUP(VENTAS[[#This Row],[Código del producto Vendido]],STOCK[],5,FALSE),"-")</f>
        <v>Camisa blanca en mezcla de algodón</v>
      </c>
      <c r="G1711" s="47">
        <v>1</v>
      </c>
      <c r="H1711" s="48">
        <v>25</v>
      </c>
      <c r="I1711" s="12">
        <f>VENTAS[[#This Row],[Cantidad]]*VENTAS[[#This Row],[Precio Venta]]</f>
        <v>25</v>
      </c>
      <c r="J1711" s="12">
        <f>IF(VENTAS[[#This Row],[Nombre del Gestor]]&gt;1,VENTAS[[#This Row],[Total]]*10%,0)</f>
        <v>2.5</v>
      </c>
      <c r="K1711" s="12">
        <f>IFERROR(VLOOKUP(VENTAS[[#This Row],[Código del producto Vendido]],STOCK[],16,FALSE)*VENTAS[[#This Row],[Cantidad]]+VLOOKUP(VENTAS[[#This Row],[Código del producto Vendido]],STOCK[],19,FALSE)*VENTAS[[#This Row],[Cantidad]],VENTAS[[#This Row],[Total]])</f>
        <v>17.780810810810799</v>
      </c>
      <c r="L1711" s="12">
        <f>VENTAS[[#This Row],[Total]]-VENTAS[[#This Row],[Comisión 10%]]-VENTAS[[#This Row],[Costo SIN Comision]]</f>
        <v>4.7191891891892013</v>
      </c>
      <c r="M1711" s="48"/>
      <c r="N1711" s="16" t="s">
        <v>4679</v>
      </c>
    </row>
    <row r="1712" spans="1:14" s="4" customFormat="1" ht="20" hidden="1" customHeight="1">
      <c r="A1712" s="46">
        <v>45545</v>
      </c>
      <c r="B1712" s="47"/>
      <c r="C1712" s="47"/>
      <c r="D1712" s="47" t="s">
        <v>4349</v>
      </c>
      <c r="E1712" s="47" t="s">
        <v>1326</v>
      </c>
      <c r="F1712" s="10" t="str">
        <f>IFERROR(VLOOKUP(VENTAS[[#This Row],[Código del producto Vendido]],STOCK[],5,FALSE),"-")</f>
        <v xml:space="preserve">Camisa Blanca </v>
      </c>
      <c r="G1712" s="47">
        <v>1</v>
      </c>
      <c r="H1712" s="48">
        <v>25</v>
      </c>
      <c r="I1712" s="12">
        <f>VENTAS[[#This Row],[Cantidad]]*VENTAS[[#This Row],[Precio Venta]]</f>
        <v>25</v>
      </c>
      <c r="J1712" s="12">
        <f>IF(VENTAS[[#This Row],[Nombre del Gestor]]&gt;1,VENTAS[[#This Row],[Total]]*10%,0)</f>
        <v>2.5</v>
      </c>
      <c r="K1712" s="12">
        <f>IFERROR(VLOOKUP(VENTAS[[#This Row],[Código del producto Vendido]],STOCK[],16,FALSE)*VENTAS[[#This Row],[Cantidad]]+VLOOKUP(VENTAS[[#This Row],[Código del producto Vendido]],STOCK[],19,FALSE)*VENTAS[[#This Row],[Cantidad]],VENTAS[[#This Row],[Total]])</f>
        <v>19</v>
      </c>
      <c r="L1712" s="12">
        <f>VENTAS[[#This Row],[Total]]-VENTAS[[#This Row],[Comisión 10%]]-VENTAS[[#This Row],[Costo SIN Comision]]</f>
        <v>3.5</v>
      </c>
      <c r="M1712" s="48"/>
      <c r="N1712" s="16" t="s">
        <v>4680</v>
      </c>
    </row>
    <row r="1713" spans="1:14" s="4" customFormat="1" ht="20" hidden="1" customHeight="1">
      <c r="A1713" s="46">
        <v>45545</v>
      </c>
      <c r="B1713" s="47"/>
      <c r="C1713" s="47"/>
      <c r="D1713" s="47" t="s">
        <v>4528</v>
      </c>
      <c r="E1713" s="47" t="s">
        <v>2289</v>
      </c>
      <c r="F1713" s="10" t="str">
        <f>IFERROR(VLOOKUP(VENTAS[[#This Row],[Código del producto Vendido]],STOCK[],5,FALSE),"-")</f>
        <v>Bolso de lona en bloque de color</v>
      </c>
      <c r="G1713" s="47">
        <v>0</v>
      </c>
      <c r="H1713" s="48">
        <v>12</v>
      </c>
      <c r="I1713" s="12">
        <f>VENTAS[[#This Row],[Cantidad]]*VENTAS[[#This Row],[Precio Venta]]</f>
        <v>0</v>
      </c>
      <c r="J1713" s="12">
        <f>IF(VENTAS[[#This Row],[Nombre del Gestor]]&gt;1,VENTAS[[#This Row],[Total]]*10%,0)</f>
        <v>0</v>
      </c>
      <c r="K1713" s="12">
        <f>IFERROR(VLOOKUP(VENTAS[[#This Row],[Código del producto Vendido]],STOCK[],16,FALSE)*VENTAS[[#This Row],[Cantidad]]+VLOOKUP(VENTAS[[#This Row],[Código del producto Vendido]],STOCK[],19,FALSE)*VENTAS[[#This Row],[Cantidad]],VENTAS[[#This Row],[Total]])</f>
        <v>0</v>
      </c>
      <c r="L1713" s="12">
        <f>VENTAS[[#This Row],[Total]]-VENTAS[[#This Row],[Comisión 10%]]-VENTAS[[#This Row],[Costo SIN Comision]]</f>
        <v>0</v>
      </c>
      <c r="M1713" s="48"/>
      <c r="N1713" s="16" t="s">
        <v>4681</v>
      </c>
    </row>
    <row r="1714" spans="1:14" s="4" customFormat="1" ht="20" hidden="1" customHeight="1">
      <c r="A1714" s="46">
        <v>45546</v>
      </c>
      <c r="B1714" s="47"/>
      <c r="C1714" s="47"/>
      <c r="D1714" s="47" t="s">
        <v>4349</v>
      </c>
      <c r="E1714" s="47" t="s">
        <v>2763</v>
      </c>
      <c r="F1714" s="10" t="str">
        <f>IFERROR(VLOOKUP(VENTAS[[#This Row],[Código del producto Vendido]],STOCK[],5,FALSE),"-")</f>
        <v>Set de bikini estilo europeo blanco en tendencia</v>
      </c>
      <c r="G1714" s="47">
        <v>1</v>
      </c>
      <c r="H1714" s="48">
        <v>22</v>
      </c>
      <c r="I1714" s="12">
        <f>VENTAS[[#This Row],[Cantidad]]*VENTAS[[#This Row],[Precio Venta]]</f>
        <v>22</v>
      </c>
      <c r="J1714" s="12">
        <f>IF(VENTAS[[#This Row],[Nombre del Gestor]]&gt;1,VENTAS[[#This Row],[Total]]*10%,0)</f>
        <v>2.2000000000000002</v>
      </c>
      <c r="K1714" s="12">
        <f>IFERROR(VLOOKUP(VENTAS[[#This Row],[Código del producto Vendido]],STOCK[],16,FALSE)*VENTAS[[#This Row],[Cantidad]]+VLOOKUP(VENTAS[[#This Row],[Código del producto Vendido]],STOCK[],19,FALSE)*VENTAS[[#This Row],[Cantidad]],VENTAS[[#This Row],[Total]])</f>
        <v>13.23</v>
      </c>
      <c r="L1714" s="12">
        <f>VENTAS[[#This Row],[Total]]-VENTAS[[#This Row],[Comisión 10%]]-VENTAS[[#This Row],[Costo SIN Comision]]</f>
        <v>6.57</v>
      </c>
      <c r="M1714" s="48"/>
      <c r="N1714" s="16" t="s">
        <v>4682</v>
      </c>
    </row>
    <row r="1715" spans="1:14" s="4" customFormat="1" ht="20" hidden="1" customHeight="1">
      <c r="A1715" s="46">
        <v>45546</v>
      </c>
      <c r="B1715" s="47"/>
      <c r="C1715" s="47"/>
      <c r="D1715" s="47" t="s">
        <v>4473</v>
      </c>
      <c r="E1715" s="47" t="s">
        <v>2547</v>
      </c>
      <c r="F1715" s="10" t="str">
        <f>IFERROR(VLOOKUP(VENTAS[[#This Row],[Código del producto Vendido]],STOCK[],5,FALSE),"-")</f>
        <v>Pullover largo unicolor tela traslúcida negro</v>
      </c>
      <c r="G1715" s="47">
        <v>1</v>
      </c>
      <c r="H1715" s="48">
        <v>10</v>
      </c>
      <c r="I1715" s="12">
        <f>VENTAS[[#This Row],[Cantidad]]*VENTAS[[#This Row],[Precio Venta]]</f>
        <v>10</v>
      </c>
      <c r="J1715" s="12">
        <f>IF(VENTAS[[#This Row],[Nombre del Gestor]]&gt;1,VENTAS[[#This Row],[Total]]*10%,0)</f>
        <v>1</v>
      </c>
      <c r="K1715" s="12">
        <f>IFERROR(VLOOKUP(VENTAS[[#This Row],[Código del producto Vendido]],STOCK[],16,FALSE)*VENTAS[[#This Row],[Cantidad]]+VLOOKUP(VENTAS[[#This Row],[Código del producto Vendido]],STOCK[],19,FALSE)*VENTAS[[#This Row],[Cantidad]],VENTAS[[#This Row],[Total]])</f>
        <v>4.32</v>
      </c>
      <c r="L1715" s="12">
        <f>VENTAS[[#This Row],[Total]]-VENTAS[[#This Row],[Comisión 10%]]-VENTAS[[#This Row],[Costo SIN Comision]]</f>
        <v>4.68</v>
      </c>
      <c r="M1715" s="48"/>
      <c r="N1715" s="16" t="s">
        <v>4683</v>
      </c>
    </row>
    <row r="1716" spans="1:14" s="4" customFormat="1" ht="20" hidden="1" customHeight="1">
      <c r="A1716" s="46">
        <v>45546</v>
      </c>
      <c r="B1716" s="47"/>
      <c r="C1716" s="47"/>
      <c r="D1716" s="47" t="s">
        <v>4473</v>
      </c>
      <c r="E1716" s="47" t="s">
        <v>2551</v>
      </c>
      <c r="F1716" s="10" t="str">
        <f>IFERROR(VLOOKUP(VENTAS[[#This Row],[Código del producto Vendido]],STOCK[],5,FALSE),"-")</f>
        <v>Pullover largo unicolor tela traslúcida terracota</v>
      </c>
      <c r="G1716" s="47">
        <v>1</v>
      </c>
      <c r="H1716" s="48">
        <v>10</v>
      </c>
      <c r="I1716" s="12">
        <f>VENTAS[[#This Row],[Cantidad]]*VENTAS[[#This Row],[Precio Venta]]</f>
        <v>10</v>
      </c>
      <c r="J1716" s="12">
        <f>IF(VENTAS[[#This Row],[Nombre del Gestor]]&gt;1,VENTAS[[#This Row],[Total]]*10%,0)</f>
        <v>1</v>
      </c>
      <c r="K1716" s="12">
        <f>IFERROR(VLOOKUP(VENTAS[[#This Row],[Código del producto Vendido]],STOCK[],16,FALSE)*VENTAS[[#This Row],[Cantidad]]+VLOOKUP(VENTAS[[#This Row],[Código del producto Vendido]],STOCK[],19,FALSE)*VENTAS[[#This Row],[Cantidad]],VENTAS[[#This Row],[Total]])</f>
        <v>4.32</v>
      </c>
      <c r="L1716" s="12">
        <f>VENTAS[[#This Row],[Total]]-VENTAS[[#This Row],[Comisión 10%]]-VENTAS[[#This Row],[Costo SIN Comision]]</f>
        <v>4.68</v>
      </c>
      <c r="M1716" s="48"/>
      <c r="N1716" s="16" t="s">
        <v>4684</v>
      </c>
    </row>
    <row r="1717" spans="1:14" s="4" customFormat="1" ht="20" hidden="1" customHeight="1">
      <c r="A1717" s="46">
        <v>45546</v>
      </c>
      <c r="B1717" s="47"/>
      <c r="C1717" s="47"/>
      <c r="D1717" s="47" t="s">
        <v>4473</v>
      </c>
      <c r="E1717" s="47" t="s">
        <v>2554</v>
      </c>
      <c r="F1717" s="10" t="str">
        <f>IFERROR(VLOOKUP(VENTAS[[#This Row],[Código del producto Vendido]],STOCK[],5,FALSE),"-")</f>
        <v>Pullover largo unicolor tela traslúcida beige</v>
      </c>
      <c r="G1717" s="47">
        <v>1</v>
      </c>
      <c r="H1717" s="48">
        <v>10</v>
      </c>
      <c r="I1717" s="12">
        <f>VENTAS[[#This Row],[Cantidad]]*VENTAS[[#This Row],[Precio Venta]]</f>
        <v>10</v>
      </c>
      <c r="J1717" s="12">
        <f>IF(VENTAS[[#This Row],[Nombre del Gestor]]&gt;1,VENTAS[[#This Row],[Total]]*10%,0)</f>
        <v>1</v>
      </c>
      <c r="K1717" s="12">
        <f>IFERROR(VLOOKUP(VENTAS[[#This Row],[Código del producto Vendido]],STOCK[],16,FALSE)*VENTAS[[#This Row],[Cantidad]]+VLOOKUP(VENTAS[[#This Row],[Código del producto Vendido]],STOCK[],19,FALSE)*VENTAS[[#This Row],[Cantidad]],VENTAS[[#This Row],[Total]])</f>
        <v>4.32</v>
      </c>
      <c r="L1717" s="12">
        <f>VENTAS[[#This Row],[Total]]-VENTAS[[#This Row],[Comisión 10%]]-VENTAS[[#This Row],[Costo SIN Comision]]</f>
        <v>4.68</v>
      </c>
      <c r="M1717" s="48"/>
      <c r="N1717" s="16" t="s">
        <v>4685</v>
      </c>
    </row>
    <row r="1718" spans="1:14" s="4" customFormat="1" ht="20" hidden="1" customHeight="1">
      <c r="A1718" s="46">
        <v>45546</v>
      </c>
      <c r="B1718" s="47"/>
      <c r="C1718" s="47"/>
      <c r="D1718" s="47" t="s">
        <v>4184</v>
      </c>
      <c r="E1718" s="47" t="s">
        <v>1409</v>
      </c>
      <c r="F1718" s="10" t="str">
        <f>IFERROR(VLOOKUP(VENTAS[[#This Row],[Código del producto Vendido]],STOCK[],5,FALSE),"-")</f>
        <v>Pantaloneta con abertura y bolsillos</v>
      </c>
      <c r="G1718" s="47">
        <v>1</v>
      </c>
      <c r="H1718" s="48">
        <v>23</v>
      </c>
      <c r="I1718" s="12">
        <f>VENTAS[[#This Row],[Cantidad]]*VENTAS[[#This Row],[Precio Venta]]</f>
        <v>23</v>
      </c>
      <c r="J1718" s="12">
        <f>IF(VENTAS[[#This Row],[Nombre del Gestor]]&gt;1,VENTAS[[#This Row],[Total]]*10%,0)</f>
        <v>2.3000000000000003</v>
      </c>
      <c r="K1718" s="12">
        <f>IFERROR(VLOOKUP(VENTAS[[#This Row],[Código del producto Vendido]],STOCK[],16,FALSE)*VENTAS[[#This Row],[Cantidad]]+VLOOKUP(VENTAS[[#This Row],[Código del producto Vendido]],STOCK[],19,FALSE)*VENTAS[[#This Row],[Cantidad]],VENTAS[[#This Row],[Total]])</f>
        <v>14.22</v>
      </c>
      <c r="L1718" s="12">
        <f>VENTAS[[#This Row],[Total]]-VENTAS[[#This Row],[Comisión 10%]]-VENTAS[[#This Row],[Costo SIN Comision]]</f>
        <v>6.4799999999999986</v>
      </c>
      <c r="M1718" s="48"/>
      <c r="N1718" s="16" t="s">
        <v>4686</v>
      </c>
    </row>
    <row r="1719" spans="1:14" s="4" customFormat="1" ht="20" hidden="1" customHeight="1">
      <c r="A1719" s="46">
        <v>45547</v>
      </c>
      <c r="B1719" s="47"/>
      <c r="C1719" s="47"/>
      <c r="D1719" s="47" t="s">
        <v>4330</v>
      </c>
      <c r="E1719" s="47" t="s">
        <v>2286</v>
      </c>
      <c r="F1719" s="10" t="str">
        <f>IFERROR(VLOOKUP(VENTAS[[#This Row],[Código del producto Vendido]],STOCK[],5,FALSE),"-")</f>
        <v>Bolso de lienzo estampado de corazón</v>
      </c>
      <c r="G1719" s="47">
        <v>0</v>
      </c>
      <c r="H1719" s="48">
        <v>12</v>
      </c>
      <c r="I1719" s="12">
        <f>VENTAS[[#This Row],[Cantidad]]*VENTAS[[#This Row],[Precio Venta]]</f>
        <v>0</v>
      </c>
      <c r="J1719" s="12">
        <f>IF(VENTAS[[#This Row],[Nombre del Gestor]]&gt;1,VENTAS[[#This Row],[Total]]*10%,0)</f>
        <v>0</v>
      </c>
      <c r="K1719" s="12">
        <f>IFERROR(VLOOKUP(VENTAS[[#This Row],[Código del producto Vendido]],STOCK[],16,FALSE)*VENTAS[[#This Row],[Cantidad]]+VLOOKUP(VENTAS[[#This Row],[Código del producto Vendido]],STOCK[],19,FALSE)*VENTAS[[#This Row],[Cantidad]],VENTAS[[#This Row],[Total]])</f>
        <v>0</v>
      </c>
      <c r="L1719" s="12">
        <f>VENTAS[[#This Row],[Total]]-VENTAS[[#This Row],[Comisión 10%]]-VENTAS[[#This Row],[Costo SIN Comision]]</f>
        <v>0</v>
      </c>
      <c r="M1719" s="48"/>
      <c r="N1719" s="16" t="s">
        <v>4687</v>
      </c>
    </row>
    <row r="1720" spans="1:14" s="4" customFormat="1" ht="20" hidden="1" customHeight="1">
      <c r="A1720" s="46">
        <v>45547</v>
      </c>
      <c r="B1720" s="47"/>
      <c r="C1720" s="47"/>
      <c r="D1720" s="47" t="s">
        <v>4349</v>
      </c>
      <c r="E1720" s="47" t="s">
        <v>2770</v>
      </c>
      <c r="F1720" s="10" t="str">
        <f>IFERROR(VLOOKUP(VENTAS[[#This Row],[Código del producto Vendido]],STOCK[],5,FALSE),"-")</f>
        <v>Set de bikini de estilo europeo de moda color Oliva</v>
      </c>
      <c r="G1720" s="47">
        <v>1</v>
      </c>
      <c r="H1720" s="48">
        <v>22</v>
      </c>
      <c r="I1720" s="12">
        <f>VENTAS[[#This Row],[Cantidad]]*VENTAS[[#This Row],[Precio Venta]]</f>
        <v>22</v>
      </c>
      <c r="J1720" s="12">
        <f>IF(VENTAS[[#This Row],[Nombre del Gestor]]&gt;1,VENTAS[[#This Row],[Total]]*10%,0)</f>
        <v>2.2000000000000002</v>
      </c>
      <c r="K1720" s="12">
        <f>IFERROR(VLOOKUP(VENTAS[[#This Row],[Código del producto Vendido]],STOCK[],16,FALSE)*VENTAS[[#This Row],[Cantidad]]+VLOOKUP(VENTAS[[#This Row],[Código del producto Vendido]],STOCK[],19,FALSE)*VENTAS[[#This Row],[Cantidad]],VENTAS[[#This Row],[Total]])</f>
        <v>12.870000000000001</v>
      </c>
      <c r="L1720" s="12">
        <f>VENTAS[[#This Row],[Total]]-VENTAS[[#This Row],[Comisión 10%]]-VENTAS[[#This Row],[Costo SIN Comision]]</f>
        <v>6.93</v>
      </c>
      <c r="M1720" s="48"/>
      <c r="N1720" s="16" t="s">
        <v>4688</v>
      </c>
    </row>
    <row r="1721" spans="1:14" s="4" customFormat="1" ht="20" hidden="1" customHeight="1">
      <c r="A1721" s="46">
        <v>45547</v>
      </c>
      <c r="B1721" s="47"/>
      <c r="C1721" s="47"/>
      <c r="D1721" s="47" t="s">
        <v>4689</v>
      </c>
      <c r="E1721" s="47" t="s">
        <v>2557</v>
      </c>
      <c r="F1721" s="10" t="str">
        <f>IFERROR(VLOOKUP(VENTAS[[#This Row],[Código del producto Vendido]],STOCK[],5,FALSE),"-")</f>
        <v>Pullover largo unicolor tela traslúcida blanco</v>
      </c>
      <c r="G1721" s="47">
        <v>1</v>
      </c>
      <c r="H1721" s="48">
        <v>10</v>
      </c>
      <c r="I1721" s="12">
        <f>VENTAS[[#This Row],[Cantidad]]*VENTAS[[#This Row],[Precio Venta]]</f>
        <v>10</v>
      </c>
      <c r="J1721" s="12">
        <f>IF(VENTAS[[#This Row],[Nombre del Gestor]]&gt;1,VENTAS[[#This Row],[Total]]*10%,0)</f>
        <v>1</v>
      </c>
      <c r="K1721" s="12">
        <f>IFERROR(VLOOKUP(VENTAS[[#This Row],[Código del producto Vendido]],STOCK[],16,FALSE)*VENTAS[[#This Row],[Cantidad]]+VLOOKUP(VENTAS[[#This Row],[Código del producto Vendido]],STOCK[],19,FALSE)*VENTAS[[#This Row],[Cantidad]],VENTAS[[#This Row],[Total]])</f>
        <v>4.32</v>
      </c>
      <c r="L1721" s="12">
        <f>VENTAS[[#This Row],[Total]]-VENTAS[[#This Row],[Comisión 10%]]-VENTAS[[#This Row],[Costo SIN Comision]]</f>
        <v>4.68</v>
      </c>
      <c r="M1721" s="48"/>
      <c r="N1721" s="16" t="s">
        <v>4690</v>
      </c>
    </row>
    <row r="1722" spans="1:14" s="4" customFormat="1" ht="20" hidden="1" customHeight="1">
      <c r="A1722" s="46">
        <v>45548</v>
      </c>
      <c r="B1722" s="47"/>
      <c r="C1722" s="47"/>
      <c r="D1722" s="47" t="s">
        <v>4349</v>
      </c>
      <c r="E1722" s="47" t="s">
        <v>2761</v>
      </c>
      <c r="F1722" s="10" t="str">
        <f>IFERROR(VLOOKUP(VENTAS[[#This Row],[Código del producto Vendido]],STOCK[],5,FALSE),"-")</f>
        <v>Vestido semiformal de hombros torcidos color naranja</v>
      </c>
      <c r="G1722" s="47">
        <v>1</v>
      </c>
      <c r="H1722" s="48">
        <v>25</v>
      </c>
      <c r="I1722" s="12">
        <f>VENTAS[[#This Row],[Cantidad]]*VENTAS[[#This Row],[Precio Venta]]</f>
        <v>25</v>
      </c>
      <c r="J1722" s="12">
        <f>IF(VENTAS[[#This Row],[Nombre del Gestor]]&gt;1,VENTAS[[#This Row],[Total]]*10%,0)</f>
        <v>2.5</v>
      </c>
      <c r="K1722" s="12">
        <f>IFERROR(VLOOKUP(VENTAS[[#This Row],[Código del producto Vendido]],STOCK[],16,FALSE)*VENTAS[[#This Row],[Cantidad]]+VLOOKUP(VENTAS[[#This Row],[Código del producto Vendido]],STOCK[],19,FALSE)*VENTAS[[#This Row],[Cantidad]],VENTAS[[#This Row],[Total]])</f>
        <v>11.600000000000001</v>
      </c>
      <c r="L1722" s="12">
        <f>VENTAS[[#This Row],[Total]]-VENTAS[[#This Row],[Comisión 10%]]-VENTAS[[#This Row],[Costo SIN Comision]]</f>
        <v>10.899999999999999</v>
      </c>
      <c r="M1722" s="48"/>
      <c r="N1722" s="16" t="s">
        <v>4691</v>
      </c>
    </row>
    <row r="1723" spans="1:14" s="4" customFormat="1" ht="20" hidden="1" customHeight="1">
      <c r="A1723" s="46">
        <v>45548</v>
      </c>
      <c r="B1723" s="47"/>
      <c r="C1723" s="47"/>
      <c r="D1723" s="47" t="s">
        <v>4349</v>
      </c>
      <c r="E1723" s="47" t="s">
        <v>1926</v>
      </c>
      <c r="F1723" s="10" t="str">
        <f>IFERROR(VLOOKUP(VENTAS[[#This Row],[Código del producto Vendido]],STOCK[],5,FALSE),"-")</f>
        <v>Vestido Fresco Verano en Bloque de Color</v>
      </c>
      <c r="G1723" s="47">
        <v>0</v>
      </c>
      <c r="H1723" s="48">
        <v>30</v>
      </c>
      <c r="I1723" s="12">
        <f>VENTAS[[#This Row],[Cantidad]]*VENTAS[[#This Row],[Precio Venta]]</f>
        <v>0</v>
      </c>
      <c r="J1723" s="12">
        <f>IF(VENTAS[[#This Row],[Nombre del Gestor]]&gt;1,VENTAS[[#This Row],[Total]]*10%,0)</f>
        <v>0</v>
      </c>
      <c r="K1723" s="12">
        <f>IFERROR(VLOOKUP(VENTAS[[#This Row],[Código del producto Vendido]],STOCK[],16,FALSE)*VENTAS[[#This Row],[Cantidad]]+VLOOKUP(VENTAS[[#This Row],[Código del producto Vendido]],STOCK[],19,FALSE)*VENTAS[[#This Row],[Cantidad]],VENTAS[[#This Row],[Total]])</f>
        <v>0</v>
      </c>
      <c r="L1723" s="12">
        <f>VENTAS[[#This Row],[Total]]-VENTAS[[#This Row],[Comisión 10%]]-VENTAS[[#This Row],[Costo SIN Comision]]</f>
        <v>0</v>
      </c>
      <c r="M1723" s="48"/>
      <c r="N1723" s="16" t="s">
        <v>4692</v>
      </c>
    </row>
    <row r="1724" spans="1:14" s="4" customFormat="1" ht="20" hidden="1" customHeight="1">
      <c r="A1724" s="46">
        <v>45552</v>
      </c>
      <c r="B1724" s="47"/>
      <c r="C1724" s="47"/>
      <c r="D1724" s="47" t="s">
        <v>4578</v>
      </c>
      <c r="E1724" s="47" t="s">
        <v>1770</v>
      </c>
      <c r="F1724" s="10" t="str">
        <f>IFERROR(VLOOKUP(VENTAS[[#This Row],[Código del producto Vendido]],STOCK[],5,FALSE),"-")</f>
        <v>Calcetines bajos</v>
      </c>
      <c r="G1724" s="47">
        <v>5</v>
      </c>
      <c r="H1724" s="48">
        <v>1</v>
      </c>
      <c r="I1724" s="12">
        <f>VENTAS[[#This Row],[Cantidad]]*VENTAS[[#This Row],[Precio Venta]]</f>
        <v>5</v>
      </c>
      <c r="J1724" s="12">
        <f>IF(VENTAS[[#This Row],[Nombre del Gestor]]&gt;1,VENTAS[[#This Row],[Total]]*10%,0)</f>
        <v>0.5</v>
      </c>
      <c r="K1724" s="12">
        <f>IFERROR(VLOOKUP(VENTAS[[#This Row],[Código del producto Vendido]],STOCK[],16,FALSE)*VENTAS[[#This Row],[Cantidad]]+VLOOKUP(VENTAS[[#This Row],[Código del producto Vendido]],STOCK[],19,FALSE)*VENTAS[[#This Row],[Cantidad]],VENTAS[[#This Row],[Total]])</f>
        <v>2.1470588235294099</v>
      </c>
      <c r="L1724" s="12">
        <f>VENTAS[[#This Row],[Total]]-VENTAS[[#This Row],[Comisión 10%]]-VENTAS[[#This Row],[Costo SIN Comision]]</f>
        <v>2.3529411764705901</v>
      </c>
      <c r="M1724" s="48"/>
      <c r="N1724" s="16" t="s">
        <v>4693</v>
      </c>
    </row>
    <row r="1725" spans="1:14" s="4" customFormat="1" ht="20" hidden="1" customHeight="1">
      <c r="A1725" s="46">
        <v>45552</v>
      </c>
      <c r="B1725" s="47"/>
      <c r="C1725" s="47"/>
      <c r="D1725" s="47" t="s">
        <v>4374</v>
      </c>
      <c r="E1725" s="47" t="s">
        <v>1906</v>
      </c>
      <c r="F1725" s="10" t="str">
        <f>IFERROR(VLOOKUP(VENTAS[[#This Row],[Código del producto Vendido]],STOCK[],5,FALSE),"-")</f>
        <v>Blusa estampada de Lunares</v>
      </c>
      <c r="G1725" s="47">
        <v>0</v>
      </c>
      <c r="H1725" s="48">
        <v>14</v>
      </c>
      <c r="I1725" s="12">
        <f>VENTAS[[#This Row],[Cantidad]]*VENTAS[[#This Row],[Precio Venta]]</f>
        <v>0</v>
      </c>
      <c r="J1725" s="12">
        <f>IF(VENTAS[[#This Row],[Nombre del Gestor]]&gt;1,VENTAS[[#This Row],[Total]]*10%,0)</f>
        <v>0</v>
      </c>
      <c r="K1725" s="12">
        <f>IFERROR(VLOOKUP(VENTAS[[#This Row],[Código del producto Vendido]],STOCK[],16,FALSE)*VENTAS[[#This Row],[Cantidad]]+VLOOKUP(VENTAS[[#This Row],[Código del producto Vendido]],STOCK[],19,FALSE)*VENTAS[[#This Row],[Cantidad]],VENTAS[[#This Row],[Total]])</f>
        <v>0</v>
      </c>
      <c r="L1725" s="12">
        <f>VENTAS[[#This Row],[Total]]-VENTAS[[#This Row],[Comisión 10%]]-VENTAS[[#This Row],[Costo SIN Comision]]</f>
        <v>0</v>
      </c>
      <c r="M1725" s="48"/>
      <c r="N1725" s="16" t="s">
        <v>4694</v>
      </c>
    </row>
    <row r="1726" spans="1:14" s="4" customFormat="1" ht="20" hidden="1" customHeight="1">
      <c r="A1726" s="46">
        <v>45552</v>
      </c>
      <c r="B1726" s="47"/>
      <c r="C1726" s="47"/>
      <c r="D1726" s="47" t="s">
        <v>4695</v>
      </c>
      <c r="E1726" s="47" t="s">
        <v>2680</v>
      </c>
      <c r="F1726" s="10" t="str">
        <f>IFERROR(VLOOKUP(VENTAS[[#This Row],[Código del producto Vendido]],STOCK[],5,FALSE),"-")</f>
        <v>Traje de baño clásico en bloque de color de talle alto</v>
      </c>
      <c r="G1726" s="47">
        <v>1</v>
      </c>
      <c r="H1726" s="48">
        <v>28</v>
      </c>
      <c r="I1726" s="12">
        <f>VENTAS[[#This Row],[Cantidad]]*VENTAS[[#This Row],[Precio Venta]]</f>
        <v>28</v>
      </c>
      <c r="J1726" s="12">
        <f>IF(VENTAS[[#This Row],[Nombre del Gestor]]&gt;1,VENTAS[[#This Row],[Total]]*10%,0)</f>
        <v>2.8000000000000003</v>
      </c>
      <c r="K1726" s="12">
        <f>IFERROR(VLOOKUP(VENTAS[[#This Row],[Código del producto Vendido]],STOCK[],16,FALSE)*VENTAS[[#This Row],[Cantidad]]+VLOOKUP(VENTAS[[#This Row],[Código del producto Vendido]],STOCK[],19,FALSE)*VENTAS[[#This Row],[Cantidad]],VENTAS[[#This Row],[Total]])</f>
        <v>10.4</v>
      </c>
      <c r="L1726" s="12">
        <f>VENTAS[[#This Row],[Total]]-VENTAS[[#This Row],[Comisión 10%]]-VENTAS[[#This Row],[Costo SIN Comision]]</f>
        <v>14.799999999999999</v>
      </c>
      <c r="M1726" s="48"/>
      <c r="N1726" s="16" t="s">
        <v>4696</v>
      </c>
    </row>
    <row r="1727" spans="1:14" s="4" customFormat="1" ht="20" hidden="1" customHeight="1">
      <c r="A1727" s="46">
        <v>45552</v>
      </c>
      <c r="B1727" s="47"/>
      <c r="C1727" s="47"/>
      <c r="D1727" s="47" t="s">
        <v>4578</v>
      </c>
      <c r="E1727" s="47" t="s">
        <v>1740</v>
      </c>
      <c r="F1727" s="10" t="str">
        <f>IFERROR(VLOOKUP(VENTAS[[#This Row],[Código del producto Vendido]],STOCK[],5,FALSE),"-")</f>
        <v>Chaleco de traje Blanco</v>
      </c>
      <c r="G1727" s="47">
        <v>1</v>
      </c>
      <c r="H1727" s="48">
        <v>25</v>
      </c>
      <c r="I1727" s="12">
        <f>VENTAS[[#This Row],[Cantidad]]*VENTAS[[#This Row],[Precio Venta]]</f>
        <v>25</v>
      </c>
      <c r="J1727" s="12">
        <f>IF(VENTAS[[#This Row],[Nombre del Gestor]]&gt;1,VENTAS[[#This Row],[Total]]*10%,0)</f>
        <v>2.5</v>
      </c>
      <c r="K1727" s="12">
        <f>IFERROR(VLOOKUP(VENTAS[[#This Row],[Código del producto Vendido]],STOCK[],16,FALSE)*VENTAS[[#This Row],[Cantidad]]+VLOOKUP(VENTAS[[#This Row],[Código del producto Vendido]],STOCK[],19,FALSE)*VENTAS[[#This Row],[Cantidad]],VENTAS[[#This Row],[Total]])</f>
        <v>17.9411764705882</v>
      </c>
      <c r="L1727" s="12">
        <f>VENTAS[[#This Row],[Total]]-VENTAS[[#This Row],[Comisión 10%]]-VENTAS[[#This Row],[Costo SIN Comision]]</f>
        <v>4.5588235294118</v>
      </c>
      <c r="M1727" s="48"/>
      <c r="N1727" s="16" t="s">
        <v>4697</v>
      </c>
    </row>
    <row r="1728" spans="1:14" s="4" customFormat="1" ht="20" hidden="1" customHeight="1">
      <c r="A1728" s="46">
        <v>45553</v>
      </c>
      <c r="B1728" s="47"/>
      <c r="C1728" s="47"/>
      <c r="D1728" s="47" t="s">
        <v>4473</v>
      </c>
      <c r="E1728" s="47" t="s">
        <v>2522</v>
      </c>
      <c r="F1728" s="10" t="str">
        <f>IFERROR(VLOOKUP(VENTAS[[#This Row],[Código del producto Vendido]],STOCK[],5,FALSE),"-")</f>
        <v>Pantalones cortos de mezclilla de moda</v>
      </c>
      <c r="G1728" s="47">
        <v>1</v>
      </c>
      <c r="H1728" s="48">
        <v>25</v>
      </c>
      <c r="I1728" s="12">
        <f>VENTAS[[#This Row],[Cantidad]]*VENTAS[[#This Row],[Precio Venta]]</f>
        <v>25</v>
      </c>
      <c r="J1728" s="12">
        <f>IF(VENTAS[[#This Row],[Nombre del Gestor]]&gt;1,VENTAS[[#This Row],[Total]]*10%,0)</f>
        <v>2.5</v>
      </c>
      <c r="K1728" s="12">
        <f>IFERROR(VLOOKUP(VENTAS[[#This Row],[Código del producto Vendido]],STOCK[],16,FALSE)*VENTAS[[#This Row],[Cantidad]]+VLOOKUP(VENTAS[[#This Row],[Código del producto Vendido]],STOCK[],19,FALSE)*VENTAS[[#This Row],[Cantidad]],VENTAS[[#This Row],[Total]])</f>
        <v>15.790000000000001</v>
      </c>
      <c r="L1728" s="12">
        <f>VENTAS[[#This Row],[Total]]-VENTAS[[#This Row],[Comisión 10%]]-VENTAS[[#This Row],[Costo SIN Comision]]</f>
        <v>6.7099999999999991</v>
      </c>
      <c r="M1728" s="48"/>
      <c r="N1728" s="16" t="s">
        <v>4698</v>
      </c>
    </row>
    <row r="1729" spans="1:14" s="4" customFormat="1" ht="20" hidden="1" customHeight="1">
      <c r="A1729" s="46">
        <v>45553</v>
      </c>
      <c r="B1729" s="47"/>
      <c r="C1729" s="47"/>
      <c r="D1729" s="47" t="s">
        <v>4473</v>
      </c>
      <c r="E1729" s="47" t="s">
        <v>2515</v>
      </c>
      <c r="F1729" s="10" t="str">
        <f>IFERROR(VLOOKUP(VENTAS[[#This Row],[Código del producto Vendido]],STOCK[],5,FALSE),"-")</f>
        <v>Camisa elegante de listas</v>
      </c>
      <c r="G1729" s="47">
        <v>1</v>
      </c>
      <c r="H1729" s="48">
        <v>22</v>
      </c>
      <c r="I1729" s="12">
        <f>VENTAS[[#This Row],[Cantidad]]*VENTAS[[#This Row],[Precio Venta]]</f>
        <v>22</v>
      </c>
      <c r="J1729" s="12">
        <f>IF(VENTAS[[#This Row],[Nombre del Gestor]]&gt;1,VENTAS[[#This Row],[Total]]*10%,0)</f>
        <v>2.2000000000000002</v>
      </c>
      <c r="K1729" s="12">
        <f>IFERROR(VLOOKUP(VENTAS[[#This Row],[Código del producto Vendido]],STOCK[],16,FALSE)*VENTAS[[#This Row],[Cantidad]]+VLOOKUP(VENTAS[[#This Row],[Código del producto Vendido]],STOCK[],19,FALSE)*VENTAS[[#This Row],[Cantidad]],VENTAS[[#This Row],[Total]])</f>
        <v>11.3</v>
      </c>
      <c r="L1729" s="12">
        <f>VENTAS[[#This Row],[Total]]-VENTAS[[#This Row],[Comisión 10%]]-VENTAS[[#This Row],[Costo SIN Comision]]</f>
        <v>8.5</v>
      </c>
      <c r="M1729" s="48"/>
      <c r="N1729" s="16" t="s">
        <v>4699</v>
      </c>
    </row>
    <row r="1730" spans="1:14" s="4" customFormat="1" ht="20" hidden="1" customHeight="1">
      <c r="A1730" s="46">
        <v>45553</v>
      </c>
      <c r="B1730" s="47"/>
      <c r="C1730" s="47"/>
      <c r="D1730" s="47" t="s">
        <v>4349</v>
      </c>
      <c r="E1730" s="47" t="s">
        <v>2486</v>
      </c>
      <c r="F1730" s="10" t="str">
        <f>IFERROR(VLOOKUP(VENTAS[[#This Row],[Código del producto Vendido]],STOCK[],5,FALSE),"-")</f>
        <v>Zapatos elegantes de punta fina negros</v>
      </c>
      <c r="G1730" s="47">
        <v>1</v>
      </c>
      <c r="H1730" s="48">
        <v>40</v>
      </c>
      <c r="I1730" s="12">
        <f>VENTAS[[#This Row],[Cantidad]]*VENTAS[[#This Row],[Precio Venta]]</f>
        <v>40</v>
      </c>
      <c r="J1730" s="12">
        <f>IF(VENTAS[[#This Row],[Nombre del Gestor]]&gt;1,VENTAS[[#This Row],[Total]]*10%,0)</f>
        <v>4</v>
      </c>
      <c r="K1730" s="12">
        <f>IFERROR(VLOOKUP(VENTAS[[#This Row],[Código del producto Vendido]],STOCK[],16,FALSE)*VENTAS[[#This Row],[Cantidad]]+VLOOKUP(VENTAS[[#This Row],[Código del producto Vendido]],STOCK[],19,FALSE)*VENTAS[[#This Row],[Cantidad]],VENTAS[[#This Row],[Total]])</f>
        <v>21.114050000000002</v>
      </c>
      <c r="L1730" s="12">
        <f>VENTAS[[#This Row],[Total]]-VENTAS[[#This Row],[Comisión 10%]]-VENTAS[[#This Row],[Costo SIN Comision]]</f>
        <v>14.885949999999998</v>
      </c>
      <c r="M1730" s="48"/>
      <c r="N1730" s="16" t="s">
        <v>4700</v>
      </c>
    </row>
    <row r="1731" spans="1:14" s="4" customFormat="1" ht="20" hidden="1" customHeight="1">
      <c r="A1731" s="46">
        <v>45553</v>
      </c>
      <c r="B1731" s="47"/>
      <c r="C1731" s="47"/>
      <c r="D1731" s="47" t="s">
        <v>4349</v>
      </c>
      <c r="E1731" s="47" t="s">
        <v>2422</v>
      </c>
      <c r="F1731" s="10" t="str">
        <f>IFERROR(VLOOKUP(VENTAS[[#This Row],[Código del producto Vendido]],STOCK[],5,FALSE),"-")</f>
        <v>Camisa blanca en mezcla de algodón</v>
      </c>
      <c r="G1731" s="47">
        <v>1</v>
      </c>
      <c r="H1731" s="48">
        <v>25</v>
      </c>
      <c r="I1731" s="12">
        <f>VENTAS[[#This Row],[Cantidad]]*VENTAS[[#This Row],[Precio Venta]]</f>
        <v>25</v>
      </c>
      <c r="J1731" s="12">
        <f>IF(VENTAS[[#This Row],[Nombre del Gestor]]&gt;1,VENTAS[[#This Row],[Total]]*10%,0)</f>
        <v>2.5</v>
      </c>
      <c r="K1731" s="12">
        <f>IFERROR(VLOOKUP(VENTAS[[#This Row],[Código del producto Vendido]],STOCK[],16,FALSE)*VENTAS[[#This Row],[Cantidad]]+VLOOKUP(VENTAS[[#This Row],[Código del producto Vendido]],STOCK[],19,FALSE)*VENTAS[[#This Row],[Cantidad]],VENTAS[[#This Row],[Total]])</f>
        <v>17.780810810810799</v>
      </c>
      <c r="L1731" s="12">
        <f>VENTAS[[#This Row],[Total]]-VENTAS[[#This Row],[Comisión 10%]]-VENTAS[[#This Row],[Costo SIN Comision]]</f>
        <v>4.7191891891892013</v>
      </c>
      <c r="M1731" s="48"/>
      <c r="N1731" s="16" t="s">
        <v>4701</v>
      </c>
    </row>
    <row r="1732" spans="1:14" s="4" customFormat="1" ht="20" hidden="1" customHeight="1">
      <c r="A1732" s="46">
        <v>45553</v>
      </c>
      <c r="B1732" s="47"/>
      <c r="C1732" s="47"/>
      <c r="D1732" s="47" t="s">
        <v>4380</v>
      </c>
      <c r="E1732" s="47" t="s">
        <v>2763</v>
      </c>
      <c r="F1732" s="10" t="str">
        <f>IFERROR(VLOOKUP(VENTAS[[#This Row],[Código del producto Vendido]],STOCK[],5,FALSE),"-")</f>
        <v>Set de bikini estilo europeo blanco en tendencia</v>
      </c>
      <c r="G1732" s="47">
        <v>1</v>
      </c>
      <c r="H1732" s="48">
        <v>22</v>
      </c>
      <c r="I1732" s="12">
        <f>VENTAS[[#This Row],[Cantidad]]*VENTAS[[#This Row],[Precio Venta]]</f>
        <v>22</v>
      </c>
      <c r="J1732" s="12">
        <f>IF(VENTAS[[#This Row],[Nombre del Gestor]]&gt;1,VENTAS[[#This Row],[Total]]*10%,0)</f>
        <v>2.2000000000000002</v>
      </c>
      <c r="K1732" s="12">
        <f>IFERROR(VLOOKUP(VENTAS[[#This Row],[Código del producto Vendido]],STOCK[],16,FALSE)*VENTAS[[#This Row],[Cantidad]]+VLOOKUP(VENTAS[[#This Row],[Código del producto Vendido]],STOCK[],19,FALSE)*VENTAS[[#This Row],[Cantidad]],VENTAS[[#This Row],[Total]])</f>
        <v>13.23</v>
      </c>
      <c r="L1732" s="12">
        <f>VENTAS[[#This Row],[Total]]-VENTAS[[#This Row],[Comisión 10%]]-VENTAS[[#This Row],[Costo SIN Comision]]</f>
        <v>6.57</v>
      </c>
      <c r="M1732" s="48"/>
      <c r="N1732" s="16" t="s">
        <v>4702</v>
      </c>
    </row>
    <row r="1733" spans="1:14" s="4" customFormat="1" ht="20" hidden="1" customHeight="1">
      <c r="A1733" s="46">
        <v>45554</v>
      </c>
      <c r="B1733" s="47"/>
      <c r="C1733" s="47"/>
      <c r="D1733" s="47" t="s">
        <v>4535</v>
      </c>
      <c r="E1733" s="47" t="s">
        <v>2115</v>
      </c>
      <c r="F1733" s="10" t="str">
        <f>IFERROR(VLOOKUP(VENTAS[[#This Row],[Código del producto Vendido]],STOCK[],5,FALSE),"-")</f>
        <v>Flor TOTE fashion bag</v>
      </c>
      <c r="G1733" s="47">
        <v>1</v>
      </c>
      <c r="H1733" s="48">
        <v>12</v>
      </c>
      <c r="I1733" s="12">
        <f>VENTAS[[#This Row],[Cantidad]]*VENTAS[[#This Row],[Precio Venta]]</f>
        <v>12</v>
      </c>
      <c r="J1733" s="12">
        <f>IF(VENTAS[[#This Row],[Nombre del Gestor]]&gt;1,VENTAS[[#This Row],[Total]]*10%,0)</f>
        <v>1.2000000000000002</v>
      </c>
      <c r="K1733" s="12">
        <f>IFERROR(VLOOKUP(VENTAS[[#This Row],[Código del producto Vendido]],STOCK[],16,FALSE)*VENTAS[[#This Row],[Cantidad]]+VLOOKUP(VENTAS[[#This Row],[Código del producto Vendido]],STOCK[],19,FALSE)*VENTAS[[#This Row],[Cantidad]],VENTAS[[#This Row],[Total]])</f>
        <v>3.77</v>
      </c>
      <c r="L1733" s="12">
        <f>VENTAS[[#This Row],[Total]]-VENTAS[[#This Row],[Comisión 10%]]-VENTAS[[#This Row],[Costo SIN Comision]]</f>
        <v>7.0300000000000011</v>
      </c>
      <c r="M1733" s="48"/>
      <c r="N1733" s="16" t="s">
        <v>4703</v>
      </c>
    </row>
    <row r="1734" spans="1:14" s="4" customFormat="1" ht="20" hidden="1" customHeight="1">
      <c r="A1734" s="46">
        <v>45554</v>
      </c>
      <c r="B1734" s="47"/>
      <c r="C1734" s="47"/>
      <c r="D1734" s="47" t="s">
        <v>4374</v>
      </c>
      <c r="E1734" s="47" t="s">
        <v>1835</v>
      </c>
      <c r="F1734" s="10" t="str">
        <f>IFERROR(VLOOKUP(VENTAS[[#This Row],[Código del producto Vendido]],STOCK[],5,FALSE),"-")</f>
        <v xml:space="preserve">Pantalón en piel </v>
      </c>
      <c r="G1734" s="47">
        <v>0</v>
      </c>
      <c r="H1734" s="48">
        <v>25</v>
      </c>
      <c r="I1734" s="12">
        <f>VENTAS[[#This Row],[Cantidad]]*VENTAS[[#This Row],[Precio Venta]]</f>
        <v>0</v>
      </c>
      <c r="J1734" s="12">
        <f>IF(VENTAS[[#This Row],[Nombre del Gestor]]&gt;1,VENTAS[[#This Row],[Total]]*10%,0)</f>
        <v>0</v>
      </c>
      <c r="K1734" s="12">
        <f>IFERROR(VLOOKUP(VENTAS[[#This Row],[Código del producto Vendido]],STOCK[],16,FALSE)*VENTAS[[#This Row],[Cantidad]]+VLOOKUP(VENTAS[[#This Row],[Código del producto Vendido]],STOCK[],19,FALSE)*VENTAS[[#This Row],[Cantidad]],VENTAS[[#This Row],[Total]])</f>
        <v>0</v>
      </c>
      <c r="L1734" s="12">
        <f>VENTAS[[#This Row],[Total]]-VENTAS[[#This Row],[Comisión 10%]]-VENTAS[[#This Row],[Costo SIN Comision]]</f>
        <v>0</v>
      </c>
      <c r="M1734" s="48"/>
      <c r="N1734" s="16" t="s">
        <v>4704</v>
      </c>
    </row>
    <row r="1735" spans="1:14" s="4" customFormat="1" ht="20" hidden="1" customHeight="1">
      <c r="A1735" s="46">
        <v>45554</v>
      </c>
      <c r="B1735" s="47"/>
      <c r="C1735" s="47"/>
      <c r="D1735" s="47" t="s">
        <v>4374</v>
      </c>
      <c r="E1735" s="47" t="s">
        <v>587</v>
      </c>
      <c r="F1735" s="10" t="str">
        <f>IFERROR(VLOOKUP(VENTAS[[#This Row],[Código del producto Vendido]],STOCK[],5,FALSE),"-")</f>
        <v>Top cruzado blanco</v>
      </c>
      <c r="G1735" s="47">
        <v>1</v>
      </c>
      <c r="H1735" s="48">
        <v>9</v>
      </c>
      <c r="I1735" s="12">
        <f>VENTAS[[#This Row],[Cantidad]]*VENTAS[[#This Row],[Precio Venta]]</f>
        <v>9</v>
      </c>
      <c r="J1735" s="12">
        <f>IF(VENTAS[[#This Row],[Nombre del Gestor]]&gt;1,VENTAS[[#This Row],[Total]]*10%,0)</f>
        <v>0.9</v>
      </c>
      <c r="K1735" s="12">
        <f>IFERROR(VLOOKUP(VENTAS[[#This Row],[Código del producto Vendido]],STOCK[],16,FALSE)*VENTAS[[#This Row],[Cantidad]]+VLOOKUP(VENTAS[[#This Row],[Código del producto Vendido]],STOCK[],19,FALSE)*VENTAS[[#This Row],[Cantidad]],VENTAS[[#This Row],[Total]])</f>
        <v>5.1933333333333307</v>
      </c>
      <c r="L1735" s="12">
        <f>VENTAS[[#This Row],[Total]]-VENTAS[[#This Row],[Comisión 10%]]-VENTAS[[#This Row],[Costo SIN Comision]]</f>
        <v>2.906666666666669</v>
      </c>
      <c r="M1735" s="48"/>
      <c r="N1735" s="16" t="s">
        <v>4705</v>
      </c>
    </row>
    <row r="1736" spans="1:14" s="4" customFormat="1" ht="20" hidden="1" customHeight="1">
      <c r="A1736" s="46">
        <v>45554</v>
      </c>
      <c r="B1736" s="47"/>
      <c r="C1736" s="47"/>
      <c r="D1736" s="47" t="s">
        <v>4374</v>
      </c>
      <c r="E1736" s="47" t="s">
        <v>662</v>
      </c>
      <c r="F1736" s="10" t="str">
        <f>IFERROR(VLOOKUP(VENTAS[[#This Row],[Código del producto Vendido]],STOCK[],5,FALSE),"-")</f>
        <v>Top Cruzado negro</v>
      </c>
      <c r="G1736" s="47">
        <v>1</v>
      </c>
      <c r="H1736" s="48">
        <v>8</v>
      </c>
      <c r="I1736" s="12">
        <f>VENTAS[[#This Row],[Cantidad]]*VENTAS[[#This Row],[Precio Venta]]</f>
        <v>8</v>
      </c>
      <c r="J1736" s="12">
        <f>IF(VENTAS[[#This Row],[Nombre del Gestor]]&gt;1,VENTAS[[#This Row],[Total]]*10%,0)</f>
        <v>0.8</v>
      </c>
      <c r="K1736" s="12">
        <f>IFERROR(VLOOKUP(VENTAS[[#This Row],[Código del producto Vendido]],STOCK[],16,FALSE)*VENTAS[[#This Row],[Cantidad]]+VLOOKUP(VENTAS[[#This Row],[Código del producto Vendido]],STOCK[],19,FALSE)*VENTAS[[#This Row],[Cantidad]],VENTAS[[#This Row],[Total]])</f>
        <v>4.9016666666666699</v>
      </c>
      <c r="L1736" s="12">
        <f>VENTAS[[#This Row],[Total]]-VENTAS[[#This Row],[Comisión 10%]]-VENTAS[[#This Row],[Costo SIN Comision]]</f>
        <v>2.2983333333333302</v>
      </c>
      <c r="M1736" s="48"/>
      <c r="N1736" s="16" t="s">
        <v>4706</v>
      </c>
    </row>
    <row r="1737" spans="1:14" s="4" customFormat="1" ht="20" hidden="1" customHeight="1">
      <c r="A1737" s="46">
        <v>45559</v>
      </c>
      <c r="B1737" s="47"/>
      <c r="C1737" s="47"/>
      <c r="D1737" s="47" t="s">
        <v>4473</v>
      </c>
      <c r="E1737" s="47" t="s">
        <v>1773</v>
      </c>
      <c r="F1737" s="10" t="str">
        <f>IFERROR(VLOOKUP(VENTAS[[#This Row],[Código del producto Vendido]],STOCK[],5,FALSE),"-")</f>
        <v>Kimono Dazy Elegante</v>
      </c>
      <c r="G1737" s="47">
        <v>1</v>
      </c>
      <c r="H1737" s="48">
        <v>22</v>
      </c>
      <c r="I1737" s="12">
        <f>VENTAS[[#This Row],[Cantidad]]*VENTAS[[#This Row],[Precio Venta]]</f>
        <v>22</v>
      </c>
      <c r="J1737" s="12">
        <f>IF(VENTAS[[#This Row],[Nombre del Gestor]]&gt;1,VENTAS[[#This Row],[Total]]*10%,0)</f>
        <v>2.2000000000000002</v>
      </c>
      <c r="K1737" s="12">
        <f>IFERROR(VLOOKUP(VENTAS[[#This Row],[Código del producto Vendido]],STOCK[],16,FALSE)*VENTAS[[#This Row],[Cantidad]]+VLOOKUP(VENTAS[[#This Row],[Código del producto Vendido]],STOCK[],19,FALSE)*VENTAS[[#This Row],[Cantidad]],VENTAS[[#This Row],[Total]])</f>
        <v>13.352941176470591</v>
      </c>
      <c r="L1737" s="12">
        <f>VENTAS[[#This Row],[Total]]-VENTAS[[#This Row],[Comisión 10%]]-VENTAS[[#This Row],[Costo SIN Comision]]</f>
        <v>6.4470588235294102</v>
      </c>
      <c r="M1737" s="48"/>
      <c r="N1737" s="16" t="s">
        <v>4707</v>
      </c>
    </row>
    <row r="1738" spans="1:14" s="4" customFormat="1" ht="20" hidden="1" customHeight="1">
      <c r="A1738" s="46">
        <v>45560</v>
      </c>
      <c r="B1738" s="47"/>
      <c r="C1738" s="47"/>
      <c r="D1738" s="47" t="s">
        <v>4473</v>
      </c>
      <c r="E1738" s="47" t="s">
        <v>2821</v>
      </c>
      <c r="F1738" s="10" t="str">
        <f>IFERROR(VLOOKUP(VENTAS[[#This Row],[Código del producto Vendido]],STOCK[],5,FALSE),"-")</f>
        <v>Bolso de diario ligero y casual de gran capacidad elegante de cocodrilo</v>
      </c>
      <c r="G1738" s="47">
        <v>1</v>
      </c>
      <c r="H1738" s="48">
        <v>25</v>
      </c>
      <c r="I1738" s="12">
        <f>VENTAS[[#This Row],[Cantidad]]*VENTAS[[#This Row],[Precio Venta]]</f>
        <v>25</v>
      </c>
      <c r="J1738" s="12">
        <f>IF(VENTAS[[#This Row],[Nombre del Gestor]]&gt;1,VENTAS[[#This Row],[Total]]*10%,0)</f>
        <v>2.5</v>
      </c>
      <c r="K1738" s="12">
        <f>IFERROR(VLOOKUP(VENTAS[[#This Row],[Código del producto Vendido]],STOCK[],16,FALSE)*VENTAS[[#This Row],[Cantidad]]+VLOOKUP(VENTAS[[#This Row],[Código del producto Vendido]],STOCK[],19,FALSE)*VENTAS[[#This Row],[Cantidad]],VENTAS[[#This Row],[Total]])</f>
        <v>10.14</v>
      </c>
      <c r="L1738" s="12">
        <f>VENTAS[[#This Row],[Total]]-VENTAS[[#This Row],[Comisión 10%]]-VENTAS[[#This Row],[Costo SIN Comision]]</f>
        <v>12.36</v>
      </c>
      <c r="M1738" s="48"/>
      <c r="N1738" s="16" t="s">
        <v>4708</v>
      </c>
    </row>
    <row r="1739" spans="1:14" s="4" customFormat="1" ht="20" hidden="1" customHeight="1">
      <c r="A1739" s="46">
        <v>45560</v>
      </c>
      <c r="B1739" s="47"/>
      <c r="C1739" s="47"/>
      <c r="D1739" s="47" t="s">
        <v>4349</v>
      </c>
      <c r="E1739" s="47" t="s">
        <v>2858</v>
      </c>
      <c r="F1739" s="10" t="str">
        <f>IFERROR(VLOOKUP(VENTAS[[#This Row],[Código del producto Vendido]],STOCK[],5,FALSE),"-")</f>
        <v>Bolso cuadrado tejido de rafia Tamaño grande Color Carmelita</v>
      </c>
      <c r="G1739" s="47">
        <v>1</v>
      </c>
      <c r="H1739" s="48">
        <v>25</v>
      </c>
      <c r="I1739" s="12">
        <f>VENTAS[[#This Row],[Cantidad]]*VENTAS[[#This Row],[Precio Venta]]</f>
        <v>25</v>
      </c>
      <c r="J1739" s="12">
        <f>IF(VENTAS[[#This Row],[Nombre del Gestor]]&gt;1,VENTAS[[#This Row],[Total]]*10%,0)</f>
        <v>2.5</v>
      </c>
      <c r="K1739" s="12">
        <f>IFERROR(VLOOKUP(VENTAS[[#This Row],[Código del producto Vendido]],STOCK[],16,FALSE)*VENTAS[[#This Row],[Cantidad]]+VLOOKUP(VENTAS[[#This Row],[Código del producto Vendido]],STOCK[],19,FALSE)*VENTAS[[#This Row],[Cantidad]],VENTAS[[#This Row],[Total]])</f>
        <v>14.85</v>
      </c>
      <c r="L1739" s="12">
        <f>VENTAS[[#This Row],[Total]]-VENTAS[[#This Row],[Comisión 10%]]-VENTAS[[#This Row],[Costo SIN Comision]]</f>
        <v>7.65</v>
      </c>
      <c r="M1739" s="48"/>
      <c r="N1739" s="16" t="s">
        <v>4709</v>
      </c>
    </row>
    <row r="1740" spans="1:14" s="4" customFormat="1" ht="20" hidden="1" customHeight="1">
      <c r="A1740" s="46">
        <v>45560</v>
      </c>
      <c r="B1740" s="47"/>
      <c r="C1740" s="47"/>
      <c r="D1740" s="47" t="s">
        <v>4378</v>
      </c>
      <c r="E1740" s="47" t="s">
        <v>2973</v>
      </c>
      <c r="F1740" s="10" t="str">
        <f>IFERROR(VLOOKUP(VENTAS[[#This Row],[Código del producto Vendido]],STOCK[],5,FALSE),"-")</f>
        <v>Vestido de un hombro con abertura trasera color azul celeste</v>
      </c>
      <c r="G1740" s="47">
        <v>1</v>
      </c>
      <c r="H1740" s="48">
        <v>25</v>
      </c>
      <c r="I1740" s="12">
        <f>VENTAS[[#This Row],[Cantidad]]*VENTAS[[#This Row],[Precio Venta]]</f>
        <v>25</v>
      </c>
      <c r="J1740" s="12">
        <f>IF(VENTAS[[#This Row],[Nombre del Gestor]]&gt;1,VENTAS[[#This Row],[Total]]*10%,0)</f>
        <v>2.5</v>
      </c>
      <c r="K1740" s="12">
        <f>IFERROR(VLOOKUP(VENTAS[[#This Row],[Código del producto Vendido]],STOCK[],16,FALSE)*VENTAS[[#This Row],[Cantidad]]+VLOOKUP(VENTAS[[#This Row],[Código del producto Vendido]],STOCK[],19,FALSE)*VENTAS[[#This Row],[Cantidad]],VENTAS[[#This Row],[Total]])</f>
        <v>12.32</v>
      </c>
      <c r="L1740" s="12">
        <f>VENTAS[[#This Row],[Total]]-VENTAS[[#This Row],[Comisión 10%]]-VENTAS[[#This Row],[Costo SIN Comision]]</f>
        <v>10.18</v>
      </c>
      <c r="M1740" s="48"/>
      <c r="N1740" s="16" t="s">
        <v>4710</v>
      </c>
    </row>
    <row r="1741" spans="1:14" s="4" customFormat="1" ht="20" hidden="1" customHeight="1">
      <c r="A1741" s="46">
        <v>45560</v>
      </c>
      <c r="B1741" s="47"/>
      <c r="C1741" s="47"/>
      <c r="D1741" s="47" t="s">
        <v>4349</v>
      </c>
      <c r="E1741" s="47" t="s">
        <v>2816</v>
      </c>
      <c r="F1741" s="10" t="str">
        <f>IFERROR(VLOOKUP(VENTAS[[#This Row],[Código del producto Vendido]],STOCK[],5,FALSE),"-")</f>
        <v>Bolso de ratán de Moda para vacaciones tamaño mediano con diseño de listas negras</v>
      </c>
      <c r="G1741" s="47">
        <v>1</v>
      </c>
      <c r="H1741" s="48">
        <v>22</v>
      </c>
      <c r="I1741" s="12">
        <f>VENTAS[[#This Row],[Cantidad]]*VENTAS[[#This Row],[Precio Venta]]</f>
        <v>22</v>
      </c>
      <c r="J1741" s="12">
        <f>IF(VENTAS[[#This Row],[Nombre del Gestor]]&gt;1,VENTAS[[#This Row],[Total]]*10%,0)</f>
        <v>2.2000000000000002</v>
      </c>
      <c r="K1741" s="12">
        <f>IFERROR(VLOOKUP(VENTAS[[#This Row],[Código del producto Vendido]],STOCK[],16,FALSE)*VENTAS[[#This Row],[Cantidad]]+VLOOKUP(VENTAS[[#This Row],[Código del producto Vendido]],STOCK[],19,FALSE)*VENTAS[[#This Row],[Cantidad]],VENTAS[[#This Row],[Total]])</f>
        <v>12.17</v>
      </c>
      <c r="L1741" s="12">
        <f>VENTAS[[#This Row],[Total]]-VENTAS[[#This Row],[Comisión 10%]]-VENTAS[[#This Row],[Costo SIN Comision]]</f>
        <v>7.6300000000000008</v>
      </c>
      <c r="M1741" s="48"/>
      <c r="N1741" s="16" t="s">
        <v>4711</v>
      </c>
    </row>
    <row r="1742" spans="1:14" s="4" customFormat="1" ht="20" hidden="1" customHeight="1">
      <c r="A1742" s="46">
        <v>45560</v>
      </c>
      <c r="B1742" s="47"/>
      <c r="C1742" s="47"/>
      <c r="D1742" s="47" t="s">
        <v>4712</v>
      </c>
      <c r="E1742" s="47" t="s">
        <v>2734</v>
      </c>
      <c r="F1742" s="10" t="str">
        <f>IFERROR(VLOOKUP(VENTAS[[#This Row],[Código del producto Vendido]],STOCK[],5,FALSE),"-")</f>
        <v>Traje de baño sexy de una sola pieza negro</v>
      </c>
      <c r="G1742" s="47">
        <v>1</v>
      </c>
      <c r="H1742" s="48">
        <v>20</v>
      </c>
      <c r="I1742" s="12">
        <f>VENTAS[[#This Row],[Cantidad]]*VENTAS[[#This Row],[Precio Venta]]</f>
        <v>20</v>
      </c>
      <c r="J1742" s="12">
        <f>IF(VENTAS[[#This Row],[Nombre del Gestor]]&gt;1,VENTAS[[#This Row],[Total]]*10%,0)</f>
        <v>2</v>
      </c>
      <c r="K1742" s="12">
        <f>IFERROR(VLOOKUP(VENTAS[[#This Row],[Código del producto Vendido]],STOCK[],16,FALSE)*VENTAS[[#This Row],[Cantidad]]+VLOOKUP(VENTAS[[#This Row],[Código del producto Vendido]],STOCK[],19,FALSE)*VENTAS[[#This Row],[Cantidad]],VENTAS[[#This Row],[Total]])</f>
        <v>11.059999999999999</v>
      </c>
      <c r="L1742" s="12">
        <f>VENTAS[[#This Row],[Total]]-VENTAS[[#This Row],[Comisión 10%]]-VENTAS[[#This Row],[Costo SIN Comision]]</f>
        <v>6.9400000000000013</v>
      </c>
      <c r="M1742" s="48"/>
      <c r="N1742" s="16" t="s">
        <v>4713</v>
      </c>
    </row>
    <row r="1743" spans="1:14" s="4" customFormat="1" ht="20" hidden="1" customHeight="1">
      <c r="A1743" s="46">
        <v>45560</v>
      </c>
      <c r="B1743" s="47"/>
      <c r="C1743" s="47"/>
      <c r="D1743" s="47" t="s">
        <v>4380</v>
      </c>
      <c r="E1743" s="47" t="s">
        <v>2816</v>
      </c>
      <c r="F1743" s="10" t="str">
        <f>IFERROR(VLOOKUP(VENTAS[[#This Row],[Código del producto Vendido]],STOCK[],5,FALSE),"-")</f>
        <v>Bolso de ratán de Moda para vacaciones tamaño mediano con diseño de listas negras</v>
      </c>
      <c r="G1743" s="47">
        <v>2</v>
      </c>
      <c r="H1743" s="48">
        <v>22</v>
      </c>
      <c r="I1743" s="12">
        <f>VENTAS[[#This Row],[Cantidad]]*VENTAS[[#This Row],[Precio Venta]]</f>
        <v>44</v>
      </c>
      <c r="J1743" s="12">
        <f>IF(VENTAS[[#This Row],[Nombre del Gestor]]&gt;1,VENTAS[[#This Row],[Total]]*10%,0)</f>
        <v>4.4000000000000004</v>
      </c>
      <c r="K1743" s="12">
        <f>IFERROR(VLOOKUP(VENTAS[[#This Row],[Código del producto Vendido]],STOCK[],16,FALSE)*VENTAS[[#This Row],[Cantidad]]+VLOOKUP(VENTAS[[#This Row],[Código del producto Vendido]],STOCK[],19,FALSE)*VENTAS[[#This Row],[Cantidad]],VENTAS[[#This Row],[Total]])</f>
        <v>24.34</v>
      </c>
      <c r="L1743" s="12">
        <f>VENTAS[[#This Row],[Total]]-VENTAS[[#This Row],[Comisión 10%]]-VENTAS[[#This Row],[Costo SIN Comision]]</f>
        <v>15.260000000000002</v>
      </c>
      <c r="M1743" s="48"/>
      <c r="N1743" s="16" t="s">
        <v>4714</v>
      </c>
    </row>
    <row r="1744" spans="1:14" s="4" customFormat="1" ht="20" hidden="1" customHeight="1">
      <c r="A1744" s="46">
        <v>45561</v>
      </c>
      <c r="B1744" s="47"/>
      <c r="C1744" s="47"/>
      <c r="D1744" s="47" t="s">
        <v>4374</v>
      </c>
      <c r="E1744" s="47" t="s">
        <v>1698</v>
      </c>
      <c r="F1744" s="10" t="str">
        <f>IFERROR(VLOOKUP(VENTAS[[#This Row],[Código del producto Vendido]],STOCK[],5,FALSE),"-")</f>
        <v>Jean Mom con bajo descosido</v>
      </c>
      <c r="G1744" s="47">
        <v>1</v>
      </c>
      <c r="H1744" s="48">
        <v>30</v>
      </c>
      <c r="I1744" s="12">
        <f>VENTAS[[#This Row],[Cantidad]]*VENTAS[[#This Row],[Precio Venta]]</f>
        <v>30</v>
      </c>
      <c r="J1744" s="12">
        <f>IF(VENTAS[[#This Row],[Nombre del Gestor]]&gt;1,VENTAS[[#This Row],[Total]]*10%,0)</f>
        <v>3</v>
      </c>
      <c r="K1744" s="12">
        <f>IFERROR(VLOOKUP(VENTAS[[#This Row],[Código del producto Vendido]],STOCK[],16,FALSE)*VENTAS[[#This Row],[Cantidad]]+VLOOKUP(VENTAS[[#This Row],[Código del producto Vendido]],STOCK[],19,FALSE)*VENTAS[[#This Row],[Cantidad]],VENTAS[[#This Row],[Total]])</f>
        <v>20.5</v>
      </c>
      <c r="L1744" s="12">
        <f>VENTAS[[#This Row],[Total]]-VENTAS[[#This Row],[Comisión 10%]]-VENTAS[[#This Row],[Costo SIN Comision]]</f>
        <v>6.5</v>
      </c>
      <c r="M1744" s="48"/>
      <c r="N1744" s="16" t="s">
        <v>4715</v>
      </c>
    </row>
    <row r="1745" spans="1:14" s="4" customFormat="1" ht="20" hidden="1" customHeight="1">
      <c r="A1745" s="46">
        <v>45561</v>
      </c>
      <c r="B1745" s="47"/>
      <c r="C1745" s="47"/>
      <c r="D1745" s="47" t="s">
        <v>4374</v>
      </c>
      <c r="E1745" s="47" t="s">
        <v>2437</v>
      </c>
      <c r="F1745" s="10" t="str">
        <f>IFERROR(VLOOKUP(VENTAS[[#This Row],[Código del producto Vendido]],STOCK[],5,FALSE),"-")</f>
        <v>Pantalón cigarrette ajustado elegante</v>
      </c>
      <c r="G1745" s="47">
        <v>1</v>
      </c>
      <c r="H1745" s="48">
        <v>35</v>
      </c>
      <c r="I1745" s="12">
        <f>VENTAS[[#This Row],[Cantidad]]*VENTAS[[#This Row],[Precio Venta]]</f>
        <v>35</v>
      </c>
      <c r="J1745" s="12">
        <f>IF(VENTAS[[#This Row],[Nombre del Gestor]]&gt;1,VENTAS[[#This Row],[Total]]*10%,0)</f>
        <v>3.5</v>
      </c>
      <c r="K1745" s="12">
        <f>IFERROR(VLOOKUP(VENTAS[[#This Row],[Código del producto Vendido]],STOCK[],16,FALSE)*VENTAS[[#This Row],[Cantidad]]+VLOOKUP(VENTAS[[#This Row],[Código del producto Vendido]],STOCK[],19,FALSE)*VENTAS[[#This Row],[Cantidad]],VENTAS[[#This Row],[Total]])</f>
        <v>16.1944418331375</v>
      </c>
      <c r="L1745" s="12">
        <f>VENTAS[[#This Row],[Total]]-VENTAS[[#This Row],[Comisión 10%]]-VENTAS[[#This Row],[Costo SIN Comision]]</f>
        <v>15.3055581668625</v>
      </c>
      <c r="M1745" s="48"/>
      <c r="N1745" s="16" t="s">
        <v>4716</v>
      </c>
    </row>
    <row r="1746" spans="1:14" s="4" customFormat="1" ht="20" hidden="1" customHeight="1">
      <c r="A1746" s="46">
        <v>45561</v>
      </c>
      <c r="B1746" s="47"/>
      <c r="C1746" s="47"/>
      <c r="D1746" s="47" t="s">
        <v>4484</v>
      </c>
      <c r="E1746" s="47" t="s">
        <v>1099</v>
      </c>
      <c r="F1746" s="10" t="str">
        <f>IFERROR(VLOOKUP(VENTAS[[#This Row],[Código del producto Vendido]],STOCK[],5,FALSE),"-")</f>
        <v>Sandalias crema</v>
      </c>
      <c r="G1746" s="47">
        <v>1</v>
      </c>
      <c r="H1746" s="48">
        <v>35</v>
      </c>
      <c r="I1746" s="12">
        <f>VENTAS[[#This Row],[Cantidad]]*VENTAS[[#This Row],[Precio Venta]]</f>
        <v>35</v>
      </c>
      <c r="J1746" s="12">
        <f>IF(VENTAS[[#This Row],[Nombre del Gestor]]&gt;1,VENTAS[[#This Row],[Total]]*10%,0)</f>
        <v>3.5</v>
      </c>
      <c r="K1746" s="12">
        <f>IFERROR(VLOOKUP(VENTAS[[#This Row],[Código del producto Vendido]],STOCK[],16,FALSE)*VENTAS[[#This Row],[Cantidad]]+VLOOKUP(VENTAS[[#This Row],[Código del producto Vendido]],STOCK[],19,FALSE)*VENTAS[[#This Row],[Cantidad]],VENTAS[[#This Row],[Total]])</f>
        <v>26.852941176470601</v>
      </c>
      <c r="L1746" s="12">
        <f>VENTAS[[#This Row],[Total]]-VENTAS[[#This Row],[Comisión 10%]]-VENTAS[[#This Row],[Costo SIN Comision]]</f>
        <v>4.6470588235293988</v>
      </c>
      <c r="M1746" s="48"/>
      <c r="N1746" s="16" t="s">
        <v>4717</v>
      </c>
    </row>
    <row r="1747" spans="1:14" s="4" customFormat="1" ht="20" hidden="1" customHeight="1">
      <c r="A1747" s="46">
        <v>45561</v>
      </c>
      <c r="B1747" s="47"/>
      <c r="C1747" s="47"/>
      <c r="D1747" s="47" t="s">
        <v>4380</v>
      </c>
      <c r="E1747" s="47" t="s">
        <v>2775</v>
      </c>
      <c r="F1747" s="10" t="str">
        <f>IFERROR(VLOOKUP(VENTAS[[#This Row],[Código del producto Vendido]],STOCK[],5,FALSE),"-")</f>
        <v>Sandalias de plataforma de rafia natural</v>
      </c>
      <c r="G1747" s="47">
        <v>1</v>
      </c>
      <c r="H1747" s="48">
        <v>45</v>
      </c>
      <c r="I1747" s="12">
        <f>VENTAS[[#This Row],[Cantidad]]*VENTAS[[#This Row],[Precio Venta]]</f>
        <v>45</v>
      </c>
      <c r="J1747" s="12">
        <f>IF(VENTAS[[#This Row],[Nombre del Gestor]]&gt;1,VENTAS[[#This Row],[Total]]*10%,0)</f>
        <v>4.5</v>
      </c>
      <c r="K1747" s="12">
        <f>IFERROR(VLOOKUP(VENTAS[[#This Row],[Código del producto Vendido]],STOCK[],16,FALSE)*VENTAS[[#This Row],[Cantidad]]+VLOOKUP(VENTAS[[#This Row],[Código del producto Vendido]],STOCK[],19,FALSE)*VENTAS[[#This Row],[Cantidad]],VENTAS[[#This Row],[Total]])</f>
        <v>19.649999999999999</v>
      </c>
      <c r="L1747" s="12">
        <f>VENTAS[[#This Row],[Total]]-VENTAS[[#This Row],[Comisión 10%]]-VENTAS[[#This Row],[Costo SIN Comision]]</f>
        <v>20.85</v>
      </c>
      <c r="M1747" s="48"/>
      <c r="N1747" s="16" t="s">
        <v>4718</v>
      </c>
    </row>
    <row r="1748" spans="1:14" s="4" customFormat="1" ht="20" hidden="1" customHeight="1">
      <c r="A1748" s="46">
        <v>45561</v>
      </c>
      <c r="B1748" s="47"/>
      <c r="C1748" s="47"/>
      <c r="D1748" s="47" t="s">
        <v>4378</v>
      </c>
      <c r="E1748" s="47" t="s">
        <v>2973</v>
      </c>
      <c r="F1748" s="10" t="str">
        <f>IFERROR(VLOOKUP(VENTAS[[#This Row],[Código del producto Vendido]],STOCK[],5,FALSE),"-")</f>
        <v>Vestido de un hombro con abertura trasera color azul celeste</v>
      </c>
      <c r="G1748" s="47">
        <v>1</v>
      </c>
      <c r="H1748" s="48">
        <v>25</v>
      </c>
      <c r="I1748" s="12">
        <f>VENTAS[[#This Row],[Cantidad]]*VENTAS[[#This Row],[Precio Venta]]</f>
        <v>25</v>
      </c>
      <c r="J1748" s="12">
        <f>IF(VENTAS[[#This Row],[Nombre del Gestor]]&gt;1,VENTAS[[#This Row],[Total]]*10%,0)</f>
        <v>2.5</v>
      </c>
      <c r="K1748" s="12">
        <f>IFERROR(VLOOKUP(VENTAS[[#This Row],[Código del producto Vendido]],STOCK[],16,FALSE)*VENTAS[[#This Row],[Cantidad]]+VLOOKUP(VENTAS[[#This Row],[Código del producto Vendido]],STOCK[],19,FALSE)*VENTAS[[#This Row],[Cantidad]],VENTAS[[#This Row],[Total]])</f>
        <v>12.32</v>
      </c>
      <c r="L1748" s="12">
        <f>VENTAS[[#This Row],[Total]]-VENTAS[[#This Row],[Comisión 10%]]-VENTAS[[#This Row],[Costo SIN Comision]]</f>
        <v>10.18</v>
      </c>
      <c r="M1748" s="48"/>
      <c r="N1748" s="16" t="s">
        <v>4719</v>
      </c>
    </row>
    <row r="1749" spans="1:14" s="4" customFormat="1" ht="20" hidden="1" customHeight="1">
      <c r="A1749" s="46">
        <v>45562</v>
      </c>
      <c r="B1749" s="47"/>
      <c r="C1749" s="47"/>
      <c r="D1749" s="47" t="s">
        <v>4374</v>
      </c>
      <c r="E1749" s="47" t="s">
        <v>2858</v>
      </c>
      <c r="F1749" s="10" t="str">
        <f>IFERROR(VLOOKUP(VENTAS[[#This Row],[Código del producto Vendido]],STOCK[],5,FALSE),"-")</f>
        <v>Bolso cuadrado tejido de rafia Tamaño grande Color Carmelita</v>
      </c>
      <c r="G1749" s="47">
        <v>1</v>
      </c>
      <c r="H1749" s="48">
        <v>25</v>
      </c>
      <c r="I1749" s="12">
        <f>VENTAS[[#This Row],[Cantidad]]*VENTAS[[#This Row],[Precio Venta]]</f>
        <v>25</v>
      </c>
      <c r="J1749" s="12">
        <f>IF(VENTAS[[#This Row],[Nombre del Gestor]]&gt;1,VENTAS[[#This Row],[Total]]*10%,0)</f>
        <v>2.5</v>
      </c>
      <c r="K1749" s="12">
        <f>IFERROR(VLOOKUP(VENTAS[[#This Row],[Código del producto Vendido]],STOCK[],16,FALSE)*VENTAS[[#This Row],[Cantidad]]+VLOOKUP(VENTAS[[#This Row],[Código del producto Vendido]],STOCK[],19,FALSE)*VENTAS[[#This Row],[Cantidad]],VENTAS[[#This Row],[Total]])</f>
        <v>14.85</v>
      </c>
      <c r="L1749" s="12">
        <f>VENTAS[[#This Row],[Total]]-VENTAS[[#This Row],[Comisión 10%]]-VENTAS[[#This Row],[Costo SIN Comision]]</f>
        <v>7.65</v>
      </c>
      <c r="M1749" s="48"/>
      <c r="N1749" s="16" t="s">
        <v>4720</v>
      </c>
    </row>
    <row r="1750" spans="1:14" s="4" customFormat="1" ht="20" hidden="1" customHeight="1">
      <c r="A1750" s="46">
        <v>45562</v>
      </c>
      <c r="B1750" s="47"/>
      <c r="C1750" s="47"/>
      <c r="D1750" s="47" t="s">
        <v>4695</v>
      </c>
      <c r="E1750" s="47" t="s">
        <v>2868</v>
      </c>
      <c r="F1750" s="10" t="str">
        <f>IFERROR(VLOOKUP(VENTAS[[#This Row],[Código del producto Vendido]],STOCK[],5,FALSE),"-")</f>
        <v>Blusa corta de mangas abombadas de lazos delanteros color rojo</v>
      </c>
      <c r="G1750" s="47">
        <v>1</v>
      </c>
      <c r="H1750" s="48">
        <v>18</v>
      </c>
      <c r="I1750" s="12">
        <f>VENTAS[[#This Row],[Cantidad]]*VENTAS[[#This Row],[Precio Venta]]</f>
        <v>18</v>
      </c>
      <c r="J1750" s="12">
        <f>IF(VENTAS[[#This Row],[Nombre del Gestor]]&gt;1,VENTAS[[#This Row],[Total]]*10%,0)</f>
        <v>1.8</v>
      </c>
      <c r="K1750" s="12">
        <f>IFERROR(VLOOKUP(VENTAS[[#This Row],[Código del producto Vendido]],STOCK[],16,FALSE)*VENTAS[[#This Row],[Cantidad]]+VLOOKUP(VENTAS[[#This Row],[Código del producto Vendido]],STOCK[],19,FALSE)*VENTAS[[#This Row],[Cantidad]],VENTAS[[#This Row],[Total]])</f>
        <v>10.18</v>
      </c>
      <c r="L1750" s="12">
        <f>VENTAS[[#This Row],[Total]]-VENTAS[[#This Row],[Comisión 10%]]-VENTAS[[#This Row],[Costo SIN Comision]]</f>
        <v>6.02</v>
      </c>
      <c r="M1750" s="48"/>
      <c r="N1750" s="16" t="s">
        <v>4721</v>
      </c>
    </row>
    <row r="1751" spans="1:14" s="4" customFormat="1" ht="20" hidden="1" customHeight="1">
      <c r="A1751" s="46">
        <v>45562</v>
      </c>
      <c r="B1751" s="47"/>
      <c r="C1751" s="47"/>
      <c r="D1751" s="47" t="s">
        <v>4484</v>
      </c>
      <c r="E1751" s="47" t="s">
        <v>2970</v>
      </c>
      <c r="F1751" s="10" t="str">
        <f>IFERROR(VLOOKUP(VENTAS[[#This Row],[Código del producto Vendido]],STOCK[],5,FALSE),"-")</f>
        <v>Conjunto de dos prendas elegante-casual color blanco</v>
      </c>
      <c r="G1751" s="47">
        <v>1</v>
      </c>
      <c r="H1751" s="48">
        <v>20</v>
      </c>
      <c r="I1751" s="12">
        <f>VENTAS[[#This Row],[Cantidad]]*VENTAS[[#This Row],[Precio Venta]]</f>
        <v>20</v>
      </c>
      <c r="J1751" s="12">
        <f>IF(VENTAS[[#This Row],[Nombre del Gestor]]&gt;1,VENTAS[[#This Row],[Total]]*10%,0)</f>
        <v>2</v>
      </c>
      <c r="K1751" s="12">
        <f>IFERROR(VLOOKUP(VENTAS[[#This Row],[Código del producto Vendido]],STOCK[],16,FALSE)*VENTAS[[#This Row],[Cantidad]]+VLOOKUP(VENTAS[[#This Row],[Código del producto Vendido]],STOCK[],19,FALSE)*VENTAS[[#This Row],[Cantidad]],VENTAS[[#This Row],[Total]])</f>
        <v>14.57</v>
      </c>
      <c r="L1751" s="12">
        <f>VENTAS[[#This Row],[Total]]-VENTAS[[#This Row],[Comisión 10%]]-VENTAS[[#This Row],[Costo SIN Comision]]</f>
        <v>3.4299999999999997</v>
      </c>
      <c r="M1751" s="48"/>
      <c r="N1751" s="16" t="s">
        <v>4722</v>
      </c>
    </row>
    <row r="1752" spans="1:14" s="4" customFormat="1" ht="20" hidden="1" customHeight="1">
      <c r="A1752" s="46">
        <v>45562</v>
      </c>
      <c r="B1752" s="47"/>
      <c r="C1752" s="47"/>
      <c r="D1752" s="47" t="s">
        <v>4349</v>
      </c>
      <c r="E1752" s="47" t="s">
        <v>2828</v>
      </c>
      <c r="F1752" s="10" t="str">
        <f>IFERROR(VLOOKUP(VENTAS[[#This Row],[Código del producto Vendido]],STOCK[],5,FALSE),"-")</f>
        <v>Bolso tejido redondo de gran capacidad Carmelita</v>
      </c>
      <c r="G1752" s="47">
        <v>1</v>
      </c>
      <c r="H1752" s="48">
        <v>25</v>
      </c>
      <c r="I1752" s="12">
        <f>VENTAS[[#This Row],[Cantidad]]*VENTAS[[#This Row],[Precio Venta]]</f>
        <v>25</v>
      </c>
      <c r="J1752" s="12">
        <f>IF(VENTAS[[#This Row],[Nombre del Gestor]]&gt;1,VENTAS[[#This Row],[Total]]*10%,0)</f>
        <v>2.5</v>
      </c>
      <c r="K1752" s="12">
        <f>IFERROR(VLOOKUP(VENTAS[[#This Row],[Código del producto Vendido]],STOCK[],16,FALSE)*VENTAS[[#This Row],[Cantidad]]+VLOOKUP(VENTAS[[#This Row],[Código del producto Vendido]],STOCK[],19,FALSE)*VENTAS[[#This Row],[Cantidad]],VENTAS[[#This Row],[Total]])</f>
        <v>13.31</v>
      </c>
      <c r="L1752" s="12">
        <f>VENTAS[[#This Row],[Total]]-VENTAS[[#This Row],[Comisión 10%]]-VENTAS[[#This Row],[Costo SIN Comision]]</f>
        <v>9.19</v>
      </c>
      <c r="M1752" s="48"/>
      <c r="N1752" s="16" t="s">
        <v>4723</v>
      </c>
    </row>
    <row r="1753" spans="1:14" s="4" customFormat="1" ht="20" hidden="1" customHeight="1">
      <c r="A1753" s="46">
        <v>45563</v>
      </c>
      <c r="B1753" s="47"/>
      <c r="C1753" s="47"/>
      <c r="D1753" s="47" t="s">
        <v>4330</v>
      </c>
      <c r="E1753" s="47" t="s">
        <v>2798</v>
      </c>
      <c r="F1753" s="10" t="str">
        <f>IFERROR(VLOOKUP(VENTAS[[#This Row],[Código del producto Vendido]],STOCK[],5,FALSE),"-")</f>
        <v>Sandalias estilo chunky de suela gruesa en contraste de color</v>
      </c>
      <c r="G1753" s="47">
        <v>1</v>
      </c>
      <c r="H1753" s="48">
        <v>35</v>
      </c>
      <c r="I1753" s="12">
        <f>VENTAS[[#This Row],[Cantidad]]*VENTAS[[#This Row],[Precio Venta]]</f>
        <v>35</v>
      </c>
      <c r="J1753" s="12">
        <f>IF(VENTAS[[#This Row],[Nombre del Gestor]]&gt;1,VENTAS[[#This Row],[Total]]*10%,0)</f>
        <v>3.5</v>
      </c>
      <c r="K1753" s="12">
        <f>IFERROR(VLOOKUP(VENTAS[[#This Row],[Código del producto Vendido]],STOCK[],16,FALSE)*VENTAS[[#This Row],[Cantidad]]+VLOOKUP(VENTAS[[#This Row],[Código del producto Vendido]],STOCK[],19,FALSE)*VENTAS[[#This Row],[Cantidad]],VENTAS[[#This Row],[Total]])</f>
        <v>19.649999999999999</v>
      </c>
      <c r="L1753" s="12">
        <f>VENTAS[[#This Row],[Total]]-VENTAS[[#This Row],[Comisión 10%]]-VENTAS[[#This Row],[Costo SIN Comision]]</f>
        <v>11.850000000000001</v>
      </c>
      <c r="M1753" s="48"/>
      <c r="N1753" s="16" t="s">
        <v>4724</v>
      </c>
    </row>
    <row r="1754" spans="1:14" s="4" customFormat="1" ht="20" hidden="1" customHeight="1">
      <c r="A1754" s="46">
        <v>45563</v>
      </c>
      <c r="B1754" s="47"/>
      <c r="C1754" s="47"/>
      <c r="D1754" s="47" t="s">
        <v>4184</v>
      </c>
      <c r="E1754" s="47" t="s">
        <v>2794</v>
      </c>
      <c r="F1754" s="10" t="str">
        <f>IFERROR(VLOOKUP(VENTAS[[#This Row],[Código del producto Vendido]],STOCK[],5,FALSE),"-")</f>
        <v>Sandalias estilo chunky de suela gruesa en contraste de color</v>
      </c>
      <c r="G1754" s="47">
        <v>1</v>
      </c>
      <c r="H1754" s="48">
        <v>35</v>
      </c>
      <c r="I1754" s="12">
        <f>VENTAS[[#This Row],[Cantidad]]*VENTAS[[#This Row],[Precio Venta]]</f>
        <v>35</v>
      </c>
      <c r="J1754" s="12">
        <f>IF(VENTAS[[#This Row],[Nombre del Gestor]]&gt;1,VENTAS[[#This Row],[Total]]*10%,0)</f>
        <v>3.5</v>
      </c>
      <c r="K1754" s="12">
        <f>IFERROR(VLOOKUP(VENTAS[[#This Row],[Código del producto Vendido]],STOCK[],16,FALSE)*VENTAS[[#This Row],[Cantidad]]+VLOOKUP(VENTAS[[#This Row],[Código del producto Vendido]],STOCK[],19,FALSE)*VENTAS[[#This Row],[Cantidad]],VENTAS[[#This Row],[Total]])</f>
        <v>13.4</v>
      </c>
      <c r="L1754" s="12">
        <f>VENTAS[[#This Row],[Total]]-VENTAS[[#This Row],[Comisión 10%]]-VENTAS[[#This Row],[Costo SIN Comision]]</f>
        <v>18.100000000000001</v>
      </c>
      <c r="M1754" s="48"/>
      <c r="N1754" s="16" t="s">
        <v>4725</v>
      </c>
    </row>
    <row r="1755" spans="1:14" s="4" customFormat="1" ht="20" hidden="1" customHeight="1">
      <c r="A1755" s="46">
        <v>45563</v>
      </c>
      <c r="B1755" s="47"/>
      <c r="C1755" s="47"/>
      <c r="D1755" s="47" t="s">
        <v>4184</v>
      </c>
      <c r="E1755" s="47" t="s">
        <v>2796</v>
      </c>
      <c r="F1755" s="10" t="str">
        <f>IFERROR(VLOOKUP(VENTAS[[#This Row],[Código del producto Vendido]],STOCK[],5,FALSE),"-")</f>
        <v>Sandalias estilo chunky de suela gruesa en contraste de color</v>
      </c>
      <c r="G1755" s="47">
        <v>1</v>
      </c>
      <c r="H1755" s="48">
        <v>35</v>
      </c>
      <c r="I1755" s="12">
        <f>VENTAS[[#This Row],[Cantidad]]*VENTAS[[#This Row],[Precio Venta]]</f>
        <v>35</v>
      </c>
      <c r="J1755" s="12">
        <f>IF(VENTAS[[#This Row],[Nombre del Gestor]]&gt;1,VENTAS[[#This Row],[Total]]*10%,0)</f>
        <v>3.5</v>
      </c>
      <c r="K1755" s="12">
        <f>IFERROR(VLOOKUP(VENTAS[[#This Row],[Código del producto Vendido]],STOCK[],16,FALSE)*VENTAS[[#This Row],[Cantidad]]+VLOOKUP(VENTAS[[#This Row],[Código del producto Vendido]],STOCK[],19,FALSE)*VENTAS[[#This Row],[Cantidad]],VENTAS[[#This Row],[Total]])</f>
        <v>11.4</v>
      </c>
      <c r="L1755" s="12">
        <f>VENTAS[[#This Row],[Total]]-VENTAS[[#This Row],[Comisión 10%]]-VENTAS[[#This Row],[Costo SIN Comision]]</f>
        <v>20.100000000000001</v>
      </c>
      <c r="M1755" s="48"/>
      <c r="N1755" s="16" t="s">
        <v>4726</v>
      </c>
    </row>
    <row r="1756" spans="1:14" s="4" customFormat="1" ht="20" hidden="1" customHeight="1">
      <c r="A1756" s="46">
        <v>45563</v>
      </c>
      <c r="B1756" s="47"/>
      <c r="C1756" s="47"/>
      <c r="D1756" s="47" t="s">
        <v>4484</v>
      </c>
      <c r="E1756" s="47" t="s">
        <v>2983</v>
      </c>
      <c r="F1756" s="10" t="str">
        <f>IFERROR(VLOOKUP(VENTAS[[#This Row],[Código del producto Vendido]],STOCK[],5,FALSE),"-")</f>
        <v>Vestido largo de algodón elegante con adorno delantero</v>
      </c>
      <c r="G1756" s="47">
        <v>1</v>
      </c>
      <c r="H1756" s="48">
        <v>35</v>
      </c>
      <c r="I1756" s="12">
        <f>VENTAS[[#This Row],[Cantidad]]*VENTAS[[#This Row],[Precio Venta]]</f>
        <v>35</v>
      </c>
      <c r="J1756" s="12">
        <f>IF(VENTAS[[#This Row],[Nombre del Gestor]]&gt;1,VENTAS[[#This Row],[Total]]*10%,0)</f>
        <v>3.5</v>
      </c>
      <c r="K1756" s="12">
        <f>IFERROR(VLOOKUP(VENTAS[[#This Row],[Código del producto Vendido]],STOCK[],16,FALSE)*VENTAS[[#This Row],[Cantidad]]+VLOOKUP(VENTAS[[#This Row],[Código del producto Vendido]],STOCK[],19,FALSE)*VENTAS[[#This Row],[Cantidad]],VENTAS[[#This Row],[Total]])</f>
        <v>12.35</v>
      </c>
      <c r="L1756" s="12">
        <f>VENTAS[[#This Row],[Total]]-VENTAS[[#This Row],[Comisión 10%]]-VENTAS[[#This Row],[Costo SIN Comision]]</f>
        <v>19.149999999999999</v>
      </c>
      <c r="M1756" s="48"/>
      <c r="N1756" s="16" t="s">
        <v>4727</v>
      </c>
    </row>
    <row r="1757" spans="1:14" s="4" customFormat="1" ht="20" hidden="1" customHeight="1">
      <c r="A1757" s="46">
        <v>45563</v>
      </c>
      <c r="B1757" s="47"/>
      <c r="C1757" s="47"/>
      <c r="D1757" s="47" t="s">
        <v>4484</v>
      </c>
      <c r="E1757" s="47" t="s">
        <v>2442</v>
      </c>
      <c r="F1757" s="10" t="str">
        <f>IFERROR(VLOOKUP(VENTAS[[#This Row],[Código del producto Vendido]],STOCK[],5,FALSE),"-")</f>
        <v>Pantalón de vestir de viscosa y lino negro</v>
      </c>
      <c r="G1757" s="47">
        <v>1</v>
      </c>
      <c r="H1757" s="48">
        <v>35</v>
      </c>
      <c r="I1757" s="12">
        <f>VENTAS[[#This Row],[Cantidad]]*VENTAS[[#This Row],[Precio Venta]]</f>
        <v>35</v>
      </c>
      <c r="J1757" s="12">
        <f>IF(VENTAS[[#This Row],[Nombre del Gestor]]&gt;1,VENTAS[[#This Row],[Total]]*10%,0)</f>
        <v>3.5</v>
      </c>
      <c r="K1757" s="12">
        <f>IFERROR(VLOOKUP(VENTAS[[#This Row],[Código del producto Vendido]],STOCK[],16,FALSE)*VENTAS[[#This Row],[Cantidad]]+VLOOKUP(VENTAS[[#This Row],[Código del producto Vendido]],STOCK[],19,FALSE)*VENTAS[[#This Row],[Cantidad]],VENTAS[[#This Row],[Total]])</f>
        <v>15.282021151586401</v>
      </c>
      <c r="L1757" s="12">
        <f>VENTAS[[#This Row],[Total]]-VENTAS[[#This Row],[Comisión 10%]]-VENTAS[[#This Row],[Costo SIN Comision]]</f>
        <v>16.217978848413601</v>
      </c>
      <c r="M1757" s="48"/>
      <c r="N1757" s="16" t="s">
        <v>4728</v>
      </c>
    </row>
    <row r="1758" spans="1:14" s="4" customFormat="1" ht="20" hidden="1" customHeight="1">
      <c r="A1758" s="46">
        <v>45563</v>
      </c>
      <c r="B1758" s="47"/>
      <c r="C1758" s="47"/>
      <c r="D1758" s="47" t="s">
        <v>4484</v>
      </c>
      <c r="E1758" s="47" t="s">
        <v>1803</v>
      </c>
      <c r="F1758" s="10" t="str">
        <f>IFERROR(VLOOKUP(VENTAS[[#This Row],[Código del producto Vendido]],STOCK[],5,FALSE),"-")</f>
        <v>Camisa blanca estampado de ave</v>
      </c>
      <c r="G1758" s="47">
        <v>1</v>
      </c>
      <c r="H1758" s="48">
        <v>25</v>
      </c>
      <c r="I1758" s="12">
        <f>VENTAS[[#This Row],[Cantidad]]*VENTAS[[#This Row],[Precio Venta]]</f>
        <v>25</v>
      </c>
      <c r="J1758" s="12">
        <f>IF(VENTAS[[#This Row],[Nombre del Gestor]]&gt;1,VENTAS[[#This Row],[Total]]*10%,0)</f>
        <v>2.5</v>
      </c>
      <c r="K1758" s="12">
        <f>IFERROR(VLOOKUP(VENTAS[[#This Row],[Código del producto Vendido]],STOCK[],16,FALSE)*VENTAS[[#This Row],[Cantidad]]+VLOOKUP(VENTAS[[#This Row],[Código del producto Vendido]],STOCK[],19,FALSE)*VENTAS[[#This Row],[Cantidad]],VENTAS[[#This Row],[Total]])</f>
        <v>12.941176470588241</v>
      </c>
      <c r="L1758" s="12">
        <f>VENTAS[[#This Row],[Total]]-VENTAS[[#This Row],[Comisión 10%]]-VENTAS[[#This Row],[Costo SIN Comision]]</f>
        <v>9.5588235294117592</v>
      </c>
      <c r="M1758" s="48"/>
      <c r="N1758" s="16" t="s">
        <v>4729</v>
      </c>
    </row>
    <row r="1759" spans="1:14" s="4" customFormat="1" ht="20" hidden="1" customHeight="1">
      <c r="A1759" s="46">
        <v>45563</v>
      </c>
      <c r="B1759" s="47"/>
      <c r="C1759" s="47"/>
      <c r="D1759" s="47" t="s">
        <v>4571</v>
      </c>
      <c r="E1759" s="47" t="s">
        <v>3014</v>
      </c>
      <c r="F1759" s="10" t="str">
        <f>IFERROR(VLOOKUP(VENTAS[[#This Row],[Código del producto Vendido]],STOCK[],5,FALSE),"-")</f>
        <v>Pantalón alto de pierna ancha color caramelo</v>
      </c>
      <c r="G1759" s="47">
        <v>1</v>
      </c>
      <c r="H1759" s="48">
        <v>30</v>
      </c>
      <c r="I1759" s="12">
        <f>VENTAS[[#This Row],[Cantidad]]*VENTAS[[#This Row],[Precio Venta]]</f>
        <v>30</v>
      </c>
      <c r="J1759" s="12">
        <f>IF(VENTAS[[#This Row],[Nombre del Gestor]]&gt;1,VENTAS[[#This Row],[Total]]*10%,0)</f>
        <v>3</v>
      </c>
      <c r="K1759" s="12">
        <f>IFERROR(VLOOKUP(VENTAS[[#This Row],[Código del producto Vendido]],STOCK[],16,FALSE)*VENTAS[[#This Row],[Cantidad]]+VLOOKUP(VENTAS[[#This Row],[Código del producto Vendido]],STOCK[],19,FALSE)*VENTAS[[#This Row],[Cantidad]],VENTAS[[#This Row],[Total]])</f>
        <v>12.63</v>
      </c>
      <c r="L1759" s="12">
        <f>VENTAS[[#This Row],[Total]]-VENTAS[[#This Row],[Comisión 10%]]-VENTAS[[#This Row],[Costo SIN Comision]]</f>
        <v>14.37</v>
      </c>
      <c r="M1759" s="48"/>
      <c r="N1759" s="16" t="s">
        <v>4730</v>
      </c>
    </row>
    <row r="1760" spans="1:14" s="4" customFormat="1" ht="20" hidden="1" customHeight="1">
      <c r="A1760" s="46">
        <v>45563</v>
      </c>
      <c r="B1760" s="47"/>
      <c r="C1760" s="47"/>
      <c r="D1760" s="47" t="s">
        <v>4571</v>
      </c>
      <c r="E1760" s="47" t="s">
        <v>3015</v>
      </c>
      <c r="F1760" s="10" t="str">
        <f>IFERROR(VLOOKUP(VENTAS[[#This Row],[Código del producto Vendido]],STOCK[],5,FALSE),"-")</f>
        <v>Pantalón alto de pierna ancha color caramelo</v>
      </c>
      <c r="G1760" s="47">
        <v>1</v>
      </c>
      <c r="H1760" s="48">
        <v>30</v>
      </c>
      <c r="I1760" s="12">
        <f>VENTAS[[#This Row],[Cantidad]]*VENTAS[[#This Row],[Precio Venta]]</f>
        <v>30</v>
      </c>
      <c r="J1760" s="12">
        <f>IF(VENTAS[[#This Row],[Nombre del Gestor]]&gt;1,VENTAS[[#This Row],[Total]]*10%,0)</f>
        <v>3</v>
      </c>
      <c r="K1760" s="12">
        <f>IFERROR(VLOOKUP(VENTAS[[#This Row],[Código del producto Vendido]],STOCK[],16,FALSE)*VENTAS[[#This Row],[Cantidad]]+VLOOKUP(VENTAS[[#This Row],[Código del producto Vendido]],STOCK[],19,FALSE)*VENTAS[[#This Row],[Cantidad]],VENTAS[[#This Row],[Total]])</f>
        <v>12.63</v>
      </c>
      <c r="L1760" s="12">
        <f>VENTAS[[#This Row],[Total]]-VENTAS[[#This Row],[Comisión 10%]]-VENTAS[[#This Row],[Costo SIN Comision]]</f>
        <v>14.37</v>
      </c>
      <c r="M1760" s="48"/>
      <c r="N1760" s="16" t="s">
        <v>4731</v>
      </c>
    </row>
    <row r="1761" spans="1:14" s="4" customFormat="1" ht="20" hidden="1" customHeight="1">
      <c r="A1761" s="46">
        <v>45563</v>
      </c>
      <c r="B1761" s="47"/>
      <c r="C1761" s="47"/>
      <c r="D1761" s="47" t="s">
        <v>4528</v>
      </c>
      <c r="E1761" s="47" t="s">
        <v>1493</v>
      </c>
      <c r="F1761" s="10" t="str">
        <f>IFERROR(VLOOKUP(VENTAS[[#This Row],[Código del producto Vendido]],STOCK[],5,FALSE),"-")</f>
        <v>Blusa corta Blanca bordada Girasol</v>
      </c>
      <c r="G1761" s="47">
        <v>1</v>
      </c>
      <c r="H1761" s="48">
        <v>12</v>
      </c>
      <c r="I1761" s="12">
        <f>VENTAS[[#This Row],[Cantidad]]*VENTAS[[#This Row],[Precio Venta]]</f>
        <v>12</v>
      </c>
      <c r="J1761" s="12">
        <f>IF(VENTAS[[#This Row],[Nombre del Gestor]]&gt;1,VENTAS[[#This Row],[Total]]*10%,0)</f>
        <v>1.2000000000000002</v>
      </c>
      <c r="K1761" s="12">
        <f>IFERROR(VLOOKUP(VENTAS[[#This Row],[Código del producto Vendido]],STOCK[],16,FALSE)*VENTAS[[#This Row],[Cantidad]]+VLOOKUP(VENTAS[[#This Row],[Código del producto Vendido]],STOCK[],19,FALSE)*VENTAS[[#This Row],[Cantidad]],VENTAS[[#This Row],[Total]])</f>
        <v>6.5</v>
      </c>
      <c r="L1761" s="12">
        <f>VENTAS[[#This Row],[Total]]-VENTAS[[#This Row],[Comisión 10%]]-VENTAS[[#This Row],[Costo SIN Comision]]</f>
        <v>4.3000000000000007</v>
      </c>
      <c r="M1761" s="48"/>
      <c r="N1761" s="16" t="s">
        <v>4732</v>
      </c>
    </row>
    <row r="1762" spans="1:14" s="4" customFormat="1" ht="20" hidden="1" customHeight="1">
      <c r="A1762" s="46">
        <v>45563</v>
      </c>
      <c r="B1762" s="47"/>
      <c r="C1762" s="47"/>
      <c r="D1762" s="47" t="s">
        <v>4473</v>
      </c>
      <c r="E1762" s="47" t="s">
        <v>2799</v>
      </c>
      <c r="F1762" s="10" t="str">
        <f>IFERROR(VLOOKUP(VENTAS[[#This Row],[Código del producto Vendido]],STOCK[],5,FALSE),"-")</f>
        <v>Sandalias estilo chunky de suela gruesa en contraste de color</v>
      </c>
      <c r="G1762" s="47">
        <v>1</v>
      </c>
      <c r="H1762" s="48">
        <v>35</v>
      </c>
      <c r="I1762" s="12">
        <f>VENTAS[[#This Row],[Cantidad]]*VENTAS[[#This Row],[Precio Venta]]</f>
        <v>35</v>
      </c>
      <c r="J1762" s="12">
        <f>IF(VENTAS[[#This Row],[Nombre del Gestor]]&gt;1,VENTAS[[#This Row],[Total]]*10%,0)</f>
        <v>3.5</v>
      </c>
      <c r="K1762" s="12">
        <f>IFERROR(VLOOKUP(VENTAS[[#This Row],[Código del producto Vendido]],STOCK[],16,FALSE)*VENTAS[[#This Row],[Cantidad]]+VLOOKUP(VENTAS[[#This Row],[Código del producto Vendido]],STOCK[],19,FALSE)*VENTAS[[#This Row],[Cantidad]],VENTAS[[#This Row],[Total]])</f>
        <v>13.4</v>
      </c>
      <c r="L1762" s="12">
        <f>VENTAS[[#This Row],[Total]]-VENTAS[[#This Row],[Comisión 10%]]-VENTAS[[#This Row],[Costo SIN Comision]]</f>
        <v>18.100000000000001</v>
      </c>
      <c r="M1762" s="48"/>
      <c r="N1762" s="16" t="s">
        <v>4733</v>
      </c>
    </row>
    <row r="1763" spans="1:14" s="4" customFormat="1" ht="20" hidden="1" customHeight="1">
      <c r="A1763" s="46">
        <v>45563</v>
      </c>
      <c r="B1763" s="47"/>
      <c r="C1763" s="47"/>
      <c r="D1763" s="47" t="s">
        <v>4528</v>
      </c>
      <c r="E1763" s="47" t="s">
        <v>2975</v>
      </c>
      <c r="F1763" s="10" t="str">
        <f>IFERROR(VLOOKUP(VENTAS[[#This Row],[Código del producto Vendido]],STOCK[],5,FALSE),"-")</f>
        <v>Vestido de un hombro con abertura trasera color azul celeste</v>
      </c>
      <c r="G1763" s="47">
        <v>1</v>
      </c>
      <c r="H1763" s="48">
        <v>25</v>
      </c>
      <c r="I1763" s="12">
        <f>VENTAS[[#This Row],[Cantidad]]*VENTAS[[#This Row],[Precio Venta]]</f>
        <v>25</v>
      </c>
      <c r="J1763" s="12">
        <f>IF(VENTAS[[#This Row],[Nombre del Gestor]]&gt;1,VENTAS[[#This Row],[Total]]*10%,0)</f>
        <v>2.5</v>
      </c>
      <c r="K1763" s="12">
        <f>IFERROR(VLOOKUP(VENTAS[[#This Row],[Código del producto Vendido]],STOCK[],16,FALSE)*VENTAS[[#This Row],[Cantidad]]+VLOOKUP(VENTAS[[#This Row],[Código del producto Vendido]],STOCK[],19,FALSE)*VENTAS[[#This Row],[Cantidad]],VENTAS[[#This Row],[Total]])</f>
        <v>12.32</v>
      </c>
      <c r="L1763" s="12">
        <f>VENTAS[[#This Row],[Total]]-VENTAS[[#This Row],[Comisión 10%]]-VENTAS[[#This Row],[Costo SIN Comision]]</f>
        <v>10.18</v>
      </c>
      <c r="M1763" s="48"/>
      <c r="N1763" s="16" t="s">
        <v>4734</v>
      </c>
    </row>
    <row r="1764" spans="1:14" s="4" customFormat="1" ht="20" hidden="1" customHeight="1">
      <c r="A1764" s="46">
        <v>45563</v>
      </c>
      <c r="B1764" s="47"/>
      <c r="C1764" s="47"/>
      <c r="D1764" s="47" t="s">
        <v>4571</v>
      </c>
      <c r="E1764" s="47" t="s">
        <v>2577</v>
      </c>
      <c r="F1764" s="10" t="str">
        <f>IFERROR(VLOOKUP(VENTAS[[#This Row],[Código del producto Vendido]],STOCK[],5,FALSE),"-")</f>
        <v>Vestido Largo con cinturón fruncido</v>
      </c>
      <c r="G1764" s="47">
        <v>1</v>
      </c>
      <c r="H1764" s="48">
        <v>30</v>
      </c>
      <c r="I1764" s="12">
        <f>VENTAS[[#This Row],[Cantidad]]*VENTAS[[#This Row],[Precio Venta]]</f>
        <v>30</v>
      </c>
      <c r="J1764" s="12">
        <f>IF(VENTAS[[#This Row],[Nombre del Gestor]]&gt;1,VENTAS[[#This Row],[Total]]*10%,0)</f>
        <v>3</v>
      </c>
      <c r="K1764" s="12">
        <f>IFERROR(VLOOKUP(VENTAS[[#This Row],[Código del producto Vendido]],STOCK[],16,FALSE)*VENTAS[[#This Row],[Cantidad]]+VLOOKUP(VENTAS[[#This Row],[Código del producto Vendido]],STOCK[],19,FALSE)*VENTAS[[#This Row],[Cantidad]],VENTAS[[#This Row],[Total]])</f>
        <v>13.66</v>
      </c>
      <c r="L1764" s="12">
        <f>VENTAS[[#This Row],[Total]]-VENTAS[[#This Row],[Comisión 10%]]-VENTAS[[#This Row],[Costo SIN Comision]]</f>
        <v>13.34</v>
      </c>
      <c r="M1764" s="48"/>
      <c r="N1764" s="16" t="s">
        <v>4735</v>
      </c>
    </row>
    <row r="1765" spans="1:14" s="4" customFormat="1" ht="20" hidden="1" customHeight="1">
      <c r="A1765" s="46">
        <v>45563</v>
      </c>
      <c r="B1765" s="47"/>
      <c r="C1765" s="47"/>
      <c r="D1765" s="47" t="s">
        <v>4349</v>
      </c>
      <c r="E1765" s="47" t="s">
        <v>2805</v>
      </c>
      <c r="F1765" s="10" t="str">
        <f>IFERROR(VLOOKUP(VENTAS[[#This Row],[Código del producto Vendido]],STOCK[],5,FALSE),"-")</f>
        <v>Sandalias espadriles de cuña de correas transparentes</v>
      </c>
      <c r="G1765" s="47">
        <v>1</v>
      </c>
      <c r="H1765" s="48">
        <v>40</v>
      </c>
      <c r="I1765" s="12">
        <f>VENTAS[[#This Row],[Cantidad]]*VENTAS[[#This Row],[Precio Venta]]</f>
        <v>40</v>
      </c>
      <c r="J1765" s="12">
        <f>IF(VENTAS[[#This Row],[Nombre del Gestor]]&gt;1,VENTAS[[#This Row],[Total]]*10%,0)</f>
        <v>4</v>
      </c>
      <c r="K1765" s="12">
        <f>IFERROR(VLOOKUP(VENTAS[[#This Row],[Código del producto Vendido]],STOCK[],16,FALSE)*VENTAS[[#This Row],[Cantidad]]+VLOOKUP(VENTAS[[#This Row],[Código del producto Vendido]],STOCK[],19,FALSE)*VENTAS[[#This Row],[Cantidad]],VENTAS[[#This Row],[Total]])</f>
        <v>13.01</v>
      </c>
      <c r="L1765" s="12">
        <f>VENTAS[[#This Row],[Total]]-VENTAS[[#This Row],[Comisión 10%]]-VENTAS[[#This Row],[Costo SIN Comision]]</f>
        <v>22.990000000000002</v>
      </c>
      <c r="M1765" s="48"/>
      <c r="N1765" s="16" t="s">
        <v>4736</v>
      </c>
    </row>
    <row r="1766" spans="1:14" s="4" customFormat="1" ht="20" hidden="1" customHeight="1">
      <c r="A1766" s="46">
        <v>45563</v>
      </c>
      <c r="B1766" s="47"/>
      <c r="C1766" s="47"/>
      <c r="D1766" s="47" t="s">
        <v>4374</v>
      </c>
      <c r="E1766" s="47" t="s">
        <v>2975</v>
      </c>
      <c r="F1766" s="10" t="str">
        <f>IFERROR(VLOOKUP(VENTAS[[#This Row],[Código del producto Vendido]],STOCK[],5,FALSE),"-")</f>
        <v>Vestido de un hombro con abertura trasera color azul celeste</v>
      </c>
      <c r="G1766" s="47">
        <v>1</v>
      </c>
      <c r="H1766" s="48">
        <v>25</v>
      </c>
      <c r="I1766" s="12">
        <f>VENTAS[[#This Row],[Cantidad]]*VENTAS[[#This Row],[Precio Venta]]</f>
        <v>25</v>
      </c>
      <c r="J1766" s="12">
        <f>IF(VENTAS[[#This Row],[Nombre del Gestor]]&gt;1,VENTAS[[#This Row],[Total]]*10%,0)</f>
        <v>2.5</v>
      </c>
      <c r="K1766" s="12">
        <f>IFERROR(VLOOKUP(VENTAS[[#This Row],[Código del producto Vendido]],STOCK[],16,FALSE)*VENTAS[[#This Row],[Cantidad]]+VLOOKUP(VENTAS[[#This Row],[Código del producto Vendido]],STOCK[],19,FALSE)*VENTAS[[#This Row],[Cantidad]],VENTAS[[#This Row],[Total]])</f>
        <v>12.32</v>
      </c>
      <c r="L1766" s="12">
        <f>VENTAS[[#This Row],[Total]]-VENTAS[[#This Row],[Comisión 10%]]-VENTAS[[#This Row],[Costo SIN Comision]]</f>
        <v>10.18</v>
      </c>
      <c r="M1766" s="48"/>
      <c r="N1766" s="16" t="s">
        <v>4737</v>
      </c>
    </row>
    <row r="1767" spans="1:14" s="4" customFormat="1" ht="20" hidden="1" customHeight="1">
      <c r="A1767" s="46">
        <v>45563</v>
      </c>
      <c r="B1767" s="47"/>
      <c r="C1767" s="47"/>
      <c r="D1767" s="47" t="s">
        <v>4330</v>
      </c>
      <c r="E1767" s="47" t="s">
        <v>2799</v>
      </c>
      <c r="F1767" s="10" t="str">
        <f>IFERROR(VLOOKUP(VENTAS[[#This Row],[Código del producto Vendido]],STOCK[],5,FALSE),"-")</f>
        <v>Sandalias estilo chunky de suela gruesa en contraste de color</v>
      </c>
      <c r="G1767" s="47">
        <v>1</v>
      </c>
      <c r="H1767" s="48">
        <v>35</v>
      </c>
      <c r="I1767" s="12">
        <f>VENTAS[[#This Row],[Cantidad]]*VENTAS[[#This Row],[Precio Venta]]</f>
        <v>35</v>
      </c>
      <c r="J1767" s="12">
        <f>IF(VENTAS[[#This Row],[Nombre del Gestor]]&gt;1,VENTAS[[#This Row],[Total]]*10%,0)</f>
        <v>3.5</v>
      </c>
      <c r="K1767" s="12">
        <f>IFERROR(VLOOKUP(VENTAS[[#This Row],[Código del producto Vendido]],STOCK[],16,FALSE)*VENTAS[[#This Row],[Cantidad]]+VLOOKUP(VENTAS[[#This Row],[Código del producto Vendido]],STOCK[],19,FALSE)*VENTAS[[#This Row],[Cantidad]],VENTAS[[#This Row],[Total]])</f>
        <v>13.4</v>
      </c>
      <c r="L1767" s="12">
        <f>VENTAS[[#This Row],[Total]]-VENTAS[[#This Row],[Comisión 10%]]-VENTAS[[#This Row],[Costo SIN Comision]]</f>
        <v>18.100000000000001</v>
      </c>
      <c r="M1767" s="48"/>
      <c r="N1767" s="16" t="s">
        <v>4738</v>
      </c>
    </row>
    <row r="1768" spans="1:14" s="4" customFormat="1" ht="20" hidden="1" customHeight="1">
      <c r="A1768" s="46">
        <v>45563</v>
      </c>
      <c r="B1768" s="47"/>
      <c r="C1768" s="47"/>
      <c r="D1768" s="47" t="s">
        <v>4380</v>
      </c>
      <c r="E1768" s="47" t="s">
        <v>2699</v>
      </c>
      <c r="F1768" s="10" t="str">
        <f>IFERROR(VLOOKUP(VENTAS[[#This Row],[Código del producto Vendido]],STOCK[],5,FALSE),"-")</f>
        <v>Set de Splash y crema de Victoria Secret (Original) Love Spell</v>
      </c>
      <c r="G1768" s="47">
        <v>1</v>
      </c>
      <c r="H1768" s="48">
        <v>40</v>
      </c>
      <c r="I1768" s="12">
        <f>VENTAS[[#This Row],[Cantidad]]*VENTAS[[#This Row],[Precio Venta]]</f>
        <v>40</v>
      </c>
      <c r="J1768" s="12">
        <f>IF(VENTAS[[#This Row],[Nombre del Gestor]]&gt;1,VENTAS[[#This Row],[Total]]*10%,0)</f>
        <v>4</v>
      </c>
      <c r="K1768" s="12">
        <f>IFERROR(VLOOKUP(VENTAS[[#This Row],[Código del producto Vendido]],STOCK[],16,FALSE)*VENTAS[[#This Row],[Cantidad]]+VLOOKUP(VENTAS[[#This Row],[Código del producto Vendido]],STOCK[],19,FALSE)*VENTAS[[#This Row],[Cantidad]],VENTAS[[#This Row],[Total]])</f>
        <v>16.37</v>
      </c>
      <c r="L1768" s="12">
        <f>VENTAS[[#This Row],[Total]]-VENTAS[[#This Row],[Comisión 10%]]-VENTAS[[#This Row],[Costo SIN Comision]]</f>
        <v>19.63</v>
      </c>
      <c r="M1768" s="48"/>
      <c r="N1768" s="16" t="s">
        <v>4739</v>
      </c>
    </row>
    <row r="1769" spans="1:14" s="4" customFormat="1" ht="20" hidden="1" customHeight="1">
      <c r="A1769" s="46">
        <v>45563</v>
      </c>
      <c r="B1769" s="47"/>
      <c r="C1769" s="47"/>
      <c r="D1769" s="47" t="s">
        <v>4320</v>
      </c>
      <c r="E1769" s="47" t="s">
        <v>2843</v>
      </c>
      <c r="F1769" s="10" t="str">
        <f>IFERROR(VLOOKUP(VENTAS[[#This Row],[Código del producto Vendido]],STOCK[],5,FALSE),"-")</f>
        <v>Bolso de ratán unicolor con ribete negro</v>
      </c>
      <c r="G1769" s="47">
        <v>1</v>
      </c>
      <c r="H1769" s="48">
        <v>30</v>
      </c>
      <c r="I1769" s="12">
        <f>VENTAS[[#This Row],[Cantidad]]*VENTAS[[#This Row],[Precio Venta]]</f>
        <v>30</v>
      </c>
      <c r="J1769" s="12">
        <f>IF(VENTAS[[#This Row],[Nombre del Gestor]]&gt;1,VENTAS[[#This Row],[Total]]*10%,0)</f>
        <v>3</v>
      </c>
      <c r="K1769" s="12">
        <f>IFERROR(VLOOKUP(VENTAS[[#This Row],[Código del producto Vendido]],STOCK[],16,FALSE)*VENTAS[[#This Row],[Cantidad]]+VLOOKUP(VENTAS[[#This Row],[Código del producto Vendido]],STOCK[],19,FALSE)*VENTAS[[#This Row],[Cantidad]],VENTAS[[#This Row],[Total]])</f>
        <v>15.59</v>
      </c>
      <c r="L1769" s="12">
        <f>VENTAS[[#This Row],[Total]]-VENTAS[[#This Row],[Comisión 10%]]-VENTAS[[#This Row],[Costo SIN Comision]]</f>
        <v>11.41</v>
      </c>
      <c r="M1769" s="48"/>
      <c r="N1769" s="16" t="s">
        <v>4740</v>
      </c>
    </row>
    <row r="1770" spans="1:14" s="4" customFormat="1" ht="20" hidden="1" customHeight="1">
      <c r="A1770" s="46">
        <v>45563</v>
      </c>
      <c r="B1770" s="47"/>
      <c r="C1770" s="47"/>
      <c r="D1770" s="47" t="s">
        <v>4571</v>
      </c>
      <c r="E1770" s="47" t="s">
        <v>2107</v>
      </c>
      <c r="F1770" s="10" t="str">
        <f>IFERROR(VLOOKUP(VENTAS[[#This Row],[Código del producto Vendido]],STOCK[],5,FALSE),"-")</f>
        <v>Fashion TOTE bag tamaño de gran capacidad</v>
      </c>
      <c r="G1770" s="47">
        <v>1</v>
      </c>
      <c r="H1770" s="48">
        <v>18</v>
      </c>
      <c r="I1770" s="12">
        <f>VENTAS[[#This Row],[Cantidad]]*VENTAS[[#This Row],[Precio Venta]]</f>
        <v>18</v>
      </c>
      <c r="J1770" s="12">
        <f>IF(VENTAS[[#This Row],[Nombre del Gestor]]&gt;1,VENTAS[[#This Row],[Total]]*10%,0)</f>
        <v>1.8</v>
      </c>
      <c r="K1770" s="12">
        <f>IFERROR(VLOOKUP(VENTAS[[#This Row],[Código del producto Vendido]],STOCK[],16,FALSE)*VENTAS[[#This Row],[Cantidad]]+VLOOKUP(VENTAS[[#This Row],[Código del producto Vendido]],STOCK[],19,FALSE)*VENTAS[[#This Row],[Cantidad]],VENTAS[[#This Row],[Total]])</f>
        <v>7.59</v>
      </c>
      <c r="L1770" s="12">
        <f>VENTAS[[#This Row],[Total]]-VENTAS[[#This Row],[Comisión 10%]]-VENTAS[[#This Row],[Costo SIN Comision]]</f>
        <v>8.61</v>
      </c>
      <c r="M1770" s="48"/>
      <c r="N1770" s="16" t="s">
        <v>4741</v>
      </c>
    </row>
    <row r="1771" spans="1:14" s="4" customFormat="1" ht="20" hidden="1" customHeight="1">
      <c r="A1771" s="46">
        <v>45563</v>
      </c>
      <c r="B1771" s="47"/>
      <c r="C1771" s="47"/>
      <c r="D1771" s="47" t="s">
        <v>4330</v>
      </c>
      <c r="E1771" s="47" t="s">
        <v>2286</v>
      </c>
      <c r="F1771" s="10" t="str">
        <f>IFERROR(VLOOKUP(VENTAS[[#This Row],[Código del producto Vendido]],STOCK[],5,FALSE),"-")</f>
        <v>Bolso de lienzo estampado de corazón</v>
      </c>
      <c r="G1771" s="47">
        <v>0</v>
      </c>
      <c r="H1771" s="48">
        <v>12</v>
      </c>
      <c r="I1771" s="12">
        <f>VENTAS[[#This Row],[Cantidad]]*VENTAS[[#This Row],[Precio Venta]]</f>
        <v>0</v>
      </c>
      <c r="J1771" s="12">
        <f>IF(VENTAS[[#This Row],[Nombre del Gestor]]&gt;1,VENTAS[[#This Row],[Total]]*10%,0)</f>
        <v>0</v>
      </c>
      <c r="K1771" s="12">
        <f>IFERROR(VLOOKUP(VENTAS[[#This Row],[Código del producto Vendido]],STOCK[],16,FALSE)*VENTAS[[#This Row],[Cantidad]]+VLOOKUP(VENTAS[[#This Row],[Código del producto Vendido]],STOCK[],19,FALSE)*VENTAS[[#This Row],[Cantidad]],VENTAS[[#This Row],[Total]])</f>
        <v>0</v>
      </c>
      <c r="L1771" s="12">
        <f>VENTAS[[#This Row],[Total]]-VENTAS[[#This Row],[Comisión 10%]]-VENTAS[[#This Row],[Costo SIN Comision]]</f>
        <v>0</v>
      </c>
      <c r="M1771" s="48"/>
      <c r="N1771" s="16" t="s">
        <v>4742</v>
      </c>
    </row>
    <row r="1772" spans="1:14" s="4" customFormat="1" ht="20" hidden="1" customHeight="1">
      <c r="A1772" s="46">
        <v>45563</v>
      </c>
      <c r="B1772" s="47"/>
      <c r="C1772" s="47"/>
      <c r="D1772" s="47" t="s">
        <v>4380</v>
      </c>
      <c r="E1772" s="47" t="s">
        <v>2814</v>
      </c>
      <c r="F1772" s="10" t="str">
        <f>IFERROR(VLOOKUP(VENTAS[[#This Row],[Código del producto Vendido]],STOCK[],5,FALSE),"-")</f>
        <v>Bolso elegante de estilo sillín</v>
      </c>
      <c r="G1772" s="47">
        <v>1</v>
      </c>
      <c r="H1772" s="48">
        <v>22</v>
      </c>
      <c r="I1772" s="12">
        <f>VENTAS[[#This Row],[Cantidad]]*VENTAS[[#This Row],[Precio Venta]]</f>
        <v>22</v>
      </c>
      <c r="J1772" s="12">
        <f>IF(VENTAS[[#This Row],[Nombre del Gestor]]&gt;1,VENTAS[[#This Row],[Total]]*10%,0)</f>
        <v>2.2000000000000002</v>
      </c>
      <c r="K1772" s="12">
        <f>IFERROR(VLOOKUP(VENTAS[[#This Row],[Código del producto Vendido]],STOCK[],16,FALSE)*VENTAS[[#This Row],[Cantidad]]+VLOOKUP(VENTAS[[#This Row],[Código del producto Vendido]],STOCK[],19,FALSE)*VENTAS[[#This Row],[Cantidad]],VENTAS[[#This Row],[Total]])</f>
        <v>10.280000000000001</v>
      </c>
      <c r="L1772" s="12">
        <f>VENTAS[[#This Row],[Total]]-VENTAS[[#This Row],[Comisión 10%]]-VENTAS[[#This Row],[Costo SIN Comision]]</f>
        <v>9.52</v>
      </c>
      <c r="M1772" s="48"/>
      <c r="N1772" s="16" t="s">
        <v>4743</v>
      </c>
    </row>
    <row r="1773" spans="1:14" s="4" customFormat="1" ht="20" hidden="1" customHeight="1">
      <c r="A1773" s="46">
        <v>45563</v>
      </c>
      <c r="B1773" s="47"/>
      <c r="C1773" s="47"/>
      <c r="D1773" s="47" t="s">
        <v>4571</v>
      </c>
      <c r="E1773" s="47" t="s">
        <v>198</v>
      </c>
      <c r="F1773" s="10" t="str">
        <f>IFERROR(VLOOKUP(VENTAS[[#This Row],[Código del producto Vendido]],STOCK[],5,FALSE),"-")</f>
        <v>Falda de trabajo entallada</v>
      </c>
      <c r="G1773" s="47">
        <v>1</v>
      </c>
      <c r="H1773" s="48">
        <v>12</v>
      </c>
      <c r="I1773" s="12">
        <f>VENTAS[[#This Row],[Cantidad]]*VENTAS[[#This Row],[Precio Venta]]</f>
        <v>12</v>
      </c>
      <c r="J1773" s="12">
        <f>IF(VENTAS[[#This Row],[Nombre del Gestor]]&gt;1,VENTAS[[#This Row],[Total]]*10%,0)</f>
        <v>1.2000000000000002</v>
      </c>
      <c r="K1773" s="12">
        <f>IFERROR(VLOOKUP(VENTAS[[#This Row],[Código del producto Vendido]],STOCK[],16,FALSE)*VENTAS[[#This Row],[Cantidad]]+VLOOKUP(VENTAS[[#This Row],[Código del producto Vendido]],STOCK[],19,FALSE)*VENTAS[[#This Row],[Cantidad]],VENTAS[[#This Row],[Total]])</f>
        <v>7.2733333333333299</v>
      </c>
      <c r="L1773" s="12">
        <f>VENTAS[[#This Row],[Total]]-VENTAS[[#This Row],[Comisión 10%]]-VENTAS[[#This Row],[Costo SIN Comision]]</f>
        <v>3.5266666666666708</v>
      </c>
      <c r="M1773" s="48"/>
      <c r="N1773" s="16" t="s">
        <v>4744</v>
      </c>
    </row>
    <row r="1774" spans="1:14" s="4" customFormat="1" ht="20" hidden="1" customHeight="1">
      <c r="A1774" s="46">
        <v>45564</v>
      </c>
      <c r="B1774" s="47"/>
      <c r="C1774" s="47"/>
      <c r="D1774" s="47" t="s">
        <v>4689</v>
      </c>
      <c r="E1774" s="47" t="s">
        <v>2796</v>
      </c>
      <c r="F1774" s="10" t="str">
        <f>IFERROR(VLOOKUP(VENTAS[[#This Row],[Código del producto Vendido]],STOCK[],5,FALSE),"-")</f>
        <v>Sandalias estilo chunky de suela gruesa en contraste de color</v>
      </c>
      <c r="G1774" s="47">
        <v>1</v>
      </c>
      <c r="H1774" s="48">
        <v>35</v>
      </c>
      <c r="I1774" s="12">
        <f>VENTAS[[#This Row],[Cantidad]]*VENTAS[[#This Row],[Precio Venta]]</f>
        <v>35</v>
      </c>
      <c r="J1774" s="12">
        <f>IF(VENTAS[[#This Row],[Nombre del Gestor]]&gt;1,VENTAS[[#This Row],[Total]]*10%,0)</f>
        <v>3.5</v>
      </c>
      <c r="K1774" s="12">
        <f>IFERROR(VLOOKUP(VENTAS[[#This Row],[Código del producto Vendido]],STOCK[],16,FALSE)*VENTAS[[#This Row],[Cantidad]]+VLOOKUP(VENTAS[[#This Row],[Código del producto Vendido]],STOCK[],19,FALSE)*VENTAS[[#This Row],[Cantidad]],VENTAS[[#This Row],[Total]])</f>
        <v>11.4</v>
      </c>
      <c r="L1774" s="12">
        <f>VENTAS[[#This Row],[Total]]-VENTAS[[#This Row],[Comisión 10%]]-VENTAS[[#This Row],[Costo SIN Comision]]</f>
        <v>20.100000000000001</v>
      </c>
      <c r="M1774" s="48"/>
      <c r="N1774" s="16" t="s">
        <v>4745</v>
      </c>
    </row>
    <row r="1775" spans="1:14" s="4" customFormat="1" ht="20" hidden="1" customHeight="1">
      <c r="A1775" s="46">
        <v>45564</v>
      </c>
      <c r="B1775" s="47"/>
      <c r="C1775" s="47"/>
      <c r="D1775" s="47" t="s">
        <v>4349</v>
      </c>
      <c r="E1775" s="47" t="s">
        <v>2821</v>
      </c>
      <c r="F1775" s="10" t="str">
        <f>IFERROR(VLOOKUP(VENTAS[[#This Row],[Código del producto Vendido]],STOCK[],5,FALSE),"-")</f>
        <v>Bolso de diario ligero y casual de gran capacidad elegante de cocodrilo</v>
      </c>
      <c r="G1775" s="47">
        <v>1</v>
      </c>
      <c r="H1775" s="48">
        <v>25</v>
      </c>
      <c r="I1775" s="12">
        <f>VENTAS[[#This Row],[Cantidad]]*VENTAS[[#This Row],[Precio Venta]]</f>
        <v>25</v>
      </c>
      <c r="J1775" s="12">
        <f>IF(VENTAS[[#This Row],[Nombre del Gestor]]&gt;1,VENTAS[[#This Row],[Total]]*10%,0)</f>
        <v>2.5</v>
      </c>
      <c r="K1775" s="12">
        <f>IFERROR(VLOOKUP(VENTAS[[#This Row],[Código del producto Vendido]],STOCK[],16,FALSE)*VENTAS[[#This Row],[Cantidad]]+VLOOKUP(VENTAS[[#This Row],[Código del producto Vendido]],STOCK[],19,FALSE)*VENTAS[[#This Row],[Cantidad]],VENTAS[[#This Row],[Total]])</f>
        <v>10.14</v>
      </c>
      <c r="L1775" s="12">
        <f>VENTAS[[#This Row],[Total]]-VENTAS[[#This Row],[Comisión 10%]]-VENTAS[[#This Row],[Costo SIN Comision]]</f>
        <v>12.36</v>
      </c>
      <c r="M1775" s="48"/>
      <c r="N1775" s="16" t="s">
        <v>4746</v>
      </c>
    </row>
    <row r="1776" spans="1:14" s="4" customFormat="1" ht="20" hidden="1" customHeight="1">
      <c r="A1776" s="46">
        <v>45564</v>
      </c>
      <c r="B1776" s="47"/>
      <c r="C1776" s="47"/>
      <c r="D1776" s="47" t="s">
        <v>4374</v>
      </c>
      <c r="E1776" s="47" t="s">
        <v>2834</v>
      </c>
      <c r="F1776" s="10" t="str">
        <f>IFERROR(VLOOKUP(VENTAS[[#This Row],[Código del producto Vendido]],STOCK[],5,FALSE),"-")</f>
        <v>Vestido elegante de crochet de de cuello profundo y espalda cruzada</v>
      </c>
      <c r="G1776" s="47">
        <v>1</v>
      </c>
      <c r="H1776" s="48">
        <v>30</v>
      </c>
      <c r="I1776" s="12">
        <f>VENTAS[[#This Row],[Cantidad]]*VENTAS[[#This Row],[Precio Venta]]</f>
        <v>30</v>
      </c>
      <c r="J1776" s="12">
        <f>IF(VENTAS[[#This Row],[Nombre del Gestor]]&gt;1,VENTAS[[#This Row],[Total]]*10%,0)</f>
        <v>3</v>
      </c>
      <c r="K1776" s="12">
        <f>IFERROR(VLOOKUP(VENTAS[[#This Row],[Código del producto Vendido]],STOCK[],16,FALSE)*VENTAS[[#This Row],[Cantidad]]+VLOOKUP(VENTAS[[#This Row],[Código del producto Vendido]],STOCK[],19,FALSE)*VENTAS[[#This Row],[Cantidad]],VENTAS[[#This Row],[Total]])</f>
        <v>13.5</v>
      </c>
      <c r="L1776" s="12">
        <f>VENTAS[[#This Row],[Total]]-VENTAS[[#This Row],[Comisión 10%]]-VENTAS[[#This Row],[Costo SIN Comision]]</f>
        <v>13.5</v>
      </c>
      <c r="M1776" s="48"/>
      <c r="N1776" s="16" t="s">
        <v>4747</v>
      </c>
    </row>
    <row r="1777" spans="1:14" s="4" customFormat="1" ht="20" hidden="1" customHeight="1">
      <c r="A1777" s="46">
        <v>45564</v>
      </c>
      <c r="B1777" s="47"/>
      <c r="C1777" s="47"/>
      <c r="D1777" s="47" t="s">
        <v>4374</v>
      </c>
      <c r="E1777" s="47" t="s">
        <v>2837</v>
      </c>
      <c r="F1777" s="10" t="str">
        <f>IFERROR(VLOOKUP(VENTAS[[#This Row],[Código del producto Vendido]],STOCK[],5,FALSE),"-")</f>
        <v>Vestido elegante de crochet de de cuello profundo y espalda cruzada</v>
      </c>
      <c r="G1777" s="47">
        <v>1</v>
      </c>
      <c r="H1777" s="48">
        <v>30</v>
      </c>
      <c r="I1777" s="12">
        <f>VENTAS[[#This Row],[Cantidad]]*VENTAS[[#This Row],[Precio Venta]]</f>
        <v>30</v>
      </c>
      <c r="J1777" s="12">
        <f>IF(VENTAS[[#This Row],[Nombre del Gestor]]&gt;1,VENTAS[[#This Row],[Total]]*10%,0)</f>
        <v>3</v>
      </c>
      <c r="K1777" s="12">
        <f>IFERROR(VLOOKUP(VENTAS[[#This Row],[Código del producto Vendido]],STOCK[],16,FALSE)*VENTAS[[#This Row],[Cantidad]]+VLOOKUP(VENTAS[[#This Row],[Código del producto Vendido]],STOCK[],19,FALSE)*VENTAS[[#This Row],[Cantidad]],VENTAS[[#This Row],[Total]])</f>
        <v>13.5</v>
      </c>
      <c r="L1777" s="12">
        <f>VENTAS[[#This Row],[Total]]-VENTAS[[#This Row],[Comisión 10%]]-VENTAS[[#This Row],[Costo SIN Comision]]</f>
        <v>13.5</v>
      </c>
      <c r="M1777" s="48"/>
      <c r="N1777" s="16" t="s">
        <v>4748</v>
      </c>
    </row>
    <row r="1778" spans="1:14" s="4" customFormat="1" ht="20" hidden="1" customHeight="1">
      <c r="A1778" s="46">
        <v>45564</v>
      </c>
      <c r="B1778" s="47"/>
      <c r="C1778" s="47"/>
      <c r="D1778" s="47" t="s">
        <v>4320</v>
      </c>
      <c r="E1778" s="47" t="s">
        <v>2787</v>
      </c>
      <c r="F1778" s="10" t="str">
        <f>IFERROR(VLOOKUP(VENTAS[[#This Row],[Código del producto Vendido]],STOCK[],5,FALSE),"-")</f>
        <v>Sandalias doradas de tiras anchas para toda ocasión</v>
      </c>
      <c r="G1778" s="47">
        <v>1</v>
      </c>
      <c r="H1778" s="48">
        <v>20</v>
      </c>
      <c r="I1778" s="12">
        <f>VENTAS[[#This Row],[Cantidad]]*VENTAS[[#This Row],[Precio Venta]]</f>
        <v>20</v>
      </c>
      <c r="J1778" s="12">
        <f>IF(VENTAS[[#This Row],[Nombre del Gestor]]&gt;1,VENTAS[[#This Row],[Total]]*10%,0)</f>
        <v>2</v>
      </c>
      <c r="K1778" s="12">
        <f>IFERROR(VLOOKUP(VENTAS[[#This Row],[Código del producto Vendido]],STOCK[],16,FALSE)*VENTAS[[#This Row],[Cantidad]]+VLOOKUP(VENTAS[[#This Row],[Código del producto Vendido]],STOCK[],19,FALSE)*VENTAS[[#This Row],[Cantidad]],VENTAS[[#This Row],[Total]])</f>
        <v>6.65</v>
      </c>
      <c r="L1778" s="12">
        <f>VENTAS[[#This Row],[Total]]-VENTAS[[#This Row],[Comisión 10%]]-VENTAS[[#This Row],[Costo SIN Comision]]</f>
        <v>11.35</v>
      </c>
      <c r="M1778" s="48"/>
      <c r="N1778" s="16" t="s">
        <v>4749</v>
      </c>
    </row>
    <row r="1779" spans="1:14" s="4" customFormat="1" ht="20" hidden="1" customHeight="1">
      <c r="A1779" s="46">
        <v>45565</v>
      </c>
      <c r="B1779" s="47"/>
      <c r="C1779" s="47"/>
      <c r="D1779" s="47" t="s">
        <v>4750</v>
      </c>
      <c r="E1779" s="47" t="s">
        <v>2816</v>
      </c>
      <c r="F1779" s="10" t="str">
        <f>IFERROR(VLOOKUP(VENTAS[[#This Row],[Código del producto Vendido]],STOCK[],5,FALSE),"-")</f>
        <v>Bolso de ratán de Moda para vacaciones tamaño mediano con diseño de listas negras</v>
      </c>
      <c r="G1779" s="47">
        <v>1</v>
      </c>
      <c r="H1779" s="48">
        <v>22</v>
      </c>
      <c r="I1779" s="12">
        <f>VENTAS[[#This Row],[Cantidad]]*VENTAS[[#This Row],[Precio Venta]]</f>
        <v>22</v>
      </c>
      <c r="J1779" s="12">
        <f>IF(VENTAS[[#This Row],[Nombre del Gestor]]&gt;1,VENTAS[[#This Row],[Total]]*10%,0)</f>
        <v>2.2000000000000002</v>
      </c>
      <c r="K1779" s="12">
        <f>IFERROR(VLOOKUP(VENTAS[[#This Row],[Código del producto Vendido]],STOCK[],16,FALSE)*VENTAS[[#This Row],[Cantidad]]+VLOOKUP(VENTAS[[#This Row],[Código del producto Vendido]],STOCK[],19,FALSE)*VENTAS[[#This Row],[Cantidad]],VENTAS[[#This Row],[Total]])</f>
        <v>12.17</v>
      </c>
      <c r="L1779" s="12">
        <f>VENTAS[[#This Row],[Total]]-VENTAS[[#This Row],[Comisión 10%]]-VENTAS[[#This Row],[Costo SIN Comision]]</f>
        <v>7.6300000000000008</v>
      </c>
      <c r="M1779" s="48"/>
      <c r="N1779" s="16" t="s">
        <v>4751</v>
      </c>
    </row>
    <row r="1780" spans="1:14" s="4" customFormat="1" ht="20" hidden="1" customHeight="1">
      <c r="A1780" s="46">
        <v>45567</v>
      </c>
      <c r="B1780" s="47"/>
      <c r="C1780" s="47"/>
      <c r="D1780" s="47" t="s">
        <v>4473</v>
      </c>
      <c r="E1780" s="47" t="s">
        <v>2962</v>
      </c>
      <c r="F1780" s="10" t="str">
        <f>IFERROR(VLOOKUP(VENTAS[[#This Row],[Código del producto Vendido]],STOCK[],5,FALSE),"-")</f>
        <v>Vestido largo Sexy y elegante de espalda corrida en degradado de color</v>
      </c>
      <c r="G1780" s="47">
        <v>1</v>
      </c>
      <c r="H1780" s="48">
        <v>25</v>
      </c>
      <c r="I1780" s="12">
        <f>VENTAS[[#This Row],[Cantidad]]*VENTAS[[#This Row],[Precio Venta]]</f>
        <v>25</v>
      </c>
      <c r="J1780" s="12">
        <f>IF(VENTAS[[#This Row],[Nombre del Gestor]]&gt;1,VENTAS[[#This Row],[Total]]*10%,0)</f>
        <v>2.5</v>
      </c>
      <c r="K1780" s="12">
        <f>IFERROR(VLOOKUP(VENTAS[[#This Row],[Código del producto Vendido]],STOCK[],16,FALSE)*VENTAS[[#This Row],[Cantidad]]+VLOOKUP(VENTAS[[#This Row],[Código del producto Vendido]],STOCK[],19,FALSE)*VENTAS[[#This Row],[Cantidad]],VENTAS[[#This Row],[Total]])</f>
        <v>13.63</v>
      </c>
      <c r="L1780" s="12">
        <f>VENTAS[[#This Row],[Total]]-VENTAS[[#This Row],[Comisión 10%]]-VENTAS[[#This Row],[Costo SIN Comision]]</f>
        <v>8.8699999999999992</v>
      </c>
      <c r="M1780" s="48"/>
      <c r="N1780" s="16" t="s">
        <v>4752</v>
      </c>
    </row>
    <row r="1781" spans="1:14" s="4" customFormat="1" ht="20" hidden="1" customHeight="1">
      <c r="A1781" s="46">
        <v>45567</v>
      </c>
      <c r="B1781" s="47"/>
      <c r="C1781" s="47"/>
      <c r="D1781" s="47" t="s">
        <v>4374</v>
      </c>
      <c r="E1781" s="47" t="s">
        <v>2824</v>
      </c>
      <c r="F1781" s="10" t="str">
        <f>IFERROR(VLOOKUP(VENTAS[[#This Row],[Código del producto Vendido]],STOCK[],5,FALSE),"-")</f>
        <v>Bolso de playa en bloque de color tejido en algodón</v>
      </c>
      <c r="G1781" s="47">
        <v>1</v>
      </c>
      <c r="H1781" s="48">
        <v>25</v>
      </c>
      <c r="I1781" s="12">
        <f>VENTAS[[#This Row],[Cantidad]]*VENTAS[[#This Row],[Precio Venta]]</f>
        <v>25</v>
      </c>
      <c r="J1781" s="12">
        <f>IF(VENTAS[[#This Row],[Nombre del Gestor]]&gt;1,VENTAS[[#This Row],[Total]]*10%,0)</f>
        <v>2.5</v>
      </c>
      <c r="K1781" s="12">
        <f>IFERROR(VLOOKUP(VENTAS[[#This Row],[Código del producto Vendido]],STOCK[],16,FALSE)*VENTAS[[#This Row],[Cantidad]]+VLOOKUP(VENTAS[[#This Row],[Código del producto Vendido]],STOCK[],19,FALSE)*VENTAS[[#This Row],[Cantidad]],VENTAS[[#This Row],[Total]])</f>
        <v>13.35</v>
      </c>
      <c r="L1781" s="12">
        <f>VENTAS[[#This Row],[Total]]-VENTAS[[#This Row],[Comisión 10%]]-VENTAS[[#This Row],[Costo SIN Comision]]</f>
        <v>9.15</v>
      </c>
      <c r="M1781" s="48"/>
      <c r="N1781" s="16" t="s">
        <v>4753</v>
      </c>
    </row>
    <row r="1782" spans="1:14" s="4" customFormat="1" ht="20" hidden="1" customHeight="1">
      <c r="A1782" s="46">
        <v>45567</v>
      </c>
      <c r="B1782" s="47"/>
      <c r="C1782" s="47"/>
      <c r="D1782" s="47" t="s">
        <v>4473</v>
      </c>
      <c r="E1782" s="47" t="s">
        <v>2990</v>
      </c>
      <c r="F1782" s="10" t="str">
        <f>IFERROR(VLOOKUP(VENTAS[[#This Row],[Código del producto Vendido]],STOCK[],5,FALSE),"-")</f>
        <v>Traje de baño casual con ajustes laterales</v>
      </c>
      <c r="G1782" s="47">
        <v>1</v>
      </c>
      <c r="H1782" s="48">
        <v>20</v>
      </c>
      <c r="I1782" s="12">
        <f>VENTAS[[#This Row],[Cantidad]]*VENTAS[[#This Row],[Precio Venta]]</f>
        <v>20</v>
      </c>
      <c r="J1782" s="12">
        <f>IF(VENTAS[[#This Row],[Nombre del Gestor]]&gt;1,VENTAS[[#This Row],[Total]]*10%,0)</f>
        <v>2</v>
      </c>
      <c r="K1782" s="12">
        <f>IFERROR(VLOOKUP(VENTAS[[#This Row],[Código del producto Vendido]],STOCK[],16,FALSE)*VENTAS[[#This Row],[Cantidad]]+VLOOKUP(VENTAS[[#This Row],[Código del producto Vendido]],STOCK[],19,FALSE)*VENTAS[[#This Row],[Cantidad]],VENTAS[[#This Row],[Total]])</f>
        <v>10.620000000000001</v>
      </c>
      <c r="L1782" s="12">
        <f>VENTAS[[#This Row],[Total]]-VENTAS[[#This Row],[Comisión 10%]]-VENTAS[[#This Row],[Costo SIN Comision]]</f>
        <v>7.379999999999999</v>
      </c>
      <c r="M1782" s="48"/>
      <c r="N1782" s="16" t="s">
        <v>4754</v>
      </c>
    </row>
    <row r="1783" spans="1:14" s="4" customFormat="1" ht="20" hidden="1" customHeight="1">
      <c r="A1783" s="46">
        <v>45567</v>
      </c>
      <c r="B1783" s="47"/>
      <c r="C1783" s="47"/>
      <c r="D1783" s="47" t="s">
        <v>4349</v>
      </c>
      <c r="E1783" s="47" t="s">
        <v>2560</v>
      </c>
      <c r="F1783" s="10" t="str">
        <f>IFERROR(VLOOKUP(VENTAS[[#This Row],[Código del producto Vendido]],STOCK[],5,FALSE),"-")</f>
        <v>Maxi vestido de algodón cruzado con estampado floral vibrante</v>
      </c>
      <c r="G1783" s="47">
        <v>1</v>
      </c>
      <c r="H1783" s="48">
        <v>35</v>
      </c>
      <c r="I1783" s="12">
        <f>VENTAS[[#This Row],[Cantidad]]*VENTAS[[#This Row],[Precio Venta]]</f>
        <v>35</v>
      </c>
      <c r="J1783" s="12">
        <f>IF(VENTAS[[#This Row],[Nombre del Gestor]]&gt;1,VENTAS[[#This Row],[Total]]*10%,0)</f>
        <v>3.5</v>
      </c>
      <c r="K1783" s="12">
        <f>IFERROR(VLOOKUP(VENTAS[[#This Row],[Código del producto Vendido]],STOCK[],16,FALSE)*VENTAS[[#This Row],[Cantidad]]+VLOOKUP(VENTAS[[#This Row],[Código del producto Vendido]],STOCK[],19,FALSE)*VENTAS[[#This Row],[Cantidad]],VENTAS[[#This Row],[Total]])</f>
        <v>18.259999999999998</v>
      </c>
      <c r="L1783" s="12">
        <f>VENTAS[[#This Row],[Total]]-VENTAS[[#This Row],[Comisión 10%]]-VENTAS[[#This Row],[Costo SIN Comision]]</f>
        <v>13.240000000000002</v>
      </c>
      <c r="M1783" s="48"/>
      <c r="N1783" s="16" t="s">
        <v>4755</v>
      </c>
    </row>
    <row r="1784" spans="1:14" s="4" customFormat="1" ht="20" hidden="1" customHeight="1">
      <c r="A1784" s="46">
        <v>45567</v>
      </c>
      <c r="B1784" s="47"/>
      <c r="C1784" s="47"/>
      <c r="D1784" s="47" t="s">
        <v>4349</v>
      </c>
      <c r="E1784" s="47" t="s">
        <v>2879</v>
      </c>
      <c r="F1784" s="10" t="str">
        <f>IFERROR(VLOOKUP(VENTAS[[#This Row],[Código del producto Vendido]],STOCK[],5,FALSE),"-")</f>
        <v>Mono Sailor con botón delantero y cinturón naranja quemada</v>
      </c>
      <c r="G1784" s="47">
        <v>1</v>
      </c>
      <c r="H1784" s="48">
        <v>35</v>
      </c>
      <c r="I1784" s="12">
        <f>VENTAS[[#This Row],[Cantidad]]*VENTAS[[#This Row],[Precio Venta]]</f>
        <v>35</v>
      </c>
      <c r="J1784" s="12">
        <f>IF(VENTAS[[#This Row],[Nombre del Gestor]]&gt;1,VENTAS[[#This Row],[Total]]*10%,0)</f>
        <v>3.5</v>
      </c>
      <c r="K1784" s="12">
        <f>IFERROR(VLOOKUP(VENTAS[[#This Row],[Código del producto Vendido]],STOCK[],16,FALSE)*VENTAS[[#This Row],[Cantidad]]+VLOOKUP(VENTAS[[#This Row],[Código del producto Vendido]],STOCK[],19,FALSE)*VENTAS[[#This Row],[Cantidad]],VENTAS[[#This Row],[Total]])</f>
        <v>11.57</v>
      </c>
      <c r="L1784" s="12">
        <f>VENTAS[[#This Row],[Total]]-VENTAS[[#This Row],[Comisión 10%]]-VENTAS[[#This Row],[Costo SIN Comision]]</f>
        <v>19.93</v>
      </c>
      <c r="M1784" s="48"/>
      <c r="N1784" s="16" t="s">
        <v>4756</v>
      </c>
    </row>
    <row r="1785" spans="1:14" s="4" customFormat="1" ht="20" hidden="1" customHeight="1">
      <c r="A1785" s="46">
        <v>45567</v>
      </c>
      <c r="B1785" s="47"/>
      <c r="C1785" s="47"/>
      <c r="D1785" s="47" t="s">
        <v>4757</v>
      </c>
      <c r="E1785" s="47" t="s">
        <v>2824</v>
      </c>
      <c r="F1785" s="10" t="str">
        <f>IFERROR(VLOOKUP(VENTAS[[#This Row],[Código del producto Vendido]],STOCK[],5,FALSE),"-")</f>
        <v>Bolso de playa en bloque de color tejido en algodón</v>
      </c>
      <c r="G1785" s="47">
        <v>1</v>
      </c>
      <c r="H1785" s="48">
        <v>25</v>
      </c>
      <c r="I1785" s="12">
        <f>VENTAS[[#This Row],[Cantidad]]*VENTAS[[#This Row],[Precio Venta]]</f>
        <v>25</v>
      </c>
      <c r="J1785" s="12">
        <f>IF(VENTAS[[#This Row],[Nombre del Gestor]]&gt;1,VENTAS[[#This Row],[Total]]*10%,0)</f>
        <v>2.5</v>
      </c>
      <c r="K1785" s="12">
        <f>IFERROR(VLOOKUP(VENTAS[[#This Row],[Código del producto Vendido]],STOCK[],16,FALSE)*VENTAS[[#This Row],[Cantidad]]+VLOOKUP(VENTAS[[#This Row],[Código del producto Vendido]],STOCK[],19,FALSE)*VENTAS[[#This Row],[Cantidad]],VENTAS[[#This Row],[Total]])</f>
        <v>13.35</v>
      </c>
      <c r="L1785" s="12">
        <f>VENTAS[[#This Row],[Total]]-VENTAS[[#This Row],[Comisión 10%]]-VENTAS[[#This Row],[Costo SIN Comision]]</f>
        <v>9.15</v>
      </c>
      <c r="M1785" s="48"/>
      <c r="N1785" s="16" t="s">
        <v>4758</v>
      </c>
    </row>
    <row r="1786" spans="1:14" s="4" customFormat="1" ht="20" hidden="1" customHeight="1">
      <c r="A1786" s="46">
        <v>45567</v>
      </c>
      <c r="B1786" s="47"/>
      <c r="C1786" s="47"/>
      <c r="D1786" s="47" t="s">
        <v>4374</v>
      </c>
      <c r="E1786" s="47" t="s">
        <v>2824</v>
      </c>
      <c r="F1786" s="10" t="str">
        <f>IFERROR(VLOOKUP(VENTAS[[#This Row],[Código del producto Vendido]],STOCK[],5,FALSE),"-")</f>
        <v>Bolso de playa en bloque de color tejido en algodón</v>
      </c>
      <c r="G1786" s="47">
        <v>1</v>
      </c>
      <c r="H1786" s="48">
        <v>25</v>
      </c>
      <c r="I1786" s="12">
        <f>VENTAS[[#This Row],[Cantidad]]*VENTAS[[#This Row],[Precio Venta]]</f>
        <v>25</v>
      </c>
      <c r="J1786" s="12">
        <f>IF(VENTAS[[#This Row],[Nombre del Gestor]]&gt;1,VENTAS[[#This Row],[Total]]*10%,0)</f>
        <v>2.5</v>
      </c>
      <c r="K1786" s="12">
        <f>IFERROR(VLOOKUP(VENTAS[[#This Row],[Código del producto Vendido]],STOCK[],16,FALSE)*VENTAS[[#This Row],[Cantidad]]+VLOOKUP(VENTAS[[#This Row],[Código del producto Vendido]],STOCK[],19,FALSE)*VENTAS[[#This Row],[Cantidad]],VENTAS[[#This Row],[Total]])</f>
        <v>13.35</v>
      </c>
      <c r="L1786" s="12">
        <f>VENTAS[[#This Row],[Total]]-VENTAS[[#This Row],[Comisión 10%]]-VENTAS[[#This Row],[Costo SIN Comision]]</f>
        <v>9.15</v>
      </c>
      <c r="M1786" s="48"/>
      <c r="N1786" s="16" t="s">
        <v>4759</v>
      </c>
    </row>
    <row r="1787" spans="1:14" s="4" customFormat="1" ht="20" hidden="1" customHeight="1">
      <c r="A1787" s="46">
        <v>45567</v>
      </c>
      <c r="B1787" s="47"/>
      <c r="C1787" s="47"/>
      <c r="D1787" s="47" t="s">
        <v>4473</v>
      </c>
      <c r="E1787" s="47" t="s">
        <v>2850</v>
      </c>
      <c r="F1787" s="10" t="str">
        <f>IFERROR(VLOOKUP(VENTAS[[#This Row],[Código del producto Vendido]],STOCK[],5,FALSE),"-")</f>
        <v>Pantalones largros rayados de moda de gran comodidad</v>
      </c>
      <c r="G1787" s="47">
        <v>1</v>
      </c>
      <c r="H1787" s="48">
        <v>22</v>
      </c>
      <c r="I1787" s="12">
        <f>VENTAS[[#This Row],[Cantidad]]*VENTAS[[#This Row],[Precio Venta]]</f>
        <v>22</v>
      </c>
      <c r="J1787" s="12">
        <f>IF(VENTAS[[#This Row],[Nombre del Gestor]]&gt;1,VENTAS[[#This Row],[Total]]*10%,0)</f>
        <v>2.2000000000000002</v>
      </c>
      <c r="K1787" s="12">
        <f>IFERROR(VLOOKUP(VENTAS[[#This Row],[Código del producto Vendido]],STOCK[],16,FALSE)*VENTAS[[#This Row],[Cantidad]]+VLOOKUP(VENTAS[[#This Row],[Código del producto Vendido]],STOCK[],19,FALSE)*VENTAS[[#This Row],[Cantidad]],VENTAS[[#This Row],[Total]])</f>
        <v>10.52</v>
      </c>
      <c r="L1787" s="12">
        <f>VENTAS[[#This Row],[Total]]-VENTAS[[#This Row],[Comisión 10%]]-VENTAS[[#This Row],[Costo SIN Comision]]</f>
        <v>9.2800000000000011</v>
      </c>
      <c r="M1787" s="48"/>
      <c r="N1787" s="16" t="s">
        <v>4760</v>
      </c>
    </row>
    <row r="1788" spans="1:14" s="4" customFormat="1" ht="20" hidden="1" customHeight="1">
      <c r="A1788" s="46">
        <v>45568</v>
      </c>
      <c r="B1788" s="47"/>
      <c r="C1788" s="47"/>
      <c r="D1788" s="47" t="s">
        <v>4750</v>
      </c>
      <c r="E1788" s="47" t="s">
        <v>3009</v>
      </c>
      <c r="F1788" s="10" t="str">
        <f>IFERROR(VLOOKUP(VENTAS[[#This Row],[Código del producto Vendido]],STOCK[],5,FALSE),"-")</f>
        <v>Conjunto de dos prendas elegante-casual color Beis</v>
      </c>
      <c r="G1788" s="47">
        <v>1</v>
      </c>
      <c r="H1788" s="48">
        <v>40</v>
      </c>
      <c r="I1788" s="12">
        <f>VENTAS[[#This Row],[Cantidad]]*VENTAS[[#This Row],[Precio Venta]]</f>
        <v>40</v>
      </c>
      <c r="J1788" s="12">
        <f>IF(VENTAS[[#This Row],[Nombre del Gestor]]&gt;1,VENTAS[[#This Row],[Total]]*10%,0)</f>
        <v>4</v>
      </c>
      <c r="K1788" s="12">
        <f>IFERROR(VLOOKUP(VENTAS[[#This Row],[Código del producto Vendido]],STOCK[],16,FALSE)*VENTAS[[#This Row],[Cantidad]]+VLOOKUP(VENTAS[[#This Row],[Código del producto Vendido]],STOCK[],19,FALSE)*VENTAS[[#This Row],[Cantidad]],VENTAS[[#This Row],[Total]])</f>
        <v>13.47</v>
      </c>
      <c r="L1788" s="12">
        <f>VENTAS[[#This Row],[Total]]-VENTAS[[#This Row],[Comisión 10%]]-VENTAS[[#This Row],[Costo SIN Comision]]</f>
        <v>22.53</v>
      </c>
      <c r="M1788" s="48"/>
      <c r="N1788" s="16" t="s">
        <v>4761</v>
      </c>
    </row>
    <row r="1789" spans="1:14" s="4" customFormat="1" ht="20" hidden="1" customHeight="1">
      <c r="A1789" s="46">
        <v>45569</v>
      </c>
      <c r="B1789" s="47"/>
      <c r="C1789" s="47"/>
      <c r="D1789" s="47"/>
      <c r="E1789" s="47" t="s">
        <v>3328</v>
      </c>
      <c r="F1789" s="10" t="str">
        <f>IFERROR(VLOOKUP(VENTAS[[#This Row],[Código del producto Vendido]],STOCK[],5,FALSE),"-")</f>
        <v>Careta Anonimous</v>
      </c>
      <c r="G1789" s="47">
        <v>1</v>
      </c>
      <c r="H1789" s="48">
        <v>7</v>
      </c>
      <c r="I1789" s="12">
        <f>VENTAS[[#This Row],[Cantidad]]*VENTAS[[#This Row],[Precio Venta]]</f>
        <v>7</v>
      </c>
      <c r="J1789" s="12">
        <f>IF(VENTAS[[#This Row],[Nombre del Gestor]]&gt;1,VENTAS[[#This Row],[Total]]*10%,0)</f>
        <v>0</v>
      </c>
      <c r="K1789" s="12">
        <f>IFERROR(VLOOKUP(VENTAS[[#This Row],[Código del producto Vendido]],STOCK[],16,FALSE)*VENTAS[[#This Row],[Cantidad]]+VLOOKUP(VENTAS[[#This Row],[Código del producto Vendido]],STOCK[],19,FALSE)*VENTAS[[#This Row],[Cantidad]],VENTAS[[#This Row],[Total]])</f>
        <v>0</v>
      </c>
      <c r="L1789" s="12">
        <f>VENTAS[[#This Row],[Total]]-VENTAS[[#This Row],[Comisión 10%]]-VENTAS[[#This Row],[Costo SIN Comision]]</f>
        <v>7</v>
      </c>
      <c r="M1789" s="48"/>
      <c r="N1789" s="16" t="s">
        <v>4762</v>
      </c>
    </row>
    <row r="1790" spans="1:14" s="4" customFormat="1" ht="20" hidden="1" customHeight="1">
      <c r="A1790" s="46">
        <v>45569</v>
      </c>
      <c r="B1790" s="47"/>
      <c r="C1790" s="47"/>
      <c r="D1790" s="47"/>
      <c r="E1790" s="47" t="s">
        <v>3328</v>
      </c>
      <c r="F1790" s="10" t="str">
        <f>IFERROR(VLOOKUP(VENTAS[[#This Row],[Código del producto Vendido]],STOCK[],5,FALSE),"-")</f>
        <v>Careta Anonimous</v>
      </c>
      <c r="G1790" s="47">
        <v>1</v>
      </c>
      <c r="H1790" s="48">
        <v>7</v>
      </c>
      <c r="I1790" s="12">
        <f>VENTAS[[#This Row],[Cantidad]]*VENTAS[[#This Row],[Precio Venta]]</f>
        <v>7</v>
      </c>
      <c r="J1790" s="12">
        <f>IF(VENTAS[[#This Row],[Nombre del Gestor]]&gt;1,VENTAS[[#This Row],[Total]]*10%,0)</f>
        <v>0</v>
      </c>
      <c r="K1790" s="12">
        <f>IFERROR(VLOOKUP(VENTAS[[#This Row],[Código del producto Vendido]],STOCK[],16,FALSE)*VENTAS[[#This Row],[Cantidad]]+VLOOKUP(VENTAS[[#This Row],[Código del producto Vendido]],STOCK[],19,FALSE)*VENTAS[[#This Row],[Cantidad]],VENTAS[[#This Row],[Total]])</f>
        <v>0</v>
      </c>
      <c r="L1790" s="12">
        <f>VENTAS[[#This Row],[Total]]-VENTAS[[#This Row],[Comisión 10%]]-VENTAS[[#This Row],[Costo SIN Comision]]</f>
        <v>7</v>
      </c>
      <c r="M1790" s="48"/>
      <c r="N1790" s="16" t="s">
        <v>4763</v>
      </c>
    </row>
    <row r="1791" spans="1:14" s="4" customFormat="1" ht="20" hidden="1" customHeight="1">
      <c r="A1791" s="46">
        <v>45569</v>
      </c>
      <c r="B1791" s="47"/>
      <c r="C1791" s="47"/>
      <c r="D1791" s="47" t="s">
        <v>4275</v>
      </c>
      <c r="E1791" s="47" t="s">
        <v>3328</v>
      </c>
      <c r="F1791" s="10" t="str">
        <f>IFERROR(VLOOKUP(VENTAS[[#This Row],[Código del producto Vendido]],STOCK[],5,FALSE),"-")</f>
        <v>Careta Anonimous</v>
      </c>
      <c r="G1791" s="47">
        <v>1</v>
      </c>
      <c r="H1791" s="48">
        <v>7</v>
      </c>
      <c r="I1791" s="12">
        <f>VENTAS[[#This Row],[Cantidad]]*VENTAS[[#This Row],[Precio Venta]]</f>
        <v>7</v>
      </c>
      <c r="J1791" s="12">
        <f>IF(VENTAS[[#This Row],[Nombre del Gestor]]&gt;1,VENTAS[[#This Row],[Total]]*10%,0)</f>
        <v>0.70000000000000007</v>
      </c>
      <c r="K1791" s="12">
        <f>IFERROR(VLOOKUP(VENTAS[[#This Row],[Código del producto Vendido]],STOCK[],16,FALSE)*VENTAS[[#This Row],[Cantidad]]+VLOOKUP(VENTAS[[#This Row],[Código del producto Vendido]],STOCK[],19,FALSE)*VENTAS[[#This Row],[Cantidad]],VENTAS[[#This Row],[Total]])</f>
        <v>0</v>
      </c>
      <c r="L1791" s="12">
        <f>VENTAS[[#This Row],[Total]]-VENTAS[[#This Row],[Comisión 10%]]-VENTAS[[#This Row],[Costo SIN Comision]]</f>
        <v>6.3</v>
      </c>
      <c r="M1791" s="48"/>
      <c r="N1791" s="16" t="s">
        <v>4764</v>
      </c>
    </row>
    <row r="1792" spans="1:14" s="4" customFormat="1" ht="20" hidden="1" customHeight="1">
      <c r="A1792" s="46">
        <v>45570</v>
      </c>
      <c r="B1792" s="47"/>
      <c r="C1792" s="47"/>
      <c r="D1792" s="47" t="s">
        <v>4275</v>
      </c>
      <c r="E1792" s="47" t="s">
        <v>3335</v>
      </c>
      <c r="F1792" s="10" t="str">
        <f>IFERROR(VLOOKUP(VENTAS[[#This Row],[Código del producto Vendido]],STOCK[],5,FALSE),"-")</f>
        <v>Diadema minimalista de diablito</v>
      </c>
      <c r="G1792" s="47">
        <v>1</v>
      </c>
      <c r="H1792" s="48">
        <v>5</v>
      </c>
      <c r="I1792" s="12">
        <f>VENTAS[[#This Row],[Cantidad]]*VENTAS[[#This Row],[Precio Venta]]</f>
        <v>5</v>
      </c>
      <c r="J1792" s="12">
        <f>IF(VENTAS[[#This Row],[Nombre del Gestor]]&gt;1,VENTAS[[#This Row],[Total]]*10%,0)</f>
        <v>0.5</v>
      </c>
      <c r="K1792" s="12">
        <f>IFERROR(VLOOKUP(VENTAS[[#This Row],[Código del producto Vendido]],STOCK[],16,FALSE)*VENTAS[[#This Row],[Cantidad]]+VLOOKUP(VENTAS[[#This Row],[Código del producto Vendido]],STOCK[],19,FALSE)*VENTAS[[#This Row],[Cantidad]],VENTAS[[#This Row],[Total]])</f>
        <v>0</v>
      </c>
      <c r="L1792" s="12">
        <f>VENTAS[[#This Row],[Total]]-VENTAS[[#This Row],[Comisión 10%]]-VENTAS[[#This Row],[Costo SIN Comision]]</f>
        <v>4.5</v>
      </c>
      <c r="M1792" s="48"/>
      <c r="N1792" s="16" t="s">
        <v>4765</v>
      </c>
    </row>
    <row r="1793" spans="1:14" s="4" customFormat="1" ht="20" hidden="1" customHeight="1">
      <c r="A1793" s="46">
        <v>45570</v>
      </c>
      <c r="B1793" s="47"/>
      <c r="C1793" s="47"/>
      <c r="D1793" s="47" t="s">
        <v>4275</v>
      </c>
      <c r="E1793" s="47" t="s">
        <v>3326</v>
      </c>
      <c r="F1793" s="10" t="str">
        <f>IFERROR(VLOOKUP(VENTAS[[#This Row],[Código del producto Vendido]],STOCK[],5,FALSE),"-")</f>
        <v>Máscara de bruja realista con peluca incluída</v>
      </c>
      <c r="G1793" s="47">
        <v>1</v>
      </c>
      <c r="H1793" s="48">
        <v>22</v>
      </c>
      <c r="I1793" s="12">
        <f>VENTAS[[#This Row],[Cantidad]]*VENTAS[[#This Row],[Precio Venta]]</f>
        <v>22</v>
      </c>
      <c r="J1793" s="12">
        <f>IF(VENTAS[[#This Row],[Nombre del Gestor]]&gt;1,VENTAS[[#This Row],[Total]]*10%,0)</f>
        <v>2.2000000000000002</v>
      </c>
      <c r="K1793" s="12">
        <f>IFERROR(VLOOKUP(VENTAS[[#This Row],[Código del producto Vendido]],STOCK[],16,FALSE)*VENTAS[[#This Row],[Cantidad]]+VLOOKUP(VENTAS[[#This Row],[Código del producto Vendido]],STOCK[],19,FALSE)*VENTAS[[#This Row],[Cantidad]],VENTAS[[#This Row],[Total]])</f>
        <v>0</v>
      </c>
      <c r="L1793" s="12">
        <f>VENTAS[[#This Row],[Total]]-VENTAS[[#This Row],[Comisión 10%]]-VENTAS[[#This Row],[Costo SIN Comision]]</f>
        <v>19.8</v>
      </c>
      <c r="M1793" s="48"/>
      <c r="N1793" s="16" t="s">
        <v>4766</v>
      </c>
    </row>
    <row r="1794" spans="1:14" s="4" customFormat="1" ht="20" hidden="1" customHeight="1">
      <c r="A1794" s="46">
        <v>45570</v>
      </c>
      <c r="B1794" s="47"/>
      <c r="C1794" s="47"/>
      <c r="D1794" s="47"/>
      <c r="E1794" s="47" t="s">
        <v>3381</v>
      </c>
      <c r="F1794" s="10" t="str">
        <f>IFERROR(VLOOKUP(VENTAS[[#This Row],[Código del producto Vendido]],STOCK[],5,FALSE),"-")</f>
        <v>Máscaras led verde de baterías</v>
      </c>
      <c r="G1794" s="47">
        <v>1</v>
      </c>
      <c r="H1794" s="48">
        <v>15</v>
      </c>
      <c r="I1794" s="12">
        <f>VENTAS[[#This Row],[Cantidad]]*VENTAS[[#This Row],[Precio Venta]]</f>
        <v>15</v>
      </c>
      <c r="J1794" s="12">
        <f>IF(VENTAS[[#This Row],[Nombre del Gestor]]&gt;1,VENTAS[[#This Row],[Total]]*10%,0)</f>
        <v>0</v>
      </c>
      <c r="K1794" s="12">
        <f>IFERROR(VLOOKUP(VENTAS[[#This Row],[Código del producto Vendido]],STOCK[],16,FALSE)*VENTAS[[#This Row],[Cantidad]]+VLOOKUP(VENTAS[[#This Row],[Código del producto Vendido]],STOCK[],19,FALSE)*VENTAS[[#This Row],[Cantidad]],VENTAS[[#This Row],[Total]])</f>
        <v>0</v>
      </c>
      <c r="L1794" s="12">
        <f>VENTAS[[#This Row],[Total]]-VENTAS[[#This Row],[Comisión 10%]]-VENTAS[[#This Row],[Costo SIN Comision]]</f>
        <v>15</v>
      </c>
      <c r="M1794" s="48"/>
      <c r="N1794" s="16" t="s">
        <v>4767</v>
      </c>
    </row>
    <row r="1795" spans="1:14" s="4" customFormat="1" ht="20" hidden="1" customHeight="1">
      <c r="A1795" s="46">
        <v>45570</v>
      </c>
      <c r="B1795" s="47"/>
      <c r="C1795" s="47"/>
      <c r="D1795" s="47"/>
      <c r="E1795" s="47" t="s">
        <v>3418</v>
      </c>
      <c r="F1795" s="10" t="str">
        <f>IFERROR(VLOOKUP(VENTAS[[#This Row],[Código del producto Vendido]],STOCK[],5,FALSE),"-")</f>
        <v>Barbas negras</v>
      </c>
      <c r="G1795" s="47">
        <v>1</v>
      </c>
      <c r="H1795" s="48">
        <v>4</v>
      </c>
      <c r="I1795" s="12">
        <f>VENTAS[[#This Row],[Cantidad]]*VENTAS[[#This Row],[Precio Venta]]</f>
        <v>4</v>
      </c>
      <c r="J1795" s="12">
        <f>IF(VENTAS[[#This Row],[Nombre del Gestor]]&gt;1,VENTAS[[#This Row],[Total]]*10%,0)</f>
        <v>0</v>
      </c>
      <c r="K1795" s="12">
        <f>IFERROR(VLOOKUP(VENTAS[[#This Row],[Código del producto Vendido]],STOCK[],16,FALSE)*VENTAS[[#This Row],[Cantidad]]+VLOOKUP(VENTAS[[#This Row],[Código del producto Vendido]],STOCK[],19,FALSE)*VENTAS[[#This Row],[Cantidad]],VENTAS[[#This Row],[Total]])</f>
        <v>0</v>
      </c>
      <c r="L1795" s="12">
        <f>VENTAS[[#This Row],[Total]]-VENTAS[[#This Row],[Comisión 10%]]-VENTAS[[#This Row],[Costo SIN Comision]]</f>
        <v>4</v>
      </c>
      <c r="M1795" s="48"/>
      <c r="N1795" s="16" t="s">
        <v>4768</v>
      </c>
    </row>
    <row r="1796" spans="1:14" s="4" customFormat="1" ht="20" hidden="1" customHeight="1">
      <c r="A1796" s="46">
        <v>45570</v>
      </c>
      <c r="B1796" s="47"/>
      <c r="C1796" s="47"/>
      <c r="D1796" s="47"/>
      <c r="E1796" s="47" t="s">
        <v>3438</v>
      </c>
      <c r="F1796" s="10" t="str">
        <f>IFERROR(VLOOKUP(VENTAS[[#This Row],[Código del producto Vendido]],STOCK[],5,FALSE),"-")</f>
        <v>Sombrero grande de bruja</v>
      </c>
      <c r="G1796" s="47">
        <v>3</v>
      </c>
      <c r="H1796" s="48">
        <v>15</v>
      </c>
      <c r="I1796" s="12">
        <f>VENTAS[[#This Row],[Cantidad]]*VENTAS[[#This Row],[Precio Venta]]</f>
        <v>45</v>
      </c>
      <c r="J1796" s="12">
        <f>IF(VENTAS[[#This Row],[Nombre del Gestor]]&gt;1,VENTAS[[#This Row],[Total]]*10%,0)</f>
        <v>0</v>
      </c>
      <c r="K1796" s="12">
        <f>IFERROR(VLOOKUP(VENTAS[[#This Row],[Código del producto Vendido]],STOCK[],16,FALSE)*VENTAS[[#This Row],[Cantidad]]+VLOOKUP(VENTAS[[#This Row],[Código del producto Vendido]],STOCK[],19,FALSE)*VENTAS[[#This Row],[Cantidad]],VENTAS[[#This Row],[Total]])</f>
        <v>0</v>
      </c>
      <c r="L1796" s="12">
        <f>VENTAS[[#This Row],[Total]]-VENTAS[[#This Row],[Comisión 10%]]-VENTAS[[#This Row],[Costo SIN Comision]]</f>
        <v>45</v>
      </c>
      <c r="M1796" s="48"/>
      <c r="N1796" s="16" t="s">
        <v>4769</v>
      </c>
    </row>
    <row r="1797" spans="1:14" s="4" customFormat="1" ht="20" hidden="1" customHeight="1">
      <c r="A1797" s="46">
        <v>45570</v>
      </c>
      <c r="B1797" s="47"/>
      <c r="C1797" s="47"/>
      <c r="D1797" s="47"/>
      <c r="E1797" s="47" t="s">
        <v>3424</v>
      </c>
      <c r="F1797" s="10" t="str">
        <f>IFERROR(VLOOKUP(VENTAS[[#This Row],[Código del producto Vendido]],STOCK[],5,FALSE),"-")</f>
        <v>Aretes de fantasmitas</v>
      </c>
      <c r="G1797" s="47">
        <v>3</v>
      </c>
      <c r="H1797" s="48">
        <v>1.5</v>
      </c>
      <c r="I1797" s="12">
        <f>VENTAS[[#This Row],[Cantidad]]*VENTAS[[#This Row],[Precio Venta]]</f>
        <v>4.5</v>
      </c>
      <c r="J1797" s="12">
        <f>IF(VENTAS[[#This Row],[Nombre del Gestor]]&gt;1,VENTAS[[#This Row],[Total]]*10%,0)</f>
        <v>0</v>
      </c>
      <c r="K1797" s="12">
        <f>IFERROR(VLOOKUP(VENTAS[[#This Row],[Código del producto Vendido]],STOCK[],16,FALSE)*VENTAS[[#This Row],[Cantidad]]+VLOOKUP(VENTAS[[#This Row],[Código del producto Vendido]],STOCK[],19,FALSE)*VENTAS[[#This Row],[Cantidad]],VENTAS[[#This Row],[Total]])</f>
        <v>0</v>
      </c>
      <c r="L1797" s="12">
        <f>VENTAS[[#This Row],[Total]]-VENTAS[[#This Row],[Comisión 10%]]-VENTAS[[#This Row],[Costo SIN Comision]]</f>
        <v>4.5</v>
      </c>
      <c r="M1797" s="48"/>
      <c r="N1797" s="16" t="s">
        <v>4770</v>
      </c>
    </row>
    <row r="1798" spans="1:14" s="4" customFormat="1" ht="20" hidden="1" customHeight="1">
      <c r="A1798" s="46">
        <v>45570</v>
      </c>
      <c r="B1798" s="47"/>
      <c r="C1798" s="47"/>
      <c r="D1798" s="47"/>
      <c r="E1798" s="47" t="s">
        <v>3412</v>
      </c>
      <c r="F1798" s="10" t="str">
        <f>IFERROR(VLOOKUP(VENTAS[[#This Row],[Código del producto Vendido]],STOCK[],5,FALSE),"-")</f>
        <v>Peluca de Cruella De Vill</v>
      </c>
      <c r="G1798" s="47">
        <v>1</v>
      </c>
      <c r="H1798" s="48">
        <v>25</v>
      </c>
      <c r="I1798" s="12">
        <f>VENTAS[[#This Row],[Cantidad]]*VENTAS[[#This Row],[Precio Venta]]</f>
        <v>25</v>
      </c>
      <c r="J1798" s="12">
        <f>IF(VENTAS[[#This Row],[Nombre del Gestor]]&gt;1,VENTAS[[#This Row],[Total]]*10%,0)</f>
        <v>0</v>
      </c>
      <c r="K1798" s="12">
        <f>IFERROR(VLOOKUP(VENTAS[[#This Row],[Código del producto Vendido]],STOCK[],16,FALSE)*VENTAS[[#This Row],[Cantidad]]+VLOOKUP(VENTAS[[#This Row],[Código del producto Vendido]],STOCK[],19,FALSE)*VENTAS[[#This Row],[Cantidad]],VENTAS[[#This Row],[Total]])</f>
        <v>0</v>
      </c>
      <c r="L1798" s="12">
        <f>VENTAS[[#This Row],[Total]]-VENTAS[[#This Row],[Comisión 10%]]-VENTAS[[#This Row],[Costo SIN Comision]]</f>
        <v>25</v>
      </c>
      <c r="M1798" s="48"/>
      <c r="N1798" s="16" t="s">
        <v>4771</v>
      </c>
    </row>
    <row r="1799" spans="1:14" s="4" customFormat="1" ht="20" hidden="1" customHeight="1">
      <c r="A1799" s="46">
        <v>45570</v>
      </c>
      <c r="B1799" s="47"/>
      <c r="C1799" s="47"/>
      <c r="D1799" s="47"/>
      <c r="E1799" s="47" t="s">
        <v>3448</v>
      </c>
      <c r="F1799" s="10" t="str">
        <f>IFERROR(VLOOKUP(VENTAS[[#This Row],[Código del producto Vendido]],STOCK[],5,FALSE),"-")</f>
        <v>Antifaz bordado</v>
      </c>
      <c r="G1799" s="47">
        <v>1</v>
      </c>
      <c r="H1799" s="48">
        <v>4</v>
      </c>
      <c r="I1799" s="12">
        <f>VENTAS[[#This Row],[Cantidad]]*VENTAS[[#This Row],[Precio Venta]]</f>
        <v>4</v>
      </c>
      <c r="J1799" s="12">
        <f>IF(VENTAS[[#This Row],[Nombre del Gestor]]&gt;1,VENTAS[[#This Row],[Total]]*10%,0)</f>
        <v>0</v>
      </c>
      <c r="K1799" s="12">
        <f>IFERROR(VLOOKUP(VENTAS[[#This Row],[Código del producto Vendido]],STOCK[],16,FALSE)*VENTAS[[#This Row],[Cantidad]]+VLOOKUP(VENTAS[[#This Row],[Código del producto Vendido]],STOCK[],19,FALSE)*VENTAS[[#This Row],[Cantidad]],VENTAS[[#This Row],[Total]])</f>
        <v>0</v>
      </c>
      <c r="L1799" s="12">
        <f>VENTAS[[#This Row],[Total]]-VENTAS[[#This Row],[Comisión 10%]]-VENTAS[[#This Row],[Costo SIN Comision]]</f>
        <v>4</v>
      </c>
      <c r="M1799" s="48"/>
      <c r="N1799" s="16" t="s">
        <v>4772</v>
      </c>
    </row>
    <row r="1800" spans="1:14" s="4" customFormat="1" ht="20" hidden="1" customHeight="1">
      <c r="A1800" s="46">
        <v>45570</v>
      </c>
      <c r="B1800" s="47"/>
      <c r="C1800" s="47"/>
      <c r="D1800" s="47"/>
      <c r="E1800" s="47" t="s">
        <v>3326</v>
      </c>
      <c r="F1800" s="10" t="str">
        <f>IFERROR(VLOOKUP(VENTAS[[#This Row],[Código del producto Vendido]],STOCK[],5,FALSE),"-")</f>
        <v>Máscara de bruja realista con peluca incluída</v>
      </c>
      <c r="G1800" s="47">
        <v>1</v>
      </c>
      <c r="H1800" s="48">
        <v>22</v>
      </c>
      <c r="I1800" s="12">
        <f>VENTAS[[#This Row],[Cantidad]]*VENTAS[[#This Row],[Precio Venta]]</f>
        <v>22</v>
      </c>
      <c r="J1800" s="12">
        <f>IF(VENTAS[[#This Row],[Nombre del Gestor]]&gt;1,VENTAS[[#This Row],[Total]]*10%,0)</f>
        <v>0</v>
      </c>
      <c r="K1800" s="12">
        <f>IFERROR(VLOOKUP(VENTAS[[#This Row],[Código del producto Vendido]],STOCK[],16,FALSE)*VENTAS[[#This Row],[Cantidad]]+VLOOKUP(VENTAS[[#This Row],[Código del producto Vendido]],STOCK[],19,FALSE)*VENTAS[[#This Row],[Cantidad]],VENTAS[[#This Row],[Total]])</f>
        <v>0</v>
      </c>
      <c r="L1800" s="12">
        <f>VENTAS[[#This Row],[Total]]-VENTAS[[#This Row],[Comisión 10%]]-VENTAS[[#This Row],[Costo SIN Comision]]</f>
        <v>22</v>
      </c>
      <c r="M1800" s="48"/>
      <c r="N1800" s="16" t="s">
        <v>4773</v>
      </c>
    </row>
    <row r="1801" spans="1:14" s="4" customFormat="1" ht="20" hidden="1" customHeight="1">
      <c r="A1801" s="46">
        <v>45570</v>
      </c>
      <c r="B1801" s="47"/>
      <c r="C1801" s="47"/>
      <c r="D1801" s="47"/>
      <c r="E1801" s="47" t="s">
        <v>3393</v>
      </c>
      <c r="F1801" s="10" t="str">
        <f>IFERROR(VLOOKUP(VENTAS[[#This Row],[Código del producto Vendido]],STOCK[],5,FALSE),"-")</f>
        <v>Disfraz de Barbie para niñas</v>
      </c>
      <c r="G1801" s="47">
        <v>1</v>
      </c>
      <c r="H1801" s="48">
        <v>20</v>
      </c>
      <c r="I1801" s="12">
        <f>VENTAS[[#This Row],[Cantidad]]*VENTAS[[#This Row],[Precio Venta]]</f>
        <v>20</v>
      </c>
      <c r="J1801" s="12">
        <f>IF(VENTAS[[#This Row],[Nombre del Gestor]]&gt;1,VENTAS[[#This Row],[Total]]*10%,0)</f>
        <v>0</v>
      </c>
      <c r="K1801" s="12">
        <f>IFERROR(VLOOKUP(VENTAS[[#This Row],[Código del producto Vendido]],STOCK[],16,FALSE)*VENTAS[[#This Row],[Cantidad]]+VLOOKUP(VENTAS[[#This Row],[Código del producto Vendido]],STOCK[],19,FALSE)*VENTAS[[#This Row],[Cantidad]],VENTAS[[#This Row],[Total]])</f>
        <v>0</v>
      </c>
      <c r="L1801" s="12">
        <f>VENTAS[[#This Row],[Total]]-VENTAS[[#This Row],[Comisión 10%]]-VENTAS[[#This Row],[Costo SIN Comision]]</f>
        <v>20</v>
      </c>
      <c r="M1801" s="48"/>
      <c r="N1801" s="16" t="s">
        <v>4774</v>
      </c>
    </row>
    <row r="1802" spans="1:14" s="4" customFormat="1" ht="20" hidden="1" customHeight="1">
      <c r="A1802" s="46">
        <v>45570</v>
      </c>
      <c r="B1802" s="47"/>
      <c r="C1802" s="47"/>
      <c r="D1802" s="47"/>
      <c r="E1802" s="47" t="s">
        <v>3450</v>
      </c>
      <c r="F1802" s="10" t="str">
        <f>IFERROR(VLOOKUP(VENTAS[[#This Row],[Código del producto Vendido]],STOCK[],5,FALSE),"-")</f>
        <v>Cuchillo bromista</v>
      </c>
      <c r="G1802" s="47">
        <v>2</v>
      </c>
      <c r="H1802" s="48">
        <v>5</v>
      </c>
      <c r="I1802" s="12">
        <f>VENTAS[[#This Row],[Cantidad]]*VENTAS[[#This Row],[Precio Venta]]</f>
        <v>10</v>
      </c>
      <c r="J1802" s="12">
        <f>IF(VENTAS[[#This Row],[Nombre del Gestor]]&gt;1,VENTAS[[#This Row],[Total]]*10%,0)</f>
        <v>0</v>
      </c>
      <c r="K1802" s="12">
        <f>IFERROR(VLOOKUP(VENTAS[[#This Row],[Código del producto Vendido]],STOCK[],16,FALSE)*VENTAS[[#This Row],[Cantidad]]+VLOOKUP(VENTAS[[#This Row],[Código del producto Vendido]],STOCK[],19,FALSE)*VENTAS[[#This Row],[Cantidad]],VENTAS[[#This Row],[Total]])</f>
        <v>0</v>
      </c>
      <c r="L1802" s="12">
        <f>VENTAS[[#This Row],[Total]]-VENTAS[[#This Row],[Comisión 10%]]-VENTAS[[#This Row],[Costo SIN Comision]]</f>
        <v>10</v>
      </c>
      <c r="M1802" s="48"/>
      <c r="N1802" s="16" t="s">
        <v>4775</v>
      </c>
    </row>
    <row r="1803" spans="1:14" s="4" customFormat="1" ht="20" hidden="1" customHeight="1">
      <c r="A1803" s="46">
        <v>45570</v>
      </c>
      <c r="B1803" s="47"/>
      <c r="C1803" s="47"/>
      <c r="D1803" s="47"/>
      <c r="E1803" s="47" t="s">
        <v>3462</v>
      </c>
      <c r="F1803" s="10" t="str">
        <f>IFERROR(VLOOKUP(VENTAS[[#This Row],[Código del producto Vendido]],STOCK[],5,FALSE),"-")</f>
        <v>Diadema rosas blancas</v>
      </c>
      <c r="G1803" s="47">
        <v>1</v>
      </c>
      <c r="H1803" s="48">
        <v>5</v>
      </c>
      <c r="I1803" s="12">
        <f>VENTAS[[#This Row],[Cantidad]]*VENTAS[[#This Row],[Precio Venta]]</f>
        <v>5</v>
      </c>
      <c r="J1803" s="12">
        <f>IF(VENTAS[[#This Row],[Nombre del Gestor]]&gt;1,VENTAS[[#This Row],[Total]]*10%,0)</f>
        <v>0</v>
      </c>
      <c r="K1803" s="12">
        <f>IFERROR(VLOOKUP(VENTAS[[#This Row],[Código del producto Vendido]],STOCK[],16,FALSE)*VENTAS[[#This Row],[Cantidad]]+VLOOKUP(VENTAS[[#This Row],[Código del producto Vendido]],STOCK[],19,FALSE)*VENTAS[[#This Row],[Cantidad]],VENTAS[[#This Row],[Total]])</f>
        <v>0</v>
      </c>
      <c r="L1803" s="12">
        <f>VENTAS[[#This Row],[Total]]-VENTAS[[#This Row],[Comisión 10%]]-VENTAS[[#This Row],[Costo SIN Comision]]</f>
        <v>5</v>
      </c>
      <c r="M1803" s="48"/>
      <c r="N1803" s="16" t="s">
        <v>4776</v>
      </c>
    </row>
    <row r="1804" spans="1:14" s="4" customFormat="1" ht="20" hidden="1" customHeight="1">
      <c r="A1804" s="46">
        <v>45570</v>
      </c>
      <c r="B1804" s="47"/>
      <c r="C1804" s="47"/>
      <c r="D1804" s="47"/>
      <c r="E1804" s="47" t="s">
        <v>3335</v>
      </c>
      <c r="F1804" s="10" t="str">
        <f>IFERROR(VLOOKUP(VENTAS[[#This Row],[Código del producto Vendido]],STOCK[],5,FALSE),"-")</f>
        <v>Diadema minimalista de diablito</v>
      </c>
      <c r="G1804" s="47">
        <v>1</v>
      </c>
      <c r="H1804" s="48">
        <v>5</v>
      </c>
      <c r="I1804" s="12">
        <f>VENTAS[[#This Row],[Cantidad]]*VENTAS[[#This Row],[Precio Venta]]</f>
        <v>5</v>
      </c>
      <c r="J1804" s="12">
        <f>IF(VENTAS[[#This Row],[Nombre del Gestor]]&gt;1,VENTAS[[#This Row],[Total]]*10%,0)</f>
        <v>0</v>
      </c>
      <c r="K1804" s="12">
        <f>IFERROR(VLOOKUP(VENTAS[[#This Row],[Código del producto Vendido]],STOCK[],16,FALSE)*VENTAS[[#This Row],[Cantidad]]+VLOOKUP(VENTAS[[#This Row],[Código del producto Vendido]],STOCK[],19,FALSE)*VENTAS[[#This Row],[Cantidad]],VENTAS[[#This Row],[Total]])</f>
        <v>0</v>
      </c>
      <c r="L1804" s="12">
        <f>VENTAS[[#This Row],[Total]]-VENTAS[[#This Row],[Comisión 10%]]-VENTAS[[#This Row],[Costo SIN Comision]]</f>
        <v>5</v>
      </c>
      <c r="M1804" s="48"/>
      <c r="N1804" s="16" t="s">
        <v>4777</v>
      </c>
    </row>
    <row r="1805" spans="1:14" s="4" customFormat="1" ht="20" hidden="1" customHeight="1">
      <c r="A1805" s="46">
        <v>45570</v>
      </c>
      <c r="B1805" s="47"/>
      <c r="C1805" s="47"/>
      <c r="D1805" s="47"/>
      <c r="E1805" s="47" t="s">
        <v>3335</v>
      </c>
      <c r="F1805" s="10" t="str">
        <f>IFERROR(VLOOKUP(VENTAS[[#This Row],[Código del producto Vendido]],STOCK[],5,FALSE),"-")</f>
        <v>Diadema minimalista de diablito</v>
      </c>
      <c r="G1805" s="47">
        <v>1</v>
      </c>
      <c r="H1805" s="48">
        <v>5</v>
      </c>
      <c r="I1805" s="12">
        <f>VENTAS[[#This Row],[Cantidad]]*VENTAS[[#This Row],[Precio Venta]]</f>
        <v>5</v>
      </c>
      <c r="J1805" s="12">
        <f>IF(VENTAS[[#This Row],[Nombre del Gestor]]&gt;1,VENTAS[[#This Row],[Total]]*10%,0)</f>
        <v>0</v>
      </c>
      <c r="K1805" s="12">
        <f>IFERROR(VLOOKUP(VENTAS[[#This Row],[Código del producto Vendido]],STOCK[],16,FALSE)*VENTAS[[#This Row],[Cantidad]]+VLOOKUP(VENTAS[[#This Row],[Código del producto Vendido]],STOCK[],19,FALSE)*VENTAS[[#This Row],[Cantidad]],VENTAS[[#This Row],[Total]])</f>
        <v>0</v>
      </c>
      <c r="L1805" s="12">
        <f>VENTAS[[#This Row],[Total]]-VENTAS[[#This Row],[Comisión 10%]]-VENTAS[[#This Row],[Costo SIN Comision]]</f>
        <v>5</v>
      </c>
      <c r="M1805" s="48"/>
      <c r="N1805" s="16" t="s">
        <v>4778</v>
      </c>
    </row>
    <row r="1806" spans="1:14" s="4" customFormat="1" ht="20" hidden="1" customHeight="1">
      <c r="A1806" s="46">
        <v>45571</v>
      </c>
      <c r="B1806" s="47"/>
      <c r="C1806" s="47"/>
      <c r="D1806" s="47"/>
      <c r="E1806" s="47" t="s">
        <v>3414</v>
      </c>
      <c r="F1806" s="10" t="str">
        <f>IFERROR(VLOOKUP(VENTAS[[#This Row],[Código del producto Vendido]],STOCK[],5,FALSE),"-")</f>
        <v>Tatuajes faciales de catrina</v>
      </c>
      <c r="G1806" s="47">
        <v>6</v>
      </c>
      <c r="H1806" s="48">
        <v>2</v>
      </c>
      <c r="I1806" s="12">
        <f>VENTAS[[#This Row],[Cantidad]]*VENTAS[[#This Row],[Precio Venta]]</f>
        <v>12</v>
      </c>
      <c r="J1806" s="12">
        <f>IF(VENTAS[[#This Row],[Nombre del Gestor]]&gt;1,VENTAS[[#This Row],[Total]]*10%,0)</f>
        <v>0</v>
      </c>
      <c r="K1806" s="12">
        <f>IFERROR(VLOOKUP(VENTAS[[#This Row],[Código del producto Vendido]],STOCK[],16,FALSE)*VENTAS[[#This Row],[Cantidad]]+VLOOKUP(VENTAS[[#This Row],[Código del producto Vendido]],STOCK[],19,FALSE)*VENTAS[[#This Row],[Cantidad]],VENTAS[[#This Row],[Total]])</f>
        <v>0</v>
      </c>
      <c r="L1806" s="12">
        <f>VENTAS[[#This Row],[Total]]-VENTAS[[#This Row],[Comisión 10%]]-VENTAS[[#This Row],[Costo SIN Comision]]</f>
        <v>12</v>
      </c>
      <c r="M1806" s="48"/>
      <c r="N1806" s="16" t="s">
        <v>4779</v>
      </c>
    </row>
    <row r="1807" spans="1:14" s="4" customFormat="1" ht="20" hidden="1" customHeight="1">
      <c r="A1807" s="46">
        <v>45571</v>
      </c>
      <c r="B1807" s="47"/>
      <c r="C1807" s="47"/>
      <c r="D1807" s="47" t="s">
        <v>4380</v>
      </c>
      <c r="E1807" s="47" t="s">
        <v>2997</v>
      </c>
      <c r="F1807" s="10" t="str">
        <f>IFERROR(VLOOKUP(VENTAS[[#This Row],[Código del producto Vendido]],STOCK[],5,FALSE),"-")</f>
        <v>Camiseta de moda con estampado de cereza</v>
      </c>
      <c r="G1807" s="47">
        <v>1</v>
      </c>
      <c r="H1807" s="48">
        <v>15</v>
      </c>
      <c r="I1807" s="12">
        <f>VENTAS[[#This Row],[Cantidad]]*VENTAS[[#This Row],[Precio Venta]]</f>
        <v>15</v>
      </c>
      <c r="J1807" s="12">
        <f>IF(VENTAS[[#This Row],[Nombre del Gestor]]&gt;1,VENTAS[[#This Row],[Total]]*10%,0)</f>
        <v>1.5</v>
      </c>
      <c r="K1807" s="12">
        <f>IFERROR(VLOOKUP(VENTAS[[#This Row],[Código del producto Vendido]],STOCK[],16,FALSE)*VENTAS[[#This Row],[Cantidad]]+VLOOKUP(VENTAS[[#This Row],[Código del producto Vendido]],STOCK[],19,FALSE)*VENTAS[[#This Row],[Cantidad]],VENTAS[[#This Row],[Total]])</f>
        <v>5.92</v>
      </c>
      <c r="L1807" s="12">
        <f>VENTAS[[#This Row],[Total]]-VENTAS[[#This Row],[Comisión 10%]]-VENTAS[[#This Row],[Costo SIN Comision]]</f>
        <v>7.58</v>
      </c>
      <c r="M1807" s="48"/>
      <c r="N1807" s="16" t="s">
        <v>4780</v>
      </c>
    </row>
    <row r="1808" spans="1:14" s="4" customFormat="1" ht="20" hidden="1" customHeight="1">
      <c r="A1808" s="46">
        <v>45572</v>
      </c>
      <c r="B1808" s="47"/>
      <c r="C1808" s="47"/>
      <c r="D1808" s="47" t="s">
        <v>4380</v>
      </c>
      <c r="E1808" s="47" t="s">
        <v>2826</v>
      </c>
      <c r="F1808" s="10" t="str">
        <f>IFERROR(VLOOKUP(VENTAS[[#This Row],[Código del producto Vendido]],STOCK[],5,FALSE),"-")</f>
        <v>Bolso tejido redondo de gran capacidad Beis</v>
      </c>
      <c r="G1808" s="47">
        <v>1</v>
      </c>
      <c r="H1808" s="48">
        <v>25</v>
      </c>
      <c r="I1808" s="12">
        <f>VENTAS[[#This Row],[Cantidad]]*VENTAS[[#This Row],[Precio Venta]]</f>
        <v>25</v>
      </c>
      <c r="J1808" s="12">
        <f>IF(VENTAS[[#This Row],[Nombre del Gestor]]&gt;1,VENTAS[[#This Row],[Total]]*10%,0)</f>
        <v>2.5</v>
      </c>
      <c r="K1808" s="12">
        <f>IFERROR(VLOOKUP(VENTAS[[#This Row],[Código del producto Vendido]],STOCK[],16,FALSE)*VENTAS[[#This Row],[Cantidad]]+VLOOKUP(VENTAS[[#This Row],[Código del producto Vendido]],STOCK[],19,FALSE)*VENTAS[[#This Row],[Cantidad]],VENTAS[[#This Row],[Total]])</f>
        <v>12.74</v>
      </c>
      <c r="L1808" s="12">
        <f>VENTAS[[#This Row],[Total]]-VENTAS[[#This Row],[Comisión 10%]]-VENTAS[[#This Row],[Costo SIN Comision]]</f>
        <v>9.76</v>
      </c>
      <c r="M1808" s="48"/>
      <c r="N1808" s="16" t="s">
        <v>4781</v>
      </c>
    </row>
    <row r="1809" spans="1:14" s="4" customFormat="1" ht="20" hidden="1" customHeight="1">
      <c r="A1809" s="46">
        <v>45572</v>
      </c>
      <c r="B1809" s="47"/>
      <c r="C1809" s="47"/>
      <c r="D1809" s="47" t="s">
        <v>4380</v>
      </c>
      <c r="E1809" s="47" t="s">
        <v>2807</v>
      </c>
      <c r="F1809" s="10" t="str">
        <f>IFERROR(VLOOKUP(VENTAS[[#This Row],[Código del producto Vendido]],STOCK[],5,FALSE),"-")</f>
        <v>Sandalias espadriles de cuña de correas transparentes</v>
      </c>
      <c r="G1809" s="47">
        <v>1</v>
      </c>
      <c r="H1809" s="48">
        <v>40</v>
      </c>
      <c r="I1809" s="12">
        <f>VENTAS[[#This Row],[Cantidad]]*VENTAS[[#This Row],[Precio Venta]]</f>
        <v>40</v>
      </c>
      <c r="J1809" s="12">
        <f>IF(VENTAS[[#This Row],[Nombre del Gestor]]&gt;1,VENTAS[[#This Row],[Total]]*10%,0)</f>
        <v>4</v>
      </c>
      <c r="K1809" s="12">
        <f>IFERROR(VLOOKUP(VENTAS[[#This Row],[Código del producto Vendido]],STOCK[],16,FALSE)*VENTAS[[#This Row],[Cantidad]]+VLOOKUP(VENTAS[[#This Row],[Código del producto Vendido]],STOCK[],19,FALSE)*VENTAS[[#This Row],[Cantidad]],VENTAS[[#This Row],[Total]])</f>
        <v>13.01</v>
      </c>
      <c r="L1809" s="12">
        <f>VENTAS[[#This Row],[Total]]-VENTAS[[#This Row],[Comisión 10%]]-VENTAS[[#This Row],[Costo SIN Comision]]</f>
        <v>22.990000000000002</v>
      </c>
      <c r="M1809" s="48"/>
      <c r="N1809" s="16" t="s">
        <v>4782</v>
      </c>
    </row>
    <row r="1810" spans="1:14" s="4" customFormat="1" ht="20" hidden="1" customHeight="1">
      <c r="A1810" s="46">
        <v>45572</v>
      </c>
      <c r="B1810" s="47"/>
      <c r="C1810" s="47"/>
      <c r="D1810" s="47" t="s">
        <v>4349</v>
      </c>
      <c r="E1810" s="47" t="s">
        <v>2838</v>
      </c>
      <c r="F1810" s="10" t="str">
        <f>IFERROR(VLOOKUP(VENTAS[[#This Row],[Código del producto Vendido]],STOCK[],5,FALSE),"-")</f>
        <v>Vestido elegante de crochet de de cuello profundo y espalda cruzada</v>
      </c>
      <c r="G1810" s="47">
        <v>1</v>
      </c>
      <c r="H1810" s="48">
        <v>30</v>
      </c>
      <c r="I1810" s="12">
        <f>VENTAS[[#This Row],[Cantidad]]*VENTAS[[#This Row],[Precio Venta]]</f>
        <v>30</v>
      </c>
      <c r="J1810" s="12">
        <f>IF(VENTAS[[#This Row],[Nombre del Gestor]]&gt;1,VENTAS[[#This Row],[Total]]*10%,0)</f>
        <v>3</v>
      </c>
      <c r="K1810" s="12">
        <f>IFERROR(VLOOKUP(VENTAS[[#This Row],[Código del producto Vendido]],STOCK[],16,FALSE)*VENTAS[[#This Row],[Cantidad]]+VLOOKUP(VENTAS[[#This Row],[Código del producto Vendido]],STOCK[],19,FALSE)*VENTAS[[#This Row],[Cantidad]],VENTAS[[#This Row],[Total]])</f>
        <v>13.5</v>
      </c>
      <c r="L1810" s="12">
        <f>VENTAS[[#This Row],[Total]]-VENTAS[[#This Row],[Comisión 10%]]-VENTAS[[#This Row],[Costo SIN Comision]]</f>
        <v>13.5</v>
      </c>
      <c r="M1810" s="48"/>
      <c r="N1810" s="16" t="s">
        <v>4783</v>
      </c>
    </row>
    <row r="1811" spans="1:14" s="4" customFormat="1" ht="20" hidden="1" customHeight="1">
      <c r="A1811" s="46">
        <v>45572</v>
      </c>
      <c r="B1811" s="47"/>
      <c r="C1811" s="47"/>
      <c r="D1811" s="47" t="s">
        <v>4784</v>
      </c>
      <c r="E1811" s="47" t="s">
        <v>2879</v>
      </c>
      <c r="F1811" s="10" t="str">
        <f>IFERROR(VLOOKUP(VENTAS[[#This Row],[Código del producto Vendido]],STOCK[],5,FALSE),"-")</f>
        <v>Mono Sailor con botón delantero y cinturón naranja quemada</v>
      </c>
      <c r="G1811" s="47">
        <v>1</v>
      </c>
      <c r="H1811" s="48">
        <v>35</v>
      </c>
      <c r="I1811" s="12">
        <f>VENTAS[[#This Row],[Cantidad]]*VENTAS[[#This Row],[Precio Venta]]</f>
        <v>35</v>
      </c>
      <c r="J1811" s="12">
        <f>IF(VENTAS[[#This Row],[Nombre del Gestor]]&gt;1,VENTAS[[#This Row],[Total]]*10%,0)</f>
        <v>3.5</v>
      </c>
      <c r="K1811" s="12">
        <f>IFERROR(VLOOKUP(VENTAS[[#This Row],[Código del producto Vendido]],STOCK[],16,FALSE)*VENTAS[[#This Row],[Cantidad]]+VLOOKUP(VENTAS[[#This Row],[Código del producto Vendido]],STOCK[],19,FALSE)*VENTAS[[#This Row],[Cantidad]],VENTAS[[#This Row],[Total]])</f>
        <v>11.57</v>
      </c>
      <c r="L1811" s="12">
        <f>VENTAS[[#This Row],[Total]]-VENTAS[[#This Row],[Comisión 10%]]-VENTAS[[#This Row],[Costo SIN Comision]]</f>
        <v>19.93</v>
      </c>
      <c r="M1811" s="48"/>
      <c r="N1811" s="16" t="s">
        <v>4785</v>
      </c>
    </row>
    <row r="1812" spans="1:14" s="4" customFormat="1" ht="20" hidden="1" customHeight="1">
      <c r="A1812" s="46">
        <v>45572</v>
      </c>
      <c r="B1812" s="47"/>
      <c r="C1812" s="47"/>
      <c r="D1812" s="47" t="s">
        <v>4330</v>
      </c>
      <c r="E1812" s="47" t="s">
        <v>1901</v>
      </c>
      <c r="F1812" s="10" t="str">
        <f>IFERROR(VLOOKUP(VENTAS[[#This Row],[Código del producto Vendido]],STOCK[],5,FALSE),"-")</f>
        <v>Bolso mochila Rojo</v>
      </c>
      <c r="G1812" s="47">
        <v>1</v>
      </c>
      <c r="H1812" s="48">
        <v>25</v>
      </c>
      <c r="I1812" s="12">
        <f>VENTAS[[#This Row],[Cantidad]]*VENTAS[[#This Row],[Precio Venta]]</f>
        <v>25</v>
      </c>
      <c r="J1812" s="12">
        <f>IF(VENTAS[[#This Row],[Nombre del Gestor]]&gt;1,VENTAS[[#This Row],[Total]]*10%,0)</f>
        <v>2.5</v>
      </c>
      <c r="K1812" s="12">
        <f>IFERROR(VLOOKUP(VENTAS[[#This Row],[Código del producto Vendido]],STOCK[],16,FALSE)*VENTAS[[#This Row],[Cantidad]]+VLOOKUP(VENTAS[[#This Row],[Código del producto Vendido]],STOCK[],19,FALSE)*VENTAS[[#This Row],[Cantidad]],VENTAS[[#This Row],[Total]])</f>
        <v>11.770000000000001</v>
      </c>
      <c r="L1812" s="12">
        <f>VENTAS[[#This Row],[Total]]-VENTAS[[#This Row],[Comisión 10%]]-VENTAS[[#This Row],[Costo SIN Comision]]</f>
        <v>10.729999999999999</v>
      </c>
      <c r="M1812" s="48"/>
      <c r="N1812" s="16" t="s">
        <v>4786</v>
      </c>
    </row>
    <row r="1813" spans="1:14" s="4" customFormat="1" ht="20" hidden="1" customHeight="1">
      <c r="A1813" s="46">
        <v>45572</v>
      </c>
      <c r="B1813" s="47"/>
      <c r="C1813" s="47"/>
      <c r="D1813" s="47" t="s">
        <v>4184</v>
      </c>
      <c r="E1813" s="47" t="s">
        <v>1161</v>
      </c>
      <c r="F1813" s="10" t="str">
        <f>IFERROR(VLOOKUP(VENTAS[[#This Row],[Código del producto Vendido]],STOCK[],5,FALSE),"-")</f>
        <v>Pezoneras de silicona</v>
      </c>
      <c r="G1813" s="47">
        <v>1</v>
      </c>
      <c r="H1813" s="48">
        <v>5</v>
      </c>
      <c r="I1813" s="12">
        <f>VENTAS[[#This Row],[Cantidad]]*VENTAS[[#This Row],[Precio Venta]]</f>
        <v>5</v>
      </c>
      <c r="J1813" s="12">
        <f>IF(VENTAS[[#This Row],[Nombre del Gestor]]&gt;1,VENTAS[[#This Row],[Total]]*10%,0)</f>
        <v>0.5</v>
      </c>
      <c r="K1813" s="12">
        <f>IFERROR(VLOOKUP(VENTAS[[#This Row],[Código del producto Vendido]],STOCK[],16,FALSE)*VENTAS[[#This Row],[Cantidad]]+VLOOKUP(VENTAS[[#This Row],[Código del producto Vendido]],STOCK[],19,FALSE)*VENTAS[[#This Row],[Cantidad]],VENTAS[[#This Row],[Total]])</f>
        <v>2.0300000000000002</v>
      </c>
      <c r="L1813" s="12">
        <f>VENTAS[[#This Row],[Total]]-VENTAS[[#This Row],[Comisión 10%]]-VENTAS[[#This Row],[Costo SIN Comision]]</f>
        <v>2.4699999999999998</v>
      </c>
      <c r="M1813" s="48"/>
      <c r="N1813" s="16" t="s">
        <v>4787</v>
      </c>
    </row>
    <row r="1814" spans="1:14" s="4" customFormat="1" ht="20" hidden="1" customHeight="1">
      <c r="A1814" s="46">
        <v>45572</v>
      </c>
      <c r="B1814" s="47"/>
      <c r="C1814" s="47"/>
      <c r="D1814" s="47" t="s">
        <v>4184</v>
      </c>
      <c r="E1814" s="47" t="s">
        <v>2845</v>
      </c>
      <c r="F1814" s="10" t="str">
        <f>IFERROR(VLOOKUP(VENTAS[[#This Row],[Código del producto Vendido]],STOCK[],5,FALSE),"-")</f>
        <v>Pantalones largros rayados de moda de gran comodidad</v>
      </c>
      <c r="G1814" s="47">
        <v>1</v>
      </c>
      <c r="H1814" s="48">
        <v>22</v>
      </c>
      <c r="I1814" s="12">
        <f>VENTAS[[#This Row],[Cantidad]]*VENTAS[[#This Row],[Precio Venta]]</f>
        <v>22</v>
      </c>
      <c r="J1814" s="12">
        <f>IF(VENTAS[[#This Row],[Nombre del Gestor]]&gt;1,VENTAS[[#This Row],[Total]]*10%,0)</f>
        <v>2.2000000000000002</v>
      </c>
      <c r="K1814" s="12">
        <f>IFERROR(VLOOKUP(VENTAS[[#This Row],[Código del producto Vendido]],STOCK[],16,FALSE)*VENTAS[[#This Row],[Cantidad]]+VLOOKUP(VENTAS[[#This Row],[Código del producto Vendido]],STOCK[],19,FALSE)*VENTAS[[#This Row],[Cantidad]],VENTAS[[#This Row],[Total]])</f>
        <v>10.52</v>
      </c>
      <c r="L1814" s="12">
        <f>VENTAS[[#This Row],[Total]]-VENTAS[[#This Row],[Comisión 10%]]-VENTAS[[#This Row],[Costo SIN Comision]]</f>
        <v>9.2800000000000011</v>
      </c>
      <c r="M1814" s="48"/>
      <c r="N1814" s="16" t="s">
        <v>4788</v>
      </c>
    </row>
    <row r="1815" spans="1:14" s="4" customFormat="1" ht="20" hidden="1" customHeight="1">
      <c r="A1815" s="46">
        <v>45572</v>
      </c>
      <c r="B1815" s="47"/>
      <c r="C1815" s="47"/>
      <c r="D1815" s="47" t="s">
        <v>4184</v>
      </c>
      <c r="E1815" s="47" t="s">
        <v>2393</v>
      </c>
      <c r="F1815" s="10" t="str">
        <f>IFERROR(VLOOKUP(VENTAS[[#This Row],[Código del producto Vendido]],STOCK[],5,FALSE),"-")</f>
        <v>Sandalias de tiras con tacón cuadrado Marca H&amp;M</v>
      </c>
      <c r="G1815" s="47">
        <v>0</v>
      </c>
      <c r="H1815" s="48">
        <v>35</v>
      </c>
      <c r="I1815" s="12">
        <f>VENTAS[[#This Row],[Cantidad]]*VENTAS[[#This Row],[Precio Venta]]</f>
        <v>0</v>
      </c>
      <c r="J1815" s="12">
        <f>IF(VENTAS[[#This Row],[Nombre del Gestor]]&gt;1,VENTAS[[#This Row],[Total]]*10%,0)</f>
        <v>0</v>
      </c>
      <c r="K1815" s="12">
        <f>IFERROR(VLOOKUP(VENTAS[[#This Row],[Código del producto Vendido]],STOCK[],16,FALSE)*VENTAS[[#This Row],[Cantidad]]+VLOOKUP(VENTAS[[#This Row],[Código del producto Vendido]],STOCK[],19,FALSE)*VENTAS[[#This Row],[Cantidad]],VENTAS[[#This Row],[Total]])</f>
        <v>0</v>
      </c>
      <c r="L1815" s="12">
        <f>VENTAS[[#This Row],[Total]]-VENTAS[[#This Row],[Comisión 10%]]-VENTAS[[#This Row],[Costo SIN Comision]]</f>
        <v>0</v>
      </c>
      <c r="M1815" s="48"/>
      <c r="N1815" s="16" t="s">
        <v>4789</v>
      </c>
    </row>
    <row r="1816" spans="1:14" s="4" customFormat="1" ht="20" hidden="1" customHeight="1">
      <c r="A1816" s="46">
        <v>45572</v>
      </c>
      <c r="B1816" s="47"/>
      <c r="C1816" s="47"/>
      <c r="D1816" s="47" t="s">
        <v>4184</v>
      </c>
      <c r="E1816" s="47" t="s">
        <v>2507</v>
      </c>
      <c r="F1816" s="10" t="str">
        <f>IFERROR(VLOOKUP(VENTAS[[#This Row],[Código del producto Vendido]],STOCK[],5,FALSE),"-")</f>
        <v>Camisa elegante con lazo grande</v>
      </c>
      <c r="G1816" s="47">
        <v>0</v>
      </c>
      <c r="H1816" s="48">
        <v>20</v>
      </c>
      <c r="I1816" s="12">
        <f>VENTAS[[#This Row],[Cantidad]]*VENTAS[[#This Row],[Precio Venta]]</f>
        <v>0</v>
      </c>
      <c r="J1816" s="12">
        <f>IF(VENTAS[[#This Row],[Nombre del Gestor]]&gt;1,VENTAS[[#This Row],[Total]]*10%,0)</f>
        <v>0</v>
      </c>
      <c r="K1816" s="12">
        <f>IFERROR(VLOOKUP(VENTAS[[#This Row],[Código del producto Vendido]],STOCK[],16,FALSE)*VENTAS[[#This Row],[Cantidad]]+VLOOKUP(VENTAS[[#This Row],[Código del producto Vendido]],STOCK[],19,FALSE)*VENTAS[[#This Row],[Cantidad]],VENTAS[[#This Row],[Total]])</f>
        <v>0</v>
      </c>
      <c r="L1816" s="12">
        <f>VENTAS[[#This Row],[Total]]-VENTAS[[#This Row],[Comisión 10%]]-VENTAS[[#This Row],[Costo SIN Comision]]</f>
        <v>0</v>
      </c>
      <c r="M1816" s="48"/>
      <c r="N1816" s="16" t="s">
        <v>4790</v>
      </c>
    </row>
    <row r="1817" spans="1:14" s="4" customFormat="1" ht="20" hidden="1" customHeight="1">
      <c r="A1817" s="46">
        <v>45572</v>
      </c>
      <c r="B1817" s="47"/>
      <c r="C1817" s="47"/>
      <c r="D1817" s="47" t="s">
        <v>4374</v>
      </c>
      <c r="E1817" s="47" t="s">
        <v>2839</v>
      </c>
      <c r="F1817" s="10" t="str">
        <f>IFERROR(VLOOKUP(VENTAS[[#This Row],[Código del producto Vendido]],STOCK[],5,FALSE),"-")</f>
        <v>Vestido elegante de crochet de de cuello profundo y espalda cruzada</v>
      </c>
      <c r="G1817" s="47">
        <v>1</v>
      </c>
      <c r="H1817" s="48">
        <v>30</v>
      </c>
      <c r="I1817" s="12">
        <f>VENTAS[[#This Row],[Cantidad]]*VENTAS[[#This Row],[Precio Venta]]</f>
        <v>30</v>
      </c>
      <c r="J1817" s="12">
        <f>IF(VENTAS[[#This Row],[Nombre del Gestor]]&gt;1,VENTAS[[#This Row],[Total]]*10%,0)</f>
        <v>3</v>
      </c>
      <c r="K1817" s="12">
        <f>IFERROR(VLOOKUP(VENTAS[[#This Row],[Código del producto Vendido]],STOCK[],16,FALSE)*VENTAS[[#This Row],[Cantidad]]+VLOOKUP(VENTAS[[#This Row],[Código del producto Vendido]],STOCK[],19,FALSE)*VENTAS[[#This Row],[Cantidad]],VENTAS[[#This Row],[Total]])</f>
        <v>13.5</v>
      </c>
      <c r="L1817" s="12">
        <f>VENTAS[[#This Row],[Total]]-VENTAS[[#This Row],[Comisión 10%]]-VENTAS[[#This Row],[Costo SIN Comision]]</f>
        <v>13.5</v>
      </c>
      <c r="M1817" s="48"/>
      <c r="N1817" s="16" t="s">
        <v>4791</v>
      </c>
    </row>
    <row r="1818" spans="1:14" s="4" customFormat="1" ht="20" hidden="1" customHeight="1">
      <c r="A1818" s="46">
        <v>45572</v>
      </c>
      <c r="B1818" s="47"/>
      <c r="C1818" s="47"/>
      <c r="D1818" s="47" t="s">
        <v>4374</v>
      </c>
      <c r="E1818" s="47" t="s">
        <v>2969</v>
      </c>
      <c r="F1818" s="10" t="str">
        <f>IFERROR(VLOOKUP(VENTAS[[#This Row],[Código del producto Vendido]],STOCK[],5,FALSE),"-")</f>
        <v>Vestido camisola negro con abertura</v>
      </c>
      <c r="G1818" s="47">
        <v>1</v>
      </c>
      <c r="H1818" s="48">
        <v>20</v>
      </c>
      <c r="I1818" s="12">
        <f>VENTAS[[#This Row],[Cantidad]]*VENTAS[[#This Row],[Precio Venta]]</f>
        <v>20</v>
      </c>
      <c r="J1818" s="12">
        <f>IF(VENTAS[[#This Row],[Nombre del Gestor]]&gt;1,VENTAS[[#This Row],[Total]]*10%,0)</f>
        <v>2</v>
      </c>
      <c r="K1818" s="12">
        <f>IFERROR(VLOOKUP(VENTAS[[#This Row],[Código del producto Vendido]],STOCK[],16,FALSE)*VENTAS[[#This Row],[Cantidad]]+VLOOKUP(VENTAS[[#This Row],[Código del producto Vendido]],STOCK[],19,FALSE)*VENTAS[[#This Row],[Cantidad]],VENTAS[[#This Row],[Total]])</f>
        <v>7.6300000000000008</v>
      </c>
      <c r="L1818" s="12">
        <f>VENTAS[[#This Row],[Total]]-VENTAS[[#This Row],[Comisión 10%]]-VENTAS[[#This Row],[Costo SIN Comision]]</f>
        <v>10.37</v>
      </c>
      <c r="M1818" s="48"/>
      <c r="N1818" s="16" t="s">
        <v>4792</v>
      </c>
    </row>
    <row r="1819" spans="1:14" s="4" customFormat="1" ht="20" hidden="1" customHeight="1">
      <c r="A1819" s="46">
        <v>45572</v>
      </c>
      <c r="B1819" s="47"/>
      <c r="C1819" s="47"/>
      <c r="D1819" s="47" t="s">
        <v>4374</v>
      </c>
      <c r="E1819" s="47" t="s">
        <v>2961</v>
      </c>
      <c r="F1819" s="10" t="str">
        <f>IFERROR(VLOOKUP(VENTAS[[#This Row],[Código del producto Vendido]],STOCK[],5,FALSE),"-")</f>
        <v>Vestido elegante largo ajustado con hombro atado</v>
      </c>
      <c r="G1819" s="47">
        <v>1</v>
      </c>
      <c r="H1819" s="48">
        <v>30</v>
      </c>
      <c r="I1819" s="12">
        <f>VENTAS[[#This Row],[Cantidad]]*VENTAS[[#This Row],[Precio Venta]]</f>
        <v>30</v>
      </c>
      <c r="J1819" s="12">
        <f>IF(VENTAS[[#This Row],[Nombre del Gestor]]&gt;1,VENTAS[[#This Row],[Total]]*10%,0)</f>
        <v>3</v>
      </c>
      <c r="K1819" s="12">
        <f>IFERROR(VLOOKUP(VENTAS[[#This Row],[Código del producto Vendido]],STOCK[],16,FALSE)*VENTAS[[#This Row],[Cantidad]]+VLOOKUP(VENTAS[[#This Row],[Código del producto Vendido]],STOCK[],19,FALSE)*VENTAS[[#This Row],[Cantidad]],VENTAS[[#This Row],[Total]])</f>
        <v>15.13</v>
      </c>
      <c r="L1819" s="12">
        <f>VENTAS[[#This Row],[Total]]-VENTAS[[#This Row],[Comisión 10%]]-VENTAS[[#This Row],[Costo SIN Comision]]</f>
        <v>11.87</v>
      </c>
      <c r="M1819" s="48"/>
      <c r="N1819" s="16" t="s">
        <v>4793</v>
      </c>
    </row>
    <row r="1820" spans="1:14" s="4" customFormat="1" ht="20" hidden="1" customHeight="1">
      <c r="A1820" s="46">
        <v>45572</v>
      </c>
      <c r="B1820" s="47"/>
      <c r="C1820" s="47"/>
      <c r="D1820" s="47" t="s">
        <v>4374</v>
      </c>
      <c r="E1820" s="47" t="s">
        <v>2754</v>
      </c>
      <c r="F1820" s="10" t="str">
        <f>IFERROR(VLOOKUP(VENTAS[[#This Row],[Código del producto Vendido]],STOCK[],5,FALSE),"-")</f>
        <v>Vestido Privé Unicolor Sin Mangas ajustado con pliegues color negro</v>
      </c>
      <c r="G1820" s="47">
        <v>1</v>
      </c>
      <c r="H1820" s="48">
        <v>20</v>
      </c>
      <c r="I1820" s="12">
        <f>VENTAS[[#This Row],[Cantidad]]*VENTAS[[#This Row],[Precio Venta]]</f>
        <v>20</v>
      </c>
      <c r="J1820" s="12">
        <f>IF(VENTAS[[#This Row],[Nombre del Gestor]]&gt;1,VENTAS[[#This Row],[Total]]*10%,0)</f>
        <v>2</v>
      </c>
      <c r="K1820" s="12">
        <f>IFERROR(VLOOKUP(VENTAS[[#This Row],[Código del producto Vendido]],STOCK[],16,FALSE)*VENTAS[[#This Row],[Cantidad]]+VLOOKUP(VENTAS[[#This Row],[Código del producto Vendido]],STOCK[],19,FALSE)*VENTAS[[#This Row],[Cantidad]],VENTAS[[#This Row],[Total]])</f>
        <v>6.12</v>
      </c>
      <c r="L1820" s="12">
        <f>VENTAS[[#This Row],[Total]]-VENTAS[[#This Row],[Comisión 10%]]-VENTAS[[#This Row],[Costo SIN Comision]]</f>
        <v>11.879999999999999</v>
      </c>
      <c r="M1820" s="48"/>
      <c r="N1820" s="16" t="s">
        <v>4794</v>
      </c>
    </row>
    <row r="1821" spans="1:14" s="4" customFormat="1" ht="20" hidden="1" customHeight="1">
      <c r="A1821" s="46">
        <v>45572</v>
      </c>
      <c r="B1821" s="47"/>
      <c r="C1821" s="47"/>
      <c r="D1821" s="47" t="s">
        <v>4374</v>
      </c>
      <c r="E1821" s="47" t="s">
        <v>2805</v>
      </c>
      <c r="F1821" s="10" t="str">
        <f>IFERROR(VLOOKUP(VENTAS[[#This Row],[Código del producto Vendido]],STOCK[],5,FALSE),"-")</f>
        <v>Sandalias espadriles de cuña de correas transparentes</v>
      </c>
      <c r="G1821" s="47">
        <v>1</v>
      </c>
      <c r="H1821" s="48">
        <v>40</v>
      </c>
      <c r="I1821" s="12">
        <f>VENTAS[[#This Row],[Cantidad]]*VENTAS[[#This Row],[Precio Venta]]</f>
        <v>40</v>
      </c>
      <c r="J1821" s="12">
        <f>IF(VENTAS[[#This Row],[Nombre del Gestor]]&gt;1,VENTAS[[#This Row],[Total]]*10%,0)</f>
        <v>4</v>
      </c>
      <c r="K1821" s="12">
        <f>IFERROR(VLOOKUP(VENTAS[[#This Row],[Código del producto Vendido]],STOCK[],16,FALSE)*VENTAS[[#This Row],[Cantidad]]+VLOOKUP(VENTAS[[#This Row],[Código del producto Vendido]],STOCK[],19,FALSE)*VENTAS[[#This Row],[Cantidad]],VENTAS[[#This Row],[Total]])</f>
        <v>13.01</v>
      </c>
      <c r="L1821" s="12">
        <f>VENTAS[[#This Row],[Total]]-VENTAS[[#This Row],[Comisión 10%]]-VENTAS[[#This Row],[Costo SIN Comision]]</f>
        <v>22.990000000000002</v>
      </c>
      <c r="M1821" s="48"/>
      <c r="N1821" s="16" t="s">
        <v>4795</v>
      </c>
    </row>
    <row r="1822" spans="1:14" s="4" customFormat="1" ht="20" hidden="1" customHeight="1">
      <c r="A1822" s="46">
        <v>45572</v>
      </c>
      <c r="B1822" s="47"/>
      <c r="C1822" s="47"/>
      <c r="D1822" s="47" t="s">
        <v>4374</v>
      </c>
      <c r="E1822" s="47" t="s">
        <v>2960</v>
      </c>
      <c r="F1822" s="10" t="str">
        <f>IFERROR(VLOOKUP(VENTAS[[#This Row],[Código del producto Vendido]],STOCK[],5,FALSE),"-")</f>
        <v>Vestido elegante largo ajustado con hombro atado</v>
      </c>
      <c r="G1822" s="47">
        <v>1</v>
      </c>
      <c r="H1822" s="48">
        <v>30</v>
      </c>
      <c r="I1822" s="12">
        <f>VENTAS[[#This Row],[Cantidad]]*VENTAS[[#This Row],[Precio Venta]]</f>
        <v>30</v>
      </c>
      <c r="J1822" s="12">
        <f>IF(VENTAS[[#This Row],[Nombre del Gestor]]&gt;1,VENTAS[[#This Row],[Total]]*10%,0)</f>
        <v>3</v>
      </c>
      <c r="K1822" s="12">
        <f>IFERROR(VLOOKUP(VENTAS[[#This Row],[Código del producto Vendido]],STOCK[],16,FALSE)*VENTAS[[#This Row],[Cantidad]]+VLOOKUP(VENTAS[[#This Row],[Código del producto Vendido]],STOCK[],19,FALSE)*VENTAS[[#This Row],[Cantidad]],VENTAS[[#This Row],[Total]])</f>
        <v>15.13</v>
      </c>
      <c r="L1822" s="12">
        <f>VENTAS[[#This Row],[Total]]-VENTAS[[#This Row],[Comisión 10%]]-VENTAS[[#This Row],[Costo SIN Comision]]</f>
        <v>11.87</v>
      </c>
      <c r="M1822" s="48"/>
      <c r="N1822" s="16" t="s">
        <v>4796</v>
      </c>
    </row>
    <row r="1823" spans="1:14" s="4" customFormat="1" ht="20" hidden="1" customHeight="1">
      <c r="A1823" s="46">
        <v>45572</v>
      </c>
      <c r="B1823" s="47"/>
      <c r="C1823" s="47"/>
      <c r="D1823" s="47" t="s">
        <v>4374</v>
      </c>
      <c r="E1823" s="47" t="s">
        <v>2824</v>
      </c>
      <c r="F1823" s="10" t="str">
        <f>IFERROR(VLOOKUP(VENTAS[[#This Row],[Código del producto Vendido]],STOCK[],5,FALSE),"-")</f>
        <v>Bolso de playa en bloque de color tejido en algodón</v>
      </c>
      <c r="G1823" s="47">
        <v>1</v>
      </c>
      <c r="H1823" s="48">
        <v>25</v>
      </c>
      <c r="I1823" s="12">
        <f>VENTAS[[#This Row],[Cantidad]]*VENTAS[[#This Row],[Precio Venta]]</f>
        <v>25</v>
      </c>
      <c r="J1823" s="12">
        <f>IF(VENTAS[[#This Row],[Nombre del Gestor]]&gt;1,VENTAS[[#This Row],[Total]]*10%,0)</f>
        <v>2.5</v>
      </c>
      <c r="K1823" s="12">
        <f>IFERROR(VLOOKUP(VENTAS[[#This Row],[Código del producto Vendido]],STOCK[],16,FALSE)*VENTAS[[#This Row],[Cantidad]]+VLOOKUP(VENTAS[[#This Row],[Código del producto Vendido]],STOCK[],19,FALSE)*VENTAS[[#This Row],[Cantidad]],VENTAS[[#This Row],[Total]])</f>
        <v>13.35</v>
      </c>
      <c r="L1823" s="12">
        <f>VENTAS[[#This Row],[Total]]-VENTAS[[#This Row],[Comisión 10%]]-VENTAS[[#This Row],[Costo SIN Comision]]</f>
        <v>9.15</v>
      </c>
      <c r="M1823" s="48"/>
      <c r="N1823" s="16" t="s">
        <v>4797</v>
      </c>
    </row>
    <row r="1824" spans="1:14" s="4" customFormat="1" ht="20" hidden="1" customHeight="1">
      <c r="A1824" s="46">
        <v>45572</v>
      </c>
      <c r="B1824" s="47"/>
      <c r="C1824" s="47"/>
      <c r="D1824" s="47" t="s">
        <v>4571</v>
      </c>
      <c r="E1824" s="47" t="s">
        <v>2837</v>
      </c>
      <c r="F1824" s="10" t="str">
        <f>IFERROR(VLOOKUP(VENTAS[[#This Row],[Código del producto Vendido]],STOCK[],5,FALSE),"-")</f>
        <v>Vestido elegante de crochet de de cuello profundo y espalda cruzada</v>
      </c>
      <c r="G1824" s="47">
        <v>1</v>
      </c>
      <c r="H1824" s="48">
        <v>30</v>
      </c>
      <c r="I1824" s="12">
        <f>VENTAS[[#This Row],[Cantidad]]*VENTAS[[#This Row],[Precio Venta]]</f>
        <v>30</v>
      </c>
      <c r="J1824" s="12">
        <f>IF(VENTAS[[#This Row],[Nombre del Gestor]]&gt;1,VENTAS[[#This Row],[Total]]*10%,0)</f>
        <v>3</v>
      </c>
      <c r="K1824" s="12">
        <f>IFERROR(VLOOKUP(VENTAS[[#This Row],[Código del producto Vendido]],STOCK[],16,FALSE)*VENTAS[[#This Row],[Cantidad]]+VLOOKUP(VENTAS[[#This Row],[Código del producto Vendido]],STOCK[],19,FALSE)*VENTAS[[#This Row],[Cantidad]],VENTAS[[#This Row],[Total]])</f>
        <v>13.5</v>
      </c>
      <c r="L1824" s="12">
        <f>VENTAS[[#This Row],[Total]]-VENTAS[[#This Row],[Comisión 10%]]-VENTAS[[#This Row],[Costo SIN Comision]]</f>
        <v>13.5</v>
      </c>
      <c r="M1824" s="48"/>
      <c r="N1824" s="16" t="s">
        <v>4798</v>
      </c>
    </row>
    <row r="1825" spans="1:14" s="4" customFormat="1" ht="20" hidden="1" customHeight="1">
      <c r="A1825" s="46">
        <v>45572</v>
      </c>
      <c r="B1825" s="47"/>
      <c r="C1825" s="47"/>
      <c r="D1825" s="47" t="s">
        <v>4408</v>
      </c>
      <c r="E1825" s="47" t="s">
        <v>2939</v>
      </c>
      <c r="F1825" s="10" t="str">
        <f>IFERROR(VLOOKUP(VENTAS[[#This Row],[Código del producto Vendido]],STOCK[],5,FALSE),"-")</f>
        <v>Vestido maxi sólido con espalda ajustable</v>
      </c>
      <c r="G1825" s="47">
        <v>1</v>
      </c>
      <c r="H1825" s="48">
        <v>25</v>
      </c>
      <c r="I1825" s="12">
        <f>VENTAS[[#This Row],[Cantidad]]*VENTAS[[#This Row],[Precio Venta]]</f>
        <v>25</v>
      </c>
      <c r="J1825" s="12">
        <f>IF(VENTAS[[#This Row],[Nombre del Gestor]]&gt;1,VENTAS[[#This Row],[Total]]*10%,0)</f>
        <v>2.5</v>
      </c>
      <c r="K1825" s="12">
        <f>IFERROR(VLOOKUP(VENTAS[[#This Row],[Código del producto Vendido]],STOCK[],16,FALSE)*VENTAS[[#This Row],[Cantidad]]+VLOOKUP(VENTAS[[#This Row],[Código del producto Vendido]],STOCK[],19,FALSE)*VENTAS[[#This Row],[Cantidad]],VENTAS[[#This Row],[Total]])</f>
        <v>10.790000000000001</v>
      </c>
      <c r="L1825" s="12">
        <f>VENTAS[[#This Row],[Total]]-VENTAS[[#This Row],[Comisión 10%]]-VENTAS[[#This Row],[Costo SIN Comision]]</f>
        <v>11.709999999999999</v>
      </c>
      <c r="M1825" s="48"/>
      <c r="N1825" s="16" t="s">
        <v>4799</v>
      </c>
    </row>
    <row r="1826" spans="1:14" s="4" customFormat="1" ht="20" hidden="1" customHeight="1">
      <c r="A1826" s="46">
        <v>45572</v>
      </c>
      <c r="B1826" s="47"/>
      <c r="C1826" s="47"/>
      <c r="D1826" s="47" t="s">
        <v>4578</v>
      </c>
      <c r="E1826" s="47" t="s">
        <v>2966</v>
      </c>
      <c r="F1826" s="10" t="str">
        <f>IFERROR(VLOOKUP(VENTAS[[#This Row],[Código del producto Vendido]],STOCK[],5,FALSE),"-")</f>
        <v>Vestido camisola negro con abertura</v>
      </c>
      <c r="G1826" s="47">
        <v>1</v>
      </c>
      <c r="H1826" s="48">
        <v>20</v>
      </c>
      <c r="I1826" s="12">
        <f>VENTAS[[#This Row],[Cantidad]]*VENTAS[[#This Row],[Precio Venta]]</f>
        <v>20</v>
      </c>
      <c r="J1826" s="12">
        <f>IF(VENTAS[[#This Row],[Nombre del Gestor]]&gt;1,VENTAS[[#This Row],[Total]]*10%,0)</f>
        <v>2</v>
      </c>
      <c r="K1826" s="12">
        <f>IFERROR(VLOOKUP(VENTAS[[#This Row],[Código del producto Vendido]],STOCK[],16,FALSE)*VENTAS[[#This Row],[Cantidad]]+VLOOKUP(VENTAS[[#This Row],[Código del producto Vendido]],STOCK[],19,FALSE)*VENTAS[[#This Row],[Cantidad]],VENTAS[[#This Row],[Total]])</f>
        <v>7.6300000000000008</v>
      </c>
      <c r="L1826" s="12">
        <f>VENTAS[[#This Row],[Total]]-VENTAS[[#This Row],[Comisión 10%]]-VENTAS[[#This Row],[Costo SIN Comision]]</f>
        <v>10.37</v>
      </c>
      <c r="M1826" s="48"/>
      <c r="N1826" s="16" t="s">
        <v>4800</v>
      </c>
    </row>
    <row r="1827" spans="1:14" s="4" customFormat="1" ht="20" hidden="1" customHeight="1">
      <c r="A1827" s="46">
        <v>45572</v>
      </c>
      <c r="B1827" s="47"/>
      <c r="C1827" s="47"/>
      <c r="D1827" s="47" t="s">
        <v>4378</v>
      </c>
      <c r="E1827" s="47" t="s">
        <v>3002</v>
      </c>
      <c r="F1827" s="10" t="str">
        <f>IFERROR(VLOOKUP(VENTAS[[#This Row],[Código del producto Vendido]],STOCK[],5,FALSE),"-")</f>
        <v xml:space="preserve">Traje de baño enterizo elegante de un hombro talla grande </v>
      </c>
      <c r="G1827" s="47">
        <v>1</v>
      </c>
      <c r="H1827" s="48">
        <v>28</v>
      </c>
      <c r="I1827" s="12">
        <f>VENTAS[[#This Row],[Cantidad]]*VENTAS[[#This Row],[Precio Venta]]</f>
        <v>28</v>
      </c>
      <c r="J1827" s="12">
        <f>IF(VENTAS[[#This Row],[Nombre del Gestor]]&gt;1,VENTAS[[#This Row],[Total]]*10%,0)</f>
        <v>2.8000000000000003</v>
      </c>
      <c r="K1827" s="12">
        <f>IFERROR(VLOOKUP(VENTAS[[#This Row],[Código del producto Vendido]],STOCK[],16,FALSE)*VENTAS[[#This Row],[Cantidad]]+VLOOKUP(VENTAS[[#This Row],[Código del producto Vendido]],STOCK[],19,FALSE)*VENTAS[[#This Row],[Cantidad]],VENTAS[[#This Row],[Total]])</f>
        <v>13.33</v>
      </c>
      <c r="L1827" s="12">
        <f>VENTAS[[#This Row],[Total]]-VENTAS[[#This Row],[Comisión 10%]]-VENTAS[[#This Row],[Costo SIN Comision]]</f>
        <v>11.87</v>
      </c>
      <c r="M1827" s="48"/>
      <c r="N1827" s="16" t="s">
        <v>4801</v>
      </c>
    </row>
    <row r="1828" spans="1:14" s="4" customFormat="1" ht="20" hidden="1" customHeight="1">
      <c r="A1828" s="46">
        <v>45572</v>
      </c>
      <c r="B1828" s="47"/>
      <c r="C1828" s="47"/>
      <c r="D1828" s="47" t="s">
        <v>4484</v>
      </c>
      <c r="E1828" s="47" t="s">
        <v>2938</v>
      </c>
      <c r="F1828" s="10" t="str">
        <f>IFERROR(VLOOKUP(VENTAS[[#This Row],[Código del producto Vendido]],STOCK[],5,FALSE),"-")</f>
        <v>Sandalias cómodas para mujer con adorno de clip dorado</v>
      </c>
      <c r="G1828" s="47">
        <v>1</v>
      </c>
      <c r="H1828" s="48">
        <v>18</v>
      </c>
      <c r="I1828" s="12">
        <f>VENTAS[[#This Row],[Cantidad]]*VENTAS[[#This Row],[Precio Venta]]</f>
        <v>18</v>
      </c>
      <c r="J1828" s="12">
        <f>IF(VENTAS[[#This Row],[Nombre del Gestor]]&gt;1,VENTAS[[#This Row],[Total]]*10%,0)</f>
        <v>1.8</v>
      </c>
      <c r="K1828" s="12">
        <f>IFERROR(VLOOKUP(VENTAS[[#This Row],[Código del producto Vendido]],STOCK[],16,FALSE)*VENTAS[[#This Row],[Cantidad]]+VLOOKUP(VENTAS[[#This Row],[Código del producto Vendido]],STOCK[],19,FALSE)*VENTAS[[#This Row],[Cantidad]],VENTAS[[#This Row],[Total]])</f>
        <v>9.4599999999999991</v>
      </c>
      <c r="L1828" s="12">
        <f>VENTAS[[#This Row],[Total]]-VENTAS[[#This Row],[Comisión 10%]]-VENTAS[[#This Row],[Costo SIN Comision]]</f>
        <v>6.74</v>
      </c>
      <c r="M1828" s="48"/>
      <c r="N1828" s="16" t="s">
        <v>4802</v>
      </c>
    </row>
    <row r="1829" spans="1:14" s="4" customFormat="1" ht="20" hidden="1" customHeight="1">
      <c r="A1829" s="46">
        <v>45572</v>
      </c>
      <c r="B1829" s="47"/>
      <c r="C1829" s="47"/>
      <c r="D1829" s="47"/>
      <c r="E1829" s="47" t="s">
        <v>3450</v>
      </c>
      <c r="F1829" s="10" t="str">
        <f>IFERROR(VLOOKUP(VENTAS[[#This Row],[Código del producto Vendido]],STOCK[],5,FALSE),"-")</f>
        <v>Cuchillo bromista</v>
      </c>
      <c r="G1829" s="47">
        <v>1</v>
      </c>
      <c r="H1829" s="48">
        <v>5</v>
      </c>
      <c r="I1829" s="12">
        <f>VENTAS[[#This Row],[Cantidad]]*VENTAS[[#This Row],[Precio Venta]]</f>
        <v>5</v>
      </c>
      <c r="J1829" s="12">
        <f>IF(VENTAS[[#This Row],[Nombre del Gestor]]&gt;1,VENTAS[[#This Row],[Total]]*10%,0)</f>
        <v>0</v>
      </c>
      <c r="K1829" s="12">
        <f>IFERROR(VLOOKUP(VENTAS[[#This Row],[Código del producto Vendido]],STOCK[],16,FALSE)*VENTAS[[#This Row],[Cantidad]]+VLOOKUP(VENTAS[[#This Row],[Código del producto Vendido]],STOCK[],19,FALSE)*VENTAS[[#This Row],[Cantidad]],VENTAS[[#This Row],[Total]])</f>
        <v>0</v>
      </c>
      <c r="L1829" s="12">
        <f>VENTAS[[#This Row],[Total]]-VENTAS[[#This Row],[Comisión 10%]]-VENTAS[[#This Row],[Costo SIN Comision]]</f>
        <v>5</v>
      </c>
      <c r="M1829" s="48"/>
      <c r="N1829" s="16" t="s">
        <v>4803</v>
      </c>
    </row>
    <row r="1830" spans="1:14" s="4" customFormat="1" ht="20" hidden="1" customHeight="1">
      <c r="A1830" s="46">
        <v>45572</v>
      </c>
      <c r="B1830" s="47"/>
      <c r="C1830" s="47"/>
      <c r="D1830" s="47" t="s">
        <v>4804</v>
      </c>
      <c r="E1830" s="47" t="s">
        <v>778</v>
      </c>
      <c r="F1830" s="10" t="str">
        <f>IFERROR(VLOOKUP(VENTAS[[#This Row],[Código del producto Vendido]],STOCK[],5,FALSE),"-")</f>
        <v>Top berry en tela de algodón</v>
      </c>
      <c r="G1830" s="47">
        <v>1</v>
      </c>
      <c r="H1830" s="48">
        <v>10</v>
      </c>
      <c r="I1830" s="12">
        <f>VENTAS[[#This Row],[Cantidad]]*VENTAS[[#This Row],[Precio Venta]]</f>
        <v>10</v>
      </c>
      <c r="J1830" s="12">
        <f>IF(VENTAS[[#This Row],[Nombre del Gestor]]&gt;1,VENTAS[[#This Row],[Total]]*10%,0)</f>
        <v>1</v>
      </c>
      <c r="K1830" s="12">
        <f>IFERROR(VLOOKUP(VENTAS[[#This Row],[Código del producto Vendido]],STOCK[],16,FALSE)*VENTAS[[#This Row],[Cantidad]]+VLOOKUP(VENTAS[[#This Row],[Código del producto Vendido]],STOCK[],19,FALSE)*VENTAS[[#This Row],[Cantidad]],VENTAS[[#This Row],[Total]])</f>
        <v>6.0555555555555598</v>
      </c>
      <c r="L1830" s="12">
        <f>VENTAS[[#This Row],[Total]]-VENTAS[[#This Row],[Comisión 10%]]-VENTAS[[#This Row],[Costo SIN Comision]]</f>
        <v>2.9444444444444402</v>
      </c>
      <c r="M1830" s="48"/>
      <c r="N1830" s="16" t="s">
        <v>4805</v>
      </c>
    </row>
    <row r="1831" spans="1:14" s="4" customFormat="1" ht="20" hidden="1" customHeight="1">
      <c r="A1831" s="46">
        <v>45572</v>
      </c>
      <c r="B1831" s="47"/>
      <c r="C1831" s="47"/>
      <c r="D1831" s="47" t="s">
        <v>4804</v>
      </c>
      <c r="E1831" s="47" t="s">
        <v>2936</v>
      </c>
      <c r="F1831" s="10" t="str">
        <f>IFERROR(VLOOKUP(VENTAS[[#This Row],[Código del producto Vendido]],STOCK[],5,FALSE),"-")</f>
        <v>Sandalias cómodas para mujer con adorno de clip dorado</v>
      </c>
      <c r="G1831" s="47">
        <v>1</v>
      </c>
      <c r="H1831" s="48">
        <v>18</v>
      </c>
      <c r="I1831" s="12">
        <f>VENTAS[[#This Row],[Cantidad]]*VENTAS[[#This Row],[Precio Venta]]</f>
        <v>18</v>
      </c>
      <c r="J1831" s="12">
        <f>IF(VENTAS[[#This Row],[Nombre del Gestor]]&gt;1,VENTAS[[#This Row],[Total]]*10%,0)</f>
        <v>1.8</v>
      </c>
      <c r="K1831" s="12">
        <f>IFERROR(VLOOKUP(VENTAS[[#This Row],[Código del producto Vendido]],STOCK[],16,FALSE)*VENTAS[[#This Row],[Cantidad]]+VLOOKUP(VENTAS[[#This Row],[Código del producto Vendido]],STOCK[],19,FALSE)*VENTAS[[#This Row],[Cantidad]],VENTAS[[#This Row],[Total]])</f>
        <v>9.4599999999999991</v>
      </c>
      <c r="L1831" s="12">
        <f>VENTAS[[#This Row],[Total]]-VENTAS[[#This Row],[Comisión 10%]]-VENTAS[[#This Row],[Costo SIN Comision]]</f>
        <v>6.74</v>
      </c>
      <c r="M1831" s="48"/>
      <c r="N1831" s="16" t="s">
        <v>4806</v>
      </c>
    </row>
    <row r="1832" spans="1:14" s="4" customFormat="1" ht="20" hidden="1" customHeight="1">
      <c r="A1832" s="46">
        <v>45573</v>
      </c>
      <c r="B1832" s="47"/>
      <c r="C1832" s="47"/>
      <c r="D1832" s="47" t="s">
        <v>4535</v>
      </c>
      <c r="E1832" s="47" t="s">
        <v>3365</v>
      </c>
      <c r="F1832" s="10" t="str">
        <f>IFERROR(VLOOKUP(VENTAS[[#This Row],[Código del producto Vendido]],STOCK[],5,FALSE),"-")</f>
        <v>Antifaz de conejo sexy</v>
      </c>
      <c r="G1832" s="47">
        <v>2</v>
      </c>
      <c r="H1832" s="48">
        <v>8</v>
      </c>
      <c r="I1832" s="12">
        <f>VENTAS[[#This Row],[Cantidad]]*VENTAS[[#This Row],[Precio Venta]]</f>
        <v>16</v>
      </c>
      <c r="J1832" s="12">
        <f>IF(VENTAS[[#This Row],[Nombre del Gestor]]&gt;1,VENTAS[[#This Row],[Total]]*10%,0)</f>
        <v>1.6</v>
      </c>
      <c r="K1832" s="12">
        <f>IFERROR(VLOOKUP(VENTAS[[#This Row],[Código del producto Vendido]],STOCK[],16,FALSE)*VENTAS[[#This Row],[Cantidad]]+VLOOKUP(VENTAS[[#This Row],[Código del producto Vendido]],STOCK[],19,FALSE)*VENTAS[[#This Row],[Cantidad]],VENTAS[[#This Row],[Total]])</f>
        <v>0</v>
      </c>
      <c r="L1832" s="12">
        <f>VENTAS[[#This Row],[Total]]-VENTAS[[#This Row],[Comisión 10%]]-VENTAS[[#This Row],[Costo SIN Comision]]</f>
        <v>14.4</v>
      </c>
      <c r="M1832" s="48"/>
      <c r="N1832" s="16" t="s">
        <v>4807</v>
      </c>
    </row>
    <row r="1833" spans="1:14" s="4" customFormat="1" ht="20" hidden="1" customHeight="1">
      <c r="A1833" s="46">
        <v>45573</v>
      </c>
      <c r="B1833" s="47"/>
      <c r="C1833" s="47"/>
      <c r="D1833" s="47" t="s">
        <v>4535</v>
      </c>
      <c r="E1833" s="47" t="s">
        <v>3435</v>
      </c>
      <c r="F1833" s="10" t="str">
        <f>IFERROR(VLOOKUP(VENTAS[[#This Row],[Código del producto Vendido]],STOCK[],5,FALSE),"-")</f>
        <v>Pullover naranja calabaza</v>
      </c>
      <c r="G1833" s="47">
        <v>1</v>
      </c>
      <c r="H1833" s="48">
        <v>12</v>
      </c>
      <c r="I1833" s="12">
        <f>VENTAS[[#This Row],[Cantidad]]*VENTAS[[#This Row],[Precio Venta]]</f>
        <v>12</v>
      </c>
      <c r="J1833" s="12">
        <f>IF(VENTAS[[#This Row],[Nombre del Gestor]]&gt;1,VENTAS[[#This Row],[Total]]*10%,0)</f>
        <v>1.2000000000000002</v>
      </c>
      <c r="K1833" s="12">
        <f>IFERROR(VLOOKUP(VENTAS[[#This Row],[Código del producto Vendido]],STOCK[],16,FALSE)*VENTAS[[#This Row],[Cantidad]]+VLOOKUP(VENTAS[[#This Row],[Código del producto Vendido]],STOCK[],19,FALSE)*VENTAS[[#This Row],[Cantidad]],VENTAS[[#This Row],[Total]])</f>
        <v>0</v>
      </c>
      <c r="L1833" s="12">
        <f>VENTAS[[#This Row],[Total]]-VENTAS[[#This Row],[Comisión 10%]]-VENTAS[[#This Row],[Costo SIN Comision]]</f>
        <v>10.8</v>
      </c>
      <c r="M1833" s="48"/>
      <c r="N1833" s="16" t="s">
        <v>4808</v>
      </c>
    </row>
    <row r="1834" spans="1:14" s="4" customFormat="1" ht="20" hidden="1" customHeight="1">
      <c r="A1834" s="46">
        <v>45573</v>
      </c>
      <c r="B1834" s="47"/>
      <c r="C1834" s="47"/>
      <c r="D1834" s="47"/>
      <c r="E1834" s="47" t="s">
        <v>1836</v>
      </c>
      <c r="F1834" s="10" t="str">
        <f>IFERROR(VLOOKUP(VENTAS[[#This Row],[Código del producto Vendido]],STOCK[],5,FALSE),"-")</f>
        <v>Curvy Skinny Jeans</v>
      </c>
      <c r="G1834" s="47">
        <v>1</v>
      </c>
      <c r="H1834" s="48">
        <v>30</v>
      </c>
      <c r="I1834" s="12">
        <f>VENTAS[[#This Row],[Cantidad]]*VENTAS[[#This Row],[Precio Venta]]</f>
        <v>30</v>
      </c>
      <c r="J1834" s="12">
        <f>IF(VENTAS[[#This Row],[Nombre del Gestor]]&gt;1,VENTAS[[#This Row],[Total]]*10%,0)</f>
        <v>0</v>
      </c>
      <c r="K1834" s="12">
        <f>IFERROR(VLOOKUP(VENTAS[[#This Row],[Código del producto Vendido]],STOCK[],16,FALSE)*VENTAS[[#This Row],[Cantidad]]+VLOOKUP(VENTAS[[#This Row],[Código del producto Vendido]],STOCK[],19,FALSE)*VENTAS[[#This Row],[Cantidad]],VENTAS[[#This Row],[Total]])</f>
        <v>11.790000000000001</v>
      </c>
      <c r="L1834" s="12">
        <f>VENTAS[[#This Row],[Total]]-VENTAS[[#This Row],[Comisión 10%]]-VENTAS[[#This Row],[Costo SIN Comision]]</f>
        <v>18.21</v>
      </c>
      <c r="M1834" s="48"/>
      <c r="N1834" s="16" t="s">
        <v>4809</v>
      </c>
    </row>
    <row r="1835" spans="1:14" s="4" customFormat="1" ht="20" hidden="1" customHeight="1">
      <c r="A1835" s="46">
        <v>45573</v>
      </c>
      <c r="B1835" s="47"/>
      <c r="C1835" s="47"/>
      <c r="D1835" s="47" t="s">
        <v>4484</v>
      </c>
      <c r="E1835" s="47" t="s">
        <v>2994</v>
      </c>
      <c r="F1835" s="10" t="str">
        <f>IFERROR(VLOOKUP(VENTAS[[#This Row],[Código del producto Vendido]],STOCK[],5,FALSE),"-")</f>
        <v>Camiseta de moda con estampado de cereza</v>
      </c>
      <c r="G1835" s="47">
        <v>1</v>
      </c>
      <c r="H1835" s="48">
        <v>15</v>
      </c>
      <c r="I1835" s="12">
        <f>VENTAS[[#This Row],[Cantidad]]*VENTAS[[#This Row],[Precio Venta]]</f>
        <v>15</v>
      </c>
      <c r="J1835" s="12">
        <f>IF(VENTAS[[#This Row],[Nombre del Gestor]]&gt;1,VENTAS[[#This Row],[Total]]*10%,0)</f>
        <v>1.5</v>
      </c>
      <c r="K1835" s="12">
        <f>IFERROR(VLOOKUP(VENTAS[[#This Row],[Código del producto Vendido]],STOCK[],16,FALSE)*VENTAS[[#This Row],[Cantidad]]+VLOOKUP(VENTAS[[#This Row],[Código del producto Vendido]],STOCK[],19,FALSE)*VENTAS[[#This Row],[Cantidad]],VENTAS[[#This Row],[Total]])</f>
        <v>5.92</v>
      </c>
      <c r="L1835" s="12">
        <f>VENTAS[[#This Row],[Total]]-VENTAS[[#This Row],[Comisión 10%]]-VENTAS[[#This Row],[Costo SIN Comision]]</f>
        <v>7.58</v>
      </c>
      <c r="M1835" s="48"/>
      <c r="N1835" s="16" t="s">
        <v>4810</v>
      </c>
    </row>
    <row r="1836" spans="1:14" s="4" customFormat="1" ht="20" hidden="1" customHeight="1">
      <c r="A1836" s="46">
        <v>45574</v>
      </c>
      <c r="B1836" s="47"/>
      <c r="C1836" s="47"/>
      <c r="D1836" s="47" t="s">
        <v>4578</v>
      </c>
      <c r="E1836" s="47" t="s">
        <v>358</v>
      </c>
      <c r="F1836" s="10" t="str">
        <f>IFERROR(VLOOKUP(VENTAS[[#This Row],[Código del producto Vendido]],STOCK[],5,FALSE),"-")</f>
        <v>Vestido elegante de espalda corrida</v>
      </c>
      <c r="G1836" s="47">
        <v>1</v>
      </c>
      <c r="H1836" s="48">
        <v>25</v>
      </c>
      <c r="I1836" s="12">
        <f>VENTAS[[#This Row],[Cantidad]]*VENTAS[[#This Row],[Precio Venta]]</f>
        <v>25</v>
      </c>
      <c r="J1836" s="12">
        <f>IF(VENTAS[[#This Row],[Nombre del Gestor]]&gt;1,VENTAS[[#This Row],[Total]]*10%,0)</f>
        <v>2.5</v>
      </c>
      <c r="K1836" s="12">
        <f>IFERROR(VLOOKUP(VENTAS[[#This Row],[Código del producto Vendido]],STOCK[],16,FALSE)*VENTAS[[#This Row],[Cantidad]]+VLOOKUP(VENTAS[[#This Row],[Código del producto Vendido]],STOCK[],19,FALSE)*VENTAS[[#This Row],[Cantidad]],VENTAS[[#This Row],[Total]])</f>
        <v>14.171111111111109</v>
      </c>
      <c r="L1836" s="12">
        <f>VENTAS[[#This Row],[Total]]-VENTAS[[#This Row],[Comisión 10%]]-VENTAS[[#This Row],[Costo SIN Comision]]</f>
        <v>8.3288888888888906</v>
      </c>
      <c r="M1836" s="48"/>
      <c r="N1836" s="16" t="s">
        <v>4811</v>
      </c>
    </row>
    <row r="1837" spans="1:14" s="4" customFormat="1" ht="20" hidden="1" customHeight="1">
      <c r="A1837" s="46">
        <v>45574</v>
      </c>
      <c r="B1837" s="47"/>
      <c r="C1837" s="47"/>
      <c r="D1837" s="47" t="s">
        <v>4689</v>
      </c>
      <c r="E1837" s="47" t="s">
        <v>2816</v>
      </c>
      <c r="F1837" s="10" t="str">
        <f>IFERROR(VLOOKUP(VENTAS[[#This Row],[Código del producto Vendido]],STOCK[],5,FALSE),"-")</f>
        <v>Bolso de ratán de Moda para vacaciones tamaño mediano con diseño de listas negras</v>
      </c>
      <c r="G1837" s="47">
        <v>2</v>
      </c>
      <c r="H1837" s="48">
        <v>22</v>
      </c>
      <c r="I1837" s="12">
        <f>VENTAS[[#This Row],[Cantidad]]*VENTAS[[#This Row],[Precio Venta]]</f>
        <v>44</v>
      </c>
      <c r="J1837" s="12">
        <f>IF(VENTAS[[#This Row],[Nombre del Gestor]]&gt;1,VENTAS[[#This Row],[Total]]*10%,0)</f>
        <v>4.4000000000000004</v>
      </c>
      <c r="K1837" s="12">
        <f>IFERROR(VLOOKUP(VENTAS[[#This Row],[Código del producto Vendido]],STOCK[],16,FALSE)*VENTAS[[#This Row],[Cantidad]]+VLOOKUP(VENTAS[[#This Row],[Código del producto Vendido]],STOCK[],19,FALSE)*VENTAS[[#This Row],[Cantidad]],VENTAS[[#This Row],[Total]])</f>
        <v>24.34</v>
      </c>
      <c r="L1837" s="12">
        <f>VENTAS[[#This Row],[Total]]-VENTAS[[#This Row],[Comisión 10%]]-VENTAS[[#This Row],[Costo SIN Comision]]</f>
        <v>15.260000000000002</v>
      </c>
      <c r="M1837" s="48"/>
      <c r="N1837" s="16" t="s">
        <v>4812</v>
      </c>
    </row>
    <row r="1838" spans="1:14" s="4" customFormat="1" ht="20" hidden="1" customHeight="1">
      <c r="A1838" s="46">
        <v>45574</v>
      </c>
      <c r="B1838" s="47"/>
      <c r="C1838" s="47"/>
      <c r="D1838" s="47" t="s">
        <v>4473</v>
      </c>
      <c r="E1838" s="47" t="s">
        <v>2830</v>
      </c>
      <c r="F1838" s="10" t="str">
        <f>IFERROR(VLOOKUP(VENTAS[[#This Row],[Código del producto Vendido]],STOCK[],5,FALSE),"-")</f>
        <v>Bolso tejido redondo de gran capacidad Ojo Turco</v>
      </c>
      <c r="G1838" s="47">
        <v>1</v>
      </c>
      <c r="H1838" s="48">
        <v>25</v>
      </c>
      <c r="I1838" s="12">
        <f>VENTAS[[#This Row],[Cantidad]]*VENTAS[[#This Row],[Precio Venta]]</f>
        <v>25</v>
      </c>
      <c r="J1838" s="12">
        <f>IF(VENTAS[[#This Row],[Nombre del Gestor]]&gt;1,VENTAS[[#This Row],[Total]]*10%,0)</f>
        <v>2.5</v>
      </c>
      <c r="K1838" s="12">
        <f>IFERROR(VLOOKUP(VENTAS[[#This Row],[Código del producto Vendido]],STOCK[],16,FALSE)*VENTAS[[#This Row],[Cantidad]]+VLOOKUP(VENTAS[[#This Row],[Código del producto Vendido]],STOCK[],19,FALSE)*VENTAS[[#This Row],[Cantidad]],VENTAS[[#This Row],[Total]])</f>
        <v>13.030000000000001</v>
      </c>
      <c r="L1838" s="12">
        <f>VENTAS[[#This Row],[Total]]-VENTAS[[#This Row],[Comisión 10%]]-VENTAS[[#This Row],[Costo SIN Comision]]</f>
        <v>9.4699999999999989</v>
      </c>
      <c r="M1838" s="48"/>
      <c r="N1838" s="16" t="s">
        <v>4813</v>
      </c>
    </row>
    <row r="1839" spans="1:14" s="4" customFormat="1" ht="20" hidden="1" customHeight="1">
      <c r="A1839" s="46">
        <v>45574</v>
      </c>
      <c r="B1839" s="47"/>
      <c r="C1839" s="47"/>
      <c r="D1839" s="47" t="s">
        <v>4380</v>
      </c>
      <c r="E1839" s="47" t="s">
        <v>2941</v>
      </c>
      <c r="F1839" s="10" t="str">
        <f>IFERROR(VLOOKUP(VENTAS[[#This Row],[Código del producto Vendido]],STOCK[],5,FALSE),"-")</f>
        <v>Vestido maxi sólido con espalda ajustable</v>
      </c>
      <c r="G1839" s="47">
        <v>1</v>
      </c>
      <c r="H1839" s="48">
        <v>25</v>
      </c>
      <c r="I1839" s="12">
        <f>VENTAS[[#This Row],[Cantidad]]*VENTAS[[#This Row],[Precio Venta]]</f>
        <v>25</v>
      </c>
      <c r="J1839" s="12">
        <f>IF(VENTAS[[#This Row],[Nombre del Gestor]]&gt;1,VENTAS[[#This Row],[Total]]*10%,0)</f>
        <v>2.5</v>
      </c>
      <c r="K1839" s="12">
        <f>IFERROR(VLOOKUP(VENTAS[[#This Row],[Código del producto Vendido]],STOCK[],16,FALSE)*VENTAS[[#This Row],[Cantidad]]+VLOOKUP(VENTAS[[#This Row],[Código del producto Vendido]],STOCK[],19,FALSE)*VENTAS[[#This Row],[Cantidad]],VENTAS[[#This Row],[Total]])</f>
        <v>10.790000000000001</v>
      </c>
      <c r="L1839" s="12">
        <f>VENTAS[[#This Row],[Total]]-VENTAS[[#This Row],[Comisión 10%]]-VENTAS[[#This Row],[Costo SIN Comision]]</f>
        <v>11.709999999999999</v>
      </c>
      <c r="M1839" s="48"/>
      <c r="N1839" s="16" t="s">
        <v>4814</v>
      </c>
    </row>
    <row r="1840" spans="1:14" s="4" customFormat="1" ht="20" hidden="1" customHeight="1">
      <c r="A1840" s="46">
        <v>45574</v>
      </c>
      <c r="B1840" s="47"/>
      <c r="C1840" s="47"/>
      <c r="D1840" s="47" t="s">
        <v>4571</v>
      </c>
      <c r="E1840" s="47" t="s">
        <v>2828</v>
      </c>
      <c r="F1840" s="10" t="str">
        <f>IFERROR(VLOOKUP(VENTAS[[#This Row],[Código del producto Vendido]],STOCK[],5,FALSE),"-")</f>
        <v>Bolso tejido redondo de gran capacidad Carmelita</v>
      </c>
      <c r="G1840" s="47">
        <v>1</v>
      </c>
      <c r="H1840" s="48">
        <v>25</v>
      </c>
      <c r="I1840" s="12">
        <f>VENTAS[[#This Row],[Cantidad]]*VENTAS[[#This Row],[Precio Venta]]</f>
        <v>25</v>
      </c>
      <c r="J1840" s="12">
        <f>IF(VENTAS[[#This Row],[Nombre del Gestor]]&gt;1,VENTAS[[#This Row],[Total]]*10%,0)</f>
        <v>2.5</v>
      </c>
      <c r="K1840" s="12">
        <f>IFERROR(VLOOKUP(VENTAS[[#This Row],[Código del producto Vendido]],STOCK[],16,FALSE)*VENTAS[[#This Row],[Cantidad]]+VLOOKUP(VENTAS[[#This Row],[Código del producto Vendido]],STOCK[],19,FALSE)*VENTAS[[#This Row],[Cantidad]],VENTAS[[#This Row],[Total]])</f>
        <v>13.31</v>
      </c>
      <c r="L1840" s="12">
        <f>VENTAS[[#This Row],[Total]]-VENTAS[[#This Row],[Comisión 10%]]-VENTAS[[#This Row],[Costo SIN Comision]]</f>
        <v>9.19</v>
      </c>
      <c r="M1840" s="48"/>
      <c r="N1840" s="16" t="s">
        <v>4815</v>
      </c>
    </row>
    <row r="1841" spans="1:14" s="4" customFormat="1" ht="20" hidden="1" customHeight="1">
      <c r="A1841" s="46">
        <v>45574</v>
      </c>
      <c r="B1841" s="47"/>
      <c r="C1841" s="47"/>
      <c r="D1841" s="47" t="s">
        <v>4408</v>
      </c>
      <c r="E1841" s="47" t="s">
        <v>2828</v>
      </c>
      <c r="F1841" s="10" t="str">
        <f>IFERROR(VLOOKUP(VENTAS[[#This Row],[Código del producto Vendido]],STOCK[],5,FALSE),"-")</f>
        <v>Bolso tejido redondo de gran capacidad Carmelita</v>
      </c>
      <c r="G1841" s="47">
        <v>1</v>
      </c>
      <c r="H1841" s="48">
        <v>25</v>
      </c>
      <c r="I1841" s="12">
        <f>VENTAS[[#This Row],[Cantidad]]*VENTAS[[#This Row],[Precio Venta]]</f>
        <v>25</v>
      </c>
      <c r="J1841" s="12">
        <f>IF(VENTAS[[#This Row],[Nombre del Gestor]]&gt;1,VENTAS[[#This Row],[Total]]*10%,0)</f>
        <v>2.5</v>
      </c>
      <c r="K1841" s="12">
        <f>IFERROR(VLOOKUP(VENTAS[[#This Row],[Código del producto Vendido]],STOCK[],16,FALSE)*VENTAS[[#This Row],[Cantidad]]+VLOOKUP(VENTAS[[#This Row],[Código del producto Vendido]],STOCK[],19,FALSE)*VENTAS[[#This Row],[Cantidad]],VENTAS[[#This Row],[Total]])</f>
        <v>13.31</v>
      </c>
      <c r="L1841" s="12">
        <f>VENTAS[[#This Row],[Total]]-VENTAS[[#This Row],[Comisión 10%]]-VENTAS[[#This Row],[Costo SIN Comision]]</f>
        <v>9.19</v>
      </c>
      <c r="M1841" s="48"/>
      <c r="N1841" s="16" t="s">
        <v>4816</v>
      </c>
    </row>
    <row r="1842" spans="1:14" s="4" customFormat="1" ht="20" hidden="1" customHeight="1">
      <c r="A1842" s="46">
        <v>45574</v>
      </c>
      <c r="B1842" s="47"/>
      <c r="C1842" s="47"/>
      <c r="D1842" s="47" t="s">
        <v>4378</v>
      </c>
      <c r="E1842" s="47" t="s">
        <v>2830</v>
      </c>
      <c r="F1842" s="10" t="str">
        <f>IFERROR(VLOOKUP(VENTAS[[#This Row],[Código del producto Vendido]],STOCK[],5,FALSE),"-")</f>
        <v>Bolso tejido redondo de gran capacidad Ojo Turco</v>
      </c>
      <c r="G1842" s="47">
        <v>1</v>
      </c>
      <c r="H1842" s="48">
        <v>25</v>
      </c>
      <c r="I1842" s="12">
        <f>VENTAS[[#This Row],[Cantidad]]*VENTAS[[#This Row],[Precio Venta]]</f>
        <v>25</v>
      </c>
      <c r="J1842" s="12">
        <f>IF(VENTAS[[#This Row],[Nombre del Gestor]]&gt;1,VENTAS[[#This Row],[Total]]*10%,0)</f>
        <v>2.5</v>
      </c>
      <c r="K1842" s="12">
        <f>IFERROR(VLOOKUP(VENTAS[[#This Row],[Código del producto Vendido]],STOCK[],16,FALSE)*VENTAS[[#This Row],[Cantidad]]+VLOOKUP(VENTAS[[#This Row],[Código del producto Vendido]],STOCK[],19,FALSE)*VENTAS[[#This Row],[Cantidad]],VENTAS[[#This Row],[Total]])</f>
        <v>13.030000000000001</v>
      </c>
      <c r="L1842" s="12">
        <f>VENTAS[[#This Row],[Total]]-VENTAS[[#This Row],[Comisión 10%]]-VENTAS[[#This Row],[Costo SIN Comision]]</f>
        <v>9.4699999999999989</v>
      </c>
      <c r="M1842" s="48"/>
      <c r="N1842" s="16" t="s">
        <v>4817</v>
      </c>
    </row>
    <row r="1843" spans="1:14" s="4" customFormat="1" ht="20" hidden="1" customHeight="1">
      <c r="A1843" s="46">
        <v>45574</v>
      </c>
      <c r="B1843" s="47"/>
      <c r="C1843" s="47"/>
      <c r="D1843" s="47" t="s">
        <v>4398</v>
      </c>
      <c r="E1843" s="47" t="s">
        <v>2803</v>
      </c>
      <c r="F1843" s="10" t="str">
        <f>IFERROR(VLOOKUP(VENTAS[[#This Row],[Código del producto Vendido]],STOCK[],5,FALSE),"-")</f>
        <v>Sandalias espadriles de cuña de correas transparentes</v>
      </c>
      <c r="G1843" s="47">
        <v>1</v>
      </c>
      <c r="H1843" s="48">
        <v>40</v>
      </c>
      <c r="I1843" s="12">
        <f>VENTAS[[#This Row],[Cantidad]]*VENTAS[[#This Row],[Precio Venta]]</f>
        <v>40</v>
      </c>
      <c r="J1843" s="12">
        <f>IF(VENTAS[[#This Row],[Nombre del Gestor]]&gt;1,VENTAS[[#This Row],[Total]]*10%,0)</f>
        <v>4</v>
      </c>
      <c r="K1843" s="12">
        <f>IFERROR(VLOOKUP(VENTAS[[#This Row],[Código del producto Vendido]],STOCK[],16,FALSE)*VENTAS[[#This Row],[Cantidad]]+VLOOKUP(VENTAS[[#This Row],[Código del producto Vendido]],STOCK[],19,FALSE)*VENTAS[[#This Row],[Cantidad]],VENTAS[[#This Row],[Total]])</f>
        <v>11.4</v>
      </c>
      <c r="L1843" s="12">
        <f>VENTAS[[#This Row],[Total]]-VENTAS[[#This Row],[Comisión 10%]]-VENTAS[[#This Row],[Costo SIN Comision]]</f>
        <v>24.6</v>
      </c>
      <c r="M1843" s="48"/>
      <c r="N1843" s="16" t="s">
        <v>4818</v>
      </c>
    </row>
    <row r="1844" spans="1:14" s="4" customFormat="1" ht="20" hidden="1" customHeight="1">
      <c r="A1844" s="46">
        <v>45575</v>
      </c>
      <c r="B1844" s="47"/>
      <c r="C1844" s="47"/>
      <c r="D1844" s="47" t="s">
        <v>4473</v>
      </c>
      <c r="E1844" s="47" t="s">
        <v>3017</v>
      </c>
      <c r="F1844" s="10" t="str">
        <f>IFERROR(VLOOKUP(VENTAS[[#This Row],[Código del producto Vendido]],STOCK[],5,FALSE),"-")</f>
        <v>Mono Sailor amarillo quemado con cinturón</v>
      </c>
      <c r="G1844" s="47">
        <v>1</v>
      </c>
      <c r="H1844" s="48">
        <v>30</v>
      </c>
      <c r="I1844" s="12">
        <f>VENTAS[[#This Row],[Cantidad]]*VENTAS[[#This Row],[Precio Venta]]</f>
        <v>30</v>
      </c>
      <c r="J1844" s="12">
        <f>IF(VENTAS[[#This Row],[Nombre del Gestor]]&gt;1,VENTAS[[#This Row],[Total]]*10%,0)</f>
        <v>3</v>
      </c>
      <c r="K1844" s="12">
        <f>IFERROR(VLOOKUP(VENTAS[[#This Row],[Código del producto Vendido]],STOCK[],16,FALSE)*VENTAS[[#This Row],[Cantidad]]+VLOOKUP(VENTAS[[#This Row],[Código del producto Vendido]],STOCK[],19,FALSE)*VENTAS[[#This Row],[Cantidad]],VENTAS[[#This Row],[Total]])</f>
        <v>15.01</v>
      </c>
      <c r="L1844" s="12">
        <f>VENTAS[[#This Row],[Total]]-VENTAS[[#This Row],[Comisión 10%]]-VENTAS[[#This Row],[Costo SIN Comision]]</f>
        <v>11.99</v>
      </c>
      <c r="M1844" s="48"/>
      <c r="N1844" s="16" t="s">
        <v>4819</v>
      </c>
    </row>
    <row r="1845" spans="1:14" s="4" customFormat="1" ht="20" hidden="1" customHeight="1">
      <c r="A1845" s="46">
        <v>45575</v>
      </c>
      <c r="B1845" s="47"/>
      <c r="C1845" s="47"/>
      <c r="D1845" s="47" t="s">
        <v>4380</v>
      </c>
      <c r="E1845" s="47" t="s">
        <v>2994</v>
      </c>
      <c r="F1845" s="10" t="str">
        <f>IFERROR(VLOOKUP(VENTAS[[#This Row],[Código del producto Vendido]],STOCK[],5,FALSE),"-")</f>
        <v>Camiseta de moda con estampado de cereza</v>
      </c>
      <c r="G1845" s="47"/>
      <c r="H1845" s="48">
        <v>15</v>
      </c>
      <c r="I1845" s="12">
        <f>VENTAS[[#This Row],[Cantidad]]*VENTAS[[#This Row],[Precio Venta]]</f>
        <v>0</v>
      </c>
      <c r="J1845" s="12">
        <f>IF(VENTAS[[#This Row],[Nombre del Gestor]]&gt;1,VENTAS[[#This Row],[Total]]*10%,0)</f>
        <v>0</v>
      </c>
      <c r="K1845" s="12">
        <f>IFERROR(VLOOKUP(VENTAS[[#This Row],[Código del producto Vendido]],STOCK[],16,FALSE)*VENTAS[[#This Row],[Cantidad]]+VLOOKUP(VENTAS[[#This Row],[Código del producto Vendido]],STOCK[],19,FALSE)*VENTAS[[#This Row],[Cantidad]],VENTAS[[#This Row],[Total]])</f>
        <v>0</v>
      </c>
      <c r="L1845" s="12">
        <f>VENTAS[[#This Row],[Total]]-VENTAS[[#This Row],[Comisión 10%]]-VENTAS[[#This Row],[Costo SIN Comision]]</f>
        <v>0</v>
      </c>
      <c r="M1845" s="48"/>
      <c r="N1845" s="16" t="s">
        <v>4820</v>
      </c>
    </row>
    <row r="1846" spans="1:14" s="4" customFormat="1" ht="20" hidden="1" customHeight="1">
      <c r="A1846" s="46">
        <v>45575</v>
      </c>
      <c r="B1846" s="47"/>
      <c r="C1846" s="47"/>
      <c r="D1846" s="47" t="s">
        <v>4528</v>
      </c>
      <c r="E1846" s="47" t="s">
        <v>555</v>
      </c>
      <c r="F1846" s="10" t="str">
        <f>IFERROR(VLOOKUP(VENTAS[[#This Row],[Código del producto Vendido]],STOCK[],5,FALSE),"-")</f>
        <v>Sandalias plateadas con pedrería</v>
      </c>
      <c r="G1846" s="47">
        <v>0</v>
      </c>
      <c r="H1846" s="48">
        <v>25</v>
      </c>
      <c r="I1846" s="12">
        <f>VENTAS[[#This Row],[Cantidad]]*VENTAS[[#This Row],[Precio Venta]]</f>
        <v>0</v>
      </c>
      <c r="J1846" s="12">
        <f>IF(VENTAS[[#This Row],[Nombre del Gestor]]&gt;1,VENTAS[[#This Row],[Total]]*10%,0)</f>
        <v>0</v>
      </c>
      <c r="K1846" s="12">
        <f>IFERROR(VLOOKUP(VENTAS[[#This Row],[Código del producto Vendido]],STOCK[],16,FALSE)*VENTAS[[#This Row],[Cantidad]]+VLOOKUP(VENTAS[[#This Row],[Código del producto Vendido]],STOCK[],19,FALSE)*VENTAS[[#This Row],[Cantidad]],VENTAS[[#This Row],[Total]])</f>
        <v>0</v>
      </c>
      <c r="L1846" s="12">
        <f>VENTAS[[#This Row],[Total]]-VENTAS[[#This Row],[Comisión 10%]]-VENTAS[[#This Row],[Costo SIN Comision]]</f>
        <v>0</v>
      </c>
      <c r="M1846" s="48"/>
      <c r="N1846" s="16" t="s">
        <v>4821</v>
      </c>
    </row>
    <row r="1847" spans="1:14" s="4" customFormat="1" ht="20" hidden="1" customHeight="1">
      <c r="A1847" s="46">
        <v>45575</v>
      </c>
      <c r="B1847" s="47"/>
      <c r="C1847" s="47"/>
      <c r="D1847" s="47" t="s">
        <v>4528</v>
      </c>
      <c r="E1847" s="47" t="s">
        <v>3295</v>
      </c>
      <c r="F1847" s="10" t="str">
        <f>IFERROR(VLOOKUP(VENTAS[[#This Row],[Código del producto Vendido]],STOCK[],5,FALSE),"-")</f>
        <v>Conjunto disfraz de Monja</v>
      </c>
      <c r="G1847" s="47">
        <v>1</v>
      </c>
      <c r="H1847" s="48">
        <v>20</v>
      </c>
      <c r="I1847" s="12">
        <f>VENTAS[[#This Row],[Cantidad]]*VENTAS[[#This Row],[Precio Venta]]</f>
        <v>20</v>
      </c>
      <c r="J1847" s="12">
        <f>IF(VENTAS[[#This Row],[Nombre del Gestor]]&gt;1,VENTAS[[#This Row],[Total]]*10%,0)</f>
        <v>2</v>
      </c>
      <c r="K1847" s="12">
        <f>IFERROR(VLOOKUP(VENTAS[[#This Row],[Código del producto Vendido]],STOCK[],16,FALSE)*VENTAS[[#This Row],[Cantidad]]+VLOOKUP(VENTAS[[#This Row],[Código del producto Vendido]],STOCK[],19,FALSE)*VENTAS[[#This Row],[Cantidad]],VENTAS[[#This Row],[Total]])</f>
        <v>0</v>
      </c>
      <c r="L1847" s="12">
        <f>VENTAS[[#This Row],[Total]]-VENTAS[[#This Row],[Comisión 10%]]-VENTAS[[#This Row],[Costo SIN Comision]]</f>
        <v>18</v>
      </c>
      <c r="M1847" s="48"/>
      <c r="N1847" s="16" t="s">
        <v>4822</v>
      </c>
    </row>
    <row r="1848" spans="1:14" s="4" customFormat="1" ht="20" hidden="1" customHeight="1">
      <c r="A1848" s="46">
        <v>45576</v>
      </c>
      <c r="B1848" s="47"/>
      <c r="C1848" s="47"/>
      <c r="D1848" s="47" t="s">
        <v>4823</v>
      </c>
      <c r="E1848" s="47" t="s">
        <v>3313</v>
      </c>
      <c r="F1848" s="10" t="str">
        <f>IFERROR(VLOOKUP(VENTAS[[#This Row],[Código del producto Vendido]],STOCK[],5,FALSE),"-")</f>
        <v>Vestido blanco para conformar disfraz</v>
      </c>
      <c r="G1848" s="47">
        <v>1</v>
      </c>
      <c r="H1848" s="48">
        <v>15</v>
      </c>
      <c r="I1848" s="12">
        <f>VENTAS[[#This Row],[Cantidad]]*VENTAS[[#This Row],[Precio Venta]]</f>
        <v>15</v>
      </c>
      <c r="J1848" s="12">
        <f>IF(VENTAS[[#This Row],[Nombre del Gestor]]&gt;1,VENTAS[[#This Row],[Total]]*10%,0)</f>
        <v>1.5</v>
      </c>
      <c r="K1848" s="12">
        <f>IFERROR(VLOOKUP(VENTAS[[#This Row],[Código del producto Vendido]],STOCK[],16,FALSE)*VENTAS[[#This Row],[Cantidad]]+VLOOKUP(VENTAS[[#This Row],[Código del producto Vendido]],STOCK[],19,FALSE)*VENTAS[[#This Row],[Cantidad]],VENTAS[[#This Row],[Total]])</f>
        <v>0</v>
      </c>
      <c r="L1848" s="12">
        <f>VENTAS[[#This Row],[Total]]-VENTAS[[#This Row],[Comisión 10%]]-VENTAS[[#This Row],[Costo SIN Comision]]</f>
        <v>13.5</v>
      </c>
      <c r="M1848" s="48"/>
      <c r="N1848" s="16" t="s">
        <v>4824</v>
      </c>
    </row>
    <row r="1849" spans="1:14" s="4" customFormat="1" ht="20" hidden="1" customHeight="1">
      <c r="A1849" s="46">
        <v>45576</v>
      </c>
      <c r="B1849" s="47"/>
      <c r="C1849" s="47"/>
      <c r="D1849" s="47" t="s">
        <v>4825</v>
      </c>
      <c r="E1849" s="47" t="s">
        <v>3311</v>
      </c>
      <c r="F1849" s="10" t="str">
        <f>IFERROR(VLOOKUP(VENTAS[[#This Row],[Código del producto Vendido]],STOCK[],5,FALSE),"-")</f>
        <v>Vestido blanco para conformar disfraz</v>
      </c>
      <c r="G1849" s="47">
        <v>2</v>
      </c>
      <c r="H1849" s="48">
        <v>15</v>
      </c>
      <c r="I1849" s="12">
        <f>VENTAS[[#This Row],[Cantidad]]*VENTAS[[#This Row],[Precio Venta]]</f>
        <v>30</v>
      </c>
      <c r="J1849" s="12">
        <f>IF(VENTAS[[#This Row],[Nombre del Gestor]]&gt;1,VENTAS[[#This Row],[Total]]*10%,0)</f>
        <v>3</v>
      </c>
      <c r="K1849" s="12">
        <f>IFERROR(VLOOKUP(VENTAS[[#This Row],[Código del producto Vendido]],STOCK[],16,FALSE)*VENTAS[[#This Row],[Cantidad]]+VLOOKUP(VENTAS[[#This Row],[Código del producto Vendido]],STOCK[],19,FALSE)*VENTAS[[#This Row],[Cantidad]],VENTAS[[#This Row],[Total]])</f>
        <v>0</v>
      </c>
      <c r="L1849" s="12">
        <f>VENTAS[[#This Row],[Total]]-VENTAS[[#This Row],[Comisión 10%]]-VENTAS[[#This Row],[Costo SIN Comision]]</f>
        <v>27</v>
      </c>
      <c r="M1849" s="48"/>
      <c r="N1849" s="16" t="s">
        <v>4826</v>
      </c>
    </row>
    <row r="1850" spans="1:14" s="4" customFormat="1" ht="20" hidden="1" customHeight="1">
      <c r="A1850" s="46">
        <v>45576</v>
      </c>
      <c r="B1850" s="47"/>
      <c r="C1850" s="47"/>
      <c r="D1850" s="47" t="s">
        <v>4473</v>
      </c>
      <c r="E1850" s="47" t="s">
        <v>2849</v>
      </c>
      <c r="F1850" s="10" t="str">
        <f>IFERROR(VLOOKUP(VENTAS[[#This Row],[Código del producto Vendido]],STOCK[],5,FALSE),"-")</f>
        <v>Pantalones largros rayados de moda de gran comodidad</v>
      </c>
      <c r="G1850" s="47">
        <v>1</v>
      </c>
      <c r="H1850" s="48">
        <v>22</v>
      </c>
      <c r="I1850" s="12">
        <f>VENTAS[[#This Row],[Cantidad]]*VENTAS[[#This Row],[Precio Venta]]</f>
        <v>22</v>
      </c>
      <c r="J1850" s="12">
        <f>IF(VENTAS[[#This Row],[Nombre del Gestor]]&gt;1,VENTAS[[#This Row],[Total]]*10%,0)</f>
        <v>2.2000000000000002</v>
      </c>
      <c r="K1850" s="12">
        <f>IFERROR(VLOOKUP(VENTAS[[#This Row],[Código del producto Vendido]],STOCK[],16,FALSE)*VENTAS[[#This Row],[Cantidad]]+VLOOKUP(VENTAS[[#This Row],[Código del producto Vendido]],STOCK[],19,FALSE)*VENTAS[[#This Row],[Cantidad]],VENTAS[[#This Row],[Total]])</f>
        <v>10.52</v>
      </c>
      <c r="L1850" s="12">
        <f>VENTAS[[#This Row],[Total]]-VENTAS[[#This Row],[Comisión 10%]]-VENTAS[[#This Row],[Costo SIN Comision]]</f>
        <v>9.2800000000000011</v>
      </c>
      <c r="M1850" s="48"/>
      <c r="N1850" s="16" t="s">
        <v>4827</v>
      </c>
    </row>
    <row r="1851" spans="1:14" s="4" customFormat="1" ht="20" hidden="1" customHeight="1">
      <c r="A1851" s="46">
        <v>45576</v>
      </c>
      <c r="B1851" s="47"/>
      <c r="C1851" s="47"/>
      <c r="D1851" s="47" t="s">
        <v>4473</v>
      </c>
      <c r="E1851" s="47" t="s">
        <v>2515</v>
      </c>
      <c r="F1851" s="10" t="str">
        <f>IFERROR(VLOOKUP(VENTAS[[#This Row],[Código del producto Vendido]],STOCK[],5,FALSE),"-")</f>
        <v>Camisa elegante de listas</v>
      </c>
      <c r="G1851" s="47">
        <v>1</v>
      </c>
      <c r="H1851" s="48">
        <v>22</v>
      </c>
      <c r="I1851" s="12">
        <f>VENTAS[[#This Row],[Cantidad]]*VENTAS[[#This Row],[Precio Venta]]</f>
        <v>22</v>
      </c>
      <c r="J1851" s="12">
        <f>IF(VENTAS[[#This Row],[Nombre del Gestor]]&gt;1,VENTAS[[#This Row],[Total]]*10%,0)</f>
        <v>2.2000000000000002</v>
      </c>
      <c r="K1851" s="12">
        <f>IFERROR(VLOOKUP(VENTAS[[#This Row],[Código del producto Vendido]],STOCK[],16,FALSE)*VENTAS[[#This Row],[Cantidad]]+VLOOKUP(VENTAS[[#This Row],[Código del producto Vendido]],STOCK[],19,FALSE)*VENTAS[[#This Row],[Cantidad]],VENTAS[[#This Row],[Total]])</f>
        <v>11.3</v>
      </c>
      <c r="L1851" s="12">
        <f>VENTAS[[#This Row],[Total]]-VENTAS[[#This Row],[Comisión 10%]]-VENTAS[[#This Row],[Costo SIN Comision]]</f>
        <v>8.5</v>
      </c>
      <c r="M1851" s="48"/>
      <c r="N1851" s="16" t="s">
        <v>4828</v>
      </c>
    </row>
    <row r="1852" spans="1:14" s="4" customFormat="1" ht="20" hidden="1" customHeight="1">
      <c r="A1852" s="46">
        <v>45576</v>
      </c>
      <c r="B1852" s="47"/>
      <c r="C1852" s="47"/>
      <c r="D1852" s="47" t="s">
        <v>4473</v>
      </c>
      <c r="E1852" s="47" t="s">
        <v>2022</v>
      </c>
      <c r="F1852" s="10" t="str">
        <f>IFERROR(VLOOKUP(VENTAS[[#This Row],[Código del producto Vendido]],STOCK[],5,FALSE),"-")</f>
        <v xml:space="preserve">Jogger afelpado de talle alto </v>
      </c>
      <c r="G1852" s="47">
        <v>1</v>
      </c>
      <c r="H1852" s="48">
        <v>22</v>
      </c>
      <c r="I1852" s="12">
        <f>VENTAS[[#This Row],[Cantidad]]*VENTAS[[#This Row],[Precio Venta]]</f>
        <v>22</v>
      </c>
      <c r="J1852" s="12">
        <f>IF(VENTAS[[#This Row],[Nombre del Gestor]]&gt;1,VENTAS[[#This Row],[Total]]*10%,0)</f>
        <v>2.2000000000000002</v>
      </c>
      <c r="K1852" s="12">
        <f>IFERROR(VLOOKUP(VENTAS[[#This Row],[Código del producto Vendido]],STOCK[],16,FALSE)*VENTAS[[#This Row],[Cantidad]]+VLOOKUP(VENTAS[[#This Row],[Código del producto Vendido]],STOCK[],19,FALSE)*VENTAS[[#This Row],[Cantidad]],VENTAS[[#This Row],[Total]])</f>
        <v>0</v>
      </c>
      <c r="L1852" s="12">
        <f>VENTAS[[#This Row],[Total]]-VENTAS[[#This Row],[Comisión 10%]]-VENTAS[[#This Row],[Costo SIN Comision]]</f>
        <v>19.8</v>
      </c>
      <c r="M1852" s="48"/>
      <c r="N1852" s="16" t="s">
        <v>4829</v>
      </c>
    </row>
    <row r="1853" spans="1:14" s="4" customFormat="1" ht="20" hidden="1" customHeight="1">
      <c r="A1853" s="46">
        <v>45576</v>
      </c>
      <c r="B1853" s="47"/>
      <c r="C1853" s="47"/>
      <c r="D1853" s="47" t="s">
        <v>4830</v>
      </c>
      <c r="E1853" s="47" t="s">
        <v>3462</v>
      </c>
      <c r="F1853" s="10" t="str">
        <f>IFERROR(VLOOKUP(VENTAS[[#This Row],[Código del producto Vendido]],STOCK[],5,FALSE),"-")</f>
        <v>Diadema rosas blancas</v>
      </c>
      <c r="G1853" s="47">
        <v>1</v>
      </c>
      <c r="H1853" s="48">
        <v>5</v>
      </c>
      <c r="I1853" s="12">
        <f>VENTAS[[#This Row],[Cantidad]]*VENTAS[[#This Row],[Precio Venta]]</f>
        <v>5</v>
      </c>
      <c r="J1853" s="12">
        <f>IF(VENTAS[[#This Row],[Nombre del Gestor]]&gt;1,VENTAS[[#This Row],[Total]]*10%,0)</f>
        <v>0.5</v>
      </c>
      <c r="K1853" s="12">
        <f>IFERROR(VLOOKUP(VENTAS[[#This Row],[Código del producto Vendido]],STOCK[],16,FALSE)*VENTAS[[#This Row],[Cantidad]]+VLOOKUP(VENTAS[[#This Row],[Código del producto Vendido]],STOCK[],19,FALSE)*VENTAS[[#This Row],[Cantidad]],VENTAS[[#This Row],[Total]])</f>
        <v>0</v>
      </c>
      <c r="L1853" s="12">
        <f>VENTAS[[#This Row],[Total]]-VENTAS[[#This Row],[Comisión 10%]]-VENTAS[[#This Row],[Costo SIN Comision]]</f>
        <v>4.5</v>
      </c>
      <c r="M1853" s="48"/>
      <c r="N1853" s="16" t="s">
        <v>4831</v>
      </c>
    </row>
    <row r="1854" spans="1:14" s="4" customFormat="1" ht="20" hidden="1" customHeight="1">
      <c r="A1854" s="46">
        <v>45576</v>
      </c>
      <c r="B1854" s="47"/>
      <c r="C1854" s="47"/>
      <c r="D1854" s="47" t="s">
        <v>4830</v>
      </c>
      <c r="E1854" s="47" t="s">
        <v>3414</v>
      </c>
      <c r="F1854" s="10" t="str">
        <f>IFERROR(VLOOKUP(VENTAS[[#This Row],[Código del producto Vendido]],STOCK[],5,FALSE),"-")</f>
        <v>Tatuajes faciales de catrina</v>
      </c>
      <c r="G1854" s="47">
        <v>4</v>
      </c>
      <c r="H1854" s="48">
        <v>2</v>
      </c>
      <c r="I1854" s="12">
        <f>VENTAS[[#This Row],[Cantidad]]*VENTAS[[#This Row],[Precio Venta]]</f>
        <v>8</v>
      </c>
      <c r="J1854" s="12">
        <f>IF(VENTAS[[#This Row],[Nombre del Gestor]]&gt;1,VENTAS[[#This Row],[Total]]*10%,0)</f>
        <v>0.8</v>
      </c>
      <c r="K1854" s="12">
        <f>IFERROR(VLOOKUP(VENTAS[[#This Row],[Código del producto Vendido]],STOCK[],16,FALSE)*VENTAS[[#This Row],[Cantidad]]+VLOOKUP(VENTAS[[#This Row],[Código del producto Vendido]],STOCK[],19,FALSE)*VENTAS[[#This Row],[Cantidad]],VENTAS[[#This Row],[Total]])</f>
        <v>0</v>
      </c>
      <c r="L1854" s="12">
        <f>VENTAS[[#This Row],[Total]]-VENTAS[[#This Row],[Comisión 10%]]-VENTAS[[#This Row],[Costo SIN Comision]]</f>
        <v>7.2</v>
      </c>
      <c r="M1854" s="48"/>
      <c r="N1854" s="16" t="s">
        <v>4832</v>
      </c>
    </row>
    <row r="1855" spans="1:14" s="4" customFormat="1" ht="20" hidden="1" customHeight="1">
      <c r="A1855" s="46">
        <v>45576</v>
      </c>
      <c r="B1855" s="47"/>
      <c r="C1855" s="47"/>
      <c r="D1855" s="47" t="s">
        <v>4830</v>
      </c>
      <c r="E1855" s="47" t="s">
        <v>3299</v>
      </c>
      <c r="F1855" s="10" t="str">
        <f>IFERROR(VLOOKUP(VENTAS[[#This Row],[Código del producto Vendido]],STOCK[],5,FALSE),"-")</f>
        <v>Gorro invisible para colocación de pelucas</v>
      </c>
      <c r="G1855" s="47">
        <v>2</v>
      </c>
      <c r="H1855" s="48">
        <v>3</v>
      </c>
      <c r="I1855" s="12">
        <f>VENTAS[[#This Row],[Cantidad]]*VENTAS[[#This Row],[Precio Venta]]</f>
        <v>6</v>
      </c>
      <c r="J1855" s="12">
        <f>IF(VENTAS[[#This Row],[Nombre del Gestor]]&gt;1,VENTAS[[#This Row],[Total]]*10%,0)</f>
        <v>0.60000000000000009</v>
      </c>
      <c r="K1855" s="12">
        <f>IFERROR(VLOOKUP(VENTAS[[#This Row],[Código del producto Vendido]],STOCK[],16,FALSE)*VENTAS[[#This Row],[Cantidad]]+VLOOKUP(VENTAS[[#This Row],[Código del producto Vendido]],STOCK[],19,FALSE)*VENTAS[[#This Row],[Cantidad]],VENTAS[[#This Row],[Total]])</f>
        <v>0</v>
      </c>
      <c r="L1855" s="12">
        <f>VENTAS[[#This Row],[Total]]-VENTAS[[#This Row],[Comisión 10%]]-VENTAS[[#This Row],[Costo SIN Comision]]</f>
        <v>5.4</v>
      </c>
      <c r="M1855" s="48"/>
      <c r="N1855" s="16" t="s">
        <v>4833</v>
      </c>
    </row>
    <row r="1856" spans="1:14" s="4" customFormat="1" ht="20" hidden="1" customHeight="1">
      <c r="A1856" s="46">
        <v>45576</v>
      </c>
      <c r="B1856" s="47"/>
      <c r="C1856" s="47"/>
      <c r="D1856" s="47" t="s">
        <v>4830</v>
      </c>
      <c r="E1856" s="47" t="s">
        <v>3414</v>
      </c>
      <c r="F1856" s="10" t="str">
        <f>IFERROR(VLOOKUP(VENTAS[[#This Row],[Código del producto Vendido]],STOCK[],5,FALSE),"-")</f>
        <v>Tatuajes faciales de catrina</v>
      </c>
      <c r="G1856" s="47">
        <v>1</v>
      </c>
      <c r="H1856" s="48">
        <v>2</v>
      </c>
      <c r="I1856" s="12">
        <f>VENTAS[[#This Row],[Cantidad]]*VENTAS[[#This Row],[Precio Venta]]</f>
        <v>2</v>
      </c>
      <c r="J1856" s="12">
        <f>IF(VENTAS[[#This Row],[Nombre del Gestor]]&gt;1,VENTAS[[#This Row],[Total]]*10%,0)</f>
        <v>0.2</v>
      </c>
      <c r="K1856" s="12">
        <f>IFERROR(VLOOKUP(VENTAS[[#This Row],[Código del producto Vendido]],STOCK[],16,FALSE)*VENTAS[[#This Row],[Cantidad]]+VLOOKUP(VENTAS[[#This Row],[Código del producto Vendido]],STOCK[],19,FALSE)*VENTAS[[#This Row],[Cantidad]],VENTAS[[#This Row],[Total]])</f>
        <v>0</v>
      </c>
      <c r="L1856" s="12">
        <f>VENTAS[[#This Row],[Total]]-VENTAS[[#This Row],[Comisión 10%]]-VENTAS[[#This Row],[Costo SIN Comision]]</f>
        <v>1.8</v>
      </c>
      <c r="M1856" s="48"/>
      <c r="N1856" s="16" t="s">
        <v>4834</v>
      </c>
    </row>
    <row r="1857" spans="1:14" s="4" customFormat="1" ht="20" hidden="1" customHeight="1">
      <c r="A1857" s="46">
        <v>45576</v>
      </c>
      <c r="B1857" s="47"/>
      <c r="C1857" s="47"/>
      <c r="D1857" s="47" t="s">
        <v>4571</v>
      </c>
      <c r="E1857" s="47" t="s">
        <v>3360</v>
      </c>
      <c r="F1857" s="10" t="str">
        <f>IFERROR(VLOOKUP(VENTAS[[#This Row],[Código del producto Vendido]],STOCK[],5,FALSE),"-")</f>
        <v>Máscara completa de payaso del terror con mini sombrero integrado</v>
      </c>
      <c r="G1857" s="47">
        <v>1</v>
      </c>
      <c r="H1857" s="48">
        <v>20</v>
      </c>
      <c r="I1857" s="12">
        <f>VENTAS[[#This Row],[Cantidad]]*VENTAS[[#This Row],[Precio Venta]]</f>
        <v>20</v>
      </c>
      <c r="J1857" s="12">
        <f>IF(VENTAS[[#This Row],[Nombre del Gestor]]&gt;1,VENTAS[[#This Row],[Total]]*10%,0)</f>
        <v>2</v>
      </c>
      <c r="K1857" s="12">
        <f>IFERROR(VLOOKUP(VENTAS[[#This Row],[Código del producto Vendido]],STOCK[],16,FALSE)*VENTAS[[#This Row],[Cantidad]]+VLOOKUP(VENTAS[[#This Row],[Código del producto Vendido]],STOCK[],19,FALSE)*VENTAS[[#This Row],[Cantidad]],VENTAS[[#This Row],[Total]])</f>
        <v>0</v>
      </c>
      <c r="L1857" s="12">
        <f>VENTAS[[#This Row],[Total]]-VENTAS[[#This Row],[Comisión 10%]]-VENTAS[[#This Row],[Costo SIN Comision]]</f>
        <v>18</v>
      </c>
      <c r="M1857" s="48"/>
      <c r="N1857" s="16" t="s">
        <v>4835</v>
      </c>
    </row>
    <row r="1858" spans="1:14" s="4" customFormat="1" ht="20" hidden="1" customHeight="1">
      <c r="A1858" s="46">
        <v>45576</v>
      </c>
      <c r="B1858" s="47"/>
      <c r="C1858" s="47"/>
      <c r="D1858" s="47" t="s">
        <v>4571</v>
      </c>
      <c r="E1858" s="47" t="s">
        <v>2838</v>
      </c>
      <c r="F1858" s="10" t="str">
        <f>IFERROR(VLOOKUP(VENTAS[[#This Row],[Código del producto Vendido]],STOCK[],5,FALSE),"-")</f>
        <v>Vestido elegante de crochet de de cuello profundo y espalda cruzada</v>
      </c>
      <c r="G1858" s="47">
        <v>1</v>
      </c>
      <c r="H1858" s="48">
        <v>30</v>
      </c>
      <c r="I1858" s="12">
        <f>VENTAS[[#This Row],[Cantidad]]*VENTAS[[#This Row],[Precio Venta]]</f>
        <v>30</v>
      </c>
      <c r="J1858" s="12">
        <f>IF(VENTAS[[#This Row],[Nombre del Gestor]]&gt;1,VENTAS[[#This Row],[Total]]*10%,0)</f>
        <v>3</v>
      </c>
      <c r="K1858" s="12">
        <f>IFERROR(VLOOKUP(VENTAS[[#This Row],[Código del producto Vendido]],STOCK[],16,FALSE)*VENTAS[[#This Row],[Cantidad]]+VLOOKUP(VENTAS[[#This Row],[Código del producto Vendido]],STOCK[],19,FALSE)*VENTAS[[#This Row],[Cantidad]],VENTAS[[#This Row],[Total]])</f>
        <v>13.5</v>
      </c>
      <c r="L1858" s="12">
        <f>VENTAS[[#This Row],[Total]]-VENTAS[[#This Row],[Comisión 10%]]-VENTAS[[#This Row],[Costo SIN Comision]]</f>
        <v>13.5</v>
      </c>
      <c r="M1858" s="48"/>
      <c r="N1858" s="16" t="s">
        <v>4836</v>
      </c>
    </row>
    <row r="1859" spans="1:14" s="4" customFormat="1" ht="20" hidden="1" customHeight="1">
      <c r="A1859" s="46">
        <v>45576</v>
      </c>
      <c r="B1859" s="47"/>
      <c r="C1859" s="47"/>
      <c r="D1859" s="47" t="s">
        <v>4378</v>
      </c>
      <c r="E1859" s="47" t="s">
        <v>2864</v>
      </c>
      <c r="F1859" s="10" t="str">
        <f>IFERROR(VLOOKUP(VENTAS[[#This Row],[Código del producto Vendido]],STOCK[],5,FALSE),"-")</f>
        <v>Vestido de espalda descubierta de color sólido y tirantes de espagueti</v>
      </c>
      <c r="G1859" s="47">
        <v>1</v>
      </c>
      <c r="H1859" s="48">
        <v>25</v>
      </c>
      <c r="I1859" s="12">
        <f>VENTAS[[#This Row],[Cantidad]]*VENTAS[[#This Row],[Precio Venta]]</f>
        <v>25</v>
      </c>
      <c r="J1859" s="12">
        <f>IF(VENTAS[[#This Row],[Nombre del Gestor]]&gt;1,VENTAS[[#This Row],[Total]]*10%,0)</f>
        <v>2.5</v>
      </c>
      <c r="K1859" s="12">
        <f>IFERROR(VLOOKUP(VENTAS[[#This Row],[Código del producto Vendido]],STOCK[],16,FALSE)*VENTAS[[#This Row],[Cantidad]]+VLOOKUP(VENTAS[[#This Row],[Código del producto Vendido]],STOCK[],19,FALSE)*VENTAS[[#This Row],[Cantidad]],VENTAS[[#This Row],[Total]])</f>
        <v>11.98</v>
      </c>
      <c r="L1859" s="12">
        <f>VENTAS[[#This Row],[Total]]-VENTAS[[#This Row],[Comisión 10%]]-VENTAS[[#This Row],[Costo SIN Comision]]</f>
        <v>10.52</v>
      </c>
      <c r="M1859" s="48"/>
      <c r="N1859" s="16" t="s">
        <v>4837</v>
      </c>
    </row>
    <row r="1860" spans="1:14" s="4" customFormat="1" ht="20" hidden="1" customHeight="1">
      <c r="A1860" s="46">
        <v>45576</v>
      </c>
      <c r="B1860" s="47"/>
      <c r="C1860" s="47"/>
      <c r="D1860" s="47" t="s">
        <v>4378</v>
      </c>
      <c r="E1860" s="47" t="s">
        <v>2857</v>
      </c>
      <c r="F1860" s="10" t="str">
        <f>IFERROR(VLOOKUP(VENTAS[[#This Row],[Código del producto Vendido]],STOCK[],5,FALSE),"-")</f>
        <v>Blusa de manga abombada de lazo delantero de estampado de leopardo</v>
      </c>
      <c r="G1860" s="47">
        <v>1</v>
      </c>
      <c r="H1860" s="48">
        <v>18</v>
      </c>
      <c r="I1860" s="12">
        <f>VENTAS[[#This Row],[Cantidad]]*VENTAS[[#This Row],[Precio Venta]]</f>
        <v>18</v>
      </c>
      <c r="J1860" s="12">
        <f>IF(VENTAS[[#This Row],[Nombre del Gestor]]&gt;1,VENTAS[[#This Row],[Total]]*10%,0)</f>
        <v>1.8</v>
      </c>
      <c r="K1860" s="12">
        <f>IFERROR(VLOOKUP(VENTAS[[#This Row],[Código del producto Vendido]],STOCK[],16,FALSE)*VENTAS[[#This Row],[Cantidad]]+VLOOKUP(VENTAS[[#This Row],[Código del producto Vendido]],STOCK[],19,FALSE)*VENTAS[[#This Row],[Cantidad]],VENTAS[[#This Row],[Total]])</f>
        <v>9.23</v>
      </c>
      <c r="L1860" s="12">
        <f>VENTAS[[#This Row],[Total]]-VENTAS[[#This Row],[Comisión 10%]]-VENTAS[[#This Row],[Costo SIN Comision]]</f>
        <v>6.9699999999999989</v>
      </c>
      <c r="M1860" s="48"/>
      <c r="N1860" s="16" t="s">
        <v>4838</v>
      </c>
    </row>
    <row r="1861" spans="1:14" s="4" customFormat="1" ht="20" hidden="1" customHeight="1">
      <c r="A1861" s="46">
        <v>45576</v>
      </c>
      <c r="B1861" s="47"/>
      <c r="C1861" s="47"/>
      <c r="D1861" s="47" t="s">
        <v>4374</v>
      </c>
      <c r="E1861" s="47" t="s">
        <v>1407</v>
      </c>
      <c r="F1861" s="10" t="str">
        <f>IFERROR(VLOOKUP(VENTAS[[#This Row],[Código del producto Vendido]],STOCK[],5,FALSE),"-")</f>
        <v>Top bustier corsetero</v>
      </c>
      <c r="G1861" s="47">
        <v>1</v>
      </c>
      <c r="H1861" s="48">
        <v>10</v>
      </c>
      <c r="I1861" s="12">
        <f>VENTAS[[#This Row],[Cantidad]]*VENTAS[[#This Row],[Precio Venta]]</f>
        <v>10</v>
      </c>
      <c r="J1861" s="12">
        <f>IF(VENTAS[[#This Row],[Nombre del Gestor]]&gt;1,VENTAS[[#This Row],[Total]]*10%,0)</f>
        <v>1</v>
      </c>
      <c r="K1861" s="12">
        <f>IFERROR(VLOOKUP(VENTAS[[#This Row],[Código del producto Vendido]],STOCK[],16,FALSE)*VENTAS[[#This Row],[Cantidad]]+VLOOKUP(VENTAS[[#This Row],[Código del producto Vendido]],STOCK[],19,FALSE)*VENTAS[[#This Row],[Cantidad]],VENTAS[[#This Row],[Total]])</f>
        <v>5.5</v>
      </c>
      <c r="L1861" s="12">
        <f>VENTAS[[#This Row],[Total]]-VENTAS[[#This Row],[Comisión 10%]]-VENTAS[[#This Row],[Costo SIN Comision]]</f>
        <v>3.5</v>
      </c>
      <c r="M1861" s="48"/>
      <c r="N1861" s="16" t="s">
        <v>4839</v>
      </c>
    </row>
    <row r="1862" spans="1:14" s="4" customFormat="1" ht="20" hidden="1" customHeight="1">
      <c r="A1862" s="46">
        <v>45576</v>
      </c>
      <c r="B1862" s="47"/>
      <c r="C1862" s="47"/>
      <c r="D1862" s="47"/>
      <c r="E1862" s="47" t="s">
        <v>3307</v>
      </c>
      <c r="F1862" s="10" t="str">
        <f>IFERROR(VLOOKUP(VENTAS[[#This Row],[Código del producto Vendido]],STOCK[],5,FALSE),"-")</f>
        <v>Máscara de El Grito</v>
      </c>
      <c r="G1862" s="47">
        <v>1</v>
      </c>
      <c r="H1862" s="48">
        <v>10</v>
      </c>
      <c r="I1862" s="12">
        <f>VENTAS[[#This Row],[Cantidad]]*VENTAS[[#This Row],[Precio Venta]]</f>
        <v>10</v>
      </c>
      <c r="J1862" s="12">
        <f>IF(VENTAS[[#This Row],[Nombre del Gestor]]&gt;1,VENTAS[[#This Row],[Total]]*10%,0)</f>
        <v>0</v>
      </c>
      <c r="K1862" s="12">
        <f>IFERROR(VLOOKUP(VENTAS[[#This Row],[Código del producto Vendido]],STOCK[],16,FALSE)*VENTAS[[#This Row],[Cantidad]]+VLOOKUP(VENTAS[[#This Row],[Código del producto Vendido]],STOCK[],19,FALSE)*VENTAS[[#This Row],[Cantidad]],VENTAS[[#This Row],[Total]])</f>
        <v>0</v>
      </c>
      <c r="L1862" s="12">
        <f>VENTAS[[#This Row],[Total]]-VENTAS[[#This Row],[Comisión 10%]]-VENTAS[[#This Row],[Costo SIN Comision]]</f>
        <v>10</v>
      </c>
      <c r="M1862" s="48"/>
      <c r="N1862" s="16" t="s">
        <v>4840</v>
      </c>
    </row>
    <row r="1863" spans="1:14" s="4" customFormat="1" ht="20" hidden="1" customHeight="1">
      <c r="A1863" s="46">
        <v>45577</v>
      </c>
      <c r="B1863" s="47"/>
      <c r="C1863" s="47"/>
      <c r="D1863" s="47" t="s">
        <v>4380</v>
      </c>
      <c r="E1863" s="47" t="s">
        <v>2930</v>
      </c>
      <c r="F1863" s="10" t="str">
        <f>IFERROR(VLOOKUP(VENTAS[[#This Row],[Código del producto Vendido]],STOCK[],5,FALSE),"-")</f>
        <v>Jeans de talle alto y pierna ancha color azul claro</v>
      </c>
      <c r="G1863" s="47">
        <v>1</v>
      </c>
      <c r="H1863" s="48">
        <v>30</v>
      </c>
      <c r="I1863" s="12">
        <f>VENTAS[[#This Row],[Cantidad]]*VENTAS[[#This Row],[Precio Venta]]</f>
        <v>30</v>
      </c>
      <c r="J1863" s="12">
        <f>IF(VENTAS[[#This Row],[Nombre del Gestor]]&gt;1,VENTAS[[#This Row],[Total]]*10%,0)</f>
        <v>3</v>
      </c>
      <c r="K1863" s="12">
        <f>IFERROR(VLOOKUP(VENTAS[[#This Row],[Código del producto Vendido]],STOCK[],16,FALSE)*VENTAS[[#This Row],[Cantidad]]+VLOOKUP(VENTAS[[#This Row],[Código del producto Vendido]],STOCK[],19,FALSE)*VENTAS[[#This Row],[Cantidad]],VENTAS[[#This Row],[Total]])</f>
        <v>12.46</v>
      </c>
      <c r="L1863" s="12">
        <f>VENTAS[[#This Row],[Total]]-VENTAS[[#This Row],[Comisión 10%]]-VENTAS[[#This Row],[Costo SIN Comision]]</f>
        <v>14.54</v>
      </c>
      <c r="M1863" s="48"/>
      <c r="N1863" s="16" t="s">
        <v>4841</v>
      </c>
    </row>
    <row r="1864" spans="1:14" s="4" customFormat="1" ht="20" hidden="1" customHeight="1">
      <c r="A1864" s="46">
        <v>45577</v>
      </c>
      <c r="B1864" s="47"/>
      <c r="C1864" s="47"/>
      <c r="D1864" s="47" t="s">
        <v>4349</v>
      </c>
      <c r="E1864" s="47" t="s">
        <v>2779</v>
      </c>
      <c r="F1864" s="10" t="str">
        <f>IFERROR(VLOOKUP(VENTAS[[#This Row],[Código del producto Vendido]],STOCK[],5,FALSE),"-")</f>
        <v>Sandalias espadriles de saco nude atada al tobillo</v>
      </c>
      <c r="G1864" s="47">
        <v>1</v>
      </c>
      <c r="H1864" s="48">
        <v>35</v>
      </c>
      <c r="I1864" s="12">
        <f>VENTAS[[#This Row],[Cantidad]]*VENTAS[[#This Row],[Precio Venta]]</f>
        <v>35</v>
      </c>
      <c r="J1864" s="12">
        <f>IF(VENTAS[[#This Row],[Nombre del Gestor]]&gt;1,VENTAS[[#This Row],[Total]]*10%,0)</f>
        <v>3.5</v>
      </c>
      <c r="K1864" s="12">
        <f>IFERROR(VLOOKUP(VENTAS[[#This Row],[Código del producto Vendido]],STOCK[],16,FALSE)*VENTAS[[#This Row],[Cantidad]]+VLOOKUP(VENTAS[[#This Row],[Código del producto Vendido]],STOCK[],19,FALSE)*VENTAS[[#This Row],[Cantidad]],VENTAS[[#This Row],[Total]])</f>
        <v>12.15</v>
      </c>
      <c r="L1864" s="12">
        <f>VENTAS[[#This Row],[Total]]-VENTAS[[#This Row],[Comisión 10%]]-VENTAS[[#This Row],[Costo SIN Comision]]</f>
        <v>19.350000000000001</v>
      </c>
      <c r="M1864" s="48"/>
      <c r="N1864" s="16" t="s">
        <v>4842</v>
      </c>
    </row>
    <row r="1865" spans="1:14" s="4" customFormat="1" ht="20" hidden="1" customHeight="1">
      <c r="A1865" s="46">
        <v>45577</v>
      </c>
      <c r="B1865" s="47"/>
      <c r="C1865" s="47"/>
      <c r="D1865" s="47" t="s">
        <v>4843</v>
      </c>
      <c r="E1865" s="47" t="s">
        <v>2826</v>
      </c>
      <c r="F1865" s="10" t="str">
        <f>IFERROR(VLOOKUP(VENTAS[[#This Row],[Código del producto Vendido]],STOCK[],5,FALSE),"-")</f>
        <v>Bolso tejido redondo de gran capacidad Beis</v>
      </c>
      <c r="G1865" s="47">
        <v>1</v>
      </c>
      <c r="H1865" s="48">
        <v>25</v>
      </c>
      <c r="I1865" s="12">
        <f>VENTAS[[#This Row],[Cantidad]]*VENTAS[[#This Row],[Precio Venta]]</f>
        <v>25</v>
      </c>
      <c r="J1865" s="12">
        <f>IF(VENTAS[[#This Row],[Nombre del Gestor]]&gt;1,VENTAS[[#This Row],[Total]]*10%,0)</f>
        <v>2.5</v>
      </c>
      <c r="K1865" s="12">
        <f>IFERROR(VLOOKUP(VENTAS[[#This Row],[Código del producto Vendido]],STOCK[],16,FALSE)*VENTAS[[#This Row],[Cantidad]]+VLOOKUP(VENTAS[[#This Row],[Código del producto Vendido]],STOCK[],19,FALSE)*VENTAS[[#This Row],[Cantidad]],VENTAS[[#This Row],[Total]])</f>
        <v>12.74</v>
      </c>
      <c r="L1865" s="12">
        <f>VENTAS[[#This Row],[Total]]-VENTAS[[#This Row],[Comisión 10%]]-VENTAS[[#This Row],[Costo SIN Comision]]</f>
        <v>9.76</v>
      </c>
      <c r="M1865" s="48"/>
      <c r="N1865" s="16" t="s">
        <v>4844</v>
      </c>
    </row>
    <row r="1866" spans="1:14" s="4" customFormat="1" ht="20" hidden="1" customHeight="1">
      <c r="A1866" s="46">
        <v>45577</v>
      </c>
      <c r="B1866" s="47"/>
      <c r="C1866" s="47"/>
      <c r="D1866" s="47" t="s">
        <v>4689</v>
      </c>
      <c r="E1866" s="47" t="s">
        <v>2826</v>
      </c>
      <c r="F1866" s="10" t="str">
        <f>IFERROR(VLOOKUP(VENTAS[[#This Row],[Código del producto Vendido]],STOCK[],5,FALSE),"-")</f>
        <v>Bolso tejido redondo de gran capacidad Beis</v>
      </c>
      <c r="G1866" s="47">
        <v>1</v>
      </c>
      <c r="H1866" s="48">
        <v>25</v>
      </c>
      <c r="I1866" s="12">
        <f>VENTAS[[#This Row],[Cantidad]]*VENTAS[[#This Row],[Precio Venta]]</f>
        <v>25</v>
      </c>
      <c r="J1866" s="12">
        <f>IF(VENTAS[[#This Row],[Nombre del Gestor]]&gt;1,VENTAS[[#This Row],[Total]]*10%,0)</f>
        <v>2.5</v>
      </c>
      <c r="K1866" s="12">
        <f>IFERROR(VLOOKUP(VENTAS[[#This Row],[Código del producto Vendido]],STOCK[],16,FALSE)*VENTAS[[#This Row],[Cantidad]]+VLOOKUP(VENTAS[[#This Row],[Código del producto Vendido]],STOCK[],19,FALSE)*VENTAS[[#This Row],[Cantidad]],VENTAS[[#This Row],[Total]])</f>
        <v>12.74</v>
      </c>
      <c r="L1866" s="12">
        <f>VENTAS[[#This Row],[Total]]-VENTAS[[#This Row],[Comisión 10%]]-VENTAS[[#This Row],[Costo SIN Comision]]</f>
        <v>9.76</v>
      </c>
      <c r="M1866" s="48"/>
      <c r="N1866" s="16" t="s">
        <v>4845</v>
      </c>
    </row>
    <row r="1867" spans="1:14" s="4" customFormat="1" ht="20" hidden="1" customHeight="1">
      <c r="A1867" s="46">
        <v>45577</v>
      </c>
      <c r="B1867" s="47"/>
      <c r="C1867" s="47"/>
      <c r="D1867" s="47" t="s">
        <v>4843</v>
      </c>
      <c r="E1867" s="47" t="s">
        <v>3326</v>
      </c>
      <c r="F1867" s="10" t="str">
        <f>IFERROR(VLOOKUP(VENTAS[[#This Row],[Código del producto Vendido]],STOCK[],5,FALSE),"-")</f>
        <v>Máscara de bruja realista con peluca incluída</v>
      </c>
      <c r="G1867" s="47">
        <v>1</v>
      </c>
      <c r="H1867" s="48">
        <v>22</v>
      </c>
      <c r="I1867" s="12">
        <f>VENTAS[[#This Row],[Cantidad]]*VENTAS[[#This Row],[Precio Venta]]</f>
        <v>22</v>
      </c>
      <c r="J1867" s="12">
        <f>IF(VENTAS[[#This Row],[Nombre del Gestor]]&gt;1,VENTAS[[#This Row],[Total]]*10%,0)</f>
        <v>2.2000000000000002</v>
      </c>
      <c r="K1867" s="12">
        <f>IFERROR(VLOOKUP(VENTAS[[#This Row],[Código del producto Vendido]],STOCK[],16,FALSE)*VENTAS[[#This Row],[Cantidad]]+VLOOKUP(VENTAS[[#This Row],[Código del producto Vendido]],STOCK[],19,FALSE)*VENTAS[[#This Row],[Cantidad]],VENTAS[[#This Row],[Total]])</f>
        <v>0</v>
      </c>
      <c r="L1867" s="12">
        <f>VENTAS[[#This Row],[Total]]-VENTAS[[#This Row],[Comisión 10%]]-VENTAS[[#This Row],[Costo SIN Comision]]</f>
        <v>19.8</v>
      </c>
      <c r="M1867" s="48"/>
      <c r="N1867" s="16" t="s">
        <v>4846</v>
      </c>
    </row>
    <row r="1868" spans="1:14" s="4" customFormat="1" ht="20" hidden="1" customHeight="1">
      <c r="A1868" s="46">
        <v>45577</v>
      </c>
      <c r="B1868" s="47"/>
      <c r="C1868" s="47"/>
      <c r="D1868" s="47" t="s">
        <v>4408</v>
      </c>
      <c r="E1868" s="47" t="s">
        <v>2809</v>
      </c>
      <c r="F1868" s="10" t="str">
        <f>IFERROR(VLOOKUP(VENTAS[[#This Row],[Código del producto Vendido]],STOCK[],5,FALSE),"-")</f>
        <v>Sandalias espadriles de cuña de correas transparentes</v>
      </c>
      <c r="G1868" s="47">
        <v>1</v>
      </c>
      <c r="H1868" s="48">
        <v>40</v>
      </c>
      <c r="I1868" s="12">
        <f>VENTAS[[#This Row],[Cantidad]]*VENTAS[[#This Row],[Precio Venta]]</f>
        <v>40</v>
      </c>
      <c r="J1868" s="12">
        <f>IF(VENTAS[[#This Row],[Nombre del Gestor]]&gt;1,VENTAS[[#This Row],[Total]]*10%,0)</f>
        <v>4</v>
      </c>
      <c r="K1868" s="12">
        <f>IFERROR(VLOOKUP(VENTAS[[#This Row],[Código del producto Vendido]],STOCK[],16,FALSE)*VENTAS[[#This Row],[Cantidad]]+VLOOKUP(VENTAS[[#This Row],[Código del producto Vendido]],STOCK[],19,FALSE)*VENTAS[[#This Row],[Cantidad]],VENTAS[[#This Row],[Total]])</f>
        <v>13.01</v>
      </c>
      <c r="L1868" s="12">
        <f>VENTAS[[#This Row],[Total]]-VENTAS[[#This Row],[Comisión 10%]]-VENTAS[[#This Row],[Costo SIN Comision]]</f>
        <v>22.990000000000002</v>
      </c>
      <c r="M1868" s="48"/>
      <c r="N1868" s="16" t="s">
        <v>4847</v>
      </c>
    </row>
    <row r="1869" spans="1:14" s="4" customFormat="1" ht="20" hidden="1" customHeight="1">
      <c r="A1869" s="46">
        <v>45577</v>
      </c>
      <c r="B1869" s="47"/>
      <c r="C1869" s="47"/>
      <c r="D1869" s="47" t="s">
        <v>4378</v>
      </c>
      <c r="E1869" s="47" t="s">
        <v>2849</v>
      </c>
      <c r="F1869" s="10" t="str">
        <f>IFERROR(VLOOKUP(VENTAS[[#This Row],[Código del producto Vendido]],STOCK[],5,FALSE),"-")</f>
        <v>Pantalones largros rayados de moda de gran comodidad</v>
      </c>
      <c r="G1869" s="47">
        <v>1</v>
      </c>
      <c r="H1869" s="48">
        <v>22</v>
      </c>
      <c r="I1869" s="12">
        <f>VENTAS[[#This Row],[Cantidad]]*VENTAS[[#This Row],[Precio Venta]]</f>
        <v>22</v>
      </c>
      <c r="J1869" s="12">
        <f>IF(VENTAS[[#This Row],[Nombre del Gestor]]&gt;1,VENTAS[[#This Row],[Total]]*10%,0)</f>
        <v>2.2000000000000002</v>
      </c>
      <c r="K1869" s="12">
        <f>IFERROR(VLOOKUP(VENTAS[[#This Row],[Código del producto Vendido]],STOCK[],16,FALSE)*VENTAS[[#This Row],[Cantidad]]+VLOOKUP(VENTAS[[#This Row],[Código del producto Vendido]],STOCK[],19,FALSE)*VENTAS[[#This Row],[Cantidad]],VENTAS[[#This Row],[Total]])</f>
        <v>10.52</v>
      </c>
      <c r="L1869" s="12">
        <f>VENTAS[[#This Row],[Total]]-VENTAS[[#This Row],[Comisión 10%]]-VENTAS[[#This Row],[Costo SIN Comision]]</f>
        <v>9.2800000000000011</v>
      </c>
      <c r="M1869" s="48"/>
      <c r="N1869" s="16" t="s">
        <v>4848</v>
      </c>
    </row>
    <row r="1870" spans="1:14" s="4" customFormat="1" ht="20" hidden="1" customHeight="1">
      <c r="A1870" s="46">
        <v>45578</v>
      </c>
      <c r="B1870" s="47"/>
      <c r="C1870" s="47"/>
      <c r="D1870" s="47"/>
      <c r="E1870" s="47" t="s">
        <v>3448</v>
      </c>
      <c r="F1870" s="10" t="str">
        <f>IFERROR(VLOOKUP(VENTAS[[#This Row],[Código del producto Vendido]],STOCK[],5,FALSE),"-")</f>
        <v>Antifaz bordado</v>
      </c>
      <c r="G1870" s="47">
        <v>1</v>
      </c>
      <c r="H1870" s="48">
        <v>4</v>
      </c>
      <c r="I1870" s="12">
        <f>VENTAS[[#This Row],[Cantidad]]*VENTAS[[#This Row],[Precio Venta]]</f>
        <v>4</v>
      </c>
      <c r="J1870" s="12">
        <f>IF(VENTAS[[#This Row],[Nombre del Gestor]]&gt;1,VENTAS[[#This Row],[Total]]*10%,0)</f>
        <v>0</v>
      </c>
      <c r="K1870" s="12">
        <f>IFERROR(VLOOKUP(VENTAS[[#This Row],[Código del producto Vendido]],STOCK[],16,FALSE)*VENTAS[[#This Row],[Cantidad]]+VLOOKUP(VENTAS[[#This Row],[Código del producto Vendido]],STOCK[],19,FALSE)*VENTAS[[#This Row],[Cantidad]],VENTAS[[#This Row],[Total]])</f>
        <v>0</v>
      </c>
      <c r="L1870" s="12">
        <f>VENTAS[[#This Row],[Total]]-VENTAS[[#This Row],[Comisión 10%]]-VENTAS[[#This Row],[Costo SIN Comision]]</f>
        <v>4</v>
      </c>
      <c r="M1870" s="48"/>
      <c r="N1870" s="16" t="s">
        <v>4849</v>
      </c>
    </row>
    <row r="1871" spans="1:14" s="4" customFormat="1" ht="20" hidden="1" customHeight="1">
      <c r="A1871" s="46">
        <v>45578</v>
      </c>
      <c r="B1871" s="47"/>
      <c r="C1871" s="47"/>
      <c r="D1871" s="47" t="s">
        <v>4184</v>
      </c>
      <c r="E1871" s="47" t="s">
        <v>2952</v>
      </c>
      <c r="F1871" s="10" t="str">
        <f>IFERROR(VLOOKUP(VENTAS[[#This Row],[Código del producto Vendido]],STOCK[],5,FALSE),"-")</f>
        <v>Pantalón elegante de pierna ancha color crema</v>
      </c>
      <c r="G1871" s="47">
        <v>1</v>
      </c>
      <c r="H1871" s="48">
        <v>30</v>
      </c>
      <c r="I1871" s="12">
        <f>VENTAS[[#This Row],[Cantidad]]*VENTAS[[#This Row],[Precio Venta]]</f>
        <v>30</v>
      </c>
      <c r="J1871" s="12">
        <f>IF(VENTAS[[#This Row],[Nombre del Gestor]]&gt;1,VENTAS[[#This Row],[Total]]*10%,0)</f>
        <v>3</v>
      </c>
      <c r="K1871" s="12">
        <f>IFERROR(VLOOKUP(VENTAS[[#This Row],[Código del producto Vendido]],STOCK[],16,FALSE)*VENTAS[[#This Row],[Cantidad]]+VLOOKUP(VENTAS[[#This Row],[Código del producto Vendido]],STOCK[],19,FALSE)*VENTAS[[#This Row],[Cantidad]],VENTAS[[#This Row],[Total]])</f>
        <v>8.6</v>
      </c>
      <c r="L1871" s="12">
        <f>VENTAS[[#This Row],[Total]]-VENTAS[[#This Row],[Comisión 10%]]-VENTAS[[#This Row],[Costo SIN Comision]]</f>
        <v>18.399999999999999</v>
      </c>
      <c r="M1871" s="48"/>
      <c r="N1871" s="16" t="s">
        <v>4850</v>
      </c>
    </row>
    <row r="1872" spans="1:14" s="4" customFormat="1" ht="20" hidden="1" customHeight="1">
      <c r="A1872" s="46">
        <v>45578</v>
      </c>
      <c r="B1872" s="47"/>
      <c r="C1872" s="47"/>
      <c r="D1872" s="47" t="s">
        <v>4374</v>
      </c>
      <c r="E1872" s="47" t="s">
        <v>3350</v>
      </c>
      <c r="F1872" s="10" t="str">
        <f>IFERROR(VLOOKUP(VENTAS[[#This Row],[Código del producto Vendido]],STOCK[],5,FALSE),"-")</f>
        <v>Conjunto de disfraz de 4 piezas (top, falda, medias y diadema)</v>
      </c>
      <c r="G1872" s="47">
        <v>1</v>
      </c>
      <c r="H1872" s="48">
        <v>25</v>
      </c>
      <c r="I1872" s="12">
        <f>VENTAS[[#This Row],[Cantidad]]*VENTAS[[#This Row],[Precio Venta]]</f>
        <v>25</v>
      </c>
      <c r="J1872" s="12">
        <f>IF(VENTAS[[#This Row],[Nombre del Gestor]]&gt;1,VENTAS[[#This Row],[Total]]*10%,0)</f>
        <v>2.5</v>
      </c>
      <c r="K1872" s="12">
        <f>IFERROR(VLOOKUP(VENTAS[[#This Row],[Código del producto Vendido]],STOCK[],16,FALSE)*VENTAS[[#This Row],[Cantidad]]+VLOOKUP(VENTAS[[#This Row],[Código del producto Vendido]],STOCK[],19,FALSE)*VENTAS[[#This Row],[Cantidad]],VENTAS[[#This Row],[Total]])</f>
        <v>0</v>
      </c>
      <c r="L1872" s="12">
        <f>VENTAS[[#This Row],[Total]]-VENTAS[[#This Row],[Comisión 10%]]-VENTAS[[#This Row],[Costo SIN Comision]]</f>
        <v>22.5</v>
      </c>
      <c r="M1872" s="48"/>
      <c r="N1872" s="16" t="s">
        <v>4851</v>
      </c>
    </row>
    <row r="1873" spans="1:14" s="4" customFormat="1" ht="20" hidden="1" customHeight="1">
      <c r="A1873" s="46">
        <v>45578</v>
      </c>
      <c r="B1873" s="47"/>
      <c r="C1873" s="47"/>
      <c r="D1873" s="47"/>
      <c r="E1873" s="47" t="s">
        <v>3424</v>
      </c>
      <c r="F1873" s="10" t="str">
        <f>IFERROR(VLOOKUP(VENTAS[[#This Row],[Código del producto Vendido]],STOCK[],5,FALSE),"-")</f>
        <v>Aretes de fantasmitas</v>
      </c>
      <c r="G1873" s="47">
        <v>1</v>
      </c>
      <c r="H1873" s="48">
        <v>1.5</v>
      </c>
      <c r="I1873" s="12">
        <f>VENTAS[[#This Row],[Cantidad]]*VENTAS[[#This Row],[Precio Venta]]</f>
        <v>1.5</v>
      </c>
      <c r="J1873" s="12">
        <f>IF(VENTAS[[#This Row],[Nombre del Gestor]]&gt;1,VENTAS[[#This Row],[Total]]*10%,0)</f>
        <v>0</v>
      </c>
      <c r="K1873" s="12">
        <f>IFERROR(VLOOKUP(VENTAS[[#This Row],[Código del producto Vendido]],STOCK[],16,FALSE)*VENTAS[[#This Row],[Cantidad]]+VLOOKUP(VENTAS[[#This Row],[Código del producto Vendido]],STOCK[],19,FALSE)*VENTAS[[#This Row],[Cantidad]],VENTAS[[#This Row],[Total]])</f>
        <v>0</v>
      </c>
      <c r="L1873" s="12">
        <f>VENTAS[[#This Row],[Total]]-VENTAS[[#This Row],[Comisión 10%]]-VENTAS[[#This Row],[Costo SIN Comision]]</f>
        <v>1.5</v>
      </c>
      <c r="M1873" s="48"/>
      <c r="N1873" s="16" t="s">
        <v>4852</v>
      </c>
    </row>
    <row r="1874" spans="1:14" s="4" customFormat="1" ht="20" hidden="1" customHeight="1">
      <c r="A1874" s="46">
        <v>45578</v>
      </c>
      <c r="B1874" s="47"/>
      <c r="C1874" s="47"/>
      <c r="D1874" s="47" t="s">
        <v>4830</v>
      </c>
      <c r="E1874" s="47" t="s">
        <v>3377</v>
      </c>
      <c r="F1874" s="10" t="str">
        <f>IFERROR(VLOOKUP(VENTAS[[#This Row],[Código del producto Vendido]],STOCK[],5,FALSE),"-")</f>
        <v>Juego de 4 piezas para disfraz de abejita</v>
      </c>
      <c r="G1874" s="47">
        <v>1</v>
      </c>
      <c r="H1874" s="48">
        <v>15</v>
      </c>
      <c r="I1874" s="12">
        <f>VENTAS[[#This Row],[Cantidad]]*VENTAS[[#This Row],[Precio Venta]]</f>
        <v>15</v>
      </c>
      <c r="J1874" s="12">
        <f>IF(VENTAS[[#This Row],[Nombre del Gestor]]&gt;1,VENTAS[[#This Row],[Total]]*10%,0)</f>
        <v>1.5</v>
      </c>
      <c r="K1874" s="12">
        <f>IFERROR(VLOOKUP(VENTAS[[#This Row],[Código del producto Vendido]],STOCK[],16,FALSE)*VENTAS[[#This Row],[Cantidad]]+VLOOKUP(VENTAS[[#This Row],[Código del producto Vendido]],STOCK[],19,FALSE)*VENTAS[[#This Row],[Cantidad]],VENTAS[[#This Row],[Total]])</f>
        <v>0</v>
      </c>
      <c r="L1874" s="12">
        <f>VENTAS[[#This Row],[Total]]-VENTAS[[#This Row],[Comisión 10%]]-VENTAS[[#This Row],[Costo SIN Comision]]</f>
        <v>13.5</v>
      </c>
      <c r="M1874" s="48"/>
      <c r="N1874" s="16" t="s">
        <v>4853</v>
      </c>
    </row>
    <row r="1875" spans="1:14" s="4" customFormat="1" ht="20" hidden="1" customHeight="1">
      <c r="A1875" s="46">
        <v>45578</v>
      </c>
      <c r="B1875" s="47"/>
      <c r="C1875" s="47"/>
      <c r="D1875" s="47" t="s">
        <v>4830</v>
      </c>
      <c r="E1875" s="47" t="s">
        <v>3379</v>
      </c>
      <c r="F1875" s="10" t="str">
        <f>IFERROR(VLOOKUP(VENTAS[[#This Row],[Código del producto Vendido]],STOCK[],5,FALSE),"-")</f>
        <v>Set de Unicornio 2 piezas para niños</v>
      </c>
      <c r="G1875" s="47">
        <v>1</v>
      </c>
      <c r="H1875" s="48">
        <v>20</v>
      </c>
      <c r="I1875" s="12">
        <f>VENTAS[[#This Row],[Cantidad]]*VENTAS[[#This Row],[Precio Venta]]</f>
        <v>20</v>
      </c>
      <c r="J1875" s="12">
        <f>IF(VENTAS[[#This Row],[Nombre del Gestor]]&gt;1,VENTAS[[#This Row],[Total]]*10%,0)</f>
        <v>2</v>
      </c>
      <c r="K1875" s="12">
        <f>IFERROR(VLOOKUP(VENTAS[[#This Row],[Código del producto Vendido]],STOCK[],16,FALSE)*VENTAS[[#This Row],[Cantidad]]+VLOOKUP(VENTAS[[#This Row],[Código del producto Vendido]],STOCK[],19,FALSE)*VENTAS[[#This Row],[Cantidad]],VENTAS[[#This Row],[Total]])</f>
        <v>0</v>
      </c>
      <c r="L1875" s="12">
        <f>VENTAS[[#This Row],[Total]]-VENTAS[[#This Row],[Comisión 10%]]-VENTAS[[#This Row],[Costo SIN Comision]]</f>
        <v>18</v>
      </c>
      <c r="M1875" s="48"/>
      <c r="N1875" s="16" t="s">
        <v>4854</v>
      </c>
    </row>
    <row r="1876" spans="1:14" s="4" customFormat="1" ht="20" hidden="1" customHeight="1">
      <c r="A1876" s="46">
        <v>45578</v>
      </c>
      <c r="B1876" s="47"/>
      <c r="C1876" s="47"/>
      <c r="D1876" s="47" t="s">
        <v>4830</v>
      </c>
      <c r="E1876" s="47" t="s">
        <v>3452</v>
      </c>
      <c r="F1876" s="10" t="str">
        <f>IFERROR(VLOOKUP(VENTAS[[#This Row],[Código del producto Vendido]],STOCK[],5,FALSE),"-")</f>
        <v xml:space="preserve">Set de 3 piezas de alas de mariposa </v>
      </c>
      <c r="G1876" s="47">
        <v>1</v>
      </c>
      <c r="H1876" s="48">
        <v>16</v>
      </c>
      <c r="I1876" s="12">
        <f>VENTAS[[#This Row],[Cantidad]]*VENTAS[[#This Row],[Precio Venta]]</f>
        <v>16</v>
      </c>
      <c r="J1876" s="12">
        <f>IF(VENTAS[[#This Row],[Nombre del Gestor]]&gt;1,VENTAS[[#This Row],[Total]]*10%,0)</f>
        <v>1.6</v>
      </c>
      <c r="K1876" s="12">
        <f>IFERROR(VLOOKUP(VENTAS[[#This Row],[Código del producto Vendido]],STOCK[],16,FALSE)*VENTAS[[#This Row],[Cantidad]]+VLOOKUP(VENTAS[[#This Row],[Código del producto Vendido]],STOCK[],19,FALSE)*VENTAS[[#This Row],[Cantidad]],VENTAS[[#This Row],[Total]])</f>
        <v>0</v>
      </c>
      <c r="L1876" s="12">
        <f>VENTAS[[#This Row],[Total]]-VENTAS[[#This Row],[Comisión 10%]]-VENTAS[[#This Row],[Costo SIN Comision]]</f>
        <v>14.4</v>
      </c>
      <c r="M1876" s="48"/>
      <c r="N1876" s="16" t="s">
        <v>4855</v>
      </c>
    </row>
    <row r="1877" spans="1:14" s="4" customFormat="1" ht="20" hidden="1" customHeight="1">
      <c r="A1877" s="46">
        <v>45578</v>
      </c>
      <c r="B1877" s="47"/>
      <c r="C1877" s="47"/>
      <c r="D1877" s="47" t="s">
        <v>4830</v>
      </c>
      <c r="E1877" s="47" t="s">
        <v>3462</v>
      </c>
      <c r="F1877" s="10" t="str">
        <f>IFERROR(VLOOKUP(VENTAS[[#This Row],[Código del producto Vendido]],STOCK[],5,FALSE),"-")</f>
        <v>Diadema rosas blancas</v>
      </c>
      <c r="G1877" s="47">
        <v>1</v>
      </c>
      <c r="H1877" s="48">
        <v>5</v>
      </c>
      <c r="I1877" s="12">
        <f>VENTAS[[#This Row],[Cantidad]]*VENTAS[[#This Row],[Precio Venta]]</f>
        <v>5</v>
      </c>
      <c r="J1877" s="12">
        <f>IF(VENTAS[[#This Row],[Nombre del Gestor]]&gt;1,VENTAS[[#This Row],[Total]]*10%,0)</f>
        <v>0.5</v>
      </c>
      <c r="K1877" s="12">
        <f>IFERROR(VLOOKUP(VENTAS[[#This Row],[Código del producto Vendido]],STOCK[],16,FALSE)*VENTAS[[#This Row],[Cantidad]]+VLOOKUP(VENTAS[[#This Row],[Código del producto Vendido]],STOCK[],19,FALSE)*VENTAS[[#This Row],[Cantidad]],VENTAS[[#This Row],[Total]])</f>
        <v>0</v>
      </c>
      <c r="L1877" s="12">
        <f>VENTAS[[#This Row],[Total]]-VENTAS[[#This Row],[Comisión 10%]]-VENTAS[[#This Row],[Costo SIN Comision]]</f>
        <v>4.5</v>
      </c>
      <c r="M1877" s="48"/>
      <c r="N1877" s="16" t="s">
        <v>4856</v>
      </c>
    </row>
    <row r="1878" spans="1:14" s="4" customFormat="1" ht="20" hidden="1" customHeight="1">
      <c r="A1878" s="46">
        <v>45578</v>
      </c>
      <c r="B1878" s="47"/>
      <c r="C1878" s="47"/>
      <c r="D1878" s="47" t="s">
        <v>4830</v>
      </c>
      <c r="E1878" s="47" t="s">
        <v>3466</v>
      </c>
      <c r="F1878" s="10" t="str">
        <f>IFERROR(VLOOKUP(VENTAS[[#This Row],[Código del producto Vendido]],STOCK[],5,FALSE),"-")</f>
        <v>Diadema de Angel Negro</v>
      </c>
      <c r="G1878" s="47">
        <v>1</v>
      </c>
      <c r="H1878" s="48">
        <v>8</v>
      </c>
      <c r="I1878" s="12">
        <f>VENTAS[[#This Row],[Cantidad]]*VENTAS[[#This Row],[Precio Venta]]</f>
        <v>8</v>
      </c>
      <c r="J1878" s="12">
        <f>IF(VENTAS[[#This Row],[Nombre del Gestor]]&gt;1,VENTAS[[#This Row],[Total]]*10%,0)</f>
        <v>0.8</v>
      </c>
      <c r="K1878" s="12">
        <f>IFERROR(VLOOKUP(VENTAS[[#This Row],[Código del producto Vendido]],STOCK[],16,FALSE)*VENTAS[[#This Row],[Cantidad]]+VLOOKUP(VENTAS[[#This Row],[Código del producto Vendido]],STOCK[],19,FALSE)*VENTAS[[#This Row],[Cantidad]],VENTAS[[#This Row],[Total]])</f>
        <v>17</v>
      </c>
      <c r="L1878" s="12">
        <f>VENTAS[[#This Row],[Total]]-VENTAS[[#This Row],[Comisión 10%]]-VENTAS[[#This Row],[Costo SIN Comision]]</f>
        <v>-9.8000000000000007</v>
      </c>
      <c r="M1878" s="48"/>
      <c r="N1878" s="16" t="s">
        <v>4857</v>
      </c>
    </row>
    <row r="1879" spans="1:14" s="4" customFormat="1" ht="20" hidden="1" customHeight="1">
      <c r="A1879" s="46">
        <v>45578</v>
      </c>
      <c r="B1879" s="47"/>
      <c r="C1879" s="47"/>
      <c r="D1879" s="47" t="s">
        <v>4830</v>
      </c>
      <c r="E1879" s="47" t="s">
        <v>3460</v>
      </c>
      <c r="F1879" s="10" t="str">
        <f>IFERROR(VLOOKUP(VENTAS[[#This Row],[Código del producto Vendido]],STOCK[],5,FALSE),"-")</f>
        <v>Diadema rosas rojas</v>
      </c>
      <c r="G1879" s="47">
        <v>1</v>
      </c>
      <c r="H1879" s="48">
        <v>5</v>
      </c>
      <c r="I1879" s="12">
        <f>VENTAS[[#This Row],[Cantidad]]*VENTAS[[#This Row],[Precio Venta]]</f>
        <v>5</v>
      </c>
      <c r="J1879" s="12">
        <f>IF(VENTAS[[#This Row],[Nombre del Gestor]]&gt;1,VENTAS[[#This Row],[Total]]*10%,0)</f>
        <v>0.5</v>
      </c>
      <c r="K1879" s="12">
        <f>IFERROR(VLOOKUP(VENTAS[[#This Row],[Código del producto Vendido]],STOCK[],16,FALSE)*VENTAS[[#This Row],[Cantidad]]+VLOOKUP(VENTAS[[#This Row],[Código del producto Vendido]],STOCK[],19,FALSE)*VENTAS[[#This Row],[Cantidad]],VENTAS[[#This Row],[Total]])</f>
        <v>0</v>
      </c>
      <c r="L1879" s="12">
        <f>VENTAS[[#This Row],[Total]]-VENTAS[[#This Row],[Comisión 10%]]-VENTAS[[#This Row],[Costo SIN Comision]]</f>
        <v>4.5</v>
      </c>
      <c r="M1879" s="48"/>
      <c r="N1879" s="16" t="s">
        <v>4858</v>
      </c>
    </row>
    <row r="1880" spans="1:14" s="4" customFormat="1" ht="20" hidden="1" customHeight="1">
      <c r="A1880" s="46">
        <v>45579</v>
      </c>
      <c r="B1880" s="47"/>
      <c r="C1880" s="47"/>
      <c r="D1880" s="47" t="s">
        <v>4374</v>
      </c>
      <c r="E1880" s="47" t="s">
        <v>929</v>
      </c>
      <c r="F1880" s="10" t="str">
        <f>IFERROR(VLOOKUP(VENTAS[[#This Row],[Código del producto Vendido]],STOCK[],5,FALSE),"-")</f>
        <v>Falda de trabajo</v>
      </c>
      <c r="G1880" s="47">
        <v>1</v>
      </c>
      <c r="H1880" s="48">
        <v>15</v>
      </c>
      <c r="I1880" s="12">
        <f>VENTAS[[#This Row],[Cantidad]]*VENTAS[[#This Row],[Precio Venta]]</f>
        <v>15</v>
      </c>
      <c r="J1880" s="12">
        <f>IF(VENTAS[[#This Row],[Nombre del Gestor]]&gt;1,VENTAS[[#This Row],[Total]]*10%,0)</f>
        <v>1.5</v>
      </c>
      <c r="K1880" s="12">
        <f>IFERROR(VLOOKUP(VENTAS[[#This Row],[Código del producto Vendido]],STOCK[],16,FALSE)*VENTAS[[#This Row],[Cantidad]]+VLOOKUP(VENTAS[[#This Row],[Código del producto Vendido]],STOCK[],19,FALSE)*VENTAS[[#This Row],[Cantidad]],VENTAS[[#This Row],[Total]])</f>
        <v>7.8336363636363604</v>
      </c>
      <c r="L1880" s="12">
        <f>VENTAS[[#This Row],[Total]]-VENTAS[[#This Row],[Comisión 10%]]-VENTAS[[#This Row],[Costo SIN Comision]]</f>
        <v>5.6663636363636396</v>
      </c>
      <c r="M1880" s="48"/>
      <c r="N1880" s="16" t="s">
        <v>4859</v>
      </c>
    </row>
    <row r="1881" spans="1:14" s="4" customFormat="1" ht="20" hidden="1" customHeight="1">
      <c r="A1881" s="46">
        <v>45579</v>
      </c>
      <c r="B1881" s="47"/>
      <c r="C1881" s="47"/>
      <c r="D1881" s="47" t="s">
        <v>4378</v>
      </c>
      <c r="E1881" s="47" t="s">
        <v>2809</v>
      </c>
      <c r="F1881" s="10" t="str">
        <f>IFERROR(VLOOKUP(VENTAS[[#This Row],[Código del producto Vendido]],STOCK[],5,FALSE),"-")</f>
        <v>Sandalias espadriles de cuña de correas transparentes</v>
      </c>
      <c r="G1881" s="47">
        <v>1</v>
      </c>
      <c r="H1881" s="48">
        <v>40</v>
      </c>
      <c r="I1881" s="12">
        <f>VENTAS[[#This Row],[Cantidad]]*VENTAS[[#This Row],[Precio Venta]]</f>
        <v>40</v>
      </c>
      <c r="J1881" s="12">
        <f>IF(VENTAS[[#This Row],[Nombre del Gestor]]&gt;1,VENTAS[[#This Row],[Total]]*10%,0)</f>
        <v>4</v>
      </c>
      <c r="K1881" s="12">
        <f>IFERROR(VLOOKUP(VENTAS[[#This Row],[Código del producto Vendido]],STOCK[],16,FALSE)*VENTAS[[#This Row],[Cantidad]]+VLOOKUP(VENTAS[[#This Row],[Código del producto Vendido]],STOCK[],19,FALSE)*VENTAS[[#This Row],[Cantidad]],VENTAS[[#This Row],[Total]])</f>
        <v>13.01</v>
      </c>
      <c r="L1881" s="12">
        <f>VENTAS[[#This Row],[Total]]-VENTAS[[#This Row],[Comisión 10%]]-VENTAS[[#This Row],[Costo SIN Comision]]</f>
        <v>22.990000000000002</v>
      </c>
      <c r="M1881" s="48"/>
      <c r="N1881" s="16" t="s">
        <v>4860</v>
      </c>
    </row>
    <row r="1882" spans="1:14" s="4" customFormat="1" ht="20" hidden="1" customHeight="1">
      <c r="A1882" s="46">
        <v>45579</v>
      </c>
      <c r="B1882" s="47"/>
      <c r="C1882" s="47"/>
      <c r="D1882" s="47" t="s">
        <v>4378</v>
      </c>
      <c r="E1882" s="47" t="s">
        <v>2933</v>
      </c>
      <c r="F1882" s="10" t="str">
        <f>IFERROR(VLOOKUP(VENTAS[[#This Row],[Código del producto Vendido]],STOCK[],5,FALSE),"-")</f>
        <v>Jeans de talle alto y pierna ancha color azul claro</v>
      </c>
      <c r="G1882" s="47">
        <v>1</v>
      </c>
      <c r="H1882" s="48">
        <v>30</v>
      </c>
      <c r="I1882" s="12">
        <f>VENTAS[[#This Row],[Cantidad]]*VENTAS[[#This Row],[Precio Venta]]</f>
        <v>30</v>
      </c>
      <c r="J1882" s="12">
        <f>IF(VENTAS[[#This Row],[Nombre del Gestor]]&gt;1,VENTAS[[#This Row],[Total]]*10%,0)</f>
        <v>3</v>
      </c>
      <c r="K1882" s="12">
        <f>IFERROR(VLOOKUP(VENTAS[[#This Row],[Código del producto Vendido]],STOCK[],16,FALSE)*VENTAS[[#This Row],[Cantidad]]+VLOOKUP(VENTAS[[#This Row],[Código del producto Vendido]],STOCK[],19,FALSE)*VENTAS[[#This Row],[Cantidad]],VENTAS[[#This Row],[Total]])</f>
        <v>12.47</v>
      </c>
      <c r="L1882" s="12">
        <f>VENTAS[[#This Row],[Total]]-VENTAS[[#This Row],[Comisión 10%]]-VENTAS[[#This Row],[Costo SIN Comision]]</f>
        <v>14.53</v>
      </c>
      <c r="M1882" s="48"/>
      <c r="N1882" s="16" t="s">
        <v>4861</v>
      </c>
    </row>
    <row r="1883" spans="1:14" s="4" customFormat="1" ht="20" hidden="1" customHeight="1">
      <c r="A1883" s="46">
        <v>45579</v>
      </c>
      <c r="B1883" s="47"/>
      <c r="C1883" s="47"/>
      <c r="D1883" s="47" t="s">
        <v>4571</v>
      </c>
      <c r="E1883" s="47" t="s">
        <v>3360</v>
      </c>
      <c r="F1883" s="10" t="str">
        <f>IFERROR(VLOOKUP(VENTAS[[#This Row],[Código del producto Vendido]],STOCK[],5,FALSE),"-")</f>
        <v>Máscara completa de payaso del terror con mini sombrero integrado</v>
      </c>
      <c r="G1883" s="47">
        <v>1</v>
      </c>
      <c r="H1883" s="48">
        <v>20</v>
      </c>
      <c r="I1883" s="12">
        <f>VENTAS[[#This Row],[Cantidad]]*VENTAS[[#This Row],[Precio Venta]]</f>
        <v>20</v>
      </c>
      <c r="J1883" s="12">
        <f>IF(VENTAS[[#This Row],[Nombre del Gestor]]&gt;1,VENTAS[[#This Row],[Total]]*10%,0)</f>
        <v>2</v>
      </c>
      <c r="K1883" s="12">
        <f>IFERROR(VLOOKUP(VENTAS[[#This Row],[Código del producto Vendido]],STOCK[],16,FALSE)*VENTAS[[#This Row],[Cantidad]]+VLOOKUP(VENTAS[[#This Row],[Código del producto Vendido]],STOCK[],19,FALSE)*VENTAS[[#This Row],[Cantidad]],VENTAS[[#This Row],[Total]])</f>
        <v>0</v>
      </c>
      <c r="L1883" s="12">
        <f>VENTAS[[#This Row],[Total]]-VENTAS[[#This Row],[Comisión 10%]]-VENTAS[[#This Row],[Costo SIN Comision]]</f>
        <v>18</v>
      </c>
      <c r="M1883" s="48"/>
      <c r="N1883" s="16" t="s">
        <v>4862</v>
      </c>
    </row>
    <row r="1884" spans="1:14" s="4" customFormat="1" ht="20" hidden="1" customHeight="1">
      <c r="A1884" s="46">
        <v>45579</v>
      </c>
      <c r="B1884" s="47"/>
      <c r="C1884" s="47"/>
      <c r="D1884" s="47" t="s">
        <v>4380</v>
      </c>
      <c r="E1884" s="47" t="s">
        <v>3360</v>
      </c>
      <c r="F1884" s="10" t="str">
        <f>IFERROR(VLOOKUP(VENTAS[[#This Row],[Código del producto Vendido]],STOCK[],5,FALSE),"-")</f>
        <v>Máscara completa de payaso del terror con mini sombrero integrado</v>
      </c>
      <c r="G1884" s="47">
        <v>1</v>
      </c>
      <c r="H1884" s="48">
        <v>15</v>
      </c>
      <c r="I1884" s="12">
        <f>VENTAS[[#This Row],[Cantidad]]*VENTAS[[#This Row],[Precio Venta]]</f>
        <v>15</v>
      </c>
      <c r="J1884" s="12">
        <f>IF(VENTAS[[#This Row],[Nombre del Gestor]]&gt;1,VENTAS[[#This Row],[Total]]*10%,0)</f>
        <v>1.5</v>
      </c>
      <c r="K1884" s="12">
        <f>IFERROR(VLOOKUP(VENTAS[[#This Row],[Código del producto Vendido]],STOCK[],16,FALSE)*VENTAS[[#This Row],[Cantidad]]+VLOOKUP(VENTAS[[#This Row],[Código del producto Vendido]],STOCK[],19,FALSE)*VENTAS[[#This Row],[Cantidad]],VENTAS[[#This Row],[Total]])</f>
        <v>0</v>
      </c>
      <c r="L1884" s="12">
        <f>VENTAS[[#This Row],[Total]]-VENTAS[[#This Row],[Comisión 10%]]-VENTAS[[#This Row],[Costo SIN Comision]]</f>
        <v>13.5</v>
      </c>
      <c r="M1884" s="48"/>
      <c r="N1884" s="16" t="s">
        <v>4863</v>
      </c>
    </row>
    <row r="1885" spans="1:14" s="4" customFormat="1" ht="20" hidden="1" customHeight="1">
      <c r="A1885" s="46">
        <v>45579</v>
      </c>
      <c r="B1885" s="47"/>
      <c r="C1885" s="47"/>
      <c r="D1885" s="47" t="s">
        <v>4374</v>
      </c>
      <c r="E1885" s="47" t="s">
        <v>2803</v>
      </c>
      <c r="F1885" s="10" t="str">
        <f>IFERROR(VLOOKUP(VENTAS[[#This Row],[Código del producto Vendido]],STOCK[],5,FALSE),"-")</f>
        <v>Sandalias espadriles de cuña de correas transparentes</v>
      </c>
      <c r="G1885" s="47">
        <v>1</v>
      </c>
      <c r="H1885" s="48">
        <v>40</v>
      </c>
      <c r="I1885" s="12">
        <f>VENTAS[[#This Row],[Cantidad]]*VENTAS[[#This Row],[Precio Venta]]</f>
        <v>40</v>
      </c>
      <c r="J1885" s="12">
        <f>IF(VENTAS[[#This Row],[Nombre del Gestor]]&gt;1,VENTAS[[#This Row],[Total]]*10%,0)</f>
        <v>4</v>
      </c>
      <c r="K1885" s="12">
        <f>IFERROR(VLOOKUP(VENTAS[[#This Row],[Código del producto Vendido]],STOCK[],16,FALSE)*VENTAS[[#This Row],[Cantidad]]+VLOOKUP(VENTAS[[#This Row],[Código del producto Vendido]],STOCK[],19,FALSE)*VENTAS[[#This Row],[Cantidad]],VENTAS[[#This Row],[Total]])</f>
        <v>11.4</v>
      </c>
      <c r="L1885" s="12">
        <f>VENTAS[[#This Row],[Total]]-VENTAS[[#This Row],[Comisión 10%]]-VENTAS[[#This Row],[Costo SIN Comision]]</f>
        <v>24.6</v>
      </c>
      <c r="M1885" s="48"/>
      <c r="N1885" s="16" t="s">
        <v>4864</v>
      </c>
    </row>
    <row r="1886" spans="1:14" s="4" customFormat="1" ht="20" hidden="1" customHeight="1">
      <c r="A1886" s="46">
        <v>45580</v>
      </c>
      <c r="B1886" s="47"/>
      <c r="C1886" s="47"/>
      <c r="D1886" s="47" t="s">
        <v>4374</v>
      </c>
      <c r="E1886" s="47" t="s">
        <v>3040</v>
      </c>
      <c r="F1886" s="10" t="str">
        <f>IFERROR(VLOOKUP(VENTAS[[#This Row],[Código del producto Vendido]],STOCK[],5,FALSE),"-")</f>
        <v>Blusa de manga elegante en vuelos con ribete en contraste Color Morado</v>
      </c>
      <c r="G1886" s="47">
        <v>1</v>
      </c>
      <c r="H1886" s="48">
        <v>18</v>
      </c>
      <c r="I1886" s="12">
        <f>VENTAS[[#This Row],[Cantidad]]*VENTAS[[#This Row],[Precio Venta]]</f>
        <v>18</v>
      </c>
      <c r="J1886" s="12">
        <f>IF(VENTAS[[#This Row],[Nombre del Gestor]]&gt;1,VENTAS[[#This Row],[Total]]*10%,0)</f>
        <v>1.8</v>
      </c>
      <c r="K1886" s="12">
        <f>IFERROR(VLOOKUP(VENTAS[[#This Row],[Código del producto Vendido]],STOCK[],16,FALSE)*VENTAS[[#This Row],[Cantidad]]+VLOOKUP(VENTAS[[#This Row],[Código del producto Vendido]],STOCK[],19,FALSE)*VENTAS[[#This Row],[Cantidad]],VENTAS[[#This Row],[Total]])</f>
        <v>9.68</v>
      </c>
      <c r="L1886" s="12">
        <f>VENTAS[[#This Row],[Total]]-VENTAS[[#This Row],[Comisión 10%]]-VENTAS[[#This Row],[Costo SIN Comision]]</f>
        <v>6.52</v>
      </c>
      <c r="M1886" s="48"/>
      <c r="N1886" s="16" t="s">
        <v>4865</v>
      </c>
    </row>
    <row r="1887" spans="1:14" s="4" customFormat="1" ht="20" hidden="1" customHeight="1">
      <c r="A1887" s="46">
        <v>45580</v>
      </c>
      <c r="B1887" s="47"/>
      <c r="C1887" s="47"/>
      <c r="D1887" s="47" t="s">
        <v>4374</v>
      </c>
      <c r="E1887" s="47" t="s">
        <v>2998</v>
      </c>
      <c r="F1887" s="10" t="str">
        <f>IFERROR(VLOOKUP(VENTAS[[#This Row],[Código del producto Vendido]],STOCK[],5,FALSE),"-")</f>
        <v>Camiseta de moda con estampado de cereza</v>
      </c>
      <c r="G1887" s="47">
        <v>1</v>
      </c>
      <c r="H1887" s="48">
        <v>15</v>
      </c>
      <c r="I1887" s="12">
        <f>VENTAS[[#This Row],[Cantidad]]*VENTAS[[#This Row],[Precio Venta]]</f>
        <v>15</v>
      </c>
      <c r="J1887" s="12">
        <f>IF(VENTAS[[#This Row],[Nombre del Gestor]]&gt;1,VENTAS[[#This Row],[Total]]*10%,0)</f>
        <v>1.5</v>
      </c>
      <c r="K1887" s="12">
        <f>IFERROR(VLOOKUP(VENTAS[[#This Row],[Código del producto Vendido]],STOCK[],16,FALSE)*VENTAS[[#This Row],[Cantidad]]+VLOOKUP(VENTAS[[#This Row],[Código del producto Vendido]],STOCK[],19,FALSE)*VENTAS[[#This Row],[Cantidad]],VENTAS[[#This Row],[Total]])</f>
        <v>5.92</v>
      </c>
      <c r="L1887" s="12">
        <f>VENTAS[[#This Row],[Total]]-VENTAS[[#This Row],[Comisión 10%]]-VENTAS[[#This Row],[Costo SIN Comision]]</f>
        <v>7.58</v>
      </c>
      <c r="M1887" s="48"/>
      <c r="N1887" s="16" t="s">
        <v>4866</v>
      </c>
    </row>
    <row r="1888" spans="1:14" s="4" customFormat="1" ht="20" hidden="1" customHeight="1">
      <c r="A1888" s="46">
        <v>45580</v>
      </c>
      <c r="B1888" s="47"/>
      <c r="C1888" s="47"/>
      <c r="D1888" s="47" t="s">
        <v>4571</v>
      </c>
      <c r="E1888" s="47" t="s">
        <v>2964</v>
      </c>
      <c r="F1888" s="10" t="str">
        <f>IFERROR(VLOOKUP(VENTAS[[#This Row],[Código del producto Vendido]],STOCK[],5,FALSE),"-")</f>
        <v>Vestido largo Sexy y elegante de espalda corrida en degradado de color</v>
      </c>
      <c r="G1888" s="47">
        <v>1</v>
      </c>
      <c r="H1888" s="48">
        <v>25</v>
      </c>
      <c r="I1888" s="12">
        <f>VENTAS[[#This Row],[Cantidad]]*VENTAS[[#This Row],[Precio Venta]]</f>
        <v>25</v>
      </c>
      <c r="J1888" s="12">
        <f>IF(VENTAS[[#This Row],[Nombre del Gestor]]&gt;1,VENTAS[[#This Row],[Total]]*10%,0)</f>
        <v>2.5</v>
      </c>
      <c r="K1888" s="12">
        <f>IFERROR(VLOOKUP(VENTAS[[#This Row],[Código del producto Vendido]],STOCK[],16,FALSE)*VENTAS[[#This Row],[Cantidad]]+VLOOKUP(VENTAS[[#This Row],[Código del producto Vendido]],STOCK[],19,FALSE)*VENTAS[[#This Row],[Cantidad]],VENTAS[[#This Row],[Total]])</f>
        <v>13.63</v>
      </c>
      <c r="L1888" s="12">
        <f>VENTAS[[#This Row],[Total]]-VENTAS[[#This Row],[Comisión 10%]]-VENTAS[[#This Row],[Costo SIN Comision]]</f>
        <v>8.8699999999999992</v>
      </c>
      <c r="M1888" s="48"/>
      <c r="N1888" s="16" t="s">
        <v>4867</v>
      </c>
    </row>
    <row r="1889" spans="1:14" s="4" customFormat="1" ht="20" hidden="1" customHeight="1">
      <c r="A1889" s="46">
        <v>45580</v>
      </c>
      <c r="B1889" s="47"/>
      <c r="C1889" s="47"/>
      <c r="D1889" s="47" t="s">
        <v>4571</v>
      </c>
      <c r="E1889" s="47" t="s">
        <v>2582</v>
      </c>
      <c r="F1889" s="10" t="str">
        <f>IFERROR(VLOOKUP(VENTAS[[#This Row],[Código del producto Vendido]],STOCK[],5,FALSE),"-")</f>
        <v>Vestido Camisola con estampado de flores y tirantes cruzados</v>
      </c>
      <c r="G1889" s="47">
        <v>1</v>
      </c>
      <c r="H1889" s="48">
        <v>25</v>
      </c>
      <c r="I1889" s="12">
        <f>VENTAS[[#This Row],[Cantidad]]*VENTAS[[#This Row],[Precio Venta]]</f>
        <v>25</v>
      </c>
      <c r="J1889" s="12">
        <f>IF(VENTAS[[#This Row],[Nombre del Gestor]]&gt;1,VENTAS[[#This Row],[Total]]*10%,0)</f>
        <v>2.5</v>
      </c>
      <c r="K1889" s="12">
        <f>IFERROR(VLOOKUP(VENTAS[[#This Row],[Código del producto Vendido]],STOCK[],16,FALSE)*VENTAS[[#This Row],[Cantidad]]+VLOOKUP(VENTAS[[#This Row],[Código del producto Vendido]],STOCK[],19,FALSE)*VENTAS[[#This Row],[Cantidad]],VENTAS[[#This Row],[Total]])</f>
        <v>12.940000000000001</v>
      </c>
      <c r="L1889" s="12">
        <f>VENTAS[[#This Row],[Total]]-VENTAS[[#This Row],[Comisión 10%]]-VENTAS[[#This Row],[Costo SIN Comision]]</f>
        <v>9.5599999999999987</v>
      </c>
      <c r="M1889" s="48"/>
      <c r="N1889" s="16" t="s">
        <v>4868</v>
      </c>
    </row>
    <row r="1890" spans="1:14" s="4" customFormat="1" ht="20" hidden="1" customHeight="1">
      <c r="A1890" s="46">
        <v>45580</v>
      </c>
      <c r="B1890" s="47"/>
      <c r="C1890" s="47"/>
      <c r="D1890" s="47" t="s">
        <v>4374</v>
      </c>
      <c r="E1890" s="47" t="s">
        <v>2504</v>
      </c>
      <c r="F1890" s="10" t="str">
        <f>IFERROR(VLOOKUP(VENTAS[[#This Row],[Código del producto Vendido]],STOCK[],5,FALSE),"-")</f>
        <v>Camisa elegante con lazo grande</v>
      </c>
      <c r="G1890" s="47">
        <v>1</v>
      </c>
      <c r="H1890" s="48">
        <v>20</v>
      </c>
      <c r="I1890" s="12">
        <f>VENTAS[[#This Row],[Cantidad]]*VENTAS[[#This Row],[Precio Venta]]</f>
        <v>20</v>
      </c>
      <c r="J1890" s="12">
        <f>IF(VENTAS[[#This Row],[Nombre del Gestor]]&gt;1,VENTAS[[#This Row],[Total]]*10%,0)</f>
        <v>2</v>
      </c>
      <c r="K1890" s="12">
        <f>IFERROR(VLOOKUP(VENTAS[[#This Row],[Código del producto Vendido]],STOCK[],16,FALSE)*VENTAS[[#This Row],[Cantidad]]+VLOOKUP(VENTAS[[#This Row],[Código del producto Vendido]],STOCK[],19,FALSE)*VENTAS[[#This Row],[Cantidad]],VENTAS[[#This Row],[Total]])</f>
        <v>10.92</v>
      </c>
      <c r="L1890" s="12">
        <f>VENTAS[[#This Row],[Total]]-VENTAS[[#This Row],[Comisión 10%]]-VENTAS[[#This Row],[Costo SIN Comision]]</f>
        <v>7.08</v>
      </c>
      <c r="M1890" s="48"/>
      <c r="N1890" s="16" t="s">
        <v>4869</v>
      </c>
    </row>
    <row r="1891" spans="1:14" s="4" customFormat="1" ht="20" hidden="1" customHeight="1">
      <c r="A1891" s="46">
        <v>45580</v>
      </c>
      <c r="B1891" s="47"/>
      <c r="C1891" s="47"/>
      <c r="D1891" s="47" t="s">
        <v>4870</v>
      </c>
      <c r="E1891" s="47" t="s">
        <v>2932</v>
      </c>
      <c r="F1891" s="10" t="str">
        <f>IFERROR(VLOOKUP(VENTAS[[#This Row],[Código del producto Vendido]],STOCK[],5,FALSE),"-")</f>
        <v>Jeans de talle alto y pierna ancha color azul claro</v>
      </c>
      <c r="G1891" s="47">
        <v>1</v>
      </c>
      <c r="H1891" s="48">
        <v>30</v>
      </c>
      <c r="I1891" s="12">
        <f>VENTAS[[#This Row],[Cantidad]]*VENTAS[[#This Row],[Precio Venta]]</f>
        <v>30</v>
      </c>
      <c r="J1891" s="12">
        <f>IF(VENTAS[[#This Row],[Nombre del Gestor]]&gt;1,VENTAS[[#This Row],[Total]]*10%,0)</f>
        <v>3</v>
      </c>
      <c r="K1891" s="12">
        <f>IFERROR(VLOOKUP(VENTAS[[#This Row],[Código del producto Vendido]],STOCK[],16,FALSE)*VENTAS[[#This Row],[Cantidad]]+VLOOKUP(VENTAS[[#This Row],[Código del producto Vendido]],STOCK[],19,FALSE)*VENTAS[[#This Row],[Cantidad]],VENTAS[[#This Row],[Total]])</f>
        <v>12.47</v>
      </c>
      <c r="L1891" s="12">
        <f>VENTAS[[#This Row],[Total]]-VENTAS[[#This Row],[Comisión 10%]]-VENTAS[[#This Row],[Costo SIN Comision]]</f>
        <v>14.53</v>
      </c>
      <c r="M1891" s="48"/>
      <c r="N1891" s="16" t="s">
        <v>4871</v>
      </c>
    </row>
    <row r="1892" spans="1:14" s="4" customFormat="1" ht="20" hidden="1" customHeight="1">
      <c r="A1892" s="46">
        <v>45580</v>
      </c>
      <c r="B1892" s="47"/>
      <c r="C1892" s="47"/>
      <c r="D1892" s="47" t="s">
        <v>4689</v>
      </c>
      <c r="E1892" s="47" t="s">
        <v>2930</v>
      </c>
      <c r="F1892" s="10" t="str">
        <f>IFERROR(VLOOKUP(VENTAS[[#This Row],[Código del producto Vendido]],STOCK[],5,FALSE),"-")</f>
        <v>Jeans de talle alto y pierna ancha color azul claro</v>
      </c>
      <c r="G1892" s="47">
        <v>1</v>
      </c>
      <c r="H1892" s="48">
        <v>30</v>
      </c>
      <c r="I1892" s="12">
        <f>VENTAS[[#This Row],[Cantidad]]*VENTAS[[#This Row],[Precio Venta]]</f>
        <v>30</v>
      </c>
      <c r="J1892" s="12">
        <f>IF(VENTAS[[#This Row],[Nombre del Gestor]]&gt;1,VENTAS[[#This Row],[Total]]*10%,0)</f>
        <v>3</v>
      </c>
      <c r="K1892" s="12">
        <f>IFERROR(VLOOKUP(VENTAS[[#This Row],[Código del producto Vendido]],STOCK[],16,FALSE)*VENTAS[[#This Row],[Cantidad]]+VLOOKUP(VENTAS[[#This Row],[Código del producto Vendido]],STOCK[],19,FALSE)*VENTAS[[#This Row],[Cantidad]],VENTAS[[#This Row],[Total]])</f>
        <v>12.46</v>
      </c>
      <c r="L1892" s="12">
        <f>VENTAS[[#This Row],[Total]]-VENTAS[[#This Row],[Comisión 10%]]-VENTAS[[#This Row],[Costo SIN Comision]]</f>
        <v>14.54</v>
      </c>
      <c r="M1892" s="48"/>
      <c r="N1892" s="16" t="s">
        <v>4872</v>
      </c>
    </row>
    <row r="1893" spans="1:14" s="4" customFormat="1" ht="20" hidden="1" customHeight="1">
      <c r="A1893" s="46">
        <v>45580</v>
      </c>
      <c r="B1893" s="47"/>
      <c r="C1893" s="47"/>
      <c r="D1893" s="47" t="s">
        <v>4571</v>
      </c>
      <c r="E1893" s="47" t="s">
        <v>3307</v>
      </c>
      <c r="F1893" s="10" t="str">
        <f>IFERROR(VLOOKUP(VENTAS[[#This Row],[Código del producto Vendido]],STOCK[],5,FALSE),"-")</f>
        <v>Máscara de El Grito</v>
      </c>
      <c r="G1893" s="47">
        <v>1</v>
      </c>
      <c r="H1893" s="48">
        <v>10</v>
      </c>
      <c r="I1893" s="12">
        <f>VENTAS[[#This Row],[Cantidad]]*VENTAS[[#This Row],[Precio Venta]]</f>
        <v>10</v>
      </c>
      <c r="J1893" s="12">
        <f>IF(VENTAS[[#This Row],[Nombre del Gestor]]&gt;1,VENTAS[[#This Row],[Total]]*10%,0)</f>
        <v>1</v>
      </c>
      <c r="K1893" s="12">
        <f>IFERROR(VLOOKUP(VENTAS[[#This Row],[Código del producto Vendido]],STOCK[],16,FALSE)*VENTAS[[#This Row],[Cantidad]]+VLOOKUP(VENTAS[[#This Row],[Código del producto Vendido]],STOCK[],19,FALSE)*VENTAS[[#This Row],[Cantidad]],VENTAS[[#This Row],[Total]])</f>
        <v>0</v>
      </c>
      <c r="L1893" s="12">
        <f>VENTAS[[#This Row],[Total]]-VENTAS[[#This Row],[Comisión 10%]]-VENTAS[[#This Row],[Costo SIN Comision]]</f>
        <v>9</v>
      </c>
      <c r="M1893" s="48"/>
      <c r="N1893" s="16" t="s">
        <v>4873</v>
      </c>
    </row>
    <row r="1894" spans="1:14" s="4" customFormat="1" ht="20" hidden="1" customHeight="1">
      <c r="A1894" s="46">
        <v>45580</v>
      </c>
      <c r="B1894" s="47"/>
      <c r="C1894" s="47"/>
      <c r="D1894" s="47" t="s">
        <v>4378</v>
      </c>
      <c r="E1894" s="47" t="s">
        <v>1285</v>
      </c>
      <c r="F1894" s="10" t="str">
        <f>IFERROR(VLOOKUP(VENTAS[[#This Row],[Código del producto Vendido]],STOCK[],5,FALSE),"-")</f>
        <v>Pantalón de corte recto</v>
      </c>
      <c r="G1894" s="47">
        <v>1</v>
      </c>
      <c r="H1894" s="48">
        <v>28</v>
      </c>
      <c r="I1894" s="12">
        <f>VENTAS[[#This Row],[Cantidad]]*VENTAS[[#This Row],[Precio Venta]]</f>
        <v>28</v>
      </c>
      <c r="J1894" s="12">
        <f>IF(VENTAS[[#This Row],[Nombre del Gestor]]&gt;1,VENTAS[[#This Row],[Total]]*10%,0)</f>
        <v>2.8000000000000003</v>
      </c>
      <c r="K1894" s="12">
        <f>IFERROR(VLOOKUP(VENTAS[[#This Row],[Código del producto Vendido]],STOCK[],16,FALSE)*VENTAS[[#This Row],[Cantidad]]+VLOOKUP(VENTAS[[#This Row],[Código del producto Vendido]],STOCK[],19,FALSE)*VENTAS[[#This Row],[Cantidad]],VENTAS[[#This Row],[Total]])</f>
        <v>20.78</v>
      </c>
      <c r="L1894" s="12">
        <f>VENTAS[[#This Row],[Total]]-VENTAS[[#This Row],[Comisión 10%]]-VENTAS[[#This Row],[Costo SIN Comision]]</f>
        <v>4.4199999999999982</v>
      </c>
      <c r="M1894" s="48"/>
      <c r="N1894" s="16" t="s">
        <v>4874</v>
      </c>
    </row>
    <row r="1895" spans="1:14" s="4" customFormat="1" ht="20" hidden="1" customHeight="1">
      <c r="A1895" s="46">
        <v>45580</v>
      </c>
      <c r="B1895" s="47"/>
      <c r="C1895" s="47"/>
      <c r="D1895" s="47" t="s">
        <v>4571</v>
      </c>
      <c r="E1895" s="47" t="s">
        <v>3460</v>
      </c>
      <c r="F1895" s="10" t="str">
        <f>IFERROR(VLOOKUP(VENTAS[[#This Row],[Código del producto Vendido]],STOCK[],5,FALSE),"-")</f>
        <v>Diadema rosas rojas</v>
      </c>
      <c r="G1895" s="47">
        <v>1</v>
      </c>
      <c r="H1895" s="48">
        <v>5</v>
      </c>
      <c r="I1895" s="12">
        <f>VENTAS[[#This Row],[Cantidad]]*VENTAS[[#This Row],[Precio Venta]]</f>
        <v>5</v>
      </c>
      <c r="J1895" s="12">
        <f>IF(VENTAS[[#This Row],[Nombre del Gestor]]&gt;1,VENTAS[[#This Row],[Total]]*10%,0)</f>
        <v>0.5</v>
      </c>
      <c r="K1895" s="12">
        <f>IFERROR(VLOOKUP(VENTAS[[#This Row],[Código del producto Vendido]],STOCK[],16,FALSE)*VENTAS[[#This Row],[Cantidad]]+VLOOKUP(VENTAS[[#This Row],[Código del producto Vendido]],STOCK[],19,FALSE)*VENTAS[[#This Row],[Cantidad]],VENTAS[[#This Row],[Total]])</f>
        <v>0</v>
      </c>
      <c r="L1895" s="12">
        <f>VENTAS[[#This Row],[Total]]-VENTAS[[#This Row],[Comisión 10%]]-VENTAS[[#This Row],[Costo SIN Comision]]</f>
        <v>4.5</v>
      </c>
      <c r="M1895" s="48"/>
      <c r="N1895" s="16" t="s">
        <v>4875</v>
      </c>
    </row>
    <row r="1896" spans="1:14" s="4" customFormat="1" ht="20" hidden="1" customHeight="1">
      <c r="A1896" s="46">
        <v>45580</v>
      </c>
      <c r="B1896" s="47"/>
      <c r="C1896" s="47"/>
      <c r="D1896" s="47" t="s">
        <v>4876</v>
      </c>
      <c r="E1896" s="47" t="s">
        <v>3301</v>
      </c>
      <c r="F1896" s="10" t="str">
        <f>IFERROR(VLOOKUP(VENTAS[[#This Row],[Código del producto Vendido]],STOCK[],5,FALSE),"-")</f>
        <v>Conjunto de disfraz de policía (mono y cinturones)</v>
      </c>
      <c r="G1896" s="47">
        <v>1</v>
      </c>
      <c r="H1896" s="48">
        <v>25</v>
      </c>
      <c r="I1896" s="12">
        <f>VENTAS[[#This Row],[Cantidad]]*VENTAS[[#This Row],[Precio Venta]]</f>
        <v>25</v>
      </c>
      <c r="J1896" s="12">
        <f>IF(VENTAS[[#This Row],[Nombre del Gestor]]&gt;1,VENTAS[[#This Row],[Total]]*10%,0)</f>
        <v>2.5</v>
      </c>
      <c r="K1896" s="12">
        <f>IFERROR(VLOOKUP(VENTAS[[#This Row],[Código del producto Vendido]],STOCK[],16,FALSE)*VENTAS[[#This Row],[Cantidad]]+VLOOKUP(VENTAS[[#This Row],[Código del producto Vendido]],STOCK[],19,FALSE)*VENTAS[[#This Row],[Cantidad]],VENTAS[[#This Row],[Total]])</f>
        <v>0</v>
      </c>
      <c r="L1896" s="12">
        <f>VENTAS[[#This Row],[Total]]-VENTAS[[#This Row],[Comisión 10%]]-VENTAS[[#This Row],[Costo SIN Comision]]</f>
        <v>22.5</v>
      </c>
      <c r="M1896" s="48"/>
      <c r="N1896" s="16" t="s">
        <v>4877</v>
      </c>
    </row>
    <row r="1897" spans="1:14" s="4" customFormat="1" ht="20" hidden="1" customHeight="1">
      <c r="A1897" s="46">
        <v>45580</v>
      </c>
      <c r="B1897" s="47"/>
      <c r="C1897" s="47"/>
      <c r="D1897" s="47" t="s">
        <v>4878</v>
      </c>
      <c r="E1897" s="47" t="s">
        <v>3450</v>
      </c>
      <c r="F1897" s="10" t="str">
        <f>IFERROR(VLOOKUP(VENTAS[[#This Row],[Código del producto Vendido]],STOCK[],5,FALSE),"-")</f>
        <v>Cuchillo bromista</v>
      </c>
      <c r="G1897" s="47">
        <v>1</v>
      </c>
      <c r="H1897" s="48">
        <v>5</v>
      </c>
      <c r="I1897" s="12">
        <f>VENTAS[[#This Row],[Cantidad]]*VENTAS[[#This Row],[Precio Venta]]</f>
        <v>5</v>
      </c>
      <c r="J1897" s="12">
        <f>IF(VENTAS[[#This Row],[Nombre del Gestor]]&gt;1,VENTAS[[#This Row],[Total]]*10%,0)</f>
        <v>0.5</v>
      </c>
      <c r="K1897" s="12">
        <f>IFERROR(VLOOKUP(VENTAS[[#This Row],[Código del producto Vendido]],STOCK[],16,FALSE)*VENTAS[[#This Row],[Cantidad]]+VLOOKUP(VENTAS[[#This Row],[Código del producto Vendido]],STOCK[],19,FALSE)*VENTAS[[#This Row],[Cantidad]],VENTAS[[#This Row],[Total]])</f>
        <v>0</v>
      </c>
      <c r="L1897" s="12">
        <f>VENTAS[[#This Row],[Total]]-VENTAS[[#This Row],[Comisión 10%]]-VENTAS[[#This Row],[Costo SIN Comision]]</f>
        <v>4.5</v>
      </c>
      <c r="M1897" s="48"/>
      <c r="N1897" s="16" t="s">
        <v>4879</v>
      </c>
    </row>
    <row r="1898" spans="1:14" s="4" customFormat="1" ht="20" hidden="1" customHeight="1">
      <c r="A1898" s="46">
        <v>45580</v>
      </c>
      <c r="B1898" s="47"/>
      <c r="C1898" s="47"/>
      <c r="D1898" s="47" t="s">
        <v>4878</v>
      </c>
      <c r="E1898" s="47" t="s">
        <v>3396</v>
      </c>
      <c r="F1898" s="10" t="str">
        <f>IFERROR(VLOOKUP(VENTAS[[#This Row],[Código del producto Vendido]],STOCK[],5,FALSE),"-")</f>
        <v>Set de accesorios de monja 2 piezas</v>
      </c>
      <c r="G1898" s="47">
        <v>1</v>
      </c>
      <c r="H1898" s="48">
        <v>7</v>
      </c>
      <c r="I1898" s="12">
        <f>VENTAS[[#This Row],[Cantidad]]*VENTAS[[#This Row],[Precio Venta]]</f>
        <v>7</v>
      </c>
      <c r="J1898" s="12">
        <f>IF(VENTAS[[#This Row],[Nombre del Gestor]]&gt;1,VENTAS[[#This Row],[Total]]*10%,0)</f>
        <v>0.70000000000000007</v>
      </c>
      <c r="K1898" s="12">
        <f>IFERROR(VLOOKUP(VENTAS[[#This Row],[Código del producto Vendido]],STOCK[],16,FALSE)*VENTAS[[#This Row],[Cantidad]]+VLOOKUP(VENTAS[[#This Row],[Código del producto Vendido]],STOCK[],19,FALSE)*VENTAS[[#This Row],[Cantidad]],VENTAS[[#This Row],[Total]])</f>
        <v>0</v>
      </c>
      <c r="L1898" s="12">
        <f>VENTAS[[#This Row],[Total]]-VENTAS[[#This Row],[Comisión 10%]]-VENTAS[[#This Row],[Costo SIN Comision]]</f>
        <v>6.3</v>
      </c>
      <c r="M1898" s="48"/>
      <c r="N1898" s="16" t="s">
        <v>4880</v>
      </c>
    </row>
    <row r="1899" spans="1:14" s="4" customFormat="1" ht="20" hidden="1" customHeight="1">
      <c r="A1899" s="46">
        <v>45580</v>
      </c>
      <c r="B1899" s="47"/>
      <c r="C1899" s="47"/>
      <c r="D1899" s="47" t="s">
        <v>4878</v>
      </c>
      <c r="E1899" s="47" t="s">
        <v>3299</v>
      </c>
      <c r="F1899" s="10" t="str">
        <f>IFERROR(VLOOKUP(VENTAS[[#This Row],[Código del producto Vendido]],STOCK[],5,FALSE),"-")</f>
        <v>Gorro invisible para colocación de pelucas</v>
      </c>
      <c r="G1899" s="47">
        <v>2</v>
      </c>
      <c r="H1899" s="48">
        <v>3</v>
      </c>
      <c r="I1899" s="12">
        <f>VENTAS[[#This Row],[Cantidad]]*VENTAS[[#This Row],[Precio Venta]]</f>
        <v>6</v>
      </c>
      <c r="J1899" s="12">
        <f>IF(VENTAS[[#This Row],[Nombre del Gestor]]&gt;1,VENTAS[[#This Row],[Total]]*10%,0)</f>
        <v>0.60000000000000009</v>
      </c>
      <c r="K1899" s="12">
        <f>IFERROR(VLOOKUP(VENTAS[[#This Row],[Código del producto Vendido]],STOCK[],16,FALSE)*VENTAS[[#This Row],[Cantidad]]+VLOOKUP(VENTAS[[#This Row],[Código del producto Vendido]],STOCK[],19,FALSE)*VENTAS[[#This Row],[Cantidad]],VENTAS[[#This Row],[Total]])</f>
        <v>0</v>
      </c>
      <c r="L1899" s="12">
        <f>VENTAS[[#This Row],[Total]]-VENTAS[[#This Row],[Comisión 10%]]-VENTAS[[#This Row],[Costo SIN Comision]]</f>
        <v>5.4</v>
      </c>
      <c r="M1899" s="48"/>
      <c r="N1899" s="16" t="s">
        <v>4881</v>
      </c>
    </row>
    <row r="1900" spans="1:14" s="4" customFormat="1" ht="20" hidden="1" customHeight="1">
      <c r="A1900" s="46">
        <v>45580</v>
      </c>
      <c r="B1900" s="47"/>
      <c r="C1900" s="47"/>
      <c r="D1900" s="47" t="s">
        <v>4882</v>
      </c>
      <c r="E1900" s="47" t="s">
        <v>3450</v>
      </c>
      <c r="F1900" s="10" t="str">
        <f>IFERROR(VLOOKUP(VENTAS[[#This Row],[Código del producto Vendido]],STOCK[],5,FALSE),"-")</f>
        <v>Cuchillo bromista</v>
      </c>
      <c r="G1900" s="47">
        <v>1</v>
      </c>
      <c r="H1900" s="48">
        <v>5</v>
      </c>
      <c r="I1900" s="12">
        <f>VENTAS[[#This Row],[Cantidad]]*VENTAS[[#This Row],[Precio Venta]]</f>
        <v>5</v>
      </c>
      <c r="J1900" s="12">
        <f>IF(VENTAS[[#This Row],[Nombre del Gestor]]&gt;1,VENTAS[[#This Row],[Total]]*10%,0)</f>
        <v>0.5</v>
      </c>
      <c r="K1900" s="12">
        <f>IFERROR(VLOOKUP(VENTAS[[#This Row],[Código del producto Vendido]],STOCK[],16,FALSE)*VENTAS[[#This Row],[Cantidad]]+VLOOKUP(VENTAS[[#This Row],[Código del producto Vendido]],STOCK[],19,FALSE)*VENTAS[[#This Row],[Cantidad]],VENTAS[[#This Row],[Total]])</f>
        <v>0</v>
      </c>
      <c r="L1900" s="12">
        <f>VENTAS[[#This Row],[Total]]-VENTAS[[#This Row],[Comisión 10%]]-VENTAS[[#This Row],[Costo SIN Comision]]</f>
        <v>4.5</v>
      </c>
      <c r="M1900" s="48"/>
      <c r="N1900" s="16" t="s">
        <v>4883</v>
      </c>
    </row>
    <row r="1901" spans="1:14" s="4" customFormat="1" ht="20" hidden="1" customHeight="1">
      <c r="A1901" s="46">
        <v>45580</v>
      </c>
      <c r="B1901" s="47"/>
      <c r="C1901" s="47"/>
      <c r="D1901" s="47" t="s">
        <v>4830</v>
      </c>
      <c r="E1901" s="47" t="s">
        <v>3462</v>
      </c>
      <c r="F1901" s="10" t="str">
        <f>IFERROR(VLOOKUP(VENTAS[[#This Row],[Código del producto Vendido]],STOCK[],5,FALSE),"-")</f>
        <v>Diadema rosas blancas</v>
      </c>
      <c r="G1901" s="47">
        <v>1</v>
      </c>
      <c r="H1901" s="48">
        <v>5</v>
      </c>
      <c r="I1901" s="12">
        <f>VENTAS[[#This Row],[Cantidad]]*VENTAS[[#This Row],[Precio Venta]]</f>
        <v>5</v>
      </c>
      <c r="J1901" s="12">
        <f>IF(VENTAS[[#This Row],[Nombre del Gestor]]&gt;1,VENTAS[[#This Row],[Total]]*10%,0)</f>
        <v>0.5</v>
      </c>
      <c r="K1901" s="12">
        <f>IFERROR(VLOOKUP(VENTAS[[#This Row],[Código del producto Vendido]],STOCK[],16,FALSE)*VENTAS[[#This Row],[Cantidad]]+VLOOKUP(VENTAS[[#This Row],[Código del producto Vendido]],STOCK[],19,FALSE)*VENTAS[[#This Row],[Cantidad]],VENTAS[[#This Row],[Total]])</f>
        <v>0</v>
      </c>
      <c r="L1901" s="12">
        <f>VENTAS[[#This Row],[Total]]-VENTAS[[#This Row],[Comisión 10%]]-VENTAS[[#This Row],[Costo SIN Comision]]</f>
        <v>4.5</v>
      </c>
      <c r="M1901" s="48"/>
      <c r="N1901" s="16" t="s">
        <v>4884</v>
      </c>
    </row>
    <row r="1902" spans="1:14" s="4" customFormat="1" ht="20" hidden="1" customHeight="1">
      <c r="A1902" s="46">
        <v>45581</v>
      </c>
      <c r="B1902" s="47"/>
      <c r="C1902" s="47"/>
      <c r="D1902" s="47" t="s">
        <v>4885</v>
      </c>
      <c r="E1902" s="47" t="s">
        <v>3438</v>
      </c>
      <c r="F1902" s="10" t="str">
        <f>IFERROR(VLOOKUP(VENTAS[[#This Row],[Código del producto Vendido]],STOCK[],5,FALSE),"-")</f>
        <v>Sombrero grande de bruja</v>
      </c>
      <c r="G1902" s="47">
        <v>3</v>
      </c>
      <c r="H1902" s="48">
        <v>15</v>
      </c>
      <c r="I1902" s="12">
        <f>VENTAS[[#This Row],[Cantidad]]*VENTAS[[#This Row],[Precio Venta]]</f>
        <v>45</v>
      </c>
      <c r="J1902" s="12">
        <f>IF(VENTAS[[#This Row],[Nombre del Gestor]]&gt;1,VENTAS[[#This Row],[Total]]*10%,0)</f>
        <v>4.5</v>
      </c>
      <c r="K1902" s="12">
        <f>IFERROR(VLOOKUP(VENTAS[[#This Row],[Código del producto Vendido]],STOCK[],16,FALSE)*VENTAS[[#This Row],[Cantidad]]+VLOOKUP(VENTAS[[#This Row],[Código del producto Vendido]],STOCK[],19,FALSE)*VENTAS[[#This Row],[Cantidad]],VENTAS[[#This Row],[Total]])</f>
        <v>0</v>
      </c>
      <c r="L1902" s="12">
        <f>VENTAS[[#This Row],[Total]]-VENTAS[[#This Row],[Comisión 10%]]-VENTAS[[#This Row],[Costo SIN Comision]]</f>
        <v>40.5</v>
      </c>
      <c r="M1902" s="48"/>
      <c r="N1902" s="16" t="s">
        <v>4886</v>
      </c>
    </row>
    <row r="1903" spans="1:14" s="4" customFormat="1" ht="20" hidden="1" customHeight="1">
      <c r="A1903" s="46">
        <v>45581</v>
      </c>
      <c r="B1903" s="47"/>
      <c r="C1903" s="47"/>
      <c r="D1903" s="47" t="s">
        <v>4885</v>
      </c>
      <c r="E1903" s="47" t="s">
        <v>3428</v>
      </c>
      <c r="F1903" s="10" t="str">
        <f>IFERROR(VLOOKUP(VENTAS[[#This Row],[Código del producto Vendido]],STOCK[],5,FALSE),"-")</f>
        <v>Aretes de murciélagos</v>
      </c>
      <c r="G1903" s="47">
        <v>1</v>
      </c>
      <c r="H1903" s="48">
        <v>1.5</v>
      </c>
      <c r="I1903" s="12">
        <f>VENTAS[[#This Row],[Cantidad]]*VENTAS[[#This Row],[Precio Venta]]</f>
        <v>1.5</v>
      </c>
      <c r="J1903" s="12">
        <f>IF(VENTAS[[#This Row],[Nombre del Gestor]]&gt;1,VENTAS[[#This Row],[Total]]*10%,0)</f>
        <v>0.15000000000000002</v>
      </c>
      <c r="K1903" s="12">
        <f>IFERROR(VLOOKUP(VENTAS[[#This Row],[Código del producto Vendido]],STOCK[],16,FALSE)*VENTAS[[#This Row],[Cantidad]]+VLOOKUP(VENTAS[[#This Row],[Código del producto Vendido]],STOCK[],19,FALSE)*VENTAS[[#This Row],[Cantidad]],VENTAS[[#This Row],[Total]])</f>
        <v>0</v>
      </c>
      <c r="L1903" s="12">
        <f>VENTAS[[#This Row],[Total]]-VENTAS[[#This Row],[Comisión 10%]]-VENTAS[[#This Row],[Costo SIN Comision]]</f>
        <v>1.35</v>
      </c>
      <c r="M1903" s="48"/>
      <c r="N1903" s="16" t="s">
        <v>4887</v>
      </c>
    </row>
    <row r="1904" spans="1:14" s="4" customFormat="1" ht="20" hidden="1" customHeight="1">
      <c r="A1904" s="46">
        <v>45581</v>
      </c>
      <c r="B1904" s="47"/>
      <c r="C1904" s="47"/>
      <c r="D1904" s="47" t="s">
        <v>4885</v>
      </c>
      <c r="E1904" s="47" t="s">
        <v>3412</v>
      </c>
      <c r="F1904" s="10" t="str">
        <f>IFERROR(VLOOKUP(VENTAS[[#This Row],[Código del producto Vendido]],STOCK[],5,FALSE),"-")</f>
        <v>Peluca de Cruella De Vill</v>
      </c>
      <c r="G1904" s="47">
        <v>1</v>
      </c>
      <c r="H1904" s="48">
        <v>25</v>
      </c>
      <c r="I1904" s="12">
        <f>VENTAS[[#This Row],[Cantidad]]*VENTAS[[#This Row],[Precio Venta]]</f>
        <v>25</v>
      </c>
      <c r="J1904" s="12">
        <f>IF(VENTAS[[#This Row],[Nombre del Gestor]]&gt;1,VENTAS[[#This Row],[Total]]*10%,0)</f>
        <v>2.5</v>
      </c>
      <c r="K1904" s="12">
        <f>IFERROR(VLOOKUP(VENTAS[[#This Row],[Código del producto Vendido]],STOCK[],16,FALSE)*VENTAS[[#This Row],[Cantidad]]+VLOOKUP(VENTAS[[#This Row],[Código del producto Vendido]],STOCK[],19,FALSE)*VENTAS[[#This Row],[Cantidad]],VENTAS[[#This Row],[Total]])</f>
        <v>0</v>
      </c>
      <c r="L1904" s="12">
        <f>VENTAS[[#This Row],[Total]]-VENTAS[[#This Row],[Comisión 10%]]-VENTAS[[#This Row],[Costo SIN Comision]]</f>
        <v>22.5</v>
      </c>
      <c r="M1904" s="48"/>
      <c r="N1904" s="16" t="s">
        <v>4888</v>
      </c>
    </row>
    <row r="1905" spans="1:14" s="4" customFormat="1" ht="20" hidden="1" customHeight="1">
      <c r="A1905" s="46">
        <v>45581</v>
      </c>
      <c r="B1905" s="47"/>
      <c r="C1905" s="47"/>
      <c r="D1905" s="47" t="s">
        <v>4885</v>
      </c>
      <c r="E1905" s="47" t="s">
        <v>3393</v>
      </c>
      <c r="F1905" s="10" t="str">
        <f>IFERROR(VLOOKUP(VENTAS[[#This Row],[Código del producto Vendido]],STOCK[],5,FALSE),"-")</f>
        <v>Disfraz de Barbie para niñas</v>
      </c>
      <c r="G1905" s="47">
        <v>1</v>
      </c>
      <c r="H1905" s="48">
        <v>20</v>
      </c>
      <c r="I1905" s="12">
        <f>VENTAS[[#This Row],[Cantidad]]*VENTAS[[#This Row],[Precio Venta]]</f>
        <v>20</v>
      </c>
      <c r="J1905" s="12">
        <f>IF(VENTAS[[#This Row],[Nombre del Gestor]]&gt;1,VENTAS[[#This Row],[Total]]*10%,0)</f>
        <v>2</v>
      </c>
      <c r="K1905" s="12">
        <f>IFERROR(VLOOKUP(VENTAS[[#This Row],[Código del producto Vendido]],STOCK[],16,FALSE)*VENTAS[[#This Row],[Cantidad]]+VLOOKUP(VENTAS[[#This Row],[Código del producto Vendido]],STOCK[],19,FALSE)*VENTAS[[#This Row],[Cantidad]],VENTAS[[#This Row],[Total]])</f>
        <v>0</v>
      </c>
      <c r="L1905" s="12">
        <f>VENTAS[[#This Row],[Total]]-VENTAS[[#This Row],[Comisión 10%]]-VENTAS[[#This Row],[Costo SIN Comision]]</f>
        <v>18</v>
      </c>
      <c r="M1905" s="48"/>
      <c r="N1905" s="16" t="s">
        <v>4889</v>
      </c>
    </row>
    <row r="1906" spans="1:14" s="4" customFormat="1" ht="20" hidden="1" customHeight="1">
      <c r="A1906" s="46">
        <v>45581</v>
      </c>
      <c r="B1906" s="47"/>
      <c r="C1906" s="47"/>
      <c r="D1906" s="47" t="s">
        <v>4885</v>
      </c>
      <c r="E1906" s="47" t="s">
        <v>3326</v>
      </c>
      <c r="F1906" s="10" t="str">
        <f>IFERROR(VLOOKUP(VENTAS[[#This Row],[Código del producto Vendido]],STOCK[],5,FALSE),"-")</f>
        <v>Máscara de bruja realista con peluca incluída</v>
      </c>
      <c r="G1906" s="47">
        <v>1</v>
      </c>
      <c r="H1906" s="48">
        <v>22</v>
      </c>
      <c r="I1906" s="12">
        <f>VENTAS[[#This Row],[Cantidad]]*VENTAS[[#This Row],[Precio Venta]]</f>
        <v>22</v>
      </c>
      <c r="J1906" s="12">
        <f>IF(VENTAS[[#This Row],[Nombre del Gestor]]&gt;1,VENTAS[[#This Row],[Total]]*10%,0)</f>
        <v>2.2000000000000002</v>
      </c>
      <c r="K1906" s="12">
        <f>IFERROR(VLOOKUP(VENTAS[[#This Row],[Código del producto Vendido]],STOCK[],16,FALSE)*VENTAS[[#This Row],[Cantidad]]+VLOOKUP(VENTAS[[#This Row],[Código del producto Vendido]],STOCK[],19,FALSE)*VENTAS[[#This Row],[Cantidad]],VENTAS[[#This Row],[Total]])</f>
        <v>0</v>
      </c>
      <c r="L1906" s="12">
        <f>VENTAS[[#This Row],[Total]]-VENTAS[[#This Row],[Comisión 10%]]-VENTAS[[#This Row],[Costo SIN Comision]]</f>
        <v>19.8</v>
      </c>
      <c r="M1906" s="48"/>
      <c r="N1906" s="16" t="s">
        <v>4890</v>
      </c>
    </row>
    <row r="1907" spans="1:14" s="4" customFormat="1" ht="20" hidden="1" customHeight="1">
      <c r="A1907" s="46">
        <v>45581</v>
      </c>
      <c r="B1907" s="47"/>
      <c r="C1907" s="47"/>
      <c r="D1907" s="47" t="s">
        <v>4885</v>
      </c>
      <c r="E1907" s="47" t="s">
        <v>3326</v>
      </c>
      <c r="F1907" s="10" t="str">
        <f>IFERROR(VLOOKUP(VENTAS[[#This Row],[Código del producto Vendido]],STOCK[],5,FALSE),"-")</f>
        <v>Máscara de bruja realista con peluca incluída</v>
      </c>
      <c r="G1907" s="47">
        <v>1</v>
      </c>
      <c r="H1907" s="48">
        <v>22</v>
      </c>
      <c r="I1907" s="12">
        <f>VENTAS[[#This Row],[Cantidad]]*VENTAS[[#This Row],[Precio Venta]]</f>
        <v>22</v>
      </c>
      <c r="J1907" s="12">
        <f>IF(VENTAS[[#This Row],[Nombre del Gestor]]&gt;1,VENTAS[[#This Row],[Total]]*10%,0)</f>
        <v>2.2000000000000002</v>
      </c>
      <c r="K1907" s="12">
        <f>IFERROR(VLOOKUP(VENTAS[[#This Row],[Código del producto Vendido]],STOCK[],16,FALSE)*VENTAS[[#This Row],[Cantidad]]+VLOOKUP(VENTAS[[#This Row],[Código del producto Vendido]],STOCK[],19,FALSE)*VENTAS[[#This Row],[Cantidad]],VENTAS[[#This Row],[Total]])</f>
        <v>0</v>
      </c>
      <c r="L1907" s="12">
        <f>VENTAS[[#This Row],[Total]]-VENTAS[[#This Row],[Comisión 10%]]-VENTAS[[#This Row],[Costo SIN Comision]]</f>
        <v>19.8</v>
      </c>
      <c r="M1907" s="48"/>
      <c r="N1907" s="16" t="s">
        <v>4891</v>
      </c>
    </row>
    <row r="1908" spans="1:14" s="4" customFormat="1" ht="20" hidden="1" customHeight="1">
      <c r="A1908" s="46">
        <v>45581</v>
      </c>
      <c r="B1908" s="47"/>
      <c r="C1908" s="47"/>
      <c r="D1908" s="47" t="s">
        <v>4892</v>
      </c>
      <c r="E1908" s="47" t="s">
        <v>3328</v>
      </c>
      <c r="F1908" s="10" t="str">
        <f>IFERROR(VLOOKUP(VENTAS[[#This Row],[Código del producto Vendido]],STOCK[],5,FALSE),"-")</f>
        <v>Careta Anonimous</v>
      </c>
      <c r="G1908" s="47">
        <v>8</v>
      </c>
      <c r="H1908" s="48">
        <v>0</v>
      </c>
      <c r="I1908" s="12">
        <f>VENTAS[[#This Row],[Cantidad]]*VENTAS[[#This Row],[Precio Venta]]</f>
        <v>0</v>
      </c>
      <c r="J1908" s="12">
        <f>IF(VENTAS[[#This Row],[Nombre del Gestor]]&gt;1,VENTAS[[#This Row],[Total]]*10%,0)</f>
        <v>0</v>
      </c>
      <c r="K1908" s="12">
        <f>IFERROR(VLOOKUP(VENTAS[[#This Row],[Código del producto Vendido]],STOCK[],16,FALSE)*VENTAS[[#This Row],[Cantidad]]+VLOOKUP(VENTAS[[#This Row],[Código del producto Vendido]],STOCK[],19,FALSE)*VENTAS[[#This Row],[Cantidad]],VENTAS[[#This Row],[Total]])</f>
        <v>0</v>
      </c>
      <c r="L1908" s="12">
        <f>VENTAS[[#This Row],[Total]]-VENTAS[[#This Row],[Comisión 10%]]-VENTAS[[#This Row],[Costo SIN Comision]]</f>
        <v>0</v>
      </c>
      <c r="M1908" s="48"/>
      <c r="N1908" s="16" t="s">
        <v>4893</v>
      </c>
    </row>
    <row r="1909" spans="1:14" s="4" customFormat="1" ht="20" hidden="1" customHeight="1">
      <c r="A1909" s="46">
        <v>45581</v>
      </c>
      <c r="B1909" s="47"/>
      <c r="C1909" s="47"/>
      <c r="D1909" s="47" t="s">
        <v>4380</v>
      </c>
      <c r="E1909" s="47" t="s">
        <v>3295</v>
      </c>
      <c r="F1909" s="10" t="str">
        <f>IFERROR(VLOOKUP(VENTAS[[#This Row],[Código del producto Vendido]],STOCK[],5,FALSE),"-")</f>
        <v>Conjunto disfraz de Monja</v>
      </c>
      <c r="G1909" s="47">
        <v>1</v>
      </c>
      <c r="H1909" s="48">
        <v>20</v>
      </c>
      <c r="I1909" s="12">
        <f>VENTAS[[#This Row],[Cantidad]]*VENTAS[[#This Row],[Precio Venta]]</f>
        <v>20</v>
      </c>
      <c r="J1909" s="12">
        <f>IF(VENTAS[[#This Row],[Nombre del Gestor]]&gt;1,VENTAS[[#This Row],[Total]]*10%,0)</f>
        <v>2</v>
      </c>
      <c r="K1909" s="12">
        <f>IFERROR(VLOOKUP(VENTAS[[#This Row],[Código del producto Vendido]],STOCK[],16,FALSE)*VENTAS[[#This Row],[Cantidad]]+VLOOKUP(VENTAS[[#This Row],[Código del producto Vendido]],STOCK[],19,FALSE)*VENTAS[[#This Row],[Cantidad]],VENTAS[[#This Row],[Total]])</f>
        <v>0</v>
      </c>
      <c r="L1909" s="12">
        <f>VENTAS[[#This Row],[Total]]-VENTAS[[#This Row],[Comisión 10%]]-VENTAS[[#This Row],[Costo SIN Comision]]</f>
        <v>18</v>
      </c>
      <c r="M1909" s="48"/>
      <c r="N1909" s="16" t="s">
        <v>4894</v>
      </c>
    </row>
    <row r="1910" spans="1:14" s="4" customFormat="1" ht="20" hidden="1" customHeight="1">
      <c r="A1910" s="46">
        <v>45581</v>
      </c>
      <c r="B1910" s="47"/>
      <c r="C1910" s="47"/>
      <c r="D1910" s="47" t="s">
        <v>4535</v>
      </c>
      <c r="E1910" s="47" t="s">
        <v>3430</v>
      </c>
      <c r="F1910" s="10" t="str">
        <f>IFERROR(VLOOKUP(VENTAS[[#This Row],[Código del producto Vendido]],STOCK[],5,FALSE),"-")</f>
        <v>Pullover negro de Calabaza</v>
      </c>
      <c r="G1910" s="47">
        <v>1</v>
      </c>
      <c r="H1910" s="48">
        <v>12</v>
      </c>
      <c r="I1910" s="12">
        <f>VENTAS[[#This Row],[Cantidad]]*VENTAS[[#This Row],[Precio Venta]]</f>
        <v>12</v>
      </c>
      <c r="J1910" s="12">
        <f>IF(VENTAS[[#This Row],[Nombre del Gestor]]&gt;1,VENTAS[[#This Row],[Total]]*10%,0)</f>
        <v>1.2000000000000002</v>
      </c>
      <c r="K1910" s="12">
        <f>IFERROR(VLOOKUP(VENTAS[[#This Row],[Código del producto Vendido]],STOCK[],16,FALSE)*VENTAS[[#This Row],[Cantidad]]+VLOOKUP(VENTAS[[#This Row],[Código del producto Vendido]],STOCK[],19,FALSE)*VENTAS[[#This Row],[Cantidad]],VENTAS[[#This Row],[Total]])</f>
        <v>0</v>
      </c>
      <c r="L1910" s="12">
        <f>VENTAS[[#This Row],[Total]]-VENTAS[[#This Row],[Comisión 10%]]-VENTAS[[#This Row],[Costo SIN Comision]]</f>
        <v>10.8</v>
      </c>
      <c r="M1910" s="48"/>
      <c r="N1910" s="16" t="s">
        <v>4895</v>
      </c>
    </row>
    <row r="1911" spans="1:14" s="4" customFormat="1" ht="20" hidden="1" customHeight="1">
      <c r="A1911" s="46">
        <v>45581</v>
      </c>
      <c r="B1911" s="47"/>
      <c r="C1911" s="47"/>
      <c r="D1911" s="47" t="s">
        <v>4374</v>
      </c>
      <c r="E1911" s="47" t="s">
        <v>440</v>
      </c>
      <c r="F1911" s="10" t="str">
        <f>IFERROR(VLOOKUP(VENTAS[[#This Row],[Código del producto Vendido]],STOCK[],5,FALSE),"-")</f>
        <v>Blusa de cuello cisne</v>
      </c>
      <c r="G1911" s="47">
        <v>1</v>
      </c>
      <c r="H1911" s="48">
        <v>10</v>
      </c>
      <c r="I1911" s="12">
        <f>VENTAS[[#This Row],[Cantidad]]*VENTAS[[#This Row],[Precio Venta]]</f>
        <v>10</v>
      </c>
      <c r="J1911" s="12">
        <f>IF(VENTAS[[#This Row],[Nombre del Gestor]]&gt;1,VENTAS[[#This Row],[Total]]*10%,0)</f>
        <v>1</v>
      </c>
      <c r="K1911" s="12">
        <f>IFERROR(VLOOKUP(VENTAS[[#This Row],[Código del producto Vendido]],STOCK[],16,FALSE)*VENTAS[[#This Row],[Cantidad]]+VLOOKUP(VENTAS[[#This Row],[Código del producto Vendido]],STOCK[],19,FALSE)*VENTAS[[#This Row],[Cantidad]],VENTAS[[#This Row],[Total]])</f>
        <v>6.6566666666666698</v>
      </c>
      <c r="L1911" s="12">
        <f>VENTAS[[#This Row],[Total]]-VENTAS[[#This Row],[Comisión 10%]]-VENTAS[[#This Row],[Costo SIN Comision]]</f>
        <v>2.3433333333333302</v>
      </c>
      <c r="M1911" s="48"/>
      <c r="N1911" s="16" t="s">
        <v>4896</v>
      </c>
    </row>
    <row r="1912" spans="1:14" s="4" customFormat="1" ht="20" hidden="1" customHeight="1">
      <c r="A1912" s="46">
        <v>45581</v>
      </c>
      <c r="B1912" s="47"/>
      <c r="C1912" s="47"/>
      <c r="D1912" s="47" t="s">
        <v>4374</v>
      </c>
      <c r="E1912" s="47" t="s">
        <v>2274</v>
      </c>
      <c r="F1912" s="10" t="str">
        <f>IFERROR(VLOOKUP(VENTAS[[#This Row],[Código del producto Vendido]],STOCK[],5,FALSE),"-")</f>
        <v>Bolso shopper flores pequeñas coloridas</v>
      </c>
      <c r="G1912" s="47">
        <v>1</v>
      </c>
      <c r="H1912" s="48">
        <v>15</v>
      </c>
      <c r="I1912" s="12">
        <f>VENTAS[[#This Row],[Cantidad]]*VENTAS[[#This Row],[Precio Venta]]</f>
        <v>15</v>
      </c>
      <c r="J1912" s="12">
        <f>IF(VENTAS[[#This Row],[Nombre del Gestor]]&gt;1,VENTAS[[#This Row],[Total]]*10%,0)</f>
        <v>1.5</v>
      </c>
      <c r="K1912" s="12">
        <f>IFERROR(VLOOKUP(VENTAS[[#This Row],[Código del producto Vendido]],STOCK[],16,FALSE)*VENTAS[[#This Row],[Cantidad]]+VLOOKUP(VENTAS[[#This Row],[Código del producto Vendido]],STOCK[],19,FALSE)*VENTAS[[#This Row],[Cantidad]],VENTAS[[#This Row],[Total]])</f>
        <v>6.89</v>
      </c>
      <c r="L1912" s="12">
        <f>VENTAS[[#This Row],[Total]]-VENTAS[[#This Row],[Comisión 10%]]-VENTAS[[#This Row],[Costo SIN Comision]]</f>
        <v>6.61</v>
      </c>
      <c r="M1912" s="48"/>
      <c r="N1912" s="16" t="s">
        <v>4897</v>
      </c>
    </row>
    <row r="1913" spans="1:14" s="4" customFormat="1" ht="20" hidden="1" customHeight="1">
      <c r="A1913" s="46">
        <v>45581</v>
      </c>
      <c r="B1913" s="47"/>
      <c r="C1913" s="47"/>
      <c r="D1913" s="47" t="s">
        <v>4184</v>
      </c>
      <c r="E1913" s="47" t="s">
        <v>2807</v>
      </c>
      <c r="F1913" s="10" t="str">
        <f>IFERROR(VLOOKUP(VENTAS[[#This Row],[Código del producto Vendido]],STOCK[],5,FALSE),"-")</f>
        <v>Sandalias espadriles de cuña de correas transparentes</v>
      </c>
      <c r="G1913" s="47">
        <v>1</v>
      </c>
      <c r="H1913" s="48">
        <v>40</v>
      </c>
      <c r="I1913" s="12">
        <f>VENTAS[[#This Row],[Cantidad]]*VENTAS[[#This Row],[Precio Venta]]</f>
        <v>40</v>
      </c>
      <c r="J1913" s="12">
        <f>IF(VENTAS[[#This Row],[Nombre del Gestor]]&gt;1,VENTAS[[#This Row],[Total]]*10%,0)</f>
        <v>4</v>
      </c>
      <c r="K1913" s="12">
        <f>IFERROR(VLOOKUP(VENTAS[[#This Row],[Código del producto Vendido]],STOCK[],16,FALSE)*VENTAS[[#This Row],[Cantidad]]+VLOOKUP(VENTAS[[#This Row],[Código del producto Vendido]],STOCK[],19,FALSE)*VENTAS[[#This Row],[Cantidad]],VENTAS[[#This Row],[Total]])</f>
        <v>13.01</v>
      </c>
      <c r="L1913" s="12">
        <f>VENTAS[[#This Row],[Total]]-VENTAS[[#This Row],[Comisión 10%]]-VENTAS[[#This Row],[Costo SIN Comision]]</f>
        <v>22.990000000000002</v>
      </c>
      <c r="M1913" s="48"/>
      <c r="N1913" s="16" t="s">
        <v>4898</v>
      </c>
    </row>
    <row r="1914" spans="1:14" s="4" customFormat="1" ht="20" hidden="1" customHeight="1">
      <c r="A1914" s="46">
        <v>45581</v>
      </c>
      <c r="B1914" s="47"/>
      <c r="C1914" s="47"/>
      <c r="D1914" s="47" t="s">
        <v>4378</v>
      </c>
      <c r="E1914" s="47" t="s">
        <v>2933</v>
      </c>
      <c r="F1914" s="10" t="str">
        <f>IFERROR(VLOOKUP(VENTAS[[#This Row],[Código del producto Vendido]],STOCK[],5,FALSE),"-")</f>
        <v>Jeans de talle alto y pierna ancha color azul claro</v>
      </c>
      <c r="G1914" s="47">
        <v>1</v>
      </c>
      <c r="H1914" s="48">
        <v>30</v>
      </c>
      <c r="I1914" s="12">
        <f>VENTAS[[#This Row],[Cantidad]]*VENTAS[[#This Row],[Precio Venta]]</f>
        <v>30</v>
      </c>
      <c r="J1914" s="12">
        <f>IF(VENTAS[[#This Row],[Nombre del Gestor]]&gt;1,VENTAS[[#This Row],[Total]]*10%,0)</f>
        <v>3</v>
      </c>
      <c r="K1914" s="12">
        <f>IFERROR(VLOOKUP(VENTAS[[#This Row],[Código del producto Vendido]],STOCK[],16,FALSE)*VENTAS[[#This Row],[Cantidad]]+VLOOKUP(VENTAS[[#This Row],[Código del producto Vendido]],STOCK[],19,FALSE)*VENTAS[[#This Row],[Cantidad]],VENTAS[[#This Row],[Total]])</f>
        <v>12.47</v>
      </c>
      <c r="L1914" s="12">
        <f>VENTAS[[#This Row],[Total]]-VENTAS[[#This Row],[Comisión 10%]]-VENTAS[[#This Row],[Costo SIN Comision]]</f>
        <v>14.53</v>
      </c>
      <c r="M1914" s="48"/>
      <c r="N1914" s="16" t="s">
        <v>4899</v>
      </c>
    </row>
    <row r="1915" spans="1:14" s="4" customFormat="1" ht="20" hidden="1" customHeight="1">
      <c r="A1915" s="46">
        <v>45581</v>
      </c>
      <c r="B1915" s="47"/>
      <c r="C1915" s="47"/>
      <c r="D1915" s="47" t="s">
        <v>4374</v>
      </c>
      <c r="E1915" s="47" t="s">
        <v>3301</v>
      </c>
      <c r="F1915" s="10" t="str">
        <f>IFERROR(VLOOKUP(VENTAS[[#This Row],[Código del producto Vendido]],STOCK[],5,FALSE),"-")</f>
        <v>Conjunto de disfraz de policía (mono y cinturones)</v>
      </c>
      <c r="G1915" s="47">
        <v>1</v>
      </c>
      <c r="H1915" s="48">
        <v>25</v>
      </c>
      <c r="I1915" s="12">
        <f>VENTAS[[#This Row],[Cantidad]]*VENTAS[[#This Row],[Precio Venta]]</f>
        <v>25</v>
      </c>
      <c r="J1915" s="12">
        <f>IF(VENTAS[[#This Row],[Nombre del Gestor]]&gt;1,VENTAS[[#This Row],[Total]]*10%,0)</f>
        <v>2.5</v>
      </c>
      <c r="K1915" s="12">
        <f>IFERROR(VLOOKUP(VENTAS[[#This Row],[Código del producto Vendido]],STOCK[],16,FALSE)*VENTAS[[#This Row],[Cantidad]]+VLOOKUP(VENTAS[[#This Row],[Código del producto Vendido]],STOCK[],19,FALSE)*VENTAS[[#This Row],[Cantidad]],VENTAS[[#This Row],[Total]])</f>
        <v>0</v>
      </c>
      <c r="L1915" s="12">
        <f>VENTAS[[#This Row],[Total]]-VENTAS[[#This Row],[Comisión 10%]]-VENTAS[[#This Row],[Costo SIN Comision]]</f>
        <v>22.5</v>
      </c>
      <c r="M1915" s="48"/>
      <c r="N1915" s="16" t="s">
        <v>4900</v>
      </c>
    </row>
    <row r="1916" spans="1:14" s="4" customFormat="1" ht="20" hidden="1" customHeight="1">
      <c r="A1916" s="46">
        <v>45581</v>
      </c>
      <c r="B1916" s="47"/>
      <c r="C1916" s="47"/>
      <c r="D1916" s="47" t="s">
        <v>4374</v>
      </c>
      <c r="E1916" s="47" t="s">
        <v>3358</v>
      </c>
      <c r="F1916" s="10" t="str">
        <f>IFERROR(VLOOKUP(VENTAS[[#This Row],[Código del producto Vendido]],STOCK[],5,FALSE),"-")</f>
        <v>Mascara careta aterrradora</v>
      </c>
      <c r="G1916" s="47">
        <v>1</v>
      </c>
      <c r="H1916" s="48">
        <v>12</v>
      </c>
      <c r="I1916" s="12">
        <f>VENTAS[[#This Row],[Cantidad]]*VENTAS[[#This Row],[Precio Venta]]</f>
        <v>12</v>
      </c>
      <c r="J1916" s="12">
        <f>IF(VENTAS[[#This Row],[Nombre del Gestor]]&gt;1,VENTAS[[#This Row],[Total]]*10%,0)</f>
        <v>1.2000000000000002</v>
      </c>
      <c r="K1916" s="12">
        <f>IFERROR(VLOOKUP(VENTAS[[#This Row],[Código del producto Vendido]],STOCK[],16,FALSE)*VENTAS[[#This Row],[Cantidad]]+VLOOKUP(VENTAS[[#This Row],[Código del producto Vendido]],STOCK[],19,FALSE)*VENTAS[[#This Row],[Cantidad]],VENTAS[[#This Row],[Total]])</f>
        <v>0</v>
      </c>
      <c r="L1916" s="12">
        <f>VENTAS[[#This Row],[Total]]-VENTAS[[#This Row],[Comisión 10%]]-VENTAS[[#This Row],[Costo SIN Comision]]</f>
        <v>10.8</v>
      </c>
      <c r="M1916" s="48"/>
      <c r="N1916" s="16" t="s">
        <v>4901</v>
      </c>
    </row>
    <row r="1917" spans="1:14" s="4" customFormat="1" ht="20" hidden="1" customHeight="1">
      <c r="A1917" s="46">
        <v>45581</v>
      </c>
      <c r="B1917" s="47"/>
      <c r="C1917" s="47"/>
      <c r="D1917" s="47" t="s">
        <v>4374</v>
      </c>
      <c r="E1917" s="47" t="s">
        <v>3444</v>
      </c>
      <c r="F1917" s="10" t="str">
        <f>IFERROR(VLOOKUP(VENTAS[[#This Row],[Código del producto Vendido]],STOCK[],5,FALSE),"-")</f>
        <v>Gafas de carrera para disfraz de motorista</v>
      </c>
      <c r="G1917" s="47">
        <v>1</v>
      </c>
      <c r="H1917" s="48">
        <v>10</v>
      </c>
      <c r="I1917" s="12">
        <f>VENTAS[[#This Row],[Cantidad]]*VENTAS[[#This Row],[Precio Venta]]</f>
        <v>10</v>
      </c>
      <c r="J1917" s="12">
        <f>IF(VENTAS[[#This Row],[Nombre del Gestor]]&gt;1,VENTAS[[#This Row],[Total]]*10%,0)</f>
        <v>1</v>
      </c>
      <c r="K1917" s="12">
        <f>IFERROR(VLOOKUP(VENTAS[[#This Row],[Código del producto Vendido]],STOCK[],16,FALSE)*VENTAS[[#This Row],[Cantidad]]+VLOOKUP(VENTAS[[#This Row],[Código del producto Vendido]],STOCK[],19,FALSE)*VENTAS[[#This Row],[Cantidad]],VENTAS[[#This Row],[Total]])</f>
        <v>0</v>
      </c>
      <c r="L1917" s="12">
        <f>VENTAS[[#This Row],[Total]]-VENTAS[[#This Row],[Comisión 10%]]-VENTAS[[#This Row],[Costo SIN Comision]]</f>
        <v>9</v>
      </c>
      <c r="M1917" s="48"/>
      <c r="N1917" s="16" t="s">
        <v>4902</v>
      </c>
    </row>
    <row r="1918" spans="1:14" s="4" customFormat="1" ht="20" hidden="1" customHeight="1">
      <c r="A1918" s="46">
        <v>45581</v>
      </c>
      <c r="B1918" s="47"/>
      <c r="C1918" s="47"/>
      <c r="D1918" s="47" t="s">
        <v>4374</v>
      </c>
      <c r="E1918" s="47" t="s">
        <v>3360</v>
      </c>
      <c r="F1918" s="10" t="str">
        <f>IFERROR(VLOOKUP(VENTAS[[#This Row],[Código del producto Vendido]],STOCK[],5,FALSE),"-")</f>
        <v>Máscara completa de payaso del terror con mini sombrero integrado</v>
      </c>
      <c r="G1918" s="47">
        <v>1</v>
      </c>
      <c r="H1918" s="48">
        <v>20</v>
      </c>
      <c r="I1918" s="12">
        <f>VENTAS[[#This Row],[Cantidad]]*VENTAS[[#This Row],[Precio Venta]]</f>
        <v>20</v>
      </c>
      <c r="J1918" s="12">
        <f>IF(VENTAS[[#This Row],[Nombre del Gestor]]&gt;1,VENTAS[[#This Row],[Total]]*10%,0)</f>
        <v>2</v>
      </c>
      <c r="K1918" s="12">
        <f>IFERROR(VLOOKUP(VENTAS[[#This Row],[Código del producto Vendido]],STOCK[],16,FALSE)*VENTAS[[#This Row],[Cantidad]]+VLOOKUP(VENTAS[[#This Row],[Código del producto Vendido]],STOCK[],19,FALSE)*VENTAS[[#This Row],[Cantidad]],VENTAS[[#This Row],[Total]])</f>
        <v>0</v>
      </c>
      <c r="L1918" s="12">
        <f>VENTAS[[#This Row],[Total]]-VENTAS[[#This Row],[Comisión 10%]]-VENTAS[[#This Row],[Costo SIN Comision]]</f>
        <v>18</v>
      </c>
      <c r="M1918" s="48"/>
      <c r="N1918" s="16" t="s">
        <v>4903</v>
      </c>
    </row>
    <row r="1919" spans="1:14" s="4" customFormat="1" ht="20" hidden="1" customHeight="1">
      <c r="A1919" s="46">
        <v>45581</v>
      </c>
      <c r="B1919" s="47"/>
      <c r="C1919" s="47"/>
      <c r="D1919" s="47" t="s">
        <v>4571</v>
      </c>
      <c r="E1919" s="47" t="s">
        <v>3324</v>
      </c>
      <c r="F1919" s="10" t="str">
        <f>IFERROR(VLOOKUP(VENTAS[[#This Row],[Código del producto Vendido]],STOCK[],5,FALSE),"-")</f>
        <v>Máscara de Bathman</v>
      </c>
      <c r="G1919" s="47">
        <v>1</v>
      </c>
      <c r="H1919" s="48">
        <v>6</v>
      </c>
      <c r="I1919" s="12">
        <f>VENTAS[[#This Row],[Cantidad]]*VENTAS[[#This Row],[Precio Venta]]</f>
        <v>6</v>
      </c>
      <c r="J1919" s="12">
        <f>IF(VENTAS[[#This Row],[Nombre del Gestor]]&gt;1,VENTAS[[#This Row],[Total]]*10%,0)</f>
        <v>0.60000000000000009</v>
      </c>
      <c r="K1919" s="12">
        <f>IFERROR(VLOOKUP(VENTAS[[#This Row],[Código del producto Vendido]],STOCK[],16,FALSE)*VENTAS[[#This Row],[Cantidad]]+VLOOKUP(VENTAS[[#This Row],[Código del producto Vendido]],STOCK[],19,FALSE)*VENTAS[[#This Row],[Cantidad]],VENTAS[[#This Row],[Total]])</f>
        <v>0</v>
      </c>
      <c r="L1919" s="12">
        <f>VENTAS[[#This Row],[Total]]-VENTAS[[#This Row],[Comisión 10%]]-VENTAS[[#This Row],[Costo SIN Comision]]</f>
        <v>5.4</v>
      </c>
      <c r="M1919" s="48"/>
      <c r="N1919" s="16" t="s">
        <v>4904</v>
      </c>
    </row>
    <row r="1920" spans="1:14" s="4" customFormat="1" ht="20" hidden="1" customHeight="1">
      <c r="A1920" s="46">
        <v>45581</v>
      </c>
      <c r="B1920" s="47"/>
      <c r="C1920" s="47"/>
      <c r="D1920" s="47" t="s">
        <v>4571</v>
      </c>
      <c r="E1920" s="47" t="s">
        <v>3341</v>
      </c>
      <c r="F1920" s="10" t="str">
        <f>IFERROR(VLOOKUP(VENTAS[[#This Row],[Código del producto Vendido]],STOCK[],5,FALSE),"-")</f>
        <v>Vestido de Traje de conejita con diadema de orejas</v>
      </c>
      <c r="G1920" s="47">
        <v>1</v>
      </c>
      <c r="H1920" s="48">
        <v>25</v>
      </c>
      <c r="I1920" s="12">
        <f>VENTAS[[#This Row],[Cantidad]]*VENTAS[[#This Row],[Precio Venta]]</f>
        <v>25</v>
      </c>
      <c r="J1920" s="12">
        <f>IF(VENTAS[[#This Row],[Nombre del Gestor]]&gt;1,VENTAS[[#This Row],[Total]]*10%,0)</f>
        <v>2.5</v>
      </c>
      <c r="K1920" s="12">
        <f>IFERROR(VLOOKUP(VENTAS[[#This Row],[Código del producto Vendido]],STOCK[],16,FALSE)*VENTAS[[#This Row],[Cantidad]]+VLOOKUP(VENTAS[[#This Row],[Código del producto Vendido]],STOCK[],19,FALSE)*VENTAS[[#This Row],[Cantidad]],VENTAS[[#This Row],[Total]])</f>
        <v>0</v>
      </c>
      <c r="L1920" s="12">
        <f>VENTAS[[#This Row],[Total]]-VENTAS[[#This Row],[Comisión 10%]]-VENTAS[[#This Row],[Costo SIN Comision]]</f>
        <v>22.5</v>
      </c>
      <c r="M1920" s="48"/>
      <c r="N1920" s="16" t="s">
        <v>4905</v>
      </c>
    </row>
    <row r="1921" spans="1:14" s="4" customFormat="1" ht="20" hidden="1" customHeight="1">
      <c r="A1921" s="46">
        <v>45581</v>
      </c>
      <c r="B1921" s="47"/>
      <c r="C1921" s="47"/>
      <c r="D1921" s="47" t="s">
        <v>4571</v>
      </c>
      <c r="E1921" s="47" t="s">
        <v>3352</v>
      </c>
      <c r="F1921" s="10" t="str">
        <f>IFERROR(VLOOKUP(VENTAS[[#This Row],[Código del producto Vendido]],STOCK[],5,FALSE),"-")</f>
        <v>Conjunto de disfraz de 4 piezas (top, falda, medias y diadema)</v>
      </c>
      <c r="G1921" s="47">
        <v>1</v>
      </c>
      <c r="H1921" s="48">
        <v>25</v>
      </c>
      <c r="I1921" s="12">
        <f>VENTAS[[#This Row],[Cantidad]]*VENTAS[[#This Row],[Precio Venta]]</f>
        <v>25</v>
      </c>
      <c r="J1921" s="12">
        <f>IF(VENTAS[[#This Row],[Nombre del Gestor]]&gt;1,VENTAS[[#This Row],[Total]]*10%,0)</f>
        <v>2.5</v>
      </c>
      <c r="K1921" s="12">
        <f>IFERROR(VLOOKUP(VENTAS[[#This Row],[Código del producto Vendido]],STOCK[],16,FALSE)*VENTAS[[#This Row],[Cantidad]]+VLOOKUP(VENTAS[[#This Row],[Código del producto Vendido]],STOCK[],19,FALSE)*VENTAS[[#This Row],[Cantidad]],VENTAS[[#This Row],[Total]])</f>
        <v>0</v>
      </c>
      <c r="L1921" s="12">
        <f>VENTAS[[#This Row],[Total]]-VENTAS[[#This Row],[Comisión 10%]]-VENTAS[[#This Row],[Costo SIN Comision]]</f>
        <v>22.5</v>
      </c>
      <c r="M1921" s="48"/>
      <c r="N1921" s="16" t="s">
        <v>4906</v>
      </c>
    </row>
    <row r="1922" spans="1:14" s="4" customFormat="1" ht="20" hidden="1" customHeight="1">
      <c r="A1922" s="46">
        <v>45581</v>
      </c>
      <c r="B1922" s="47"/>
      <c r="C1922" s="47"/>
      <c r="D1922" s="47" t="s">
        <v>4571</v>
      </c>
      <c r="E1922" s="47" t="s">
        <v>3448</v>
      </c>
      <c r="F1922" s="10" t="str">
        <f>IFERROR(VLOOKUP(VENTAS[[#This Row],[Código del producto Vendido]],STOCK[],5,FALSE),"-")</f>
        <v>Antifaz bordado</v>
      </c>
      <c r="G1922" s="47">
        <v>1</v>
      </c>
      <c r="H1922" s="48">
        <v>4</v>
      </c>
      <c r="I1922" s="12">
        <f>VENTAS[[#This Row],[Cantidad]]*VENTAS[[#This Row],[Precio Venta]]</f>
        <v>4</v>
      </c>
      <c r="J1922" s="12">
        <f>IF(VENTAS[[#This Row],[Nombre del Gestor]]&gt;1,VENTAS[[#This Row],[Total]]*10%,0)</f>
        <v>0.4</v>
      </c>
      <c r="K1922" s="12">
        <f>IFERROR(VLOOKUP(VENTAS[[#This Row],[Código del producto Vendido]],STOCK[],16,FALSE)*VENTAS[[#This Row],[Cantidad]]+VLOOKUP(VENTAS[[#This Row],[Código del producto Vendido]],STOCK[],19,FALSE)*VENTAS[[#This Row],[Cantidad]],VENTAS[[#This Row],[Total]])</f>
        <v>0</v>
      </c>
      <c r="L1922" s="12">
        <f>VENTAS[[#This Row],[Total]]-VENTAS[[#This Row],[Comisión 10%]]-VENTAS[[#This Row],[Costo SIN Comision]]</f>
        <v>3.6</v>
      </c>
      <c r="M1922" s="48"/>
      <c r="N1922" s="16" t="s">
        <v>4907</v>
      </c>
    </row>
    <row r="1923" spans="1:14" s="4" customFormat="1" ht="20" hidden="1" customHeight="1">
      <c r="A1923" s="46">
        <v>45581</v>
      </c>
      <c r="B1923" s="47"/>
      <c r="C1923" s="47"/>
      <c r="D1923" s="47" t="s">
        <v>4571</v>
      </c>
      <c r="E1923" s="47" t="s">
        <v>3307</v>
      </c>
      <c r="F1923" s="10" t="str">
        <f>IFERROR(VLOOKUP(VENTAS[[#This Row],[Código del producto Vendido]],STOCK[],5,FALSE),"-")</f>
        <v>Máscara de El Grito</v>
      </c>
      <c r="G1923" s="47">
        <v>1</v>
      </c>
      <c r="H1923" s="48">
        <v>10</v>
      </c>
      <c r="I1923" s="12">
        <f>VENTAS[[#This Row],[Cantidad]]*VENTAS[[#This Row],[Precio Venta]]</f>
        <v>10</v>
      </c>
      <c r="J1923" s="12">
        <f>IF(VENTAS[[#This Row],[Nombre del Gestor]]&gt;1,VENTAS[[#This Row],[Total]]*10%,0)</f>
        <v>1</v>
      </c>
      <c r="K1923" s="12">
        <f>IFERROR(VLOOKUP(VENTAS[[#This Row],[Código del producto Vendido]],STOCK[],16,FALSE)*VENTAS[[#This Row],[Cantidad]]+VLOOKUP(VENTAS[[#This Row],[Código del producto Vendido]],STOCK[],19,FALSE)*VENTAS[[#This Row],[Cantidad]],VENTAS[[#This Row],[Total]])</f>
        <v>0</v>
      </c>
      <c r="L1923" s="12">
        <f>VENTAS[[#This Row],[Total]]-VENTAS[[#This Row],[Comisión 10%]]-VENTAS[[#This Row],[Costo SIN Comision]]</f>
        <v>9</v>
      </c>
      <c r="M1923" s="48"/>
      <c r="N1923" s="16" t="s">
        <v>4908</v>
      </c>
    </row>
    <row r="1924" spans="1:14" s="4" customFormat="1" ht="20" hidden="1" customHeight="1">
      <c r="A1924" s="46">
        <v>45581</v>
      </c>
      <c r="B1924" s="47"/>
      <c r="C1924" s="47"/>
      <c r="D1924" s="47" t="s">
        <v>4320</v>
      </c>
      <c r="E1924" s="47" t="s">
        <v>3371</v>
      </c>
      <c r="F1924" s="10" t="str">
        <f>IFERROR(VLOOKUP(VENTAS[[#This Row],[Código del producto Vendido]],STOCK[],5,FALSE),"-")</f>
        <v>Disfraz de Diosa griega color negro (vestido y cinturón)</v>
      </c>
      <c r="G1924" s="47">
        <v>1</v>
      </c>
      <c r="H1924" s="48">
        <v>25</v>
      </c>
      <c r="I1924" s="12">
        <f>VENTAS[[#This Row],[Cantidad]]*VENTAS[[#This Row],[Precio Venta]]</f>
        <v>25</v>
      </c>
      <c r="J1924" s="12">
        <f>IF(VENTAS[[#This Row],[Nombre del Gestor]]&gt;1,VENTAS[[#This Row],[Total]]*10%,0)</f>
        <v>2.5</v>
      </c>
      <c r="K1924" s="12">
        <f>IFERROR(VLOOKUP(VENTAS[[#This Row],[Código del producto Vendido]],STOCK[],16,FALSE)*VENTAS[[#This Row],[Cantidad]]+VLOOKUP(VENTAS[[#This Row],[Código del producto Vendido]],STOCK[],19,FALSE)*VENTAS[[#This Row],[Cantidad]],VENTAS[[#This Row],[Total]])</f>
        <v>0</v>
      </c>
      <c r="L1924" s="12">
        <f>VENTAS[[#This Row],[Total]]-VENTAS[[#This Row],[Comisión 10%]]-VENTAS[[#This Row],[Costo SIN Comision]]</f>
        <v>22.5</v>
      </c>
      <c r="M1924" s="48"/>
      <c r="N1924" s="16" t="s">
        <v>4909</v>
      </c>
    </row>
    <row r="1925" spans="1:14" s="4" customFormat="1" ht="20" hidden="1" customHeight="1">
      <c r="A1925" s="46">
        <v>45581</v>
      </c>
      <c r="B1925" s="47"/>
      <c r="C1925" s="47"/>
      <c r="D1925" s="47" t="s">
        <v>4380</v>
      </c>
      <c r="E1925" s="47" t="s">
        <v>2814</v>
      </c>
      <c r="F1925" s="45" t="str">
        <f>IFERROR(VLOOKUP(VENTAS[[#This Row],[Código del producto Vendido]],STOCK[],5,FALSE),"-")</f>
        <v>Bolso elegante de estilo sillín</v>
      </c>
      <c r="G1925" s="47">
        <v>1</v>
      </c>
      <c r="H1925" s="48">
        <v>22</v>
      </c>
      <c r="I1925" s="12">
        <f>VENTAS[[#This Row],[Cantidad]]*VENTAS[[#This Row],[Precio Venta]]</f>
        <v>22</v>
      </c>
      <c r="J1925" s="12">
        <f>IF(VENTAS[[#This Row],[Nombre del Gestor]]&gt;1,VENTAS[[#This Row],[Total]]*10%,0)</f>
        <v>2.2000000000000002</v>
      </c>
      <c r="K1925" s="12">
        <f>IFERROR(VLOOKUP(VENTAS[[#This Row],[Código del producto Vendido]],STOCK[],16,FALSE)*VENTAS[[#This Row],[Cantidad]]+VLOOKUP(VENTAS[[#This Row],[Código del producto Vendido]],STOCK[],19,FALSE)*VENTAS[[#This Row],[Cantidad]],VENTAS[[#This Row],[Total]])</f>
        <v>10.280000000000001</v>
      </c>
      <c r="L1925" s="12">
        <f>VENTAS[[#This Row],[Total]]-VENTAS[[#This Row],[Comisión 10%]]-VENTAS[[#This Row],[Costo SIN Comision]]</f>
        <v>9.52</v>
      </c>
      <c r="M1925" s="48"/>
      <c r="N1925" s="16" t="s">
        <v>4910</v>
      </c>
    </row>
    <row r="1926" spans="1:14" s="4" customFormat="1" ht="20" hidden="1" customHeight="1">
      <c r="A1926" s="46">
        <v>45582</v>
      </c>
      <c r="B1926" s="47"/>
      <c r="C1926" s="47"/>
      <c r="D1926" s="47" t="s">
        <v>4571</v>
      </c>
      <c r="E1926" s="47" t="s">
        <v>3459</v>
      </c>
      <c r="F1926" s="10" t="str">
        <f>IFERROR(VLOOKUP(VENTAS[[#This Row],[Código del producto Vendido]],STOCK[],5,FALSE),"-")</f>
        <v>Conjunto de disfraz de 4 piezas (top, falda, medias y diadema)</v>
      </c>
      <c r="G1926" s="47">
        <v>1</v>
      </c>
      <c r="H1926" s="48">
        <v>25</v>
      </c>
      <c r="I1926" s="12">
        <f>VENTAS[[#This Row],[Cantidad]]*VENTAS[[#This Row],[Precio Venta]]</f>
        <v>25</v>
      </c>
      <c r="J1926" s="12">
        <f>IF(VENTAS[[#This Row],[Nombre del Gestor]]&gt;1,VENTAS[[#This Row],[Total]]*10%,0)</f>
        <v>2.5</v>
      </c>
      <c r="K1926" s="12">
        <f>IFERROR(VLOOKUP(VENTAS[[#This Row],[Código del producto Vendido]],STOCK[],16,FALSE)*VENTAS[[#This Row],[Cantidad]]+VLOOKUP(VENTAS[[#This Row],[Código del producto Vendido]],STOCK[],19,FALSE)*VENTAS[[#This Row],[Cantidad]],VENTAS[[#This Row],[Total]])</f>
        <v>0</v>
      </c>
      <c r="L1926" s="12">
        <f>VENTAS[[#This Row],[Total]]-VENTAS[[#This Row],[Comisión 10%]]-VENTAS[[#This Row],[Costo SIN Comision]]</f>
        <v>22.5</v>
      </c>
      <c r="M1926" s="48"/>
      <c r="N1926" s="16" t="s">
        <v>4911</v>
      </c>
    </row>
    <row r="1927" spans="1:14" s="4" customFormat="1" ht="20" hidden="1" customHeight="1">
      <c r="A1927" s="46">
        <v>45583</v>
      </c>
      <c r="B1927" s="47"/>
      <c r="C1927" s="47"/>
      <c r="D1927" s="47" t="s">
        <v>4374</v>
      </c>
      <c r="E1927" s="47" t="s">
        <v>3442</v>
      </c>
      <c r="F1927" s="10" t="str">
        <f>IFERROR(VLOOKUP(VENTAS[[#This Row],[Código del producto Vendido]],STOCK[],5,FALSE),"-")</f>
        <v>Mono disfraz de montadora de motocicleta</v>
      </c>
      <c r="G1927" s="47">
        <v>1</v>
      </c>
      <c r="H1927" s="48">
        <v>20</v>
      </c>
      <c r="I1927" s="12">
        <f>VENTAS[[#This Row],[Cantidad]]*VENTAS[[#This Row],[Precio Venta]]</f>
        <v>20</v>
      </c>
      <c r="J1927" s="12">
        <f>IF(VENTAS[[#This Row],[Nombre del Gestor]]&gt;1,VENTAS[[#This Row],[Total]]*10%,0)</f>
        <v>2</v>
      </c>
      <c r="K1927" s="12">
        <f>IFERROR(VLOOKUP(VENTAS[[#This Row],[Código del producto Vendido]],STOCK[],16,FALSE)*VENTAS[[#This Row],[Cantidad]]+VLOOKUP(VENTAS[[#This Row],[Código del producto Vendido]],STOCK[],19,FALSE)*VENTAS[[#This Row],[Cantidad]],VENTAS[[#This Row],[Total]])</f>
        <v>0</v>
      </c>
      <c r="L1927" s="12">
        <f>VENTAS[[#This Row],[Total]]-VENTAS[[#This Row],[Comisión 10%]]-VENTAS[[#This Row],[Costo SIN Comision]]</f>
        <v>18</v>
      </c>
      <c r="M1927" s="48"/>
      <c r="N1927" s="16" t="s">
        <v>4912</v>
      </c>
    </row>
    <row r="1928" spans="1:14" s="4" customFormat="1" ht="20" hidden="1" customHeight="1">
      <c r="A1928" s="46">
        <v>45583</v>
      </c>
      <c r="B1928" s="47"/>
      <c r="C1928" s="47"/>
      <c r="D1928" s="47" t="s">
        <v>4695</v>
      </c>
      <c r="E1928" s="47" t="s">
        <v>3365</v>
      </c>
      <c r="F1928" s="10" t="str">
        <f>IFERROR(VLOOKUP(VENTAS[[#This Row],[Código del producto Vendido]],STOCK[],5,FALSE),"-")</f>
        <v>Antifaz de conejo sexy</v>
      </c>
      <c r="G1928" s="47">
        <v>1</v>
      </c>
      <c r="H1928" s="48">
        <v>8</v>
      </c>
      <c r="I1928" s="12">
        <f>VENTAS[[#This Row],[Cantidad]]*VENTAS[[#This Row],[Precio Venta]]</f>
        <v>8</v>
      </c>
      <c r="J1928" s="12">
        <f>IF(VENTAS[[#This Row],[Nombre del Gestor]]&gt;1,VENTAS[[#This Row],[Total]]*10%,0)</f>
        <v>0.8</v>
      </c>
      <c r="K1928" s="12">
        <f>IFERROR(VLOOKUP(VENTAS[[#This Row],[Código del producto Vendido]],STOCK[],16,FALSE)*VENTAS[[#This Row],[Cantidad]]+VLOOKUP(VENTAS[[#This Row],[Código del producto Vendido]],STOCK[],19,FALSE)*VENTAS[[#This Row],[Cantidad]],VENTAS[[#This Row],[Total]])</f>
        <v>0</v>
      </c>
      <c r="L1928" s="12">
        <f>VENTAS[[#This Row],[Total]]-VENTAS[[#This Row],[Comisión 10%]]-VENTAS[[#This Row],[Costo SIN Comision]]</f>
        <v>7.2</v>
      </c>
      <c r="M1928" s="48"/>
      <c r="N1928" s="16" t="s">
        <v>4913</v>
      </c>
    </row>
    <row r="1929" spans="1:14" s="4" customFormat="1" ht="20" hidden="1" customHeight="1">
      <c r="A1929" s="46">
        <v>45583</v>
      </c>
      <c r="B1929" s="47"/>
      <c r="C1929" s="47"/>
      <c r="D1929" s="47" t="s">
        <v>4380</v>
      </c>
      <c r="E1929" s="47" t="s">
        <v>2777</v>
      </c>
      <c r="F1929" s="10" t="str">
        <f>IFERROR(VLOOKUP(VENTAS[[#This Row],[Código del producto Vendido]],STOCK[],5,FALSE),"-")</f>
        <v>Sandalias espadriles de saco nude atada al tobillo</v>
      </c>
      <c r="G1929" s="47">
        <v>1</v>
      </c>
      <c r="H1929" s="48">
        <v>35</v>
      </c>
      <c r="I1929" s="12">
        <f>VENTAS[[#This Row],[Cantidad]]*VENTAS[[#This Row],[Precio Venta]]</f>
        <v>35</v>
      </c>
      <c r="J1929" s="12">
        <f>IF(VENTAS[[#This Row],[Nombre del Gestor]]&gt;1,VENTAS[[#This Row],[Total]]*10%,0)</f>
        <v>3.5</v>
      </c>
      <c r="K1929" s="12">
        <f>IFERROR(VLOOKUP(VENTAS[[#This Row],[Código del producto Vendido]],STOCK[],16,FALSE)*VENTAS[[#This Row],[Cantidad]]+VLOOKUP(VENTAS[[#This Row],[Código del producto Vendido]],STOCK[],19,FALSE)*VENTAS[[#This Row],[Cantidad]],VENTAS[[#This Row],[Total]])</f>
        <v>12.15</v>
      </c>
      <c r="L1929" s="12">
        <f>VENTAS[[#This Row],[Total]]-VENTAS[[#This Row],[Comisión 10%]]-VENTAS[[#This Row],[Costo SIN Comision]]</f>
        <v>19.350000000000001</v>
      </c>
      <c r="M1929" s="48"/>
      <c r="N1929" s="16" t="s">
        <v>4914</v>
      </c>
    </row>
    <row r="1930" spans="1:14" s="4" customFormat="1" ht="20" hidden="1" customHeight="1">
      <c r="A1930" s="46">
        <v>45586</v>
      </c>
      <c r="B1930" s="47"/>
      <c r="C1930" s="47"/>
      <c r="D1930" s="47" t="s">
        <v>4320</v>
      </c>
      <c r="E1930" s="47" t="s">
        <v>2492</v>
      </c>
      <c r="F1930" s="10" t="str">
        <f>IFERROR(VLOOKUP(VENTAS[[#This Row],[Código del producto Vendido]],STOCK[],5,FALSE),"-")</f>
        <v>Sandalias prácticas chunky blanco crema</v>
      </c>
      <c r="G1930" s="47">
        <v>1</v>
      </c>
      <c r="H1930" s="48">
        <v>35</v>
      </c>
      <c r="I1930" s="12">
        <f>VENTAS[[#This Row],[Cantidad]]*VENTAS[[#This Row],[Precio Venta]]</f>
        <v>35</v>
      </c>
      <c r="J1930" s="12">
        <f>IF(VENTAS[[#This Row],[Nombre del Gestor]]&gt;1,VENTAS[[#This Row],[Total]]*10%,0)</f>
        <v>3.5</v>
      </c>
      <c r="K1930" s="12">
        <f>IFERROR(VLOOKUP(VENTAS[[#This Row],[Código del producto Vendido]],STOCK[],16,FALSE)*VENTAS[[#This Row],[Cantidad]]+VLOOKUP(VENTAS[[#This Row],[Código del producto Vendido]],STOCK[],19,FALSE)*VENTAS[[#This Row],[Cantidad]],VENTAS[[#This Row],[Total]])</f>
        <v>24.217399999999998</v>
      </c>
      <c r="L1930" s="12">
        <f>VENTAS[[#This Row],[Total]]-VENTAS[[#This Row],[Comisión 10%]]-VENTAS[[#This Row],[Costo SIN Comision]]</f>
        <v>7.2826000000000022</v>
      </c>
      <c r="M1930" s="48"/>
      <c r="N1930" s="16" t="s">
        <v>4915</v>
      </c>
    </row>
    <row r="1931" spans="1:14" s="4" customFormat="1" ht="20" hidden="1" customHeight="1">
      <c r="A1931" s="46">
        <v>45586</v>
      </c>
      <c r="B1931" s="47"/>
      <c r="C1931" s="47"/>
      <c r="D1931" s="47" t="s">
        <v>4320</v>
      </c>
      <c r="E1931" s="47" t="s">
        <v>1061</v>
      </c>
      <c r="F1931" s="10" t="str">
        <f>IFERROR(VLOOKUP(VENTAS[[#This Row],[Código del producto Vendido]],STOCK[],5,FALSE),"-")</f>
        <v>Top corto blanco</v>
      </c>
      <c r="G1931" s="47">
        <v>1</v>
      </c>
      <c r="H1931" s="48">
        <v>7</v>
      </c>
      <c r="I1931" s="12">
        <f>VENTAS[[#This Row],[Cantidad]]*VENTAS[[#This Row],[Precio Venta]]</f>
        <v>7</v>
      </c>
      <c r="J1931" s="12">
        <f>IF(VENTAS[[#This Row],[Nombre del Gestor]]&gt;1,VENTAS[[#This Row],[Total]]*10%,0)</f>
        <v>0.70000000000000007</v>
      </c>
      <c r="K1931" s="12">
        <f>IFERROR(VLOOKUP(VENTAS[[#This Row],[Código del producto Vendido]],STOCK[],16,FALSE)*VENTAS[[#This Row],[Cantidad]]+VLOOKUP(VENTAS[[#This Row],[Código del producto Vendido]],STOCK[],19,FALSE)*VENTAS[[#This Row],[Cantidad]],VENTAS[[#This Row],[Total]])</f>
        <v>4.4044117647058805</v>
      </c>
      <c r="L1931" s="12">
        <f>VENTAS[[#This Row],[Total]]-VENTAS[[#This Row],[Comisión 10%]]-VENTAS[[#This Row],[Costo SIN Comision]]</f>
        <v>1.8955882352941194</v>
      </c>
      <c r="M1931" s="48"/>
      <c r="N1931" s="16" t="s">
        <v>4916</v>
      </c>
    </row>
    <row r="1932" spans="1:14" s="4" customFormat="1" ht="20" hidden="1" customHeight="1">
      <c r="A1932" s="46">
        <v>45586</v>
      </c>
      <c r="B1932" s="47"/>
      <c r="C1932" s="47"/>
      <c r="D1932" s="47" t="s">
        <v>4320</v>
      </c>
      <c r="E1932" s="47" t="s">
        <v>2845</v>
      </c>
      <c r="F1932" s="10" t="str">
        <f>IFERROR(VLOOKUP(VENTAS[[#This Row],[Código del producto Vendido]],STOCK[],5,FALSE),"-")</f>
        <v>Pantalones largros rayados de moda de gran comodidad</v>
      </c>
      <c r="G1932" s="47">
        <v>1</v>
      </c>
      <c r="H1932" s="48">
        <v>22</v>
      </c>
      <c r="I1932" s="12">
        <f>VENTAS[[#This Row],[Cantidad]]*VENTAS[[#This Row],[Precio Venta]]</f>
        <v>22</v>
      </c>
      <c r="J1932" s="12">
        <f>IF(VENTAS[[#This Row],[Nombre del Gestor]]&gt;1,VENTAS[[#This Row],[Total]]*10%,0)</f>
        <v>2.2000000000000002</v>
      </c>
      <c r="K1932" s="12">
        <f>IFERROR(VLOOKUP(VENTAS[[#This Row],[Código del producto Vendido]],STOCK[],16,FALSE)*VENTAS[[#This Row],[Cantidad]]+VLOOKUP(VENTAS[[#This Row],[Código del producto Vendido]],STOCK[],19,FALSE)*VENTAS[[#This Row],[Cantidad]],VENTAS[[#This Row],[Total]])</f>
        <v>10.52</v>
      </c>
      <c r="L1932" s="12">
        <f>VENTAS[[#This Row],[Total]]-VENTAS[[#This Row],[Comisión 10%]]-VENTAS[[#This Row],[Costo SIN Comision]]</f>
        <v>9.2800000000000011</v>
      </c>
      <c r="M1932" s="48"/>
      <c r="N1932" s="16" t="s">
        <v>4917</v>
      </c>
    </row>
    <row r="1933" spans="1:14" s="4" customFormat="1" ht="20" hidden="1" customHeight="1">
      <c r="A1933" s="46">
        <v>45586</v>
      </c>
      <c r="B1933" s="47"/>
      <c r="C1933" s="47"/>
      <c r="D1933" s="47" t="s">
        <v>4380</v>
      </c>
      <c r="E1933" s="47" t="s">
        <v>3019</v>
      </c>
      <c r="F1933" s="10" t="str">
        <f>IFERROR(VLOOKUP(VENTAS[[#This Row],[Código del producto Vendido]],STOCK[],5,FALSE),"-")</f>
        <v>Sandalias de plataforma espadriles con correas doradas</v>
      </c>
      <c r="G1933" s="47">
        <v>1</v>
      </c>
      <c r="H1933" s="48">
        <v>40</v>
      </c>
      <c r="I1933" s="12">
        <f>VENTAS[[#This Row],[Cantidad]]*VENTAS[[#This Row],[Precio Venta]]</f>
        <v>40</v>
      </c>
      <c r="J1933" s="12">
        <f>IF(VENTAS[[#This Row],[Nombre del Gestor]]&gt;1,VENTAS[[#This Row],[Total]]*10%,0)</f>
        <v>4</v>
      </c>
      <c r="K1933" s="12">
        <f>IFERROR(VLOOKUP(VENTAS[[#This Row],[Código del producto Vendido]],STOCK[],16,FALSE)*VENTAS[[#This Row],[Cantidad]]+VLOOKUP(VENTAS[[#This Row],[Código del producto Vendido]],STOCK[],19,FALSE)*VENTAS[[#This Row],[Cantidad]],VENTAS[[#This Row],[Total]])</f>
        <v>11.65</v>
      </c>
      <c r="L1933" s="12">
        <f>VENTAS[[#This Row],[Total]]-VENTAS[[#This Row],[Comisión 10%]]-VENTAS[[#This Row],[Costo SIN Comision]]</f>
        <v>24.35</v>
      </c>
      <c r="M1933" s="48"/>
      <c r="N1933" s="16" t="s">
        <v>4918</v>
      </c>
    </row>
    <row r="1934" spans="1:14" s="4" customFormat="1" ht="20" hidden="1" customHeight="1">
      <c r="A1934" s="46">
        <v>45587</v>
      </c>
      <c r="B1934" s="47"/>
      <c r="C1934" s="47"/>
      <c r="D1934" s="47" t="s">
        <v>4473</v>
      </c>
      <c r="E1934" s="47" t="s">
        <v>3459</v>
      </c>
      <c r="F1934" s="10" t="str">
        <f>IFERROR(VLOOKUP(VENTAS[[#This Row],[Código del producto Vendido]],STOCK[],5,FALSE),"-")</f>
        <v>Conjunto de disfraz de 4 piezas (top, falda, medias y diadema)</v>
      </c>
      <c r="G1934" s="47">
        <v>1</v>
      </c>
      <c r="H1934" s="48">
        <v>25</v>
      </c>
      <c r="I1934" s="12">
        <f>VENTAS[[#This Row],[Cantidad]]*VENTAS[[#This Row],[Precio Venta]]</f>
        <v>25</v>
      </c>
      <c r="J1934" s="12">
        <f>IF(VENTAS[[#This Row],[Nombre del Gestor]]&gt;1,VENTAS[[#This Row],[Total]]*10%,0)</f>
        <v>2.5</v>
      </c>
      <c r="K1934" s="12">
        <f>IFERROR(VLOOKUP(VENTAS[[#This Row],[Código del producto Vendido]],STOCK[],16,FALSE)*VENTAS[[#This Row],[Cantidad]]+VLOOKUP(VENTAS[[#This Row],[Código del producto Vendido]],STOCK[],19,FALSE)*VENTAS[[#This Row],[Cantidad]],VENTAS[[#This Row],[Total]])</f>
        <v>0</v>
      </c>
      <c r="L1934" s="12">
        <f>VENTAS[[#This Row],[Total]]-VENTAS[[#This Row],[Comisión 10%]]-VENTAS[[#This Row],[Costo SIN Comision]]</f>
        <v>22.5</v>
      </c>
      <c r="M1934" s="48"/>
      <c r="N1934" s="16" t="s">
        <v>4919</v>
      </c>
    </row>
    <row r="1935" spans="1:14" s="4" customFormat="1" ht="20" hidden="1" customHeight="1">
      <c r="A1935" s="46">
        <v>45587</v>
      </c>
      <c r="B1935" s="47"/>
      <c r="C1935" s="47"/>
      <c r="D1935" s="47" t="s">
        <v>4330</v>
      </c>
      <c r="E1935" s="47" t="s">
        <v>3314</v>
      </c>
      <c r="F1935" s="10" t="str">
        <f>IFERROR(VLOOKUP(VENTAS[[#This Row],[Código del producto Vendido]],STOCK[],5,FALSE),"-")</f>
        <v>Vestido blanco para conformar disfraz</v>
      </c>
      <c r="G1935" s="47">
        <v>1</v>
      </c>
      <c r="H1935" s="48">
        <v>15</v>
      </c>
      <c r="I1935" s="12">
        <f>VENTAS[[#This Row],[Cantidad]]*VENTAS[[#This Row],[Precio Venta]]</f>
        <v>15</v>
      </c>
      <c r="J1935" s="12">
        <f>IF(VENTAS[[#This Row],[Nombre del Gestor]]&gt;1,VENTAS[[#This Row],[Total]]*10%,0)</f>
        <v>1.5</v>
      </c>
      <c r="K1935" s="12">
        <f>IFERROR(VLOOKUP(VENTAS[[#This Row],[Código del producto Vendido]],STOCK[],16,FALSE)*VENTAS[[#This Row],[Cantidad]]+VLOOKUP(VENTAS[[#This Row],[Código del producto Vendido]],STOCK[],19,FALSE)*VENTAS[[#This Row],[Cantidad]],VENTAS[[#This Row],[Total]])</f>
        <v>0</v>
      </c>
      <c r="L1935" s="12">
        <f>VENTAS[[#This Row],[Total]]-VENTAS[[#This Row],[Comisión 10%]]-VENTAS[[#This Row],[Costo SIN Comision]]</f>
        <v>13.5</v>
      </c>
      <c r="M1935" s="48"/>
      <c r="N1935" s="16" t="s">
        <v>4920</v>
      </c>
    </row>
    <row r="1936" spans="1:14" s="4" customFormat="1" ht="20" hidden="1" customHeight="1">
      <c r="A1936" s="46">
        <v>45587</v>
      </c>
      <c r="B1936" s="47"/>
      <c r="C1936" s="47"/>
      <c r="D1936" s="47" t="s">
        <v>4330</v>
      </c>
      <c r="E1936" s="47" t="s">
        <v>3303</v>
      </c>
      <c r="F1936" s="10" t="str">
        <f>IFERROR(VLOOKUP(VENTAS[[#This Row],[Código del producto Vendido]],STOCK[],5,FALSE),"-")</f>
        <v>Velo de novia para disfraz</v>
      </c>
      <c r="G1936" s="47">
        <v>1</v>
      </c>
      <c r="H1936" s="48">
        <v>10</v>
      </c>
      <c r="I1936" s="12">
        <f>VENTAS[[#This Row],[Cantidad]]*VENTAS[[#This Row],[Precio Venta]]</f>
        <v>10</v>
      </c>
      <c r="J1936" s="12">
        <f>IF(VENTAS[[#This Row],[Nombre del Gestor]]&gt;1,VENTAS[[#This Row],[Total]]*10%,0)</f>
        <v>1</v>
      </c>
      <c r="K1936" s="12">
        <f>IFERROR(VLOOKUP(VENTAS[[#This Row],[Código del producto Vendido]],STOCK[],16,FALSE)*VENTAS[[#This Row],[Cantidad]]+VLOOKUP(VENTAS[[#This Row],[Código del producto Vendido]],STOCK[],19,FALSE)*VENTAS[[#This Row],[Cantidad]],VENTAS[[#This Row],[Total]])</f>
        <v>0</v>
      </c>
      <c r="L1936" s="12">
        <f>VENTAS[[#This Row],[Total]]-VENTAS[[#This Row],[Comisión 10%]]-VENTAS[[#This Row],[Costo SIN Comision]]</f>
        <v>9</v>
      </c>
      <c r="M1936" s="48"/>
      <c r="N1936" s="16" t="s">
        <v>4921</v>
      </c>
    </row>
    <row r="1937" spans="1:14" s="4" customFormat="1" ht="20" hidden="1" customHeight="1">
      <c r="A1937" s="46">
        <v>45587</v>
      </c>
      <c r="B1937" s="47"/>
      <c r="C1937" s="47"/>
      <c r="D1937" s="47" t="s">
        <v>4922</v>
      </c>
      <c r="E1937" s="47" t="s">
        <v>3307</v>
      </c>
      <c r="F1937" s="10" t="str">
        <f>IFERROR(VLOOKUP(VENTAS[[#This Row],[Código del producto Vendido]],STOCK[],5,FALSE),"-")</f>
        <v>Máscara de El Grito</v>
      </c>
      <c r="G1937" s="47">
        <v>1</v>
      </c>
      <c r="H1937" s="48">
        <v>10</v>
      </c>
      <c r="I1937" s="12">
        <f>VENTAS[[#This Row],[Cantidad]]*VENTAS[[#This Row],[Precio Venta]]</f>
        <v>10</v>
      </c>
      <c r="J1937" s="12">
        <f>IF(VENTAS[[#This Row],[Nombre del Gestor]]&gt;1,VENTAS[[#This Row],[Total]]*10%,0)</f>
        <v>1</v>
      </c>
      <c r="K1937" s="12">
        <f>IFERROR(VLOOKUP(VENTAS[[#This Row],[Código del producto Vendido]],STOCK[],16,FALSE)*VENTAS[[#This Row],[Cantidad]]+VLOOKUP(VENTAS[[#This Row],[Código del producto Vendido]],STOCK[],19,FALSE)*VENTAS[[#This Row],[Cantidad]],VENTAS[[#This Row],[Total]])</f>
        <v>0</v>
      </c>
      <c r="L1937" s="12">
        <f>VENTAS[[#This Row],[Total]]-VENTAS[[#This Row],[Comisión 10%]]-VENTAS[[#This Row],[Costo SIN Comision]]</f>
        <v>9</v>
      </c>
      <c r="M1937" s="48"/>
      <c r="N1937" s="16" t="s">
        <v>4923</v>
      </c>
    </row>
    <row r="1938" spans="1:14" s="4" customFormat="1" ht="20" hidden="1" customHeight="1">
      <c r="A1938" s="46">
        <v>45587</v>
      </c>
      <c r="B1938" s="47"/>
      <c r="C1938" s="47"/>
      <c r="D1938" s="47" t="s">
        <v>4380</v>
      </c>
      <c r="E1938" s="47" t="s">
        <v>3293</v>
      </c>
      <c r="F1938" s="10" t="str">
        <f>IFERROR(VLOOKUP(VENTAS[[#This Row],[Código del producto Vendido]],STOCK[],5,FALSE),"-")</f>
        <v>Medias pantys con detalle de pierdas brillantes</v>
      </c>
      <c r="G1938" s="47">
        <v>1</v>
      </c>
      <c r="H1938" s="48">
        <v>8</v>
      </c>
      <c r="I1938" s="12">
        <f>VENTAS[[#This Row],[Cantidad]]*VENTAS[[#This Row],[Precio Venta]]</f>
        <v>8</v>
      </c>
      <c r="J1938" s="12">
        <f>IF(VENTAS[[#This Row],[Nombre del Gestor]]&gt;1,VENTAS[[#This Row],[Total]]*10%,0)</f>
        <v>0.8</v>
      </c>
      <c r="K1938" s="12">
        <f>IFERROR(VLOOKUP(VENTAS[[#This Row],[Código del producto Vendido]],STOCK[],16,FALSE)*VENTAS[[#This Row],[Cantidad]]+VLOOKUP(VENTAS[[#This Row],[Código del producto Vendido]],STOCK[],19,FALSE)*VENTAS[[#This Row],[Cantidad]],VENTAS[[#This Row],[Total]])</f>
        <v>0</v>
      </c>
      <c r="L1938" s="12">
        <f>VENTAS[[#This Row],[Total]]-VENTAS[[#This Row],[Comisión 10%]]-VENTAS[[#This Row],[Costo SIN Comision]]</f>
        <v>7.2</v>
      </c>
      <c r="M1938" s="48"/>
      <c r="N1938" s="16" t="s">
        <v>4924</v>
      </c>
    </row>
    <row r="1939" spans="1:14" s="4" customFormat="1" ht="20" hidden="1" customHeight="1">
      <c r="A1939" s="46">
        <v>45587</v>
      </c>
      <c r="B1939" s="47"/>
      <c r="C1939" s="47"/>
      <c r="D1939" s="47" t="s">
        <v>4484</v>
      </c>
      <c r="E1939" s="47" t="s">
        <v>3307</v>
      </c>
      <c r="F1939" s="10" t="str">
        <f>IFERROR(VLOOKUP(VENTAS[[#This Row],[Código del producto Vendido]],STOCK[],5,FALSE),"-")</f>
        <v>Máscara de El Grito</v>
      </c>
      <c r="G1939" s="47">
        <v>1</v>
      </c>
      <c r="H1939" s="48">
        <v>10</v>
      </c>
      <c r="I1939" s="12">
        <f>VENTAS[[#This Row],[Cantidad]]*VENTAS[[#This Row],[Precio Venta]]</f>
        <v>10</v>
      </c>
      <c r="J1939" s="12">
        <f>IF(VENTAS[[#This Row],[Nombre del Gestor]]&gt;1,VENTAS[[#This Row],[Total]]*10%,0)</f>
        <v>1</v>
      </c>
      <c r="K1939" s="12">
        <f>IFERROR(VLOOKUP(VENTAS[[#This Row],[Código del producto Vendido]],STOCK[],16,FALSE)*VENTAS[[#This Row],[Cantidad]]+VLOOKUP(VENTAS[[#This Row],[Código del producto Vendido]],STOCK[],19,FALSE)*VENTAS[[#This Row],[Cantidad]],VENTAS[[#This Row],[Total]])</f>
        <v>0</v>
      </c>
      <c r="L1939" s="12">
        <f>VENTAS[[#This Row],[Total]]-VENTAS[[#This Row],[Comisión 10%]]-VENTAS[[#This Row],[Costo SIN Comision]]</f>
        <v>9</v>
      </c>
      <c r="M1939" s="48"/>
      <c r="N1939" s="16" t="s">
        <v>4925</v>
      </c>
    </row>
    <row r="1940" spans="1:14" s="4" customFormat="1" ht="20" hidden="1" customHeight="1">
      <c r="A1940" s="46">
        <v>45587</v>
      </c>
      <c r="B1940" s="47"/>
      <c r="C1940" s="47"/>
      <c r="D1940" s="47" t="s">
        <v>4926</v>
      </c>
      <c r="E1940" s="47" t="s">
        <v>3307</v>
      </c>
      <c r="F1940" s="10" t="str">
        <f>IFERROR(VLOOKUP(VENTAS[[#This Row],[Código del producto Vendido]],STOCK[],5,FALSE),"-")</f>
        <v>Máscara de El Grito</v>
      </c>
      <c r="G1940" s="47">
        <v>1</v>
      </c>
      <c r="H1940" s="48">
        <v>10</v>
      </c>
      <c r="I1940" s="12">
        <f>VENTAS[[#This Row],[Cantidad]]*VENTAS[[#This Row],[Precio Venta]]</f>
        <v>10</v>
      </c>
      <c r="J1940" s="12">
        <f>IF(VENTAS[[#This Row],[Nombre del Gestor]]&gt;1,VENTAS[[#This Row],[Total]]*10%,0)</f>
        <v>1</v>
      </c>
      <c r="K1940" s="12">
        <f>IFERROR(VLOOKUP(VENTAS[[#This Row],[Código del producto Vendido]],STOCK[],16,FALSE)*VENTAS[[#This Row],[Cantidad]]+VLOOKUP(VENTAS[[#This Row],[Código del producto Vendido]],STOCK[],19,FALSE)*VENTAS[[#This Row],[Cantidad]],VENTAS[[#This Row],[Total]])</f>
        <v>0</v>
      </c>
      <c r="L1940" s="12">
        <f>VENTAS[[#This Row],[Total]]-VENTAS[[#This Row],[Comisión 10%]]-VENTAS[[#This Row],[Costo SIN Comision]]</f>
        <v>9</v>
      </c>
      <c r="M1940" s="48"/>
      <c r="N1940" s="16" t="s">
        <v>4927</v>
      </c>
    </row>
    <row r="1941" spans="1:14" s="4" customFormat="1" ht="20" hidden="1" customHeight="1">
      <c r="A1941" s="46">
        <v>45588</v>
      </c>
      <c r="B1941" s="47"/>
      <c r="C1941" s="47"/>
      <c r="D1941" s="47" t="s">
        <v>4408</v>
      </c>
      <c r="E1941" s="47" t="s">
        <v>3363</v>
      </c>
      <c r="F1941" s="10" t="str">
        <f>IFERROR(VLOOKUP(VENTAS[[#This Row],[Código del producto Vendido]],STOCK[],5,FALSE),"-")</f>
        <v>Máscara completa de esqueleto endemoniado con peluca</v>
      </c>
      <c r="G1941" s="47">
        <v>1</v>
      </c>
      <c r="H1941" s="48">
        <v>20</v>
      </c>
      <c r="I1941" s="12">
        <f>VENTAS[[#This Row],[Cantidad]]*VENTAS[[#This Row],[Precio Venta]]</f>
        <v>20</v>
      </c>
      <c r="J1941" s="12">
        <f>IF(VENTAS[[#This Row],[Nombre del Gestor]]&gt;1,VENTAS[[#This Row],[Total]]*10%,0)</f>
        <v>2</v>
      </c>
      <c r="K1941" s="12">
        <f>IFERROR(VLOOKUP(VENTAS[[#This Row],[Código del producto Vendido]],STOCK[],16,FALSE)*VENTAS[[#This Row],[Cantidad]]+VLOOKUP(VENTAS[[#This Row],[Código del producto Vendido]],STOCK[],19,FALSE)*VENTAS[[#This Row],[Cantidad]],VENTAS[[#This Row],[Total]])</f>
        <v>0</v>
      </c>
      <c r="L1941" s="12">
        <f>VENTAS[[#This Row],[Total]]-VENTAS[[#This Row],[Comisión 10%]]-VENTAS[[#This Row],[Costo SIN Comision]]</f>
        <v>18</v>
      </c>
      <c r="M1941" s="48"/>
      <c r="N1941" s="16" t="s">
        <v>4928</v>
      </c>
    </row>
    <row r="1942" spans="1:14" s="4" customFormat="1" ht="20" hidden="1" customHeight="1">
      <c r="A1942" s="46">
        <v>45588</v>
      </c>
      <c r="B1942" s="47"/>
      <c r="C1942" s="47"/>
      <c r="D1942" s="47" t="s">
        <v>4571</v>
      </c>
      <c r="E1942" s="47" t="s">
        <v>2832</v>
      </c>
      <c r="F1942" s="10" t="str">
        <f>IFERROR(VLOOKUP(VENTAS[[#This Row],[Código del producto Vendido]],STOCK[],5,FALSE),"-")</f>
        <v xml:space="preserve">Traje de baño en bloque de color </v>
      </c>
      <c r="G1942" s="47">
        <v>1</v>
      </c>
      <c r="H1942" s="48">
        <v>25</v>
      </c>
      <c r="I1942" s="12">
        <f>VENTAS[[#This Row],[Cantidad]]*VENTAS[[#This Row],[Precio Venta]]</f>
        <v>25</v>
      </c>
      <c r="J1942" s="12">
        <f>IF(VENTAS[[#This Row],[Nombre del Gestor]]&gt;1,VENTAS[[#This Row],[Total]]*10%,0)</f>
        <v>2.5</v>
      </c>
      <c r="K1942" s="12">
        <f>IFERROR(VLOOKUP(VENTAS[[#This Row],[Código del producto Vendido]],STOCK[],16,FALSE)*VENTAS[[#This Row],[Cantidad]]+VLOOKUP(VENTAS[[#This Row],[Código del producto Vendido]],STOCK[],19,FALSE)*VENTAS[[#This Row],[Cantidad]],VENTAS[[#This Row],[Total]])</f>
        <v>11.94</v>
      </c>
      <c r="L1942" s="12">
        <f>VENTAS[[#This Row],[Total]]-VENTAS[[#This Row],[Comisión 10%]]-VENTAS[[#This Row],[Costo SIN Comision]]</f>
        <v>10.56</v>
      </c>
      <c r="M1942" s="48"/>
      <c r="N1942" s="16" t="s">
        <v>4929</v>
      </c>
    </row>
    <row r="1943" spans="1:14" s="4" customFormat="1" ht="20" hidden="1" customHeight="1">
      <c r="A1943" s="46">
        <v>45588</v>
      </c>
      <c r="B1943" s="47"/>
      <c r="C1943" s="47"/>
      <c r="D1943" s="47" t="s">
        <v>4378</v>
      </c>
      <c r="E1943" s="47" t="s">
        <v>2906</v>
      </c>
      <c r="F1943" s="10" t="str">
        <f>IFERROR(VLOOKUP(VENTAS[[#This Row],[Código del producto Vendido]],STOCK[],5,FALSE),"-")</f>
        <v>Sujetador de gran confort antideslizante sin tirantes color crema</v>
      </c>
      <c r="G1943" s="47">
        <v>1</v>
      </c>
      <c r="H1943" s="48">
        <v>15</v>
      </c>
      <c r="I1943" s="12">
        <f>VENTAS[[#This Row],[Cantidad]]*VENTAS[[#This Row],[Precio Venta]]</f>
        <v>15</v>
      </c>
      <c r="J1943" s="12">
        <f>IF(VENTAS[[#This Row],[Nombre del Gestor]]&gt;1,VENTAS[[#This Row],[Total]]*10%,0)</f>
        <v>1.5</v>
      </c>
      <c r="K1943" s="12">
        <f>IFERROR(VLOOKUP(VENTAS[[#This Row],[Código del producto Vendido]],STOCK[],16,FALSE)*VENTAS[[#This Row],[Cantidad]]+VLOOKUP(VENTAS[[#This Row],[Código del producto Vendido]],STOCK[],19,FALSE)*VENTAS[[#This Row],[Cantidad]],VENTAS[[#This Row],[Total]])</f>
        <v>8.14</v>
      </c>
      <c r="L1943" s="12">
        <f>VENTAS[[#This Row],[Total]]-VENTAS[[#This Row],[Comisión 10%]]-VENTAS[[#This Row],[Costo SIN Comision]]</f>
        <v>5.3599999999999994</v>
      </c>
      <c r="M1943" s="48"/>
      <c r="N1943" s="16" t="s">
        <v>4930</v>
      </c>
    </row>
    <row r="1944" spans="1:14" s="4" customFormat="1" ht="20" hidden="1" customHeight="1">
      <c r="A1944" s="46">
        <v>45588</v>
      </c>
      <c r="B1944" s="47"/>
      <c r="C1944" s="47"/>
      <c r="D1944" s="47" t="s">
        <v>4571</v>
      </c>
      <c r="E1944" s="47" t="s">
        <v>3015</v>
      </c>
      <c r="F1944" s="10" t="str">
        <f>IFERROR(VLOOKUP(VENTAS[[#This Row],[Código del producto Vendido]],STOCK[],5,FALSE),"-")</f>
        <v>Pantalón alto de pierna ancha color caramelo</v>
      </c>
      <c r="G1944" s="47">
        <v>1</v>
      </c>
      <c r="H1944" s="48">
        <v>30</v>
      </c>
      <c r="I1944" s="12">
        <f>VENTAS[[#This Row],[Cantidad]]*VENTAS[[#This Row],[Precio Venta]]</f>
        <v>30</v>
      </c>
      <c r="J1944" s="12">
        <f>IF(VENTAS[[#This Row],[Nombre del Gestor]]&gt;1,VENTAS[[#This Row],[Total]]*10%,0)</f>
        <v>3</v>
      </c>
      <c r="K1944" s="12">
        <f>IFERROR(VLOOKUP(VENTAS[[#This Row],[Código del producto Vendido]],STOCK[],16,FALSE)*VENTAS[[#This Row],[Cantidad]]+VLOOKUP(VENTAS[[#This Row],[Código del producto Vendido]],STOCK[],19,FALSE)*VENTAS[[#This Row],[Cantidad]],VENTAS[[#This Row],[Total]])</f>
        <v>12.63</v>
      </c>
      <c r="L1944" s="12">
        <f>VENTAS[[#This Row],[Total]]-VENTAS[[#This Row],[Comisión 10%]]-VENTAS[[#This Row],[Costo SIN Comision]]</f>
        <v>14.37</v>
      </c>
      <c r="M1944" s="48"/>
      <c r="N1944" s="16" t="s">
        <v>4931</v>
      </c>
    </row>
    <row r="1945" spans="1:14" s="4" customFormat="1" ht="20" hidden="1" customHeight="1">
      <c r="A1945" s="46">
        <v>45588</v>
      </c>
      <c r="B1945" s="47"/>
      <c r="C1945" s="47"/>
      <c r="D1945" s="47" t="s">
        <v>4695</v>
      </c>
      <c r="E1945" s="47" t="s">
        <v>1404</v>
      </c>
      <c r="F1945" s="10" t="str">
        <f>IFERROR(VLOOKUP(VENTAS[[#This Row],[Código del producto Vendido]],STOCK[],5,FALSE),"-")</f>
        <v>Top bustier corsetero</v>
      </c>
      <c r="G1945" s="47">
        <v>1</v>
      </c>
      <c r="H1945" s="48">
        <v>10</v>
      </c>
      <c r="I1945" s="12">
        <f>VENTAS[[#This Row],[Cantidad]]*VENTAS[[#This Row],[Precio Venta]]</f>
        <v>10</v>
      </c>
      <c r="J1945" s="12">
        <f>IF(VENTAS[[#This Row],[Nombre del Gestor]]&gt;1,VENTAS[[#This Row],[Total]]*10%,0)</f>
        <v>1</v>
      </c>
      <c r="K1945" s="12">
        <f>IFERROR(VLOOKUP(VENTAS[[#This Row],[Código del producto Vendido]],STOCK[],16,FALSE)*VENTAS[[#This Row],[Cantidad]]+VLOOKUP(VENTAS[[#This Row],[Código del producto Vendido]],STOCK[],19,FALSE)*VENTAS[[#This Row],[Cantidad]],VENTAS[[#This Row],[Total]])</f>
        <v>5.5</v>
      </c>
      <c r="L1945" s="12">
        <f>VENTAS[[#This Row],[Total]]-VENTAS[[#This Row],[Comisión 10%]]-VENTAS[[#This Row],[Costo SIN Comision]]</f>
        <v>3.5</v>
      </c>
      <c r="M1945" s="48"/>
      <c r="N1945" s="16" t="s">
        <v>4932</v>
      </c>
    </row>
    <row r="1946" spans="1:14" s="4" customFormat="1" ht="20" hidden="1" customHeight="1">
      <c r="A1946" s="46">
        <v>45588</v>
      </c>
      <c r="B1946" s="47"/>
      <c r="C1946" s="47"/>
      <c r="D1946" s="47" t="s">
        <v>4695</v>
      </c>
      <c r="E1946" s="47" t="s">
        <v>2906</v>
      </c>
      <c r="F1946" s="10" t="str">
        <f>IFERROR(VLOOKUP(VENTAS[[#This Row],[Código del producto Vendido]],STOCK[],5,FALSE),"-")</f>
        <v>Sujetador de gran confort antideslizante sin tirantes color crema</v>
      </c>
      <c r="G1946" s="47">
        <v>1</v>
      </c>
      <c r="H1946" s="48">
        <v>15</v>
      </c>
      <c r="I1946" s="12">
        <f>VENTAS[[#This Row],[Cantidad]]*VENTAS[[#This Row],[Precio Venta]]</f>
        <v>15</v>
      </c>
      <c r="J1946" s="12">
        <f>IF(VENTAS[[#This Row],[Nombre del Gestor]]&gt;1,VENTAS[[#This Row],[Total]]*10%,0)</f>
        <v>1.5</v>
      </c>
      <c r="K1946" s="12">
        <f>IFERROR(VLOOKUP(VENTAS[[#This Row],[Código del producto Vendido]],STOCK[],16,FALSE)*VENTAS[[#This Row],[Cantidad]]+VLOOKUP(VENTAS[[#This Row],[Código del producto Vendido]],STOCK[],19,FALSE)*VENTAS[[#This Row],[Cantidad]],VENTAS[[#This Row],[Total]])</f>
        <v>8.14</v>
      </c>
      <c r="L1946" s="12">
        <f>VENTAS[[#This Row],[Total]]-VENTAS[[#This Row],[Comisión 10%]]-VENTAS[[#This Row],[Costo SIN Comision]]</f>
        <v>5.3599999999999994</v>
      </c>
      <c r="M1946" s="48"/>
      <c r="N1946" s="16" t="s">
        <v>4933</v>
      </c>
    </row>
    <row r="1947" spans="1:14" s="4" customFormat="1" ht="20" hidden="1" customHeight="1">
      <c r="A1947" s="46">
        <v>45588</v>
      </c>
      <c r="B1947" s="47"/>
      <c r="C1947" s="47"/>
      <c r="D1947" s="47" t="s">
        <v>4349</v>
      </c>
      <c r="E1947" s="47" t="s">
        <v>2985</v>
      </c>
      <c r="F1947" s="10" t="str">
        <f>IFERROR(VLOOKUP(VENTAS[[#This Row],[Código del producto Vendido]],STOCK[],5,FALSE),"-")</f>
        <v>Vestido playero largo de mangas con escote V</v>
      </c>
      <c r="G1947" s="47">
        <v>1</v>
      </c>
      <c r="H1947" s="48">
        <v>30</v>
      </c>
      <c r="I1947" s="12">
        <f>VENTAS[[#This Row],[Cantidad]]*VENTAS[[#This Row],[Precio Venta]]</f>
        <v>30</v>
      </c>
      <c r="J1947" s="12">
        <f>IF(VENTAS[[#This Row],[Nombre del Gestor]]&gt;1,VENTAS[[#This Row],[Total]]*10%,0)</f>
        <v>3</v>
      </c>
      <c r="K1947" s="12">
        <f>IFERROR(VLOOKUP(VENTAS[[#This Row],[Código del producto Vendido]],STOCK[],16,FALSE)*VENTAS[[#This Row],[Cantidad]]+VLOOKUP(VENTAS[[#This Row],[Código del producto Vendido]],STOCK[],19,FALSE)*VENTAS[[#This Row],[Cantidad]],VENTAS[[#This Row],[Total]])</f>
        <v>11.02</v>
      </c>
      <c r="L1947" s="12">
        <f>VENTAS[[#This Row],[Total]]-VENTAS[[#This Row],[Comisión 10%]]-VENTAS[[#This Row],[Costo SIN Comision]]</f>
        <v>15.98</v>
      </c>
      <c r="M1947" s="48"/>
      <c r="N1947" s="16" t="s">
        <v>4934</v>
      </c>
    </row>
    <row r="1948" spans="1:14" s="4" customFormat="1" ht="20" hidden="1" customHeight="1">
      <c r="A1948" s="46">
        <v>45588</v>
      </c>
      <c r="B1948" s="47"/>
      <c r="C1948" s="47"/>
      <c r="D1948" s="47" t="s">
        <v>4374</v>
      </c>
      <c r="E1948" s="47" t="s">
        <v>198</v>
      </c>
      <c r="F1948" s="10" t="str">
        <f>IFERROR(VLOOKUP(VENTAS[[#This Row],[Código del producto Vendido]],STOCK[],5,FALSE),"-")</f>
        <v>Falda de trabajo entallada</v>
      </c>
      <c r="G1948" s="47">
        <v>1</v>
      </c>
      <c r="H1948" s="48">
        <v>12</v>
      </c>
      <c r="I1948" s="12">
        <f>VENTAS[[#This Row],[Cantidad]]*VENTAS[[#This Row],[Precio Venta]]</f>
        <v>12</v>
      </c>
      <c r="J1948" s="12">
        <f>IF(VENTAS[[#This Row],[Nombre del Gestor]]&gt;1,VENTAS[[#This Row],[Total]]*10%,0)</f>
        <v>1.2000000000000002</v>
      </c>
      <c r="K1948" s="12">
        <f>IFERROR(VLOOKUP(VENTAS[[#This Row],[Código del producto Vendido]],STOCK[],16,FALSE)*VENTAS[[#This Row],[Cantidad]]+VLOOKUP(VENTAS[[#This Row],[Código del producto Vendido]],STOCK[],19,FALSE)*VENTAS[[#This Row],[Cantidad]],VENTAS[[#This Row],[Total]])</f>
        <v>7.2733333333333299</v>
      </c>
      <c r="L1948" s="12">
        <f>VENTAS[[#This Row],[Total]]-VENTAS[[#This Row],[Comisión 10%]]-VENTAS[[#This Row],[Costo SIN Comision]]</f>
        <v>3.5266666666666708</v>
      </c>
      <c r="M1948" s="48"/>
      <c r="N1948" s="16" t="s">
        <v>4935</v>
      </c>
    </row>
    <row r="1949" spans="1:14" s="4" customFormat="1" ht="20" hidden="1" customHeight="1">
      <c r="A1949" s="46">
        <v>45588</v>
      </c>
      <c r="B1949" s="47"/>
      <c r="C1949" s="47"/>
      <c r="D1949" s="47" t="s">
        <v>4330</v>
      </c>
      <c r="E1949" s="47" t="s">
        <v>3448</v>
      </c>
      <c r="F1949" s="10" t="str">
        <f>IFERROR(VLOOKUP(VENTAS[[#This Row],[Código del producto Vendido]],STOCK[],5,FALSE),"-")</f>
        <v>Antifaz bordado</v>
      </c>
      <c r="G1949" s="47">
        <v>1</v>
      </c>
      <c r="H1949" s="48">
        <v>4</v>
      </c>
      <c r="I1949" s="12">
        <f>VENTAS[[#This Row],[Cantidad]]*VENTAS[[#This Row],[Precio Venta]]</f>
        <v>4</v>
      </c>
      <c r="J1949" s="12">
        <f>IF(VENTAS[[#This Row],[Nombre del Gestor]]&gt;1,VENTAS[[#This Row],[Total]]*10%,0)</f>
        <v>0.4</v>
      </c>
      <c r="K1949" s="12">
        <f>IFERROR(VLOOKUP(VENTAS[[#This Row],[Código del producto Vendido]],STOCK[],16,FALSE)*VENTAS[[#This Row],[Cantidad]]+VLOOKUP(VENTAS[[#This Row],[Código del producto Vendido]],STOCK[],19,FALSE)*VENTAS[[#This Row],[Cantidad]],VENTAS[[#This Row],[Total]])</f>
        <v>0</v>
      </c>
      <c r="L1949" s="12">
        <f>VENTAS[[#This Row],[Total]]-VENTAS[[#This Row],[Comisión 10%]]-VENTAS[[#This Row],[Costo SIN Comision]]</f>
        <v>3.6</v>
      </c>
      <c r="M1949" s="48"/>
      <c r="N1949" s="16" t="s">
        <v>4936</v>
      </c>
    </row>
    <row r="1950" spans="1:14" s="4" customFormat="1" ht="20" hidden="1" customHeight="1">
      <c r="A1950" s="46">
        <v>45588</v>
      </c>
      <c r="B1950" s="47"/>
      <c r="C1950" s="47"/>
      <c r="D1950" s="47" t="s">
        <v>4330</v>
      </c>
      <c r="E1950" s="47" t="s">
        <v>3450</v>
      </c>
      <c r="F1950" s="10" t="str">
        <f>IFERROR(VLOOKUP(VENTAS[[#This Row],[Código del producto Vendido]],STOCK[],5,FALSE),"-")</f>
        <v>Cuchillo bromista</v>
      </c>
      <c r="G1950" s="47">
        <v>1</v>
      </c>
      <c r="H1950" s="48">
        <v>5</v>
      </c>
      <c r="I1950" s="12">
        <f>VENTAS[[#This Row],[Cantidad]]*VENTAS[[#This Row],[Precio Venta]]</f>
        <v>5</v>
      </c>
      <c r="J1950" s="12">
        <f>IF(VENTAS[[#This Row],[Nombre del Gestor]]&gt;1,VENTAS[[#This Row],[Total]]*10%,0)</f>
        <v>0.5</v>
      </c>
      <c r="K1950" s="12">
        <f>IFERROR(VLOOKUP(VENTAS[[#This Row],[Código del producto Vendido]],STOCK[],16,FALSE)*VENTAS[[#This Row],[Cantidad]]+VLOOKUP(VENTAS[[#This Row],[Código del producto Vendido]],STOCK[],19,FALSE)*VENTAS[[#This Row],[Cantidad]],VENTAS[[#This Row],[Total]])</f>
        <v>0</v>
      </c>
      <c r="L1950" s="12">
        <f>VENTAS[[#This Row],[Total]]-VENTAS[[#This Row],[Comisión 10%]]-VENTAS[[#This Row],[Costo SIN Comision]]</f>
        <v>4.5</v>
      </c>
      <c r="M1950" s="48"/>
      <c r="N1950" s="16" t="s">
        <v>4937</v>
      </c>
    </row>
    <row r="1951" spans="1:14" s="4" customFormat="1" ht="20" hidden="1" customHeight="1">
      <c r="A1951" s="46">
        <v>45589</v>
      </c>
      <c r="B1951" s="47"/>
      <c r="C1951" s="47"/>
      <c r="D1951" s="47" t="s">
        <v>4374</v>
      </c>
      <c r="E1951" s="47" t="s">
        <v>3478</v>
      </c>
      <c r="F1951" s="10" t="str">
        <f>IFERROR(VLOOKUP(VENTAS[[#This Row],[Código del producto Vendido]],STOCK[],5,FALSE),"-")</f>
        <v>Set de 3 piezas de disfraz bunny (body, medias y diadema)</v>
      </c>
      <c r="G1951" s="47">
        <v>1</v>
      </c>
      <c r="H1951" s="48">
        <v>25</v>
      </c>
      <c r="I1951" s="12">
        <f>VENTAS[[#This Row],[Cantidad]]*VENTAS[[#This Row],[Precio Venta]]</f>
        <v>25</v>
      </c>
      <c r="J1951" s="12">
        <f>IF(VENTAS[[#This Row],[Nombre del Gestor]]&gt;1,VENTAS[[#This Row],[Total]]*10%,0)</f>
        <v>2.5</v>
      </c>
      <c r="K1951" s="12">
        <f>IFERROR(VLOOKUP(VENTAS[[#This Row],[Código del producto Vendido]],STOCK[],16,FALSE)*VENTAS[[#This Row],[Cantidad]]+VLOOKUP(VENTAS[[#This Row],[Código del producto Vendido]],STOCK[],19,FALSE)*VENTAS[[#This Row],[Cantidad]],VENTAS[[#This Row],[Total]])</f>
        <v>0</v>
      </c>
      <c r="L1951" s="12">
        <f>VENTAS[[#This Row],[Total]]-VENTAS[[#This Row],[Comisión 10%]]-VENTAS[[#This Row],[Costo SIN Comision]]</f>
        <v>22.5</v>
      </c>
      <c r="M1951" s="48"/>
      <c r="N1951" s="16" t="s">
        <v>4938</v>
      </c>
    </row>
    <row r="1952" spans="1:14" s="4" customFormat="1" ht="20" hidden="1" customHeight="1">
      <c r="A1952" s="46">
        <v>45589</v>
      </c>
      <c r="B1952" s="47"/>
      <c r="C1952" s="47"/>
      <c r="D1952" s="47" t="s">
        <v>4750</v>
      </c>
      <c r="E1952" s="47" t="s">
        <v>1707</v>
      </c>
      <c r="F1952" s="10" t="str">
        <f>IFERROR(VLOOKUP(VENTAS[[#This Row],[Código del producto Vendido]],STOCK[],5,FALSE),"-")</f>
        <v>Vestido ajustado con abertura de manga larga</v>
      </c>
      <c r="G1952" s="47">
        <v>1</v>
      </c>
      <c r="H1952" s="48">
        <v>20</v>
      </c>
      <c r="I1952" s="12">
        <f>VENTAS[[#This Row],[Cantidad]]*VENTAS[[#This Row],[Precio Venta]]</f>
        <v>20</v>
      </c>
      <c r="J1952" s="12">
        <f>IF(VENTAS[[#This Row],[Nombre del Gestor]]&gt;1,VENTAS[[#This Row],[Total]]*10%,0)</f>
        <v>2</v>
      </c>
      <c r="K1952" s="12">
        <f>IFERROR(VLOOKUP(VENTAS[[#This Row],[Código del producto Vendido]],STOCK[],16,FALSE)*VENTAS[[#This Row],[Cantidad]]+VLOOKUP(VENTAS[[#This Row],[Código del producto Vendido]],STOCK[],19,FALSE)*VENTAS[[#This Row],[Cantidad]],VENTAS[[#This Row],[Total]])</f>
        <v>9.9700000000000006</v>
      </c>
      <c r="L1952" s="12">
        <f>VENTAS[[#This Row],[Total]]-VENTAS[[#This Row],[Comisión 10%]]-VENTAS[[#This Row],[Costo SIN Comision]]</f>
        <v>8.0299999999999994</v>
      </c>
      <c r="M1952" s="48"/>
      <c r="N1952" s="16" t="s">
        <v>4939</v>
      </c>
    </row>
    <row r="1953" spans="1:14" s="4" customFormat="1" ht="20" hidden="1" customHeight="1">
      <c r="A1953" s="46">
        <v>45589</v>
      </c>
      <c r="B1953" s="47"/>
      <c r="C1953" s="47"/>
      <c r="D1953" s="47" t="s">
        <v>4380</v>
      </c>
      <c r="E1953" s="47" t="s">
        <v>2973</v>
      </c>
      <c r="F1953" s="10" t="str">
        <f>IFERROR(VLOOKUP(VENTAS[[#This Row],[Código del producto Vendido]],STOCK[],5,FALSE),"-")</f>
        <v>Vestido de un hombro con abertura trasera color azul celeste</v>
      </c>
      <c r="G1953" s="47">
        <v>1</v>
      </c>
      <c r="H1953" s="48">
        <v>25</v>
      </c>
      <c r="I1953" s="12">
        <f>VENTAS[[#This Row],[Cantidad]]*VENTAS[[#This Row],[Precio Venta]]</f>
        <v>25</v>
      </c>
      <c r="J1953" s="12">
        <f>IF(VENTAS[[#This Row],[Nombre del Gestor]]&gt;1,VENTAS[[#This Row],[Total]]*10%,0)</f>
        <v>2.5</v>
      </c>
      <c r="K1953" s="12">
        <f>IFERROR(VLOOKUP(VENTAS[[#This Row],[Código del producto Vendido]],STOCK[],16,FALSE)*VENTAS[[#This Row],[Cantidad]]+VLOOKUP(VENTAS[[#This Row],[Código del producto Vendido]],STOCK[],19,FALSE)*VENTAS[[#This Row],[Cantidad]],VENTAS[[#This Row],[Total]])</f>
        <v>12.32</v>
      </c>
      <c r="L1953" s="12">
        <f>VENTAS[[#This Row],[Total]]-VENTAS[[#This Row],[Comisión 10%]]-VENTAS[[#This Row],[Costo SIN Comision]]</f>
        <v>10.18</v>
      </c>
      <c r="M1953" s="48"/>
      <c r="N1953" s="16" t="s">
        <v>4940</v>
      </c>
    </row>
    <row r="1954" spans="1:14" s="4" customFormat="1" ht="20" hidden="1" customHeight="1">
      <c r="A1954" s="46">
        <v>45589</v>
      </c>
      <c r="B1954" s="47"/>
      <c r="C1954" s="47"/>
      <c r="D1954" s="47" t="s">
        <v>4374</v>
      </c>
      <c r="E1954" s="47" t="s">
        <v>3398</v>
      </c>
      <c r="F1954" s="10" t="str">
        <f>IFERROR(VLOOKUP(VENTAS[[#This Row],[Código del producto Vendido]],STOCK[],5,FALSE),"-")</f>
        <v>Cubre bocas de caravela</v>
      </c>
      <c r="G1954" s="47">
        <v>1</v>
      </c>
      <c r="H1954" s="48">
        <v>4</v>
      </c>
      <c r="I1954" s="12">
        <f>VENTAS[[#This Row],[Cantidad]]*VENTAS[[#This Row],[Precio Venta]]</f>
        <v>4</v>
      </c>
      <c r="J1954" s="12">
        <f>IF(VENTAS[[#This Row],[Nombre del Gestor]]&gt;1,VENTAS[[#This Row],[Total]]*10%,0)</f>
        <v>0.4</v>
      </c>
      <c r="K1954" s="12">
        <f>IFERROR(VLOOKUP(VENTAS[[#This Row],[Código del producto Vendido]],STOCK[],16,FALSE)*VENTAS[[#This Row],[Cantidad]]+VLOOKUP(VENTAS[[#This Row],[Código del producto Vendido]],STOCK[],19,FALSE)*VENTAS[[#This Row],[Cantidad]],VENTAS[[#This Row],[Total]])</f>
        <v>0</v>
      </c>
      <c r="L1954" s="12">
        <f>VENTAS[[#This Row],[Total]]-VENTAS[[#This Row],[Comisión 10%]]-VENTAS[[#This Row],[Costo SIN Comision]]</f>
        <v>3.6</v>
      </c>
      <c r="M1954" s="48"/>
      <c r="N1954" s="16" t="s">
        <v>4941</v>
      </c>
    </row>
    <row r="1955" spans="1:14" s="4" customFormat="1" ht="20" hidden="1" customHeight="1">
      <c r="A1955" s="46">
        <v>45589</v>
      </c>
      <c r="B1955" s="47"/>
      <c r="C1955" s="47"/>
      <c r="D1955" s="47" t="s">
        <v>4374</v>
      </c>
      <c r="E1955" s="47" t="s">
        <v>3400</v>
      </c>
      <c r="F1955" s="10" t="str">
        <f>IFERROR(VLOOKUP(VENTAS[[#This Row],[Código del producto Vendido]],STOCK[],5,FALSE),"-")</f>
        <v>Vestido poncho de esqueleto</v>
      </c>
      <c r="G1955" s="47">
        <v>1</v>
      </c>
      <c r="H1955" s="48">
        <v>18</v>
      </c>
      <c r="I1955" s="12">
        <f>VENTAS[[#This Row],[Cantidad]]*VENTAS[[#This Row],[Precio Venta]]</f>
        <v>18</v>
      </c>
      <c r="J1955" s="12">
        <f>IF(VENTAS[[#This Row],[Nombre del Gestor]]&gt;1,VENTAS[[#This Row],[Total]]*10%,0)</f>
        <v>1.8</v>
      </c>
      <c r="K1955" s="12">
        <f>IFERROR(VLOOKUP(VENTAS[[#This Row],[Código del producto Vendido]],STOCK[],16,FALSE)*VENTAS[[#This Row],[Cantidad]]+VLOOKUP(VENTAS[[#This Row],[Código del producto Vendido]],STOCK[],19,FALSE)*VENTAS[[#This Row],[Cantidad]],VENTAS[[#This Row],[Total]])</f>
        <v>0</v>
      </c>
      <c r="L1955" s="12">
        <f>VENTAS[[#This Row],[Total]]-VENTAS[[#This Row],[Comisión 10%]]-VENTAS[[#This Row],[Costo SIN Comision]]</f>
        <v>16.2</v>
      </c>
      <c r="M1955" s="48"/>
      <c r="N1955" s="16" t="s">
        <v>4942</v>
      </c>
    </row>
    <row r="1956" spans="1:14" s="4" customFormat="1" ht="20" hidden="1" customHeight="1">
      <c r="A1956" s="46">
        <v>45589</v>
      </c>
      <c r="B1956" s="47"/>
      <c r="C1956" s="47"/>
      <c r="D1956" s="47" t="s">
        <v>4398</v>
      </c>
      <c r="E1956" s="47" t="s">
        <v>2866</v>
      </c>
      <c r="F1956" s="10" t="str">
        <f>IFERROR(VLOOKUP(VENTAS[[#This Row],[Código del producto Vendido]],STOCK[],5,FALSE),"-")</f>
        <v>Vestido de espalda descubierta de color sólido y tirantes de espagueti</v>
      </c>
      <c r="G1956" s="47">
        <v>1</v>
      </c>
      <c r="H1956" s="48">
        <v>25</v>
      </c>
      <c r="I1956" s="12">
        <f>VENTAS[[#This Row],[Cantidad]]*VENTAS[[#This Row],[Precio Venta]]</f>
        <v>25</v>
      </c>
      <c r="J1956" s="12">
        <f>IF(VENTAS[[#This Row],[Nombre del Gestor]]&gt;1,VENTAS[[#This Row],[Total]]*10%,0)</f>
        <v>2.5</v>
      </c>
      <c r="K1956" s="12">
        <f>IFERROR(VLOOKUP(VENTAS[[#This Row],[Código del producto Vendido]],STOCK[],16,FALSE)*VENTAS[[#This Row],[Cantidad]]+VLOOKUP(VENTAS[[#This Row],[Código del producto Vendido]],STOCK[],19,FALSE)*VENTAS[[#This Row],[Cantidad]],VENTAS[[#This Row],[Total]])</f>
        <v>11.98</v>
      </c>
      <c r="L1956" s="12">
        <f>VENTAS[[#This Row],[Total]]-VENTAS[[#This Row],[Comisión 10%]]-VENTAS[[#This Row],[Costo SIN Comision]]</f>
        <v>10.52</v>
      </c>
      <c r="M1956" s="48"/>
      <c r="N1956" s="16" t="s">
        <v>4943</v>
      </c>
    </row>
    <row r="1957" spans="1:14" s="4" customFormat="1" ht="20" hidden="1" customHeight="1">
      <c r="A1957" s="46">
        <v>45589</v>
      </c>
      <c r="B1957" s="47"/>
      <c r="C1957" s="47"/>
      <c r="D1957" s="47" t="s">
        <v>4944</v>
      </c>
      <c r="E1957" s="47" t="s">
        <v>3455</v>
      </c>
      <c r="F1957" s="10" t="str">
        <f>IFERROR(VLOOKUP(VENTAS[[#This Row],[Código del producto Vendido]],STOCK[],5,FALSE),"-")</f>
        <v>Botas negras de pierna alta</v>
      </c>
      <c r="G1957" s="47">
        <v>1</v>
      </c>
      <c r="H1957" s="48">
        <v>50</v>
      </c>
      <c r="I1957" s="12">
        <f>VENTAS[[#This Row],[Cantidad]]*VENTAS[[#This Row],[Precio Venta]]</f>
        <v>50</v>
      </c>
      <c r="J1957" s="12">
        <f>IF(VENTAS[[#This Row],[Nombre del Gestor]]&gt;1,VENTAS[[#This Row],[Total]]*10%,0)</f>
        <v>5</v>
      </c>
      <c r="K1957" s="12">
        <f>IFERROR(VLOOKUP(VENTAS[[#This Row],[Código del producto Vendido]],STOCK[],16,FALSE)*VENTAS[[#This Row],[Cantidad]]+VLOOKUP(VENTAS[[#This Row],[Código del producto Vendido]],STOCK[],19,FALSE)*VENTAS[[#This Row],[Cantidad]],VENTAS[[#This Row],[Total]])</f>
        <v>0</v>
      </c>
      <c r="L1957" s="12">
        <f>VENTAS[[#This Row],[Total]]-VENTAS[[#This Row],[Comisión 10%]]-VENTAS[[#This Row],[Costo SIN Comision]]</f>
        <v>45</v>
      </c>
      <c r="M1957" s="48"/>
      <c r="N1957" s="16" t="s">
        <v>4945</v>
      </c>
    </row>
    <row r="1958" spans="1:14" s="4" customFormat="1" ht="20" hidden="1" customHeight="1">
      <c r="A1958" s="46">
        <v>45590</v>
      </c>
      <c r="B1958" s="47"/>
      <c r="C1958" s="47"/>
      <c r="D1958" s="47" t="s">
        <v>4380</v>
      </c>
      <c r="E1958" s="47" t="s">
        <v>3473</v>
      </c>
      <c r="F1958" s="45" t="str">
        <f>IFERROR(VLOOKUP(VENTAS[[#This Row],[Código del producto Vendido]],STOCK[],5,FALSE),"-")</f>
        <v>Máscara completa de Miles Morales</v>
      </c>
      <c r="G1958" s="47">
        <v>1</v>
      </c>
      <c r="H1958" s="48">
        <v>10</v>
      </c>
      <c r="I1958" s="12">
        <f>VENTAS[[#This Row],[Cantidad]]*VENTAS[[#This Row],[Precio Venta]]</f>
        <v>10</v>
      </c>
      <c r="J1958" s="12">
        <f>IF(VENTAS[[#This Row],[Nombre del Gestor]]&gt;1,VENTAS[[#This Row],[Total]]*10%,0)</f>
        <v>1</v>
      </c>
      <c r="K1958" s="12">
        <f>IFERROR(VLOOKUP(VENTAS[[#This Row],[Código del producto Vendido]],STOCK[],16,FALSE)*VENTAS[[#This Row],[Cantidad]]+VLOOKUP(VENTAS[[#This Row],[Código del producto Vendido]],STOCK[],19,FALSE)*VENTAS[[#This Row],[Cantidad]],VENTAS[[#This Row],[Total]])</f>
        <v>0</v>
      </c>
      <c r="L1958" s="12">
        <f>VENTAS[[#This Row],[Total]]-VENTAS[[#This Row],[Comisión 10%]]-VENTAS[[#This Row],[Costo SIN Comision]]</f>
        <v>9</v>
      </c>
      <c r="M1958" s="48"/>
      <c r="N1958" s="16" t="s">
        <v>4946</v>
      </c>
    </row>
    <row r="1959" spans="1:14" s="4" customFormat="1" ht="20" hidden="1" customHeight="1">
      <c r="A1959" s="46">
        <v>45590</v>
      </c>
      <c r="B1959" s="47"/>
      <c r="C1959" s="47"/>
      <c r="D1959" s="47"/>
      <c r="E1959" s="47" t="s">
        <v>2805</v>
      </c>
      <c r="F1959" s="10" t="str">
        <f>IFERROR(VLOOKUP(VENTAS[[#This Row],[Código del producto Vendido]],STOCK[],5,FALSE),"-")</f>
        <v>Sandalias espadriles de cuña de correas transparentes</v>
      </c>
      <c r="G1959" s="47">
        <v>1</v>
      </c>
      <c r="H1959" s="48">
        <v>40</v>
      </c>
      <c r="I1959" s="12">
        <f>VENTAS[[#This Row],[Cantidad]]*VENTAS[[#This Row],[Precio Venta]]</f>
        <v>40</v>
      </c>
      <c r="J1959" s="12">
        <f>IF(VENTAS[[#This Row],[Nombre del Gestor]]&gt;1,VENTAS[[#This Row],[Total]]*10%,0)</f>
        <v>0</v>
      </c>
      <c r="K1959" s="12">
        <f>IFERROR(VLOOKUP(VENTAS[[#This Row],[Código del producto Vendido]],STOCK[],16,FALSE)*VENTAS[[#This Row],[Cantidad]]+VLOOKUP(VENTAS[[#This Row],[Código del producto Vendido]],STOCK[],19,FALSE)*VENTAS[[#This Row],[Cantidad]],VENTAS[[#This Row],[Total]])</f>
        <v>13.01</v>
      </c>
      <c r="L1959" s="12">
        <f>VENTAS[[#This Row],[Total]]-VENTAS[[#This Row],[Comisión 10%]]-VENTAS[[#This Row],[Costo SIN Comision]]</f>
        <v>26.990000000000002</v>
      </c>
      <c r="M1959" s="48"/>
      <c r="N1959" s="16" t="s">
        <v>4947</v>
      </c>
    </row>
    <row r="1960" spans="1:14" s="4" customFormat="1" ht="20" hidden="1" customHeight="1">
      <c r="A1960" s="46">
        <v>45590</v>
      </c>
      <c r="B1960" s="47"/>
      <c r="C1960" s="47"/>
      <c r="D1960" s="47" t="s">
        <v>4948</v>
      </c>
      <c r="E1960" s="47" t="s">
        <v>3479</v>
      </c>
      <c r="F1960" s="10" t="str">
        <f>IFERROR(VLOOKUP(VENTAS[[#This Row],[Código del producto Vendido]],STOCK[],5,FALSE),"-")</f>
        <v>Peluca negra con flequillo</v>
      </c>
      <c r="G1960" s="47">
        <v>1</v>
      </c>
      <c r="H1960" s="48">
        <v>10</v>
      </c>
      <c r="I1960" s="12">
        <f>VENTAS[[#This Row],[Cantidad]]*VENTAS[[#This Row],[Precio Venta]]</f>
        <v>10</v>
      </c>
      <c r="J1960" s="12">
        <f>IF(VENTAS[[#This Row],[Nombre del Gestor]]&gt;1,VENTAS[[#This Row],[Total]]*10%,0)</f>
        <v>1</v>
      </c>
      <c r="K1960" s="12">
        <f>IFERROR(VLOOKUP(VENTAS[[#This Row],[Código del producto Vendido]],STOCK[],16,FALSE)*VENTAS[[#This Row],[Cantidad]]+VLOOKUP(VENTAS[[#This Row],[Código del producto Vendido]],STOCK[],19,FALSE)*VENTAS[[#This Row],[Cantidad]],VENTAS[[#This Row],[Total]])</f>
        <v>0</v>
      </c>
      <c r="L1960" s="12">
        <f>VENTAS[[#This Row],[Total]]-VENTAS[[#This Row],[Comisión 10%]]-VENTAS[[#This Row],[Costo SIN Comision]]</f>
        <v>9</v>
      </c>
      <c r="M1960" s="48"/>
      <c r="N1960" s="16" t="s">
        <v>4949</v>
      </c>
    </row>
    <row r="1961" spans="1:14" s="4" customFormat="1" ht="20" hidden="1" customHeight="1">
      <c r="A1961" s="46">
        <v>45590</v>
      </c>
      <c r="B1961" s="47"/>
      <c r="C1961" s="47"/>
      <c r="D1961" s="47" t="s">
        <v>4571</v>
      </c>
      <c r="E1961" s="47" t="s">
        <v>3377</v>
      </c>
      <c r="F1961" s="10" t="str">
        <f>IFERROR(VLOOKUP(VENTAS[[#This Row],[Código del producto Vendido]],STOCK[],5,FALSE),"-")</f>
        <v>Juego de 4 piezas para disfraz de abejita</v>
      </c>
      <c r="G1961" s="47">
        <v>1</v>
      </c>
      <c r="H1961" s="48">
        <v>15</v>
      </c>
      <c r="I1961" s="12">
        <f>VENTAS[[#This Row],[Cantidad]]*VENTAS[[#This Row],[Precio Venta]]</f>
        <v>15</v>
      </c>
      <c r="J1961" s="12">
        <f>IF(VENTAS[[#This Row],[Nombre del Gestor]]&gt;1,VENTAS[[#This Row],[Total]]*10%,0)</f>
        <v>1.5</v>
      </c>
      <c r="K1961" s="12">
        <f>IFERROR(VLOOKUP(VENTAS[[#This Row],[Código del producto Vendido]],STOCK[],16,FALSE)*VENTAS[[#This Row],[Cantidad]]+VLOOKUP(VENTAS[[#This Row],[Código del producto Vendido]],STOCK[],19,FALSE)*VENTAS[[#This Row],[Cantidad]],VENTAS[[#This Row],[Total]])</f>
        <v>0</v>
      </c>
      <c r="L1961" s="12">
        <f>VENTAS[[#This Row],[Total]]-VENTAS[[#This Row],[Comisión 10%]]-VENTAS[[#This Row],[Costo SIN Comision]]</f>
        <v>13.5</v>
      </c>
      <c r="M1961" s="48"/>
      <c r="N1961" s="16" t="s">
        <v>4950</v>
      </c>
    </row>
    <row r="1962" spans="1:14" s="4" customFormat="1" ht="20" hidden="1" customHeight="1">
      <c r="A1962" s="46">
        <v>45590</v>
      </c>
      <c r="B1962" s="47"/>
      <c r="C1962" s="47"/>
      <c r="D1962" s="47" t="s">
        <v>4571</v>
      </c>
      <c r="E1962" s="47" t="s">
        <v>3343</v>
      </c>
      <c r="F1962" s="10" t="str">
        <f>IFERROR(VLOOKUP(VENTAS[[#This Row],[Código del producto Vendido]],STOCK[],5,FALSE),"-")</f>
        <v>Vestido de Traje de conejita con diadema de orejas</v>
      </c>
      <c r="G1962" s="47">
        <v>1</v>
      </c>
      <c r="H1962" s="48">
        <v>25</v>
      </c>
      <c r="I1962" s="12">
        <f>VENTAS[[#This Row],[Cantidad]]*VENTAS[[#This Row],[Precio Venta]]</f>
        <v>25</v>
      </c>
      <c r="J1962" s="12">
        <f>IF(VENTAS[[#This Row],[Nombre del Gestor]]&gt;1,VENTAS[[#This Row],[Total]]*10%,0)</f>
        <v>2.5</v>
      </c>
      <c r="K1962" s="12">
        <f>IFERROR(VLOOKUP(VENTAS[[#This Row],[Código del producto Vendido]],STOCK[],16,FALSE)*VENTAS[[#This Row],[Cantidad]]+VLOOKUP(VENTAS[[#This Row],[Código del producto Vendido]],STOCK[],19,FALSE)*VENTAS[[#This Row],[Cantidad]],VENTAS[[#This Row],[Total]])</f>
        <v>0</v>
      </c>
      <c r="L1962" s="12">
        <f>VENTAS[[#This Row],[Total]]-VENTAS[[#This Row],[Comisión 10%]]-VENTAS[[#This Row],[Costo SIN Comision]]</f>
        <v>22.5</v>
      </c>
      <c r="M1962" s="48"/>
      <c r="N1962" s="16" t="s">
        <v>4951</v>
      </c>
    </row>
    <row r="1963" spans="1:14" s="4" customFormat="1" ht="20" hidden="1" customHeight="1">
      <c r="A1963" s="46">
        <v>45590</v>
      </c>
      <c r="B1963" s="47"/>
      <c r="C1963" s="47"/>
      <c r="D1963" s="47" t="s">
        <v>4571</v>
      </c>
      <c r="E1963" s="47" t="s">
        <v>3293</v>
      </c>
      <c r="F1963" s="10" t="str">
        <f>IFERROR(VLOOKUP(VENTAS[[#This Row],[Código del producto Vendido]],STOCK[],5,FALSE),"-")</f>
        <v>Medias pantys con detalle de pierdas brillantes</v>
      </c>
      <c r="G1963" s="47">
        <v>1</v>
      </c>
      <c r="H1963" s="48">
        <v>8</v>
      </c>
      <c r="I1963" s="12">
        <f>VENTAS[[#This Row],[Cantidad]]*VENTAS[[#This Row],[Precio Venta]]</f>
        <v>8</v>
      </c>
      <c r="J1963" s="12">
        <f>IF(VENTAS[[#This Row],[Nombre del Gestor]]&gt;1,VENTAS[[#This Row],[Total]]*10%,0)</f>
        <v>0.8</v>
      </c>
      <c r="K1963" s="12">
        <f>IFERROR(VLOOKUP(VENTAS[[#This Row],[Código del producto Vendido]],STOCK[],16,FALSE)*VENTAS[[#This Row],[Cantidad]]+VLOOKUP(VENTAS[[#This Row],[Código del producto Vendido]],STOCK[],19,FALSE)*VENTAS[[#This Row],[Cantidad]],VENTAS[[#This Row],[Total]])</f>
        <v>0</v>
      </c>
      <c r="L1963" s="12">
        <f>VENTAS[[#This Row],[Total]]-VENTAS[[#This Row],[Comisión 10%]]-VENTAS[[#This Row],[Costo SIN Comision]]</f>
        <v>7.2</v>
      </c>
      <c r="M1963" s="48"/>
      <c r="N1963" s="16" t="s">
        <v>4952</v>
      </c>
    </row>
    <row r="1964" spans="1:14" s="4" customFormat="1" ht="20" hidden="1" customHeight="1">
      <c r="A1964" s="46">
        <v>45590</v>
      </c>
      <c r="B1964" s="47"/>
      <c r="C1964" s="47"/>
      <c r="D1964" s="47"/>
      <c r="E1964" s="47" t="s">
        <v>3363</v>
      </c>
      <c r="F1964" s="10" t="str">
        <f>IFERROR(VLOOKUP(VENTAS[[#This Row],[Código del producto Vendido]],STOCK[],5,FALSE),"-")</f>
        <v>Máscara completa de esqueleto endemoniado con peluca</v>
      </c>
      <c r="G1964" s="47">
        <v>1</v>
      </c>
      <c r="H1964" s="48">
        <v>20</v>
      </c>
      <c r="I1964" s="12">
        <f>VENTAS[[#This Row],[Cantidad]]*VENTAS[[#This Row],[Precio Venta]]</f>
        <v>20</v>
      </c>
      <c r="J1964" s="12">
        <f>IF(VENTAS[[#This Row],[Nombre del Gestor]]&gt;1,VENTAS[[#This Row],[Total]]*10%,0)</f>
        <v>0</v>
      </c>
      <c r="K1964" s="12">
        <f>IFERROR(VLOOKUP(VENTAS[[#This Row],[Código del producto Vendido]],STOCK[],16,FALSE)*VENTAS[[#This Row],[Cantidad]]+VLOOKUP(VENTAS[[#This Row],[Código del producto Vendido]],STOCK[],19,FALSE)*VENTAS[[#This Row],[Cantidad]],VENTAS[[#This Row],[Total]])</f>
        <v>0</v>
      </c>
      <c r="L1964" s="12">
        <f>VENTAS[[#This Row],[Total]]-VENTAS[[#This Row],[Comisión 10%]]-VENTAS[[#This Row],[Costo SIN Comision]]</f>
        <v>20</v>
      </c>
      <c r="M1964" s="48"/>
      <c r="N1964" s="16" t="s">
        <v>4953</v>
      </c>
    </row>
    <row r="1965" spans="1:14" s="4" customFormat="1" ht="20" hidden="1" customHeight="1">
      <c r="A1965" s="46">
        <v>45590</v>
      </c>
      <c r="B1965" s="47"/>
      <c r="C1965" s="47"/>
      <c r="D1965" s="47"/>
      <c r="E1965" s="47" t="s">
        <v>3402</v>
      </c>
      <c r="F1965" s="10" t="str">
        <f>IFERROR(VLOOKUP(VENTAS[[#This Row],[Código del producto Vendido]],STOCK[],5,FALSE),"-")</f>
        <v>Vestido poncho de esqueleto</v>
      </c>
      <c r="G1965" s="47">
        <v>1</v>
      </c>
      <c r="H1965" s="48">
        <v>18</v>
      </c>
      <c r="I1965" s="12">
        <f>VENTAS[[#This Row],[Cantidad]]*VENTAS[[#This Row],[Precio Venta]]</f>
        <v>18</v>
      </c>
      <c r="J1965" s="12">
        <f>IF(VENTAS[[#This Row],[Nombre del Gestor]]&gt;1,VENTAS[[#This Row],[Total]]*10%,0)</f>
        <v>0</v>
      </c>
      <c r="K1965" s="12">
        <f>IFERROR(VLOOKUP(VENTAS[[#This Row],[Código del producto Vendido]],STOCK[],16,FALSE)*VENTAS[[#This Row],[Cantidad]]+VLOOKUP(VENTAS[[#This Row],[Código del producto Vendido]],STOCK[],19,FALSE)*VENTAS[[#This Row],[Cantidad]],VENTAS[[#This Row],[Total]])</f>
        <v>0</v>
      </c>
      <c r="L1965" s="12">
        <f>VENTAS[[#This Row],[Total]]-VENTAS[[#This Row],[Comisión 10%]]-VENTAS[[#This Row],[Costo SIN Comision]]</f>
        <v>18</v>
      </c>
      <c r="M1965" s="48"/>
      <c r="N1965" s="16" t="s">
        <v>4954</v>
      </c>
    </row>
    <row r="1966" spans="1:14" s="4" customFormat="1" ht="20" hidden="1" customHeight="1">
      <c r="A1966" s="46">
        <v>45590</v>
      </c>
      <c r="B1966" s="47"/>
      <c r="C1966" s="47"/>
      <c r="D1966" s="47"/>
      <c r="E1966" s="47" t="s">
        <v>3371</v>
      </c>
      <c r="F1966" s="10" t="str">
        <f>IFERROR(VLOOKUP(VENTAS[[#This Row],[Código del producto Vendido]],STOCK[],5,FALSE),"-")</f>
        <v>Disfraz de Diosa griega color negro (vestido y cinturón)</v>
      </c>
      <c r="G1966" s="47">
        <v>1</v>
      </c>
      <c r="H1966" s="48">
        <v>25</v>
      </c>
      <c r="I1966" s="12">
        <f>VENTAS[[#This Row],[Cantidad]]*VENTAS[[#This Row],[Precio Venta]]</f>
        <v>25</v>
      </c>
      <c r="J1966" s="12">
        <f>IF(VENTAS[[#This Row],[Nombre del Gestor]]&gt;1,VENTAS[[#This Row],[Total]]*10%,0)</f>
        <v>0</v>
      </c>
      <c r="K1966" s="12">
        <f>IFERROR(VLOOKUP(VENTAS[[#This Row],[Código del producto Vendido]],STOCK[],16,FALSE)*VENTAS[[#This Row],[Cantidad]]+VLOOKUP(VENTAS[[#This Row],[Código del producto Vendido]],STOCK[],19,FALSE)*VENTAS[[#This Row],[Cantidad]],VENTAS[[#This Row],[Total]])</f>
        <v>0</v>
      </c>
      <c r="L1966" s="12">
        <f>VENTAS[[#This Row],[Total]]-VENTAS[[#This Row],[Comisión 10%]]-VENTAS[[#This Row],[Costo SIN Comision]]</f>
        <v>25</v>
      </c>
      <c r="M1966" s="48"/>
      <c r="N1966" s="16" t="s">
        <v>4955</v>
      </c>
    </row>
    <row r="1967" spans="1:14" s="4" customFormat="1" ht="20" hidden="1" customHeight="1">
      <c r="A1967" s="46">
        <v>45590</v>
      </c>
      <c r="B1967" s="47"/>
      <c r="C1967" s="47"/>
      <c r="D1967" s="47"/>
      <c r="E1967" s="47" t="s">
        <v>3437</v>
      </c>
      <c r="F1967" s="10" t="str">
        <f>IFERROR(VLOOKUP(VENTAS[[#This Row],[Código del producto Vendido]],STOCK[],5,FALSE),"-")</f>
        <v>Pullover naranja calabaza</v>
      </c>
      <c r="G1967" s="47">
        <v>1</v>
      </c>
      <c r="H1967" s="48">
        <v>12</v>
      </c>
      <c r="I1967" s="12">
        <f>VENTAS[[#This Row],[Cantidad]]*VENTAS[[#This Row],[Precio Venta]]</f>
        <v>12</v>
      </c>
      <c r="J1967" s="12">
        <f>IF(VENTAS[[#This Row],[Nombre del Gestor]]&gt;1,VENTAS[[#This Row],[Total]]*10%,0)</f>
        <v>0</v>
      </c>
      <c r="K1967" s="12">
        <f>IFERROR(VLOOKUP(VENTAS[[#This Row],[Código del producto Vendido]],STOCK[],16,FALSE)*VENTAS[[#This Row],[Cantidad]]+VLOOKUP(VENTAS[[#This Row],[Código del producto Vendido]],STOCK[],19,FALSE)*VENTAS[[#This Row],[Cantidad]],VENTAS[[#This Row],[Total]])</f>
        <v>0</v>
      </c>
      <c r="L1967" s="12">
        <f>VENTAS[[#This Row],[Total]]-VENTAS[[#This Row],[Comisión 10%]]-VENTAS[[#This Row],[Costo SIN Comision]]</f>
        <v>12</v>
      </c>
      <c r="M1967" s="48"/>
      <c r="N1967" s="16" t="s">
        <v>4956</v>
      </c>
    </row>
    <row r="1968" spans="1:14" s="4" customFormat="1" ht="20" hidden="1" customHeight="1">
      <c r="A1968" s="46">
        <v>45590</v>
      </c>
      <c r="B1968" s="47"/>
      <c r="C1968" s="47"/>
      <c r="D1968" s="47"/>
      <c r="E1968" s="47" t="s">
        <v>3387</v>
      </c>
      <c r="F1968" s="10" t="str">
        <f>IFERROR(VLOOKUP(VENTAS[[#This Row],[Código del producto Vendido]],STOCK[],5,FALSE),"-")</f>
        <v>Diadema de calabaza</v>
      </c>
      <c r="G1968" s="47">
        <v>1</v>
      </c>
      <c r="H1968" s="48">
        <v>4</v>
      </c>
      <c r="I1968" s="12">
        <f>VENTAS[[#This Row],[Cantidad]]*VENTAS[[#This Row],[Precio Venta]]</f>
        <v>4</v>
      </c>
      <c r="J1968" s="12">
        <f>IF(VENTAS[[#This Row],[Nombre del Gestor]]&gt;1,VENTAS[[#This Row],[Total]]*10%,0)</f>
        <v>0</v>
      </c>
      <c r="K1968" s="12">
        <f>IFERROR(VLOOKUP(VENTAS[[#This Row],[Código del producto Vendido]],STOCK[],16,FALSE)*VENTAS[[#This Row],[Cantidad]]+VLOOKUP(VENTAS[[#This Row],[Código del producto Vendido]],STOCK[],19,FALSE)*VENTAS[[#This Row],[Cantidad]],VENTAS[[#This Row],[Total]])</f>
        <v>0</v>
      </c>
      <c r="L1968" s="12">
        <f>VENTAS[[#This Row],[Total]]-VENTAS[[#This Row],[Comisión 10%]]-VENTAS[[#This Row],[Costo SIN Comision]]</f>
        <v>4</v>
      </c>
      <c r="M1968" s="48"/>
      <c r="N1968" s="16" t="s">
        <v>4957</v>
      </c>
    </row>
    <row r="1969" spans="1:14" s="4" customFormat="1" ht="20" hidden="1" customHeight="1">
      <c r="A1969" s="46">
        <v>45590</v>
      </c>
      <c r="B1969" s="47"/>
      <c r="C1969" s="47"/>
      <c r="D1969" s="47" t="s">
        <v>4571</v>
      </c>
      <c r="E1969" s="47" t="s">
        <v>2788</v>
      </c>
      <c r="F1969" s="10" t="str">
        <f>IFERROR(VLOOKUP(VENTAS[[#This Row],[Código del producto Vendido]],STOCK[],5,FALSE),"-")</f>
        <v>Sandalias doradas de tiras anchas para toda ocasión</v>
      </c>
      <c r="G1969" s="47">
        <v>1</v>
      </c>
      <c r="H1969" s="48">
        <v>20</v>
      </c>
      <c r="I1969" s="12">
        <f>VENTAS[[#This Row],[Cantidad]]*VENTAS[[#This Row],[Precio Venta]]</f>
        <v>20</v>
      </c>
      <c r="J1969" s="12">
        <f>IF(VENTAS[[#This Row],[Nombre del Gestor]]&gt;1,VENTAS[[#This Row],[Total]]*10%,0)</f>
        <v>2</v>
      </c>
      <c r="K1969" s="12">
        <f>IFERROR(VLOOKUP(VENTAS[[#This Row],[Código del producto Vendido]],STOCK[],16,FALSE)*VENTAS[[#This Row],[Cantidad]]+VLOOKUP(VENTAS[[#This Row],[Código del producto Vendido]],STOCK[],19,FALSE)*VENTAS[[#This Row],[Cantidad]],VENTAS[[#This Row],[Total]])</f>
        <v>6.65</v>
      </c>
      <c r="L1969" s="12">
        <f>VENTAS[[#This Row],[Total]]-VENTAS[[#This Row],[Comisión 10%]]-VENTAS[[#This Row],[Costo SIN Comision]]</f>
        <v>11.35</v>
      </c>
      <c r="M1969" s="48"/>
      <c r="N1969" s="16" t="s">
        <v>4958</v>
      </c>
    </row>
    <row r="1970" spans="1:14" s="4" customFormat="1" ht="20" hidden="1" customHeight="1">
      <c r="A1970" s="46">
        <v>45590</v>
      </c>
      <c r="B1970" s="47"/>
      <c r="C1970" s="47"/>
      <c r="D1970" s="47" t="s">
        <v>4378</v>
      </c>
      <c r="E1970" s="47" t="s">
        <v>2523</v>
      </c>
      <c r="F1970" s="10" t="str">
        <f>IFERROR(VLOOKUP(VENTAS[[#This Row],[Código del producto Vendido]],STOCK[],5,FALSE),"-")</f>
        <v>Pantalones cortos de mezclilla de moda</v>
      </c>
      <c r="G1970" s="47">
        <v>1</v>
      </c>
      <c r="H1970" s="48">
        <v>25</v>
      </c>
      <c r="I1970" s="12">
        <f>VENTAS[[#This Row],[Cantidad]]*VENTAS[[#This Row],[Precio Venta]]</f>
        <v>25</v>
      </c>
      <c r="J1970" s="12">
        <f>IF(VENTAS[[#This Row],[Nombre del Gestor]]&gt;1,VENTAS[[#This Row],[Total]]*10%,0)</f>
        <v>2.5</v>
      </c>
      <c r="K1970" s="12">
        <f>IFERROR(VLOOKUP(VENTAS[[#This Row],[Código del producto Vendido]],STOCK[],16,FALSE)*VENTAS[[#This Row],[Cantidad]]+VLOOKUP(VENTAS[[#This Row],[Código del producto Vendido]],STOCK[],19,FALSE)*VENTAS[[#This Row],[Cantidad]],VENTAS[[#This Row],[Total]])</f>
        <v>15.790000000000001</v>
      </c>
      <c r="L1970" s="12">
        <f>VENTAS[[#This Row],[Total]]-VENTAS[[#This Row],[Comisión 10%]]-VENTAS[[#This Row],[Costo SIN Comision]]</f>
        <v>6.7099999999999991</v>
      </c>
      <c r="M1970" s="48"/>
      <c r="N1970" s="16" t="s">
        <v>4959</v>
      </c>
    </row>
    <row r="1971" spans="1:14" s="4" customFormat="1" ht="20" hidden="1" customHeight="1">
      <c r="A1971" s="46">
        <v>45590</v>
      </c>
      <c r="B1971" s="47"/>
      <c r="C1971" s="47"/>
      <c r="D1971" s="47" t="s">
        <v>4374</v>
      </c>
      <c r="E1971" s="47" t="s">
        <v>3324</v>
      </c>
      <c r="F1971" s="10" t="str">
        <f>IFERROR(VLOOKUP(VENTAS[[#This Row],[Código del producto Vendido]],STOCK[],5,FALSE),"-")</f>
        <v>Máscara de Bathman</v>
      </c>
      <c r="G1971" s="47">
        <v>1</v>
      </c>
      <c r="H1971" s="48">
        <v>6</v>
      </c>
      <c r="I1971" s="12">
        <f>VENTAS[[#This Row],[Cantidad]]*VENTAS[[#This Row],[Precio Venta]]</f>
        <v>6</v>
      </c>
      <c r="J1971" s="12">
        <f>IF(VENTAS[[#This Row],[Nombre del Gestor]]&gt;1,VENTAS[[#This Row],[Total]]*10%,0)</f>
        <v>0.60000000000000009</v>
      </c>
      <c r="K1971" s="12">
        <f>IFERROR(VLOOKUP(VENTAS[[#This Row],[Código del producto Vendido]],STOCK[],16,FALSE)*VENTAS[[#This Row],[Cantidad]]+VLOOKUP(VENTAS[[#This Row],[Código del producto Vendido]],STOCK[],19,FALSE)*VENTAS[[#This Row],[Cantidad]],VENTAS[[#This Row],[Total]])</f>
        <v>0</v>
      </c>
      <c r="L1971" s="12">
        <f>VENTAS[[#This Row],[Total]]-VENTAS[[#This Row],[Comisión 10%]]-VENTAS[[#This Row],[Costo SIN Comision]]</f>
        <v>5.4</v>
      </c>
      <c r="M1971" s="48"/>
      <c r="N1971" s="16" t="s">
        <v>4960</v>
      </c>
    </row>
    <row r="1972" spans="1:14" s="4" customFormat="1" ht="20" hidden="1" customHeight="1">
      <c r="A1972" s="46">
        <v>45590</v>
      </c>
      <c r="B1972" s="47"/>
      <c r="C1972" s="47"/>
      <c r="D1972" s="47" t="s">
        <v>4374</v>
      </c>
      <c r="E1972" s="47" t="s">
        <v>3365</v>
      </c>
      <c r="F1972" s="10" t="str">
        <f>IFERROR(VLOOKUP(VENTAS[[#This Row],[Código del producto Vendido]],STOCK[],5,FALSE),"-")</f>
        <v>Antifaz de conejo sexy</v>
      </c>
      <c r="G1972" s="47">
        <v>1</v>
      </c>
      <c r="H1972" s="48">
        <v>8</v>
      </c>
      <c r="I1972" s="12">
        <f>VENTAS[[#This Row],[Cantidad]]*VENTAS[[#This Row],[Precio Venta]]</f>
        <v>8</v>
      </c>
      <c r="J1972" s="12">
        <f>IF(VENTAS[[#This Row],[Nombre del Gestor]]&gt;1,VENTAS[[#This Row],[Total]]*10%,0)</f>
        <v>0.8</v>
      </c>
      <c r="K1972" s="12">
        <f>IFERROR(VLOOKUP(VENTAS[[#This Row],[Código del producto Vendido]],STOCK[],16,FALSE)*VENTAS[[#This Row],[Cantidad]]+VLOOKUP(VENTAS[[#This Row],[Código del producto Vendido]],STOCK[],19,FALSE)*VENTAS[[#This Row],[Cantidad]],VENTAS[[#This Row],[Total]])</f>
        <v>0</v>
      </c>
      <c r="L1972" s="12">
        <f>VENTAS[[#This Row],[Total]]-VENTAS[[#This Row],[Comisión 10%]]-VENTAS[[#This Row],[Costo SIN Comision]]</f>
        <v>7.2</v>
      </c>
      <c r="M1972" s="48"/>
      <c r="N1972" s="16" t="s">
        <v>4961</v>
      </c>
    </row>
    <row r="1973" spans="1:14" s="4" customFormat="1" ht="20" hidden="1" customHeight="1">
      <c r="A1973" s="46">
        <v>45590</v>
      </c>
      <c r="B1973" s="47"/>
      <c r="C1973" s="47"/>
      <c r="D1973" s="47" t="s">
        <v>4571</v>
      </c>
      <c r="E1973" s="47" t="s">
        <v>3450</v>
      </c>
      <c r="F1973" s="10" t="str">
        <f>IFERROR(VLOOKUP(VENTAS[[#This Row],[Código del producto Vendido]],STOCK[],5,FALSE),"-")</f>
        <v>Cuchillo bromista</v>
      </c>
      <c r="G1973" s="47">
        <v>1</v>
      </c>
      <c r="H1973" s="48">
        <v>5</v>
      </c>
      <c r="I1973" s="12">
        <f>VENTAS[[#This Row],[Cantidad]]*VENTAS[[#This Row],[Precio Venta]]</f>
        <v>5</v>
      </c>
      <c r="J1973" s="12">
        <f>IF(VENTAS[[#This Row],[Nombre del Gestor]]&gt;1,VENTAS[[#This Row],[Total]]*10%,0)</f>
        <v>0.5</v>
      </c>
      <c r="K1973" s="12">
        <f>IFERROR(VLOOKUP(VENTAS[[#This Row],[Código del producto Vendido]],STOCK[],16,FALSE)*VENTAS[[#This Row],[Cantidad]]+VLOOKUP(VENTAS[[#This Row],[Código del producto Vendido]],STOCK[],19,FALSE)*VENTAS[[#This Row],[Cantidad]],VENTAS[[#This Row],[Total]])</f>
        <v>0</v>
      </c>
      <c r="L1973" s="12">
        <f>VENTAS[[#This Row],[Total]]-VENTAS[[#This Row],[Comisión 10%]]-VENTAS[[#This Row],[Costo SIN Comision]]</f>
        <v>4.5</v>
      </c>
      <c r="M1973" s="48"/>
      <c r="N1973" s="16" t="s">
        <v>4962</v>
      </c>
    </row>
    <row r="1974" spans="1:14" s="4" customFormat="1" ht="20" hidden="1" customHeight="1">
      <c r="A1974" s="46">
        <v>45590</v>
      </c>
      <c r="B1974" s="47"/>
      <c r="C1974" s="47"/>
      <c r="D1974" s="47"/>
      <c r="E1974" s="47" t="s">
        <v>3450</v>
      </c>
      <c r="F1974" s="10" t="str">
        <f>IFERROR(VLOOKUP(VENTAS[[#This Row],[Código del producto Vendido]],STOCK[],5,FALSE),"-")</f>
        <v>Cuchillo bromista</v>
      </c>
      <c r="G1974" s="47">
        <v>1</v>
      </c>
      <c r="H1974" s="48">
        <v>5</v>
      </c>
      <c r="I1974" s="12">
        <f>VENTAS[[#This Row],[Cantidad]]*VENTAS[[#This Row],[Precio Venta]]</f>
        <v>5</v>
      </c>
      <c r="J1974" s="12">
        <f>IF(VENTAS[[#This Row],[Nombre del Gestor]]&gt;1,VENTAS[[#This Row],[Total]]*10%,0)</f>
        <v>0</v>
      </c>
      <c r="K1974" s="12">
        <f>IFERROR(VLOOKUP(VENTAS[[#This Row],[Código del producto Vendido]],STOCK[],16,FALSE)*VENTAS[[#This Row],[Cantidad]]+VLOOKUP(VENTAS[[#This Row],[Código del producto Vendido]],STOCK[],19,FALSE)*VENTAS[[#This Row],[Cantidad]],VENTAS[[#This Row],[Total]])</f>
        <v>0</v>
      </c>
      <c r="L1974" s="12">
        <f>VENTAS[[#This Row],[Total]]-VENTAS[[#This Row],[Comisión 10%]]-VENTAS[[#This Row],[Costo SIN Comision]]</f>
        <v>5</v>
      </c>
      <c r="M1974" s="48"/>
      <c r="N1974" s="16" t="s">
        <v>4963</v>
      </c>
    </row>
    <row r="1975" spans="1:14" s="4" customFormat="1" ht="20" hidden="1" customHeight="1">
      <c r="A1975" s="46">
        <v>45590</v>
      </c>
      <c r="B1975" s="47"/>
      <c r="C1975" s="47"/>
      <c r="D1975" s="47" t="s">
        <v>4689</v>
      </c>
      <c r="E1975" s="47" t="s">
        <v>3477</v>
      </c>
      <c r="F1975" s="10" t="str">
        <f>IFERROR(VLOOKUP(VENTAS[[#This Row],[Código del producto Vendido]],STOCK[],5,FALSE),"-")</f>
        <v>Vestido de Traje de conejita con diadema de orejas</v>
      </c>
      <c r="G1975" s="47">
        <v>1</v>
      </c>
      <c r="H1975" s="48">
        <v>25</v>
      </c>
      <c r="I1975" s="12">
        <f>VENTAS[[#This Row],[Cantidad]]*VENTAS[[#This Row],[Precio Venta]]</f>
        <v>25</v>
      </c>
      <c r="J1975" s="12">
        <f>IF(VENTAS[[#This Row],[Nombre del Gestor]]&gt;1,VENTAS[[#This Row],[Total]]*10%,0)</f>
        <v>2.5</v>
      </c>
      <c r="K1975" s="12">
        <f>IFERROR(VLOOKUP(VENTAS[[#This Row],[Código del producto Vendido]],STOCK[],16,FALSE)*VENTAS[[#This Row],[Cantidad]]+VLOOKUP(VENTAS[[#This Row],[Código del producto Vendido]],STOCK[],19,FALSE)*VENTAS[[#This Row],[Cantidad]],VENTAS[[#This Row],[Total]])</f>
        <v>0</v>
      </c>
      <c r="L1975" s="12">
        <f>VENTAS[[#This Row],[Total]]-VENTAS[[#This Row],[Comisión 10%]]-VENTAS[[#This Row],[Costo SIN Comision]]</f>
        <v>22.5</v>
      </c>
      <c r="M1975" s="48"/>
      <c r="N1975" s="16" t="s">
        <v>4964</v>
      </c>
    </row>
    <row r="1976" spans="1:14" s="4" customFormat="1" ht="20" hidden="1" customHeight="1">
      <c r="A1976" s="46">
        <v>45590</v>
      </c>
      <c r="B1976" s="47"/>
      <c r="C1976" s="47"/>
      <c r="D1976" s="47" t="s">
        <v>4965</v>
      </c>
      <c r="E1976" s="47" t="s">
        <v>3014</v>
      </c>
      <c r="F1976" s="10" t="str">
        <f>IFERROR(VLOOKUP(VENTAS[[#This Row],[Código del producto Vendido]],STOCK[],5,FALSE),"-")</f>
        <v>Pantalón alto de pierna ancha color caramelo</v>
      </c>
      <c r="G1976" s="47">
        <v>1</v>
      </c>
      <c r="H1976" s="48">
        <v>30</v>
      </c>
      <c r="I1976" s="12">
        <f>VENTAS[[#This Row],[Cantidad]]*VENTAS[[#This Row],[Precio Venta]]</f>
        <v>30</v>
      </c>
      <c r="J1976" s="12">
        <f>IF(VENTAS[[#This Row],[Nombre del Gestor]]&gt;1,VENTAS[[#This Row],[Total]]*10%,0)</f>
        <v>3</v>
      </c>
      <c r="K1976" s="12">
        <f>IFERROR(VLOOKUP(VENTAS[[#This Row],[Código del producto Vendido]],STOCK[],16,FALSE)*VENTAS[[#This Row],[Cantidad]]+VLOOKUP(VENTAS[[#This Row],[Código del producto Vendido]],STOCK[],19,FALSE)*VENTAS[[#This Row],[Cantidad]],VENTAS[[#This Row],[Total]])</f>
        <v>12.63</v>
      </c>
      <c r="L1976" s="12">
        <f>VENTAS[[#This Row],[Total]]-VENTAS[[#This Row],[Comisión 10%]]-VENTAS[[#This Row],[Costo SIN Comision]]</f>
        <v>14.37</v>
      </c>
      <c r="M1976" s="48"/>
      <c r="N1976" s="16" t="s">
        <v>4966</v>
      </c>
    </row>
    <row r="1977" spans="1:14" s="4" customFormat="1" ht="20" hidden="1" customHeight="1">
      <c r="A1977" s="46">
        <v>45590</v>
      </c>
      <c r="B1977" s="47"/>
      <c r="C1977" s="47"/>
      <c r="D1977" s="47" t="s">
        <v>4965</v>
      </c>
      <c r="E1977" s="47" t="s">
        <v>3011</v>
      </c>
      <c r="F1977" s="10" t="str">
        <f>IFERROR(VLOOKUP(VENTAS[[#This Row],[Código del producto Vendido]],STOCK[],5,FALSE),"-")</f>
        <v>Pantalón alto de pierna ancha color caramelo</v>
      </c>
      <c r="G1977" s="47">
        <v>1</v>
      </c>
      <c r="H1977" s="48">
        <v>30</v>
      </c>
      <c r="I1977" s="12">
        <f>VENTAS[[#This Row],[Cantidad]]*VENTAS[[#This Row],[Precio Venta]]</f>
        <v>30</v>
      </c>
      <c r="J1977" s="12">
        <f>IF(VENTAS[[#This Row],[Nombre del Gestor]]&gt;1,VENTAS[[#This Row],[Total]]*10%,0)</f>
        <v>3</v>
      </c>
      <c r="K1977" s="12">
        <f>IFERROR(VLOOKUP(VENTAS[[#This Row],[Código del producto Vendido]],STOCK[],16,FALSE)*VENTAS[[#This Row],[Cantidad]]+VLOOKUP(VENTAS[[#This Row],[Código del producto Vendido]],STOCK[],19,FALSE)*VENTAS[[#This Row],[Cantidad]],VENTAS[[#This Row],[Total]])</f>
        <v>12.63</v>
      </c>
      <c r="L1977" s="12">
        <f>VENTAS[[#This Row],[Total]]-VENTAS[[#This Row],[Comisión 10%]]-VENTAS[[#This Row],[Costo SIN Comision]]</f>
        <v>14.37</v>
      </c>
      <c r="M1977" s="48"/>
      <c r="N1977" s="16" t="s">
        <v>4967</v>
      </c>
    </row>
    <row r="1978" spans="1:14" s="4" customFormat="1" ht="20" hidden="1" customHeight="1">
      <c r="A1978" s="46">
        <v>45590</v>
      </c>
      <c r="B1978" s="47"/>
      <c r="C1978" s="47"/>
      <c r="D1978" s="47" t="s">
        <v>4965</v>
      </c>
      <c r="E1978" s="47" t="s">
        <v>3015</v>
      </c>
      <c r="F1978" s="10" t="str">
        <f>IFERROR(VLOOKUP(VENTAS[[#This Row],[Código del producto Vendido]],STOCK[],5,FALSE),"-")</f>
        <v>Pantalón alto de pierna ancha color caramelo</v>
      </c>
      <c r="G1978" s="47">
        <v>1</v>
      </c>
      <c r="H1978" s="48">
        <v>30</v>
      </c>
      <c r="I1978" s="12">
        <f>VENTAS[[#This Row],[Cantidad]]*VENTAS[[#This Row],[Precio Venta]]</f>
        <v>30</v>
      </c>
      <c r="J1978" s="12">
        <f>IF(VENTAS[[#This Row],[Nombre del Gestor]]&gt;1,VENTAS[[#This Row],[Total]]*10%,0)</f>
        <v>3</v>
      </c>
      <c r="K1978" s="12">
        <f>IFERROR(VLOOKUP(VENTAS[[#This Row],[Código del producto Vendido]],STOCK[],16,FALSE)*VENTAS[[#This Row],[Cantidad]]+VLOOKUP(VENTAS[[#This Row],[Código del producto Vendido]],STOCK[],19,FALSE)*VENTAS[[#This Row],[Cantidad]],VENTAS[[#This Row],[Total]])</f>
        <v>12.63</v>
      </c>
      <c r="L1978" s="12">
        <f>VENTAS[[#This Row],[Total]]-VENTAS[[#This Row],[Comisión 10%]]-VENTAS[[#This Row],[Costo SIN Comision]]</f>
        <v>14.37</v>
      </c>
      <c r="M1978" s="48"/>
      <c r="N1978" s="16" t="s">
        <v>4968</v>
      </c>
    </row>
    <row r="1979" spans="1:14" s="4" customFormat="1" ht="20" hidden="1" customHeight="1">
      <c r="A1979" s="46">
        <v>45590</v>
      </c>
      <c r="B1979" s="47"/>
      <c r="C1979" s="47"/>
      <c r="D1979" s="47" t="s">
        <v>4571</v>
      </c>
      <c r="E1979" s="47" t="s">
        <v>3350</v>
      </c>
      <c r="F1979" s="10" t="str">
        <f>IFERROR(VLOOKUP(VENTAS[[#This Row],[Código del producto Vendido]],STOCK[],5,FALSE),"-")</f>
        <v>Conjunto de disfraz de 4 piezas (top, falda, medias y diadema)</v>
      </c>
      <c r="G1979" s="47">
        <v>1</v>
      </c>
      <c r="H1979" s="48">
        <v>25</v>
      </c>
      <c r="I1979" s="12">
        <f>VENTAS[[#This Row],[Cantidad]]*VENTAS[[#This Row],[Precio Venta]]</f>
        <v>25</v>
      </c>
      <c r="J1979" s="12">
        <f>IF(VENTAS[[#This Row],[Nombre del Gestor]]&gt;1,VENTAS[[#This Row],[Total]]*10%,0)</f>
        <v>2.5</v>
      </c>
      <c r="K1979" s="12">
        <f>IFERROR(VLOOKUP(VENTAS[[#This Row],[Código del producto Vendido]],STOCK[],16,FALSE)*VENTAS[[#This Row],[Cantidad]]+VLOOKUP(VENTAS[[#This Row],[Código del producto Vendido]],STOCK[],19,FALSE)*VENTAS[[#This Row],[Cantidad]],VENTAS[[#This Row],[Total]])</f>
        <v>0</v>
      </c>
      <c r="L1979" s="12">
        <f>VENTAS[[#This Row],[Total]]-VENTAS[[#This Row],[Comisión 10%]]-VENTAS[[#This Row],[Costo SIN Comision]]</f>
        <v>22.5</v>
      </c>
      <c r="M1979" s="48"/>
      <c r="N1979" s="16" t="s">
        <v>4969</v>
      </c>
    </row>
    <row r="1980" spans="1:14" s="4" customFormat="1" ht="20" hidden="1" customHeight="1">
      <c r="A1980" s="46">
        <v>45590</v>
      </c>
      <c r="B1980" s="47"/>
      <c r="C1980" s="47"/>
      <c r="D1980" s="47" t="s">
        <v>4528</v>
      </c>
      <c r="E1980" s="47" t="s">
        <v>3314</v>
      </c>
      <c r="F1980" s="10" t="str">
        <f>IFERROR(VLOOKUP(VENTAS[[#This Row],[Código del producto Vendido]],STOCK[],5,FALSE),"-")</f>
        <v>Vestido blanco para conformar disfraz</v>
      </c>
      <c r="G1980" s="47">
        <v>1</v>
      </c>
      <c r="H1980" s="48">
        <v>15</v>
      </c>
      <c r="I1980" s="12">
        <f>VENTAS[[#This Row],[Cantidad]]*VENTAS[[#This Row],[Precio Venta]]</f>
        <v>15</v>
      </c>
      <c r="J1980" s="12">
        <f>IF(VENTAS[[#This Row],[Nombre del Gestor]]&gt;1,VENTAS[[#This Row],[Total]]*10%,0)</f>
        <v>1.5</v>
      </c>
      <c r="K1980" s="12">
        <f>IFERROR(VLOOKUP(VENTAS[[#This Row],[Código del producto Vendido]],STOCK[],16,FALSE)*VENTAS[[#This Row],[Cantidad]]+VLOOKUP(VENTAS[[#This Row],[Código del producto Vendido]],STOCK[],19,FALSE)*VENTAS[[#This Row],[Cantidad]],VENTAS[[#This Row],[Total]])</f>
        <v>0</v>
      </c>
      <c r="L1980" s="12">
        <f>VENTAS[[#This Row],[Total]]-VENTAS[[#This Row],[Comisión 10%]]-VENTAS[[#This Row],[Costo SIN Comision]]</f>
        <v>13.5</v>
      </c>
      <c r="M1980" s="48"/>
      <c r="N1980" s="16" t="s">
        <v>4970</v>
      </c>
    </row>
    <row r="1981" spans="1:14" s="4" customFormat="1" ht="20" hidden="1" customHeight="1">
      <c r="A1981" s="46">
        <v>45590</v>
      </c>
      <c r="B1981" s="47"/>
      <c r="C1981" s="47"/>
      <c r="D1981" s="47" t="s">
        <v>4374</v>
      </c>
      <c r="E1981" s="47" t="s">
        <v>3002</v>
      </c>
      <c r="F1981" s="10" t="str">
        <f>IFERROR(VLOOKUP(VENTAS[[#This Row],[Código del producto Vendido]],STOCK[],5,FALSE),"-")</f>
        <v xml:space="preserve">Traje de baño enterizo elegante de un hombro talla grande </v>
      </c>
      <c r="G1981" s="47">
        <v>1</v>
      </c>
      <c r="H1981" s="48">
        <v>28</v>
      </c>
      <c r="I1981" s="12">
        <f>VENTAS[[#This Row],[Cantidad]]*VENTAS[[#This Row],[Precio Venta]]</f>
        <v>28</v>
      </c>
      <c r="J1981" s="12">
        <f>IF(VENTAS[[#This Row],[Nombre del Gestor]]&gt;1,VENTAS[[#This Row],[Total]]*10%,0)</f>
        <v>2.8000000000000003</v>
      </c>
      <c r="K1981" s="12">
        <f>IFERROR(VLOOKUP(VENTAS[[#This Row],[Código del producto Vendido]],STOCK[],16,FALSE)*VENTAS[[#This Row],[Cantidad]]+VLOOKUP(VENTAS[[#This Row],[Código del producto Vendido]],STOCK[],19,FALSE)*VENTAS[[#This Row],[Cantidad]],VENTAS[[#This Row],[Total]])</f>
        <v>13.33</v>
      </c>
      <c r="L1981" s="12">
        <f>VENTAS[[#This Row],[Total]]-VENTAS[[#This Row],[Comisión 10%]]-VENTAS[[#This Row],[Costo SIN Comision]]</f>
        <v>11.87</v>
      </c>
      <c r="M1981" s="48"/>
      <c r="N1981" s="16" t="s">
        <v>4971</v>
      </c>
    </row>
    <row r="1982" spans="1:14" s="4" customFormat="1" ht="20" hidden="1" customHeight="1">
      <c r="A1982" s="46">
        <v>45591</v>
      </c>
      <c r="B1982" s="47"/>
      <c r="C1982" s="47"/>
      <c r="D1982" s="47" t="s">
        <v>4408</v>
      </c>
      <c r="E1982" s="47" t="s">
        <v>2932</v>
      </c>
      <c r="F1982" s="10" t="str">
        <f>IFERROR(VLOOKUP(VENTAS[[#This Row],[Código del producto Vendido]],STOCK[],5,FALSE),"-")</f>
        <v>Jeans de talle alto y pierna ancha color azul claro</v>
      </c>
      <c r="G1982" s="47">
        <v>1</v>
      </c>
      <c r="H1982" s="48">
        <v>30</v>
      </c>
      <c r="I1982" s="12">
        <f>VENTAS[[#This Row],[Cantidad]]*VENTAS[[#This Row],[Precio Venta]]</f>
        <v>30</v>
      </c>
      <c r="J1982" s="12">
        <f>IF(VENTAS[[#This Row],[Nombre del Gestor]]&gt;1,VENTAS[[#This Row],[Total]]*10%,0)</f>
        <v>3</v>
      </c>
      <c r="K1982" s="12">
        <f>IFERROR(VLOOKUP(VENTAS[[#This Row],[Código del producto Vendido]],STOCK[],16,FALSE)*VENTAS[[#This Row],[Cantidad]]+VLOOKUP(VENTAS[[#This Row],[Código del producto Vendido]],STOCK[],19,FALSE)*VENTAS[[#This Row],[Cantidad]],VENTAS[[#This Row],[Total]])</f>
        <v>12.47</v>
      </c>
      <c r="L1982" s="12">
        <f>VENTAS[[#This Row],[Total]]-VENTAS[[#This Row],[Comisión 10%]]-VENTAS[[#This Row],[Costo SIN Comision]]</f>
        <v>14.53</v>
      </c>
      <c r="M1982" s="48"/>
      <c r="N1982" s="16" t="s">
        <v>4972</v>
      </c>
    </row>
    <row r="1983" spans="1:14" s="4" customFormat="1" ht="20" hidden="1" customHeight="1">
      <c r="A1983" s="46">
        <v>45592</v>
      </c>
      <c r="B1983" s="47"/>
      <c r="C1983" s="47"/>
      <c r="D1983" s="47" t="s">
        <v>4473</v>
      </c>
      <c r="E1983" s="47" t="s">
        <v>3313</v>
      </c>
      <c r="F1983" s="10" t="str">
        <f>IFERROR(VLOOKUP(VENTAS[[#This Row],[Código del producto Vendido]],STOCK[],5,FALSE),"-")</f>
        <v>Vestido blanco para conformar disfraz</v>
      </c>
      <c r="G1983" s="47">
        <v>1</v>
      </c>
      <c r="H1983" s="48">
        <v>15</v>
      </c>
      <c r="I1983" s="12">
        <f>VENTAS[[#This Row],[Cantidad]]*VENTAS[[#This Row],[Precio Venta]]</f>
        <v>15</v>
      </c>
      <c r="J1983" s="12">
        <f>IF(VENTAS[[#This Row],[Nombre del Gestor]]&gt;1,VENTAS[[#This Row],[Total]]*10%,0)</f>
        <v>1.5</v>
      </c>
      <c r="K1983" s="12">
        <f>IFERROR(VLOOKUP(VENTAS[[#This Row],[Código del producto Vendido]],STOCK[],16,FALSE)*VENTAS[[#This Row],[Cantidad]]+VLOOKUP(VENTAS[[#This Row],[Código del producto Vendido]],STOCK[],19,FALSE)*VENTAS[[#This Row],[Cantidad]],VENTAS[[#This Row],[Total]])</f>
        <v>0</v>
      </c>
      <c r="L1983" s="12">
        <f>VENTAS[[#This Row],[Total]]-VENTAS[[#This Row],[Comisión 10%]]-VENTAS[[#This Row],[Costo SIN Comision]]</f>
        <v>13.5</v>
      </c>
      <c r="M1983" s="48"/>
      <c r="N1983" s="16" t="s">
        <v>4973</v>
      </c>
    </row>
    <row r="1984" spans="1:14" s="4" customFormat="1" ht="20" hidden="1" customHeight="1">
      <c r="A1984" s="46">
        <v>45592</v>
      </c>
      <c r="B1984" s="47"/>
      <c r="C1984" s="47"/>
      <c r="D1984" s="47" t="s">
        <v>4473</v>
      </c>
      <c r="E1984" s="47" t="s">
        <v>3303</v>
      </c>
      <c r="F1984" s="10" t="str">
        <f>IFERROR(VLOOKUP(VENTAS[[#This Row],[Código del producto Vendido]],STOCK[],5,FALSE),"-")</f>
        <v>Velo de novia para disfraz</v>
      </c>
      <c r="G1984" s="47">
        <v>1</v>
      </c>
      <c r="H1984" s="48">
        <v>10</v>
      </c>
      <c r="I1984" s="12">
        <f>VENTAS[[#This Row],[Cantidad]]*VENTAS[[#This Row],[Precio Venta]]</f>
        <v>10</v>
      </c>
      <c r="J1984" s="12">
        <f>IF(VENTAS[[#This Row],[Nombre del Gestor]]&gt;1,VENTAS[[#This Row],[Total]]*10%,0)</f>
        <v>1</v>
      </c>
      <c r="K1984" s="12">
        <f>IFERROR(VLOOKUP(VENTAS[[#This Row],[Código del producto Vendido]],STOCK[],16,FALSE)*VENTAS[[#This Row],[Cantidad]]+VLOOKUP(VENTAS[[#This Row],[Código del producto Vendido]],STOCK[],19,FALSE)*VENTAS[[#This Row],[Cantidad]],VENTAS[[#This Row],[Total]])</f>
        <v>0</v>
      </c>
      <c r="L1984" s="12">
        <f>VENTAS[[#This Row],[Total]]-VENTAS[[#This Row],[Comisión 10%]]-VENTAS[[#This Row],[Costo SIN Comision]]</f>
        <v>9</v>
      </c>
      <c r="M1984" s="48"/>
      <c r="N1984" s="16" t="s">
        <v>4974</v>
      </c>
    </row>
    <row r="1985" spans="1:14" s="4" customFormat="1" ht="20" hidden="1" customHeight="1">
      <c r="A1985" s="46">
        <v>45592</v>
      </c>
      <c r="B1985" s="47"/>
      <c r="C1985" s="47"/>
      <c r="D1985" s="47" t="s">
        <v>4473</v>
      </c>
      <c r="E1985" s="47" t="s">
        <v>3305</v>
      </c>
      <c r="F1985" s="10" t="str">
        <f>IFERROR(VLOOKUP(VENTAS[[#This Row],[Código del producto Vendido]],STOCK[],5,FALSE),"-")</f>
        <v>Guantes largos blancos traslúcidos</v>
      </c>
      <c r="G1985" s="47">
        <v>1</v>
      </c>
      <c r="H1985" s="48">
        <v>8</v>
      </c>
      <c r="I1985" s="12">
        <f>VENTAS[[#This Row],[Cantidad]]*VENTAS[[#This Row],[Precio Venta]]</f>
        <v>8</v>
      </c>
      <c r="J1985" s="12">
        <f>IF(VENTAS[[#This Row],[Nombre del Gestor]]&gt;1,VENTAS[[#This Row],[Total]]*10%,0)</f>
        <v>0.8</v>
      </c>
      <c r="K1985" s="12">
        <f>IFERROR(VLOOKUP(VENTAS[[#This Row],[Código del producto Vendido]],STOCK[],16,FALSE)*VENTAS[[#This Row],[Cantidad]]+VLOOKUP(VENTAS[[#This Row],[Código del producto Vendido]],STOCK[],19,FALSE)*VENTAS[[#This Row],[Cantidad]],VENTAS[[#This Row],[Total]])</f>
        <v>0</v>
      </c>
      <c r="L1985" s="12">
        <f>VENTAS[[#This Row],[Total]]-VENTAS[[#This Row],[Comisión 10%]]-VENTAS[[#This Row],[Costo SIN Comision]]</f>
        <v>7.2</v>
      </c>
      <c r="M1985" s="48"/>
      <c r="N1985" s="16" t="s">
        <v>4975</v>
      </c>
    </row>
    <row r="1986" spans="1:14" s="4" customFormat="1" ht="20" hidden="1" customHeight="1">
      <c r="A1986" s="46">
        <v>45592</v>
      </c>
      <c r="B1986" s="47"/>
      <c r="C1986" s="47"/>
      <c r="D1986" s="47" t="s">
        <v>4976</v>
      </c>
      <c r="E1986" s="47" t="s">
        <v>3377</v>
      </c>
      <c r="F1986" s="10" t="str">
        <f>IFERROR(VLOOKUP(VENTAS[[#This Row],[Código del producto Vendido]],STOCK[],5,FALSE),"-")</f>
        <v>Juego de 4 piezas para disfraz de abejita</v>
      </c>
      <c r="G1986" s="47">
        <v>1</v>
      </c>
      <c r="H1986" s="48">
        <v>15</v>
      </c>
      <c r="I1986" s="12">
        <f>VENTAS[[#This Row],[Cantidad]]*VENTAS[[#This Row],[Precio Venta]]</f>
        <v>15</v>
      </c>
      <c r="J1986" s="12">
        <f>IF(VENTAS[[#This Row],[Nombre del Gestor]]&gt;1,VENTAS[[#This Row],[Total]]*10%,0)</f>
        <v>1.5</v>
      </c>
      <c r="K1986" s="12">
        <f>IFERROR(VLOOKUP(VENTAS[[#This Row],[Código del producto Vendido]],STOCK[],16,FALSE)*VENTAS[[#This Row],[Cantidad]]+VLOOKUP(VENTAS[[#This Row],[Código del producto Vendido]],STOCK[],19,FALSE)*VENTAS[[#This Row],[Cantidad]],VENTAS[[#This Row],[Total]])</f>
        <v>0</v>
      </c>
      <c r="L1986" s="12">
        <f>VENTAS[[#This Row],[Total]]-VENTAS[[#This Row],[Comisión 10%]]-VENTAS[[#This Row],[Costo SIN Comision]]</f>
        <v>13.5</v>
      </c>
      <c r="M1986" s="48"/>
      <c r="N1986" s="16" t="s">
        <v>4977</v>
      </c>
    </row>
    <row r="1987" spans="1:14" s="4" customFormat="1" ht="20" hidden="1" customHeight="1">
      <c r="A1987" s="46">
        <v>45592</v>
      </c>
      <c r="B1987" s="47"/>
      <c r="C1987" s="47"/>
      <c r="D1987" s="47" t="s">
        <v>4330</v>
      </c>
      <c r="E1987" s="47" t="s">
        <v>3470</v>
      </c>
      <c r="F1987" s="10" t="str">
        <f>IFERROR(VLOOKUP(VENTAS[[#This Row],[Código del producto Vendido]],STOCK[],5,FALSE),"-")</f>
        <v>Máscara completa de hombre araña</v>
      </c>
      <c r="G1987" s="47">
        <v>1</v>
      </c>
      <c r="H1987" s="48">
        <v>10</v>
      </c>
      <c r="I1987" s="12">
        <f>VENTAS[[#This Row],[Cantidad]]*VENTAS[[#This Row],[Precio Venta]]</f>
        <v>10</v>
      </c>
      <c r="J1987" s="12">
        <f>IF(VENTAS[[#This Row],[Nombre del Gestor]]&gt;1,VENTAS[[#This Row],[Total]]*10%,0)</f>
        <v>1</v>
      </c>
      <c r="K1987" s="12">
        <f>IFERROR(VLOOKUP(VENTAS[[#This Row],[Código del producto Vendido]],STOCK[],16,FALSE)*VENTAS[[#This Row],[Cantidad]]+VLOOKUP(VENTAS[[#This Row],[Código del producto Vendido]],STOCK[],19,FALSE)*VENTAS[[#This Row],[Cantidad]],VENTAS[[#This Row],[Total]])</f>
        <v>0</v>
      </c>
      <c r="L1987" s="12">
        <f>VENTAS[[#This Row],[Total]]-VENTAS[[#This Row],[Comisión 10%]]-VENTAS[[#This Row],[Costo SIN Comision]]</f>
        <v>9</v>
      </c>
      <c r="M1987" s="48"/>
      <c r="N1987" s="16" t="s">
        <v>4978</v>
      </c>
    </row>
    <row r="1988" spans="1:14" s="4" customFormat="1" ht="20" hidden="1" customHeight="1">
      <c r="A1988" s="46">
        <v>45592</v>
      </c>
      <c r="B1988" s="47"/>
      <c r="C1988" s="47"/>
      <c r="D1988" s="47" t="s">
        <v>4184</v>
      </c>
      <c r="E1988" s="47" t="s">
        <v>1385</v>
      </c>
      <c r="F1988" s="10" t="str">
        <f>IFERROR(VLOOKUP(VENTAS[[#This Row],[Código del producto Vendido]],STOCK[],5,FALSE),"-")</f>
        <v>Medias de mallas</v>
      </c>
      <c r="G1988" s="47">
        <v>1</v>
      </c>
      <c r="H1988" s="48">
        <v>3</v>
      </c>
      <c r="I1988" s="12">
        <f>VENTAS[[#This Row],[Cantidad]]*VENTAS[[#This Row],[Precio Venta]]</f>
        <v>3</v>
      </c>
      <c r="J1988" s="12">
        <f>IF(VENTAS[[#This Row],[Nombre del Gestor]]&gt;1,VENTAS[[#This Row],[Total]]*10%,0)</f>
        <v>0.30000000000000004</v>
      </c>
      <c r="K1988" s="12">
        <f>IFERROR(VLOOKUP(VENTAS[[#This Row],[Código del producto Vendido]],STOCK[],16,FALSE)*VENTAS[[#This Row],[Cantidad]]+VLOOKUP(VENTAS[[#This Row],[Código del producto Vendido]],STOCK[],19,FALSE)*VENTAS[[#This Row],[Cantidad]],VENTAS[[#This Row],[Total]])</f>
        <v>1.8</v>
      </c>
      <c r="L1988" s="12">
        <f>VENTAS[[#This Row],[Total]]-VENTAS[[#This Row],[Comisión 10%]]-VENTAS[[#This Row],[Costo SIN Comision]]</f>
        <v>0.90000000000000013</v>
      </c>
      <c r="M1988" s="48"/>
      <c r="N1988" s="16" t="s">
        <v>4979</v>
      </c>
    </row>
    <row r="1989" spans="1:14" s="4" customFormat="1" ht="20" hidden="1" customHeight="1">
      <c r="A1989" s="46">
        <v>45592</v>
      </c>
      <c r="B1989" s="47"/>
      <c r="C1989" s="47"/>
      <c r="D1989" s="47" t="s">
        <v>4184</v>
      </c>
      <c r="E1989" s="47" t="s">
        <v>3460</v>
      </c>
      <c r="F1989" s="10" t="str">
        <f>IFERROR(VLOOKUP(VENTAS[[#This Row],[Código del producto Vendido]],STOCK[],5,FALSE),"-")</f>
        <v>Diadema rosas rojas</v>
      </c>
      <c r="G1989" s="47">
        <v>2</v>
      </c>
      <c r="H1989" s="48">
        <v>5</v>
      </c>
      <c r="I1989" s="12">
        <f>VENTAS[[#This Row],[Cantidad]]*VENTAS[[#This Row],[Precio Venta]]</f>
        <v>10</v>
      </c>
      <c r="J1989" s="12">
        <f>IF(VENTAS[[#This Row],[Nombre del Gestor]]&gt;1,VENTAS[[#This Row],[Total]]*10%,0)</f>
        <v>1</v>
      </c>
      <c r="K1989" s="12">
        <f>IFERROR(VLOOKUP(VENTAS[[#This Row],[Código del producto Vendido]],STOCK[],16,FALSE)*VENTAS[[#This Row],[Cantidad]]+VLOOKUP(VENTAS[[#This Row],[Código del producto Vendido]],STOCK[],19,FALSE)*VENTAS[[#This Row],[Cantidad]],VENTAS[[#This Row],[Total]])</f>
        <v>0</v>
      </c>
      <c r="L1989" s="12">
        <f>VENTAS[[#This Row],[Total]]-VENTAS[[#This Row],[Comisión 10%]]-VENTAS[[#This Row],[Costo SIN Comision]]</f>
        <v>9</v>
      </c>
      <c r="M1989" s="48"/>
      <c r="N1989" s="16" t="s">
        <v>4980</v>
      </c>
    </row>
    <row r="1990" spans="1:14" s="4" customFormat="1" ht="20" hidden="1" customHeight="1">
      <c r="A1990" s="46">
        <v>45593</v>
      </c>
      <c r="B1990" s="47"/>
      <c r="C1990" s="47"/>
      <c r="D1990" s="47" t="s">
        <v>4473</v>
      </c>
      <c r="E1990" s="47" t="s">
        <v>3301</v>
      </c>
      <c r="F1990" s="10" t="str">
        <f>IFERROR(VLOOKUP(VENTAS[[#This Row],[Código del producto Vendido]],STOCK[],5,FALSE),"-")</f>
        <v>Conjunto de disfraz de policía (mono y cinturones)</v>
      </c>
      <c r="G1990" s="47">
        <v>1</v>
      </c>
      <c r="H1990" s="48">
        <v>25</v>
      </c>
      <c r="I1990" s="12">
        <f>VENTAS[[#This Row],[Cantidad]]*VENTAS[[#This Row],[Precio Venta]]</f>
        <v>25</v>
      </c>
      <c r="J1990" s="12">
        <f>IF(VENTAS[[#This Row],[Nombre del Gestor]]&gt;1,VENTAS[[#This Row],[Total]]*10%,0)</f>
        <v>2.5</v>
      </c>
      <c r="K1990" s="12">
        <f>IFERROR(VLOOKUP(VENTAS[[#This Row],[Código del producto Vendido]],STOCK[],16,FALSE)*VENTAS[[#This Row],[Cantidad]]+VLOOKUP(VENTAS[[#This Row],[Código del producto Vendido]],STOCK[],19,FALSE)*VENTAS[[#This Row],[Cantidad]],VENTAS[[#This Row],[Total]])</f>
        <v>0</v>
      </c>
      <c r="L1990" s="12">
        <f>VENTAS[[#This Row],[Total]]-VENTAS[[#This Row],[Comisión 10%]]-VENTAS[[#This Row],[Costo SIN Comision]]</f>
        <v>22.5</v>
      </c>
      <c r="M1990" s="48"/>
      <c r="N1990" s="16" t="s">
        <v>4981</v>
      </c>
    </row>
    <row r="1991" spans="1:14" s="4" customFormat="1" ht="20" hidden="1" customHeight="1">
      <c r="A1991" s="46">
        <v>45593</v>
      </c>
      <c r="B1991" s="47"/>
      <c r="C1991" s="47"/>
      <c r="D1991" s="47" t="s">
        <v>4473</v>
      </c>
      <c r="E1991" s="47" t="s">
        <v>3408</v>
      </c>
      <c r="F1991" s="10" t="str">
        <f>IFERROR(VLOOKUP(VENTAS[[#This Row],[Código del producto Vendido]],STOCK[],5,FALSE),"-")</f>
        <v>Disfraz de angel con cinturón y diadema</v>
      </c>
      <c r="G1991" s="47">
        <v>1</v>
      </c>
      <c r="H1991" s="48">
        <v>22</v>
      </c>
      <c r="I1991" s="12">
        <f>VENTAS[[#This Row],[Cantidad]]*VENTAS[[#This Row],[Precio Venta]]</f>
        <v>22</v>
      </c>
      <c r="J1991" s="12">
        <f>IF(VENTAS[[#This Row],[Nombre del Gestor]]&gt;1,VENTAS[[#This Row],[Total]]*10%,0)</f>
        <v>2.2000000000000002</v>
      </c>
      <c r="K1991" s="12">
        <f>IFERROR(VLOOKUP(VENTAS[[#This Row],[Código del producto Vendido]],STOCK[],16,FALSE)*VENTAS[[#This Row],[Cantidad]]+VLOOKUP(VENTAS[[#This Row],[Código del producto Vendido]],STOCK[],19,FALSE)*VENTAS[[#This Row],[Cantidad]],VENTAS[[#This Row],[Total]])</f>
        <v>0</v>
      </c>
      <c r="L1991" s="12">
        <f>VENTAS[[#This Row],[Total]]-VENTAS[[#This Row],[Comisión 10%]]-VENTAS[[#This Row],[Costo SIN Comision]]</f>
        <v>19.8</v>
      </c>
      <c r="M1991" s="48"/>
      <c r="N1991" s="16" t="s">
        <v>4982</v>
      </c>
    </row>
    <row r="1992" spans="1:14" s="4" customFormat="1" ht="20" hidden="1" customHeight="1">
      <c r="A1992" s="46">
        <v>45593</v>
      </c>
      <c r="B1992" s="47"/>
      <c r="C1992" s="47"/>
      <c r="D1992" s="47" t="s">
        <v>4374</v>
      </c>
      <c r="E1992" s="47" t="s">
        <v>2994</v>
      </c>
      <c r="F1992" s="10" t="str">
        <f>IFERROR(VLOOKUP(VENTAS[[#This Row],[Código del producto Vendido]],STOCK[],5,FALSE),"-")</f>
        <v>Camiseta de moda con estampado de cereza</v>
      </c>
      <c r="G1992" s="47">
        <v>1</v>
      </c>
      <c r="H1992" s="48">
        <v>15</v>
      </c>
      <c r="I1992" s="12">
        <f>VENTAS[[#This Row],[Cantidad]]*VENTAS[[#This Row],[Precio Venta]]</f>
        <v>15</v>
      </c>
      <c r="J1992" s="12">
        <f>IF(VENTAS[[#This Row],[Nombre del Gestor]]&gt;1,VENTAS[[#This Row],[Total]]*10%,0)</f>
        <v>1.5</v>
      </c>
      <c r="K1992" s="12">
        <f>IFERROR(VLOOKUP(VENTAS[[#This Row],[Código del producto Vendido]],STOCK[],16,FALSE)*VENTAS[[#This Row],[Cantidad]]+VLOOKUP(VENTAS[[#This Row],[Código del producto Vendido]],STOCK[],19,FALSE)*VENTAS[[#This Row],[Cantidad]],VENTAS[[#This Row],[Total]])</f>
        <v>5.92</v>
      </c>
      <c r="L1992" s="12">
        <f>VENTAS[[#This Row],[Total]]-VENTAS[[#This Row],[Comisión 10%]]-VENTAS[[#This Row],[Costo SIN Comision]]</f>
        <v>7.58</v>
      </c>
      <c r="M1992" s="48"/>
      <c r="N1992" s="16" t="s">
        <v>4983</v>
      </c>
    </row>
    <row r="1993" spans="1:14" s="4" customFormat="1" ht="20" hidden="1" customHeight="1">
      <c r="A1993" s="46">
        <v>45593</v>
      </c>
      <c r="B1993" s="47"/>
      <c r="C1993" s="47"/>
      <c r="D1993" s="47" t="s">
        <v>4571</v>
      </c>
      <c r="E1993" s="47" t="s">
        <v>3347</v>
      </c>
      <c r="F1993" s="10" t="str">
        <f>IFERROR(VLOOKUP(VENTAS[[#This Row],[Código del producto Vendido]],STOCK[],5,FALSE),"-")</f>
        <v>Disfraz de diosa egipcia con mangas doradas y banda para la cintura</v>
      </c>
      <c r="G1993" s="47">
        <v>1</v>
      </c>
      <c r="H1993" s="48">
        <v>25</v>
      </c>
      <c r="I1993" s="12">
        <f>VENTAS[[#This Row],[Cantidad]]*VENTAS[[#This Row],[Precio Venta]]</f>
        <v>25</v>
      </c>
      <c r="J1993" s="12">
        <f>IF(VENTAS[[#This Row],[Nombre del Gestor]]&gt;1,VENTAS[[#This Row],[Total]]*10%,0)</f>
        <v>2.5</v>
      </c>
      <c r="K1993" s="12">
        <f>IFERROR(VLOOKUP(VENTAS[[#This Row],[Código del producto Vendido]],STOCK[],16,FALSE)*VENTAS[[#This Row],[Cantidad]]+VLOOKUP(VENTAS[[#This Row],[Código del producto Vendido]],STOCK[],19,FALSE)*VENTAS[[#This Row],[Cantidad]],VENTAS[[#This Row],[Total]])</f>
        <v>0</v>
      </c>
      <c r="L1993" s="12">
        <f>VENTAS[[#This Row],[Total]]-VENTAS[[#This Row],[Comisión 10%]]-VENTAS[[#This Row],[Costo SIN Comision]]</f>
        <v>22.5</v>
      </c>
      <c r="M1993" s="48"/>
      <c r="N1993" s="16" t="s">
        <v>4984</v>
      </c>
    </row>
    <row r="1994" spans="1:14" s="4" customFormat="1" ht="20" hidden="1" customHeight="1">
      <c r="A1994" s="46">
        <v>45593</v>
      </c>
      <c r="B1994" s="47"/>
      <c r="C1994" s="47"/>
      <c r="D1994" s="47" t="s">
        <v>4571</v>
      </c>
      <c r="E1994" s="47" t="s">
        <v>3381</v>
      </c>
      <c r="F1994" s="10" t="str">
        <f>IFERROR(VLOOKUP(VENTAS[[#This Row],[Código del producto Vendido]],STOCK[],5,FALSE),"-")</f>
        <v>Máscaras led verde de baterías</v>
      </c>
      <c r="G1994" s="47">
        <v>1</v>
      </c>
      <c r="H1994" s="48">
        <v>15</v>
      </c>
      <c r="I1994" s="12">
        <f>VENTAS[[#This Row],[Cantidad]]*VENTAS[[#This Row],[Precio Venta]]</f>
        <v>15</v>
      </c>
      <c r="J1994" s="12">
        <f>IF(VENTAS[[#This Row],[Nombre del Gestor]]&gt;1,VENTAS[[#This Row],[Total]]*10%,0)</f>
        <v>1.5</v>
      </c>
      <c r="K1994" s="12">
        <f>IFERROR(VLOOKUP(VENTAS[[#This Row],[Código del producto Vendido]],STOCK[],16,FALSE)*VENTAS[[#This Row],[Cantidad]]+VLOOKUP(VENTAS[[#This Row],[Código del producto Vendido]],STOCK[],19,FALSE)*VENTAS[[#This Row],[Cantidad]],VENTAS[[#This Row],[Total]])</f>
        <v>0</v>
      </c>
      <c r="L1994" s="12">
        <f>VENTAS[[#This Row],[Total]]-VENTAS[[#This Row],[Comisión 10%]]-VENTAS[[#This Row],[Costo SIN Comision]]</f>
        <v>13.5</v>
      </c>
      <c r="M1994" s="48"/>
      <c r="N1994" s="16" t="s">
        <v>4985</v>
      </c>
    </row>
    <row r="1995" spans="1:14" s="4" customFormat="1" ht="20" hidden="1" customHeight="1">
      <c r="A1995" s="46">
        <v>45593</v>
      </c>
      <c r="B1995" s="47"/>
      <c r="C1995" s="47"/>
      <c r="D1995" s="47" t="s">
        <v>4571</v>
      </c>
      <c r="E1995" s="47" t="s">
        <v>3315</v>
      </c>
      <c r="F1995" s="10" t="str">
        <f>IFERROR(VLOOKUP(VENTAS[[#This Row],[Código del producto Vendido]],STOCK[],5,FALSE),"-")</f>
        <v>Mono disfraz Mortal Kombat (mono y cuerdas rojas)</v>
      </c>
      <c r="G1995" s="47">
        <v>1</v>
      </c>
      <c r="H1995" s="48">
        <v>20</v>
      </c>
      <c r="I1995" s="12">
        <f>VENTAS[[#This Row],[Cantidad]]*VENTAS[[#This Row],[Precio Venta]]</f>
        <v>20</v>
      </c>
      <c r="J1995" s="12">
        <f>IF(VENTAS[[#This Row],[Nombre del Gestor]]&gt;1,VENTAS[[#This Row],[Total]]*10%,0)</f>
        <v>2</v>
      </c>
      <c r="K1995" s="12">
        <f>IFERROR(VLOOKUP(VENTAS[[#This Row],[Código del producto Vendido]],STOCK[],16,FALSE)*VENTAS[[#This Row],[Cantidad]]+VLOOKUP(VENTAS[[#This Row],[Código del producto Vendido]],STOCK[],19,FALSE)*VENTAS[[#This Row],[Cantidad]],VENTAS[[#This Row],[Total]])</f>
        <v>0</v>
      </c>
      <c r="L1995" s="12">
        <f>VENTAS[[#This Row],[Total]]-VENTAS[[#This Row],[Comisión 10%]]-VENTAS[[#This Row],[Costo SIN Comision]]</f>
        <v>18</v>
      </c>
      <c r="M1995" s="48"/>
      <c r="N1995" s="16" t="s">
        <v>4986</v>
      </c>
    </row>
    <row r="1996" spans="1:14" s="4" customFormat="1" ht="20" hidden="1" customHeight="1">
      <c r="A1996" s="46">
        <v>45593</v>
      </c>
      <c r="B1996" s="47"/>
      <c r="C1996" s="47"/>
      <c r="D1996" s="47" t="s">
        <v>4571</v>
      </c>
      <c r="E1996" s="47" t="s">
        <v>3478</v>
      </c>
      <c r="F1996" s="10" t="str">
        <f>IFERROR(VLOOKUP(VENTAS[[#This Row],[Código del producto Vendido]],STOCK[],5,FALSE),"-")</f>
        <v>Set de 3 piezas de disfraz bunny (body, medias y diadema)</v>
      </c>
      <c r="G1996" s="47">
        <v>1</v>
      </c>
      <c r="H1996" s="48">
        <v>25</v>
      </c>
      <c r="I1996" s="12">
        <f>VENTAS[[#This Row],[Cantidad]]*VENTAS[[#This Row],[Precio Venta]]</f>
        <v>25</v>
      </c>
      <c r="J1996" s="12">
        <f>IF(VENTAS[[#This Row],[Nombre del Gestor]]&gt;1,VENTAS[[#This Row],[Total]]*10%,0)</f>
        <v>2.5</v>
      </c>
      <c r="K1996" s="12">
        <f>IFERROR(VLOOKUP(VENTAS[[#This Row],[Código del producto Vendido]],STOCK[],16,FALSE)*VENTAS[[#This Row],[Cantidad]]+VLOOKUP(VENTAS[[#This Row],[Código del producto Vendido]],STOCK[],19,FALSE)*VENTAS[[#This Row],[Cantidad]],VENTAS[[#This Row],[Total]])</f>
        <v>0</v>
      </c>
      <c r="L1996" s="12">
        <f>VENTAS[[#This Row],[Total]]-VENTAS[[#This Row],[Comisión 10%]]-VENTAS[[#This Row],[Costo SIN Comision]]</f>
        <v>22.5</v>
      </c>
      <c r="M1996" s="48"/>
      <c r="N1996" s="16" t="s">
        <v>4987</v>
      </c>
    </row>
    <row r="1997" spans="1:14" s="4" customFormat="1" ht="20" hidden="1" customHeight="1">
      <c r="A1997" s="46">
        <v>45593</v>
      </c>
      <c r="B1997" s="47"/>
      <c r="C1997" s="47"/>
      <c r="D1997" s="47" t="s">
        <v>4571</v>
      </c>
      <c r="E1997" s="47" t="s">
        <v>3347</v>
      </c>
      <c r="F1997" s="10" t="str">
        <f>IFERROR(VLOOKUP(VENTAS[[#This Row],[Código del producto Vendido]],STOCK[],5,FALSE),"-")</f>
        <v>Disfraz de diosa egipcia con mangas doradas y banda para la cintura</v>
      </c>
      <c r="G1997" s="47">
        <v>1</v>
      </c>
      <c r="H1997" s="48">
        <v>25</v>
      </c>
      <c r="I1997" s="12">
        <f>VENTAS[[#This Row],[Cantidad]]*VENTAS[[#This Row],[Precio Venta]]</f>
        <v>25</v>
      </c>
      <c r="J1997" s="12">
        <f>IF(VENTAS[[#This Row],[Nombre del Gestor]]&gt;1,VENTAS[[#This Row],[Total]]*10%,0)</f>
        <v>2.5</v>
      </c>
      <c r="K1997" s="12">
        <f>IFERROR(VLOOKUP(VENTAS[[#This Row],[Código del producto Vendido]],STOCK[],16,FALSE)*VENTAS[[#This Row],[Cantidad]]+VLOOKUP(VENTAS[[#This Row],[Código del producto Vendido]],STOCK[],19,FALSE)*VENTAS[[#This Row],[Cantidad]],VENTAS[[#This Row],[Total]])</f>
        <v>0</v>
      </c>
      <c r="L1997" s="12">
        <f>VENTAS[[#This Row],[Total]]-VENTAS[[#This Row],[Comisión 10%]]-VENTAS[[#This Row],[Costo SIN Comision]]</f>
        <v>22.5</v>
      </c>
      <c r="M1997" s="48"/>
      <c r="N1997" s="16" t="s">
        <v>4988</v>
      </c>
    </row>
    <row r="1998" spans="1:14" s="4" customFormat="1" ht="20" hidden="1" customHeight="1">
      <c r="A1998" s="46">
        <v>45593</v>
      </c>
      <c r="B1998" s="47"/>
      <c r="C1998" s="47"/>
      <c r="D1998" s="47" t="s">
        <v>4571</v>
      </c>
      <c r="E1998" s="47" t="s">
        <v>3013</v>
      </c>
      <c r="F1998" s="10" t="str">
        <f>IFERROR(VLOOKUP(VENTAS[[#This Row],[Código del producto Vendido]],STOCK[],5,FALSE),"-")</f>
        <v>Pantalón alto de pierna ancha color caramelo</v>
      </c>
      <c r="G1998" s="47">
        <v>1</v>
      </c>
      <c r="H1998" s="48">
        <v>30</v>
      </c>
      <c r="I1998" s="12">
        <f>VENTAS[[#This Row],[Cantidad]]*VENTAS[[#This Row],[Precio Venta]]</f>
        <v>30</v>
      </c>
      <c r="J1998" s="12">
        <f>IF(VENTAS[[#This Row],[Nombre del Gestor]]&gt;1,VENTAS[[#This Row],[Total]]*10%,0)</f>
        <v>3</v>
      </c>
      <c r="K1998" s="12">
        <f>IFERROR(VLOOKUP(VENTAS[[#This Row],[Código del producto Vendido]],STOCK[],16,FALSE)*VENTAS[[#This Row],[Cantidad]]+VLOOKUP(VENTAS[[#This Row],[Código del producto Vendido]],STOCK[],19,FALSE)*VENTAS[[#This Row],[Cantidad]],VENTAS[[#This Row],[Total]])</f>
        <v>12.63</v>
      </c>
      <c r="L1998" s="12">
        <f>VENTAS[[#This Row],[Total]]-VENTAS[[#This Row],[Comisión 10%]]-VENTAS[[#This Row],[Costo SIN Comision]]</f>
        <v>14.37</v>
      </c>
      <c r="M1998" s="48"/>
      <c r="N1998" s="16" t="s">
        <v>4989</v>
      </c>
    </row>
    <row r="1999" spans="1:14" s="4" customFormat="1" ht="20" hidden="1" customHeight="1">
      <c r="A1999" s="46">
        <v>45593</v>
      </c>
      <c r="B1999" s="47"/>
      <c r="C1999" s="47"/>
      <c r="D1999" s="47" t="s">
        <v>4571</v>
      </c>
      <c r="E1999" s="47" t="s">
        <v>2435</v>
      </c>
      <c r="F1999" s="10" t="str">
        <f>IFERROR(VLOOKUP(VENTAS[[#This Row],[Código del producto Vendido]],STOCK[],5,FALSE),"-")</f>
        <v>Pantalón ancho con cordón ajustable</v>
      </c>
      <c r="G1999" s="47">
        <v>1</v>
      </c>
      <c r="H1999" s="48">
        <v>23</v>
      </c>
      <c r="I1999" s="12">
        <f>VENTAS[[#This Row],[Cantidad]]*VENTAS[[#This Row],[Precio Venta]]</f>
        <v>23</v>
      </c>
      <c r="J1999" s="12">
        <f>IF(VENTAS[[#This Row],[Nombre del Gestor]]&gt;1,VENTAS[[#This Row],[Total]]*10%,0)</f>
        <v>2.3000000000000003</v>
      </c>
      <c r="K1999" s="12">
        <f>IFERROR(VLOOKUP(VENTAS[[#This Row],[Código del producto Vendido]],STOCK[],16,FALSE)*VENTAS[[#This Row],[Cantidad]]+VLOOKUP(VENTAS[[#This Row],[Código del producto Vendido]],STOCK[],19,FALSE)*VENTAS[[#This Row],[Cantidad]],VENTAS[[#This Row],[Total]])</f>
        <v>11.43533490011751</v>
      </c>
      <c r="L1999" s="12">
        <f>VENTAS[[#This Row],[Total]]-VENTAS[[#This Row],[Comisión 10%]]-VENTAS[[#This Row],[Costo SIN Comision]]</f>
        <v>9.2646650998824889</v>
      </c>
      <c r="M1999" s="48"/>
      <c r="N1999" s="16" t="s">
        <v>4990</v>
      </c>
    </row>
    <row r="2000" spans="1:14" s="4" customFormat="1" ht="20" hidden="1" customHeight="1">
      <c r="A2000" s="46">
        <v>45593</v>
      </c>
      <c r="B2000" s="47"/>
      <c r="C2000" s="47"/>
      <c r="D2000" s="47" t="s">
        <v>4571</v>
      </c>
      <c r="E2000" s="47" t="s">
        <v>1063</v>
      </c>
      <c r="F2000" s="10" t="str">
        <f>IFERROR(VLOOKUP(VENTAS[[#This Row],[Código del producto Vendido]],STOCK[],5,FALSE),"-")</f>
        <v>Top cami carrera</v>
      </c>
      <c r="G2000" s="47">
        <v>1</v>
      </c>
      <c r="H2000" s="48">
        <v>7</v>
      </c>
      <c r="I2000" s="12">
        <f>VENTAS[[#This Row],[Cantidad]]*VENTAS[[#This Row],[Precio Venta]]</f>
        <v>7</v>
      </c>
      <c r="J2000" s="12">
        <f>IF(VENTAS[[#This Row],[Nombre del Gestor]]&gt;1,VENTAS[[#This Row],[Total]]*10%,0)</f>
        <v>0.70000000000000007</v>
      </c>
      <c r="K2000" s="12">
        <f>IFERROR(VLOOKUP(VENTAS[[#This Row],[Código del producto Vendido]],STOCK[],16,FALSE)*VENTAS[[#This Row],[Cantidad]]+VLOOKUP(VENTAS[[#This Row],[Código del producto Vendido]],STOCK[],19,FALSE)*VENTAS[[#This Row],[Cantidad]],VENTAS[[#This Row],[Total]])</f>
        <v>4.9926470588235299</v>
      </c>
      <c r="L2000" s="12">
        <f>VENTAS[[#This Row],[Total]]-VENTAS[[#This Row],[Comisión 10%]]-VENTAS[[#This Row],[Costo SIN Comision]]</f>
        <v>1.3073529411764699</v>
      </c>
      <c r="M2000" s="48"/>
      <c r="N2000" s="16" t="s">
        <v>4991</v>
      </c>
    </row>
    <row r="2001" spans="1:14" s="4" customFormat="1" ht="20" hidden="1" customHeight="1">
      <c r="A2001" s="46">
        <v>45593</v>
      </c>
      <c r="B2001" s="47"/>
      <c r="C2001" s="47"/>
      <c r="D2001" s="47" t="s">
        <v>4571</v>
      </c>
      <c r="E2001" s="47" t="s">
        <v>2917</v>
      </c>
      <c r="F2001" s="10" t="str">
        <f>IFERROR(VLOOKUP(VENTAS[[#This Row],[Código del producto Vendido]],STOCK[],5,FALSE),"-")</f>
        <v>Chaleco de traje estilo blazer color negro</v>
      </c>
      <c r="G2001" s="47">
        <v>1</v>
      </c>
      <c r="H2001" s="48">
        <v>25</v>
      </c>
      <c r="I2001" s="12">
        <f>VENTAS[[#This Row],[Cantidad]]*VENTAS[[#This Row],[Precio Venta]]</f>
        <v>25</v>
      </c>
      <c r="J2001" s="12">
        <f>IF(VENTAS[[#This Row],[Nombre del Gestor]]&gt;1,VENTAS[[#This Row],[Total]]*10%,0)</f>
        <v>2.5</v>
      </c>
      <c r="K2001" s="12">
        <f>IFERROR(VLOOKUP(VENTAS[[#This Row],[Código del producto Vendido]],STOCK[],16,FALSE)*VENTAS[[#This Row],[Cantidad]]+VLOOKUP(VENTAS[[#This Row],[Código del producto Vendido]],STOCK[],19,FALSE)*VENTAS[[#This Row],[Cantidad]],VENTAS[[#This Row],[Total]])</f>
        <v>11.96</v>
      </c>
      <c r="L2001" s="12">
        <f>VENTAS[[#This Row],[Total]]-VENTAS[[#This Row],[Comisión 10%]]-VENTAS[[#This Row],[Costo SIN Comision]]</f>
        <v>10.54</v>
      </c>
      <c r="M2001" s="48"/>
      <c r="N2001" s="16" t="s">
        <v>4992</v>
      </c>
    </row>
    <row r="2002" spans="1:14" s="4" customFormat="1" ht="20" hidden="1" customHeight="1">
      <c r="A2002" s="46">
        <v>45593</v>
      </c>
      <c r="B2002" s="47"/>
      <c r="C2002" s="47"/>
      <c r="D2002" s="47" t="s">
        <v>4374</v>
      </c>
      <c r="E2002" s="47" t="s">
        <v>3448</v>
      </c>
      <c r="F2002" s="10" t="str">
        <f>IFERROR(VLOOKUP(VENTAS[[#This Row],[Código del producto Vendido]],STOCK[],5,FALSE),"-")</f>
        <v>Antifaz bordado</v>
      </c>
      <c r="G2002" s="47">
        <v>1</v>
      </c>
      <c r="H2002" s="48">
        <v>4</v>
      </c>
      <c r="I2002" s="12">
        <f>VENTAS[[#This Row],[Cantidad]]*VENTAS[[#This Row],[Precio Venta]]</f>
        <v>4</v>
      </c>
      <c r="J2002" s="12">
        <f>IF(VENTAS[[#This Row],[Nombre del Gestor]]&gt;1,VENTAS[[#This Row],[Total]]*10%,0)</f>
        <v>0.4</v>
      </c>
      <c r="K2002" s="12">
        <f>IFERROR(VLOOKUP(VENTAS[[#This Row],[Código del producto Vendido]],STOCK[],16,FALSE)*VENTAS[[#This Row],[Cantidad]]+VLOOKUP(VENTAS[[#This Row],[Código del producto Vendido]],STOCK[],19,FALSE)*VENTAS[[#This Row],[Cantidad]],VENTAS[[#This Row],[Total]])</f>
        <v>0</v>
      </c>
      <c r="L2002" s="12">
        <f>VENTAS[[#This Row],[Total]]-VENTAS[[#This Row],[Comisión 10%]]-VENTAS[[#This Row],[Costo SIN Comision]]</f>
        <v>3.6</v>
      </c>
      <c r="M2002" s="48"/>
      <c r="N2002" s="16" t="s">
        <v>4993</v>
      </c>
    </row>
    <row r="2003" spans="1:14" s="4" customFormat="1" ht="20" hidden="1" customHeight="1">
      <c r="A2003" s="46">
        <v>45593</v>
      </c>
      <c r="B2003" s="47"/>
      <c r="C2003" s="47"/>
      <c r="D2003" s="47" t="s">
        <v>4374</v>
      </c>
      <c r="E2003" s="47" t="s">
        <v>3365</v>
      </c>
      <c r="F2003" s="10" t="str">
        <f>IFERROR(VLOOKUP(VENTAS[[#This Row],[Código del producto Vendido]],STOCK[],5,FALSE),"-")</f>
        <v>Antifaz de conejo sexy</v>
      </c>
      <c r="G2003" s="47">
        <v>1</v>
      </c>
      <c r="H2003" s="48">
        <v>8</v>
      </c>
      <c r="I2003" s="12">
        <f>VENTAS[[#This Row],[Cantidad]]*VENTAS[[#This Row],[Precio Venta]]</f>
        <v>8</v>
      </c>
      <c r="J2003" s="12">
        <f>IF(VENTAS[[#This Row],[Nombre del Gestor]]&gt;1,VENTAS[[#This Row],[Total]]*10%,0)</f>
        <v>0.8</v>
      </c>
      <c r="K2003" s="12">
        <f>IFERROR(VLOOKUP(VENTAS[[#This Row],[Código del producto Vendido]],STOCK[],16,FALSE)*VENTAS[[#This Row],[Cantidad]]+VLOOKUP(VENTAS[[#This Row],[Código del producto Vendido]],STOCK[],19,FALSE)*VENTAS[[#This Row],[Cantidad]],VENTAS[[#This Row],[Total]])</f>
        <v>0</v>
      </c>
      <c r="L2003" s="12">
        <f>VENTAS[[#This Row],[Total]]-VENTAS[[#This Row],[Comisión 10%]]-VENTAS[[#This Row],[Costo SIN Comision]]</f>
        <v>7.2</v>
      </c>
      <c r="M2003" s="48"/>
      <c r="N2003" s="16" t="s">
        <v>4994</v>
      </c>
    </row>
    <row r="2004" spans="1:14" s="4" customFormat="1" ht="20" hidden="1" customHeight="1">
      <c r="A2004" s="46">
        <v>45593</v>
      </c>
      <c r="B2004" s="47"/>
      <c r="C2004" s="47"/>
      <c r="D2004" s="47" t="s">
        <v>4374</v>
      </c>
      <c r="E2004" s="47" t="s">
        <v>3372</v>
      </c>
      <c r="F2004" s="10" t="str">
        <f>IFERROR(VLOOKUP(VENTAS[[#This Row],[Código del producto Vendido]],STOCK[],5,FALSE),"-")</f>
        <v>Diadema minimalista de diablito</v>
      </c>
      <c r="G2004" s="47">
        <v>1</v>
      </c>
      <c r="H2004" s="48">
        <v>5</v>
      </c>
      <c r="I2004" s="12">
        <f>VENTAS[[#This Row],[Cantidad]]*VENTAS[[#This Row],[Precio Venta]]</f>
        <v>5</v>
      </c>
      <c r="J2004" s="12">
        <f>IF(VENTAS[[#This Row],[Nombre del Gestor]]&gt;1,VENTAS[[#This Row],[Total]]*10%,0)</f>
        <v>0.5</v>
      </c>
      <c r="K2004" s="12">
        <f>IFERROR(VLOOKUP(VENTAS[[#This Row],[Código del producto Vendido]],STOCK[],16,FALSE)*VENTAS[[#This Row],[Cantidad]]+VLOOKUP(VENTAS[[#This Row],[Código del producto Vendido]],STOCK[],19,FALSE)*VENTAS[[#This Row],[Cantidad]],VENTAS[[#This Row],[Total]])</f>
        <v>0</v>
      </c>
      <c r="L2004" s="12">
        <f>VENTAS[[#This Row],[Total]]-VENTAS[[#This Row],[Comisión 10%]]-VENTAS[[#This Row],[Costo SIN Comision]]</f>
        <v>4.5</v>
      </c>
      <c r="M2004" s="48"/>
      <c r="N2004" s="16" t="s">
        <v>4995</v>
      </c>
    </row>
    <row r="2005" spans="1:14" s="4" customFormat="1" ht="20" hidden="1" customHeight="1">
      <c r="A2005" s="46">
        <v>45593</v>
      </c>
      <c r="B2005" s="47"/>
      <c r="C2005" s="47"/>
      <c r="D2005" s="47" t="s">
        <v>4578</v>
      </c>
      <c r="E2005" s="47" t="s">
        <v>3303</v>
      </c>
      <c r="F2005" s="10" t="str">
        <f>IFERROR(VLOOKUP(VENTAS[[#This Row],[Código del producto Vendido]],STOCK[],5,FALSE),"-")</f>
        <v>Velo de novia para disfraz</v>
      </c>
      <c r="G2005" s="47">
        <v>1</v>
      </c>
      <c r="H2005" s="48">
        <v>10</v>
      </c>
      <c r="I2005" s="12">
        <f>VENTAS[[#This Row],[Cantidad]]*VENTAS[[#This Row],[Precio Venta]]</f>
        <v>10</v>
      </c>
      <c r="J2005" s="12">
        <f>IF(VENTAS[[#This Row],[Nombre del Gestor]]&gt;1,VENTAS[[#This Row],[Total]]*10%,0)</f>
        <v>1</v>
      </c>
      <c r="K2005" s="12">
        <f>IFERROR(VLOOKUP(VENTAS[[#This Row],[Código del producto Vendido]],STOCK[],16,FALSE)*VENTAS[[#This Row],[Cantidad]]+VLOOKUP(VENTAS[[#This Row],[Código del producto Vendido]],STOCK[],19,FALSE)*VENTAS[[#This Row],[Cantidad]],VENTAS[[#This Row],[Total]])</f>
        <v>0</v>
      </c>
      <c r="L2005" s="12">
        <f>VENTAS[[#This Row],[Total]]-VENTAS[[#This Row],[Comisión 10%]]-VENTAS[[#This Row],[Costo SIN Comision]]</f>
        <v>9</v>
      </c>
      <c r="M2005" s="48"/>
      <c r="N2005" s="16" t="s">
        <v>4996</v>
      </c>
    </row>
    <row r="2006" spans="1:14" s="4" customFormat="1" ht="20" hidden="1" customHeight="1">
      <c r="A2006" s="46">
        <v>45593</v>
      </c>
      <c r="B2006" s="47"/>
      <c r="C2006" s="47"/>
      <c r="D2006" s="47" t="s">
        <v>4571</v>
      </c>
      <c r="E2006" s="47" t="s">
        <v>3335</v>
      </c>
      <c r="F2006" s="10" t="str">
        <f>IFERROR(VLOOKUP(VENTAS[[#This Row],[Código del producto Vendido]],STOCK[],5,FALSE),"-")</f>
        <v>Diadema minimalista de diablito</v>
      </c>
      <c r="G2006" s="47">
        <v>1</v>
      </c>
      <c r="H2006" s="48">
        <v>5</v>
      </c>
      <c r="I2006" s="12">
        <f>VENTAS[[#This Row],[Cantidad]]*VENTAS[[#This Row],[Precio Venta]]</f>
        <v>5</v>
      </c>
      <c r="J2006" s="12">
        <f>IF(VENTAS[[#This Row],[Nombre del Gestor]]&gt;1,VENTAS[[#This Row],[Total]]*10%,0)</f>
        <v>0.5</v>
      </c>
      <c r="K2006" s="12">
        <f>IFERROR(VLOOKUP(VENTAS[[#This Row],[Código del producto Vendido]],STOCK[],16,FALSE)*VENTAS[[#This Row],[Cantidad]]+VLOOKUP(VENTAS[[#This Row],[Código del producto Vendido]],STOCK[],19,FALSE)*VENTAS[[#This Row],[Cantidad]],VENTAS[[#This Row],[Total]])</f>
        <v>0</v>
      </c>
      <c r="L2006" s="12">
        <f>VENTAS[[#This Row],[Total]]-VENTAS[[#This Row],[Comisión 10%]]-VENTAS[[#This Row],[Costo SIN Comision]]</f>
        <v>4.5</v>
      </c>
      <c r="M2006" s="48"/>
      <c r="N2006" s="16" t="s">
        <v>4997</v>
      </c>
    </row>
    <row r="2007" spans="1:14" s="4" customFormat="1" ht="20" hidden="1" customHeight="1">
      <c r="A2007" s="46">
        <v>45594</v>
      </c>
      <c r="B2007" s="47"/>
      <c r="C2007" s="47"/>
      <c r="D2007" s="47" t="s">
        <v>4380</v>
      </c>
      <c r="E2007" s="47" t="s">
        <v>3372</v>
      </c>
      <c r="F2007" s="45" t="str">
        <f>IFERROR(VLOOKUP(VENTAS[[#This Row],[Código del producto Vendido]],STOCK[],5,FALSE),"-")</f>
        <v>Diadema minimalista de diablito</v>
      </c>
      <c r="G2007" s="47">
        <v>1</v>
      </c>
      <c r="H2007" s="48">
        <v>5</v>
      </c>
      <c r="I2007" s="12">
        <f>VENTAS[[#This Row],[Cantidad]]*VENTAS[[#This Row],[Precio Venta]]</f>
        <v>5</v>
      </c>
      <c r="J2007" s="12">
        <f>IF(VENTAS[[#This Row],[Nombre del Gestor]]&gt;1,VENTAS[[#This Row],[Total]]*10%,0)</f>
        <v>0.5</v>
      </c>
      <c r="K2007" s="12">
        <f>IFERROR(VLOOKUP(VENTAS[[#This Row],[Código del producto Vendido]],STOCK[],16,FALSE)*VENTAS[[#This Row],[Cantidad]]+VLOOKUP(VENTAS[[#This Row],[Código del producto Vendido]],STOCK[],19,FALSE)*VENTAS[[#This Row],[Cantidad]],VENTAS[[#This Row],[Total]])</f>
        <v>0</v>
      </c>
      <c r="L2007" s="12">
        <f>VENTAS[[#This Row],[Total]]-VENTAS[[#This Row],[Comisión 10%]]-VENTAS[[#This Row],[Costo SIN Comision]]</f>
        <v>4.5</v>
      </c>
      <c r="M2007" s="48"/>
      <c r="N2007" s="16" t="s">
        <v>4998</v>
      </c>
    </row>
    <row r="2008" spans="1:14" s="4" customFormat="1" ht="20" hidden="1" customHeight="1">
      <c r="A2008" s="46">
        <v>45594</v>
      </c>
      <c r="B2008" s="47"/>
      <c r="C2008" s="47"/>
      <c r="D2008" s="47" t="s">
        <v>4380</v>
      </c>
      <c r="E2008" s="47" t="s">
        <v>3448</v>
      </c>
      <c r="F2008" s="45" t="str">
        <f>IFERROR(VLOOKUP(VENTAS[[#This Row],[Código del producto Vendido]],STOCK[],5,FALSE),"-")</f>
        <v>Antifaz bordado</v>
      </c>
      <c r="G2008" s="47">
        <v>1</v>
      </c>
      <c r="H2008" s="48">
        <v>4</v>
      </c>
      <c r="I2008" s="12">
        <f>VENTAS[[#This Row],[Cantidad]]*VENTAS[[#This Row],[Precio Venta]]</f>
        <v>4</v>
      </c>
      <c r="J2008" s="12">
        <f>IF(VENTAS[[#This Row],[Nombre del Gestor]]&gt;1,VENTAS[[#This Row],[Total]]*10%,0)</f>
        <v>0.4</v>
      </c>
      <c r="K2008" s="12">
        <f>IFERROR(VLOOKUP(VENTAS[[#This Row],[Código del producto Vendido]],STOCK[],16,FALSE)*VENTAS[[#This Row],[Cantidad]]+VLOOKUP(VENTAS[[#This Row],[Código del producto Vendido]],STOCK[],19,FALSE)*VENTAS[[#This Row],[Cantidad]],VENTAS[[#This Row],[Total]])</f>
        <v>0</v>
      </c>
      <c r="L2008" s="12">
        <f>VENTAS[[#This Row],[Total]]-VENTAS[[#This Row],[Comisión 10%]]-VENTAS[[#This Row],[Costo SIN Comision]]</f>
        <v>3.6</v>
      </c>
      <c r="M2008" s="48"/>
      <c r="N2008" s="16" t="s">
        <v>4999</v>
      </c>
    </row>
    <row r="2009" spans="1:14" s="4" customFormat="1" ht="20" hidden="1" customHeight="1">
      <c r="A2009" s="46">
        <v>45594</v>
      </c>
      <c r="B2009" s="47"/>
      <c r="C2009" s="47"/>
      <c r="D2009" s="47" t="s">
        <v>4378</v>
      </c>
      <c r="E2009" s="47" t="s">
        <v>2933</v>
      </c>
      <c r="F2009" s="10" t="str">
        <f>IFERROR(VLOOKUP(VENTAS[[#This Row],[Código del producto Vendido]],STOCK[],5,FALSE),"-")</f>
        <v>Jeans de talle alto y pierna ancha color azul claro</v>
      </c>
      <c r="G2009" s="47">
        <v>1</v>
      </c>
      <c r="H2009" s="48">
        <v>30</v>
      </c>
      <c r="I2009" s="12">
        <f>VENTAS[[#This Row],[Cantidad]]*VENTAS[[#This Row],[Precio Venta]]</f>
        <v>30</v>
      </c>
      <c r="J2009" s="12">
        <f>IF(VENTAS[[#This Row],[Nombre del Gestor]]&gt;1,VENTAS[[#This Row],[Total]]*10%,0)</f>
        <v>3</v>
      </c>
      <c r="K2009" s="12">
        <f>IFERROR(VLOOKUP(VENTAS[[#This Row],[Código del producto Vendido]],STOCK[],16,FALSE)*VENTAS[[#This Row],[Cantidad]]+VLOOKUP(VENTAS[[#This Row],[Código del producto Vendido]],STOCK[],19,FALSE)*VENTAS[[#This Row],[Cantidad]],VENTAS[[#This Row],[Total]])</f>
        <v>12.47</v>
      </c>
      <c r="L2009" s="12">
        <f>VENTAS[[#This Row],[Total]]-VENTAS[[#This Row],[Comisión 10%]]-VENTAS[[#This Row],[Costo SIN Comision]]</f>
        <v>14.53</v>
      </c>
      <c r="M2009" s="48"/>
      <c r="N2009" s="16" t="s">
        <v>5000</v>
      </c>
    </row>
    <row r="2010" spans="1:14" s="4" customFormat="1" ht="20" hidden="1" customHeight="1">
      <c r="A2010" s="46">
        <v>45594</v>
      </c>
      <c r="B2010" s="47"/>
      <c r="C2010" s="47"/>
      <c r="D2010" s="47" t="s">
        <v>4184</v>
      </c>
      <c r="E2010" s="47" t="s">
        <v>3363</v>
      </c>
      <c r="F2010" s="10" t="str">
        <f>IFERROR(VLOOKUP(VENTAS[[#This Row],[Código del producto Vendido]],STOCK[],5,FALSE),"-")</f>
        <v>Máscara completa de esqueleto endemoniado con peluca</v>
      </c>
      <c r="G2010" s="47">
        <v>1</v>
      </c>
      <c r="H2010" s="48">
        <v>14</v>
      </c>
      <c r="I2010" s="12">
        <f>VENTAS[[#This Row],[Cantidad]]*VENTAS[[#This Row],[Precio Venta]]</f>
        <v>14</v>
      </c>
      <c r="J2010" s="12">
        <f>IF(VENTAS[[#This Row],[Nombre del Gestor]]&gt;1,VENTAS[[#This Row],[Total]]*10%,0)</f>
        <v>1.4000000000000001</v>
      </c>
      <c r="K2010" s="12">
        <f>IFERROR(VLOOKUP(VENTAS[[#This Row],[Código del producto Vendido]],STOCK[],16,FALSE)*VENTAS[[#This Row],[Cantidad]]+VLOOKUP(VENTAS[[#This Row],[Código del producto Vendido]],STOCK[],19,FALSE)*VENTAS[[#This Row],[Cantidad]],VENTAS[[#This Row],[Total]])</f>
        <v>0</v>
      </c>
      <c r="L2010" s="12">
        <f>VENTAS[[#This Row],[Total]]-VENTAS[[#This Row],[Comisión 10%]]-VENTAS[[#This Row],[Costo SIN Comision]]</f>
        <v>12.6</v>
      </c>
      <c r="M2010" s="48"/>
      <c r="N2010" s="16" t="s">
        <v>5001</v>
      </c>
    </row>
    <row r="2011" spans="1:14" s="4" customFormat="1" ht="20" hidden="1" customHeight="1">
      <c r="A2011" s="46">
        <v>45594</v>
      </c>
      <c r="B2011" s="47"/>
      <c r="C2011" s="47"/>
      <c r="D2011" s="47" t="s">
        <v>4695</v>
      </c>
      <c r="E2011" s="47" t="s">
        <v>3414</v>
      </c>
      <c r="F2011" s="10" t="str">
        <f>IFERROR(VLOOKUP(VENTAS[[#This Row],[Código del producto Vendido]],STOCK[],5,FALSE),"-")</f>
        <v>Tatuajes faciales de catrina</v>
      </c>
      <c r="G2011" s="47">
        <v>1</v>
      </c>
      <c r="H2011" s="48">
        <v>2</v>
      </c>
      <c r="I2011" s="12">
        <f>VENTAS[[#This Row],[Cantidad]]*VENTAS[[#This Row],[Precio Venta]]</f>
        <v>2</v>
      </c>
      <c r="J2011" s="12">
        <f>IF(VENTAS[[#This Row],[Nombre del Gestor]]&gt;1,VENTAS[[#This Row],[Total]]*10%,0)</f>
        <v>0.2</v>
      </c>
      <c r="K2011" s="12">
        <f>IFERROR(VLOOKUP(VENTAS[[#This Row],[Código del producto Vendido]],STOCK[],16,FALSE)*VENTAS[[#This Row],[Cantidad]]+VLOOKUP(VENTAS[[#This Row],[Código del producto Vendido]],STOCK[],19,FALSE)*VENTAS[[#This Row],[Cantidad]],VENTAS[[#This Row],[Total]])</f>
        <v>0</v>
      </c>
      <c r="L2011" s="12">
        <f>VENTAS[[#This Row],[Total]]-VENTAS[[#This Row],[Comisión 10%]]-VENTAS[[#This Row],[Costo SIN Comision]]</f>
        <v>1.8</v>
      </c>
      <c r="M2011" s="48"/>
      <c r="N2011" s="16" t="s">
        <v>5002</v>
      </c>
    </row>
    <row r="2012" spans="1:14" s="4" customFormat="1" ht="20" hidden="1" customHeight="1">
      <c r="A2012" s="46">
        <v>45594</v>
      </c>
      <c r="B2012" s="47"/>
      <c r="C2012" s="47"/>
      <c r="D2012" s="47" t="s">
        <v>4695</v>
      </c>
      <c r="E2012" s="47" t="s">
        <v>2774</v>
      </c>
      <c r="F2012" s="10" t="str">
        <f>IFERROR(VLOOKUP(VENTAS[[#This Row],[Código del producto Vendido]],STOCK[],5,FALSE),"-")</f>
        <v>Sandalias de plataforma de rafia natural</v>
      </c>
      <c r="G2012" s="47">
        <v>1</v>
      </c>
      <c r="H2012" s="48">
        <v>45</v>
      </c>
      <c r="I2012" s="12">
        <f>VENTAS[[#This Row],[Cantidad]]*VENTAS[[#This Row],[Precio Venta]]</f>
        <v>45</v>
      </c>
      <c r="J2012" s="12">
        <f>IF(VENTAS[[#This Row],[Nombre del Gestor]]&gt;1,VENTAS[[#This Row],[Total]]*10%,0)</f>
        <v>4.5</v>
      </c>
      <c r="K2012" s="12">
        <f>IFERROR(VLOOKUP(VENTAS[[#This Row],[Código del producto Vendido]],STOCK[],16,FALSE)*VENTAS[[#This Row],[Cantidad]]+VLOOKUP(VENTAS[[#This Row],[Código del producto Vendido]],STOCK[],19,FALSE)*VENTAS[[#This Row],[Cantidad]],VENTAS[[#This Row],[Total]])</f>
        <v>19.649999999999999</v>
      </c>
      <c r="L2012" s="12">
        <f>VENTAS[[#This Row],[Total]]-VENTAS[[#This Row],[Comisión 10%]]-VENTAS[[#This Row],[Costo SIN Comision]]</f>
        <v>20.85</v>
      </c>
      <c r="M2012" s="48"/>
      <c r="N2012" s="16" t="s">
        <v>5003</v>
      </c>
    </row>
    <row r="2013" spans="1:14" s="4" customFormat="1" ht="20" hidden="1" customHeight="1">
      <c r="A2013" s="46">
        <v>45594</v>
      </c>
      <c r="B2013" s="47"/>
      <c r="C2013" s="47"/>
      <c r="D2013" s="47" t="s">
        <v>4695</v>
      </c>
      <c r="E2013" s="47" t="s">
        <v>3448</v>
      </c>
      <c r="F2013" s="10" t="str">
        <f>IFERROR(VLOOKUP(VENTAS[[#This Row],[Código del producto Vendido]],STOCK[],5,FALSE),"-")</f>
        <v>Antifaz bordado</v>
      </c>
      <c r="G2013" s="47">
        <v>1</v>
      </c>
      <c r="H2013" s="48">
        <v>4</v>
      </c>
      <c r="I2013" s="12">
        <f>VENTAS[[#This Row],[Cantidad]]*VENTAS[[#This Row],[Precio Venta]]</f>
        <v>4</v>
      </c>
      <c r="J2013" s="12">
        <f>IF(VENTAS[[#This Row],[Nombre del Gestor]]&gt;1,VENTAS[[#This Row],[Total]]*10%,0)</f>
        <v>0.4</v>
      </c>
      <c r="K2013" s="12">
        <f>IFERROR(VLOOKUP(VENTAS[[#This Row],[Código del producto Vendido]],STOCK[],16,FALSE)*VENTAS[[#This Row],[Cantidad]]+VLOOKUP(VENTAS[[#This Row],[Código del producto Vendido]],STOCK[],19,FALSE)*VENTAS[[#This Row],[Cantidad]],VENTAS[[#This Row],[Total]])</f>
        <v>0</v>
      </c>
      <c r="L2013" s="12">
        <f>VENTAS[[#This Row],[Total]]-VENTAS[[#This Row],[Comisión 10%]]-VENTAS[[#This Row],[Costo SIN Comision]]</f>
        <v>3.6</v>
      </c>
      <c r="M2013" s="48"/>
      <c r="N2013" s="16" t="s">
        <v>5004</v>
      </c>
    </row>
    <row r="2014" spans="1:14" s="4" customFormat="1" ht="20" hidden="1" customHeight="1">
      <c r="A2014" s="46">
        <v>45594</v>
      </c>
      <c r="B2014" s="47"/>
      <c r="C2014" s="47"/>
      <c r="D2014" s="47" t="s">
        <v>4473</v>
      </c>
      <c r="E2014" s="47" t="s">
        <v>3365</v>
      </c>
      <c r="F2014" s="10" t="str">
        <f>IFERROR(VLOOKUP(VENTAS[[#This Row],[Código del producto Vendido]],STOCK[],5,FALSE),"-")</f>
        <v>Antifaz de conejo sexy</v>
      </c>
      <c r="G2014" s="47">
        <v>1</v>
      </c>
      <c r="H2014" s="48">
        <v>8</v>
      </c>
      <c r="I2014" s="12">
        <f>VENTAS[[#This Row],[Cantidad]]*VENTAS[[#This Row],[Precio Venta]]</f>
        <v>8</v>
      </c>
      <c r="J2014" s="12">
        <f>IF(VENTAS[[#This Row],[Nombre del Gestor]]&gt;1,VENTAS[[#This Row],[Total]]*10%,0)</f>
        <v>0.8</v>
      </c>
      <c r="K2014" s="12">
        <f>IFERROR(VLOOKUP(VENTAS[[#This Row],[Código del producto Vendido]],STOCK[],16,FALSE)*VENTAS[[#This Row],[Cantidad]]+VLOOKUP(VENTAS[[#This Row],[Código del producto Vendido]],STOCK[],19,FALSE)*VENTAS[[#This Row],[Cantidad]],VENTAS[[#This Row],[Total]])</f>
        <v>0</v>
      </c>
      <c r="L2014" s="12">
        <f>VENTAS[[#This Row],[Total]]-VENTAS[[#This Row],[Comisión 10%]]-VENTAS[[#This Row],[Costo SIN Comision]]</f>
        <v>7.2</v>
      </c>
      <c r="M2014" s="48"/>
      <c r="N2014" s="16" t="s">
        <v>5005</v>
      </c>
    </row>
    <row r="2015" spans="1:14" s="4" customFormat="1" ht="20" hidden="1" customHeight="1">
      <c r="A2015" s="46">
        <v>45594</v>
      </c>
      <c r="B2015" s="47"/>
      <c r="C2015" s="47"/>
      <c r="D2015" s="47"/>
      <c r="E2015" s="47" t="s">
        <v>2810</v>
      </c>
      <c r="F2015" s="10" t="str">
        <f>IFERROR(VLOOKUP(VENTAS[[#This Row],[Código del producto Vendido]],STOCK[],5,FALSE),"-")</f>
        <v>Pantalones cortos con dobladillo</v>
      </c>
      <c r="G2015" s="47">
        <v>1</v>
      </c>
      <c r="H2015" s="48">
        <v>20</v>
      </c>
      <c r="I2015" s="12">
        <f>VENTAS[[#This Row],[Cantidad]]*VENTAS[[#This Row],[Precio Venta]]</f>
        <v>20</v>
      </c>
      <c r="J2015" s="12">
        <f>IF(VENTAS[[#This Row],[Nombre del Gestor]]&gt;1,VENTAS[[#This Row],[Total]]*10%,0)</f>
        <v>0</v>
      </c>
      <c r="K2015" s="12">
        <f>IFERROR(VLOOKUP(VENTAS[[#This Row],[Código del producto Vendido]],STOCK[],16,FALSE)*VENTAS[[#This Row],[Cantidad]]+VLOOKUP(VENTAS[[#This Row],[Código del producto Vendido]],STOCK[],19,FALSE)*VENTAS[[#This Row],[Cantidad]],VENTAS[[#This Row],[Total]])</f>
        <v>7.43</v>
      </c>
      <c r="L2015" s="12">
        <f>VENTAS[[#This Row],[Total]]-VENTAS[[#This Row],[Comisión 10%]]-VENTAS[[#This Row],[Costo SIN Comision]]</f>
        <v>12.57</v>
      </c>
      <c r="M2015" s="48"/>
      <c r="N2015" s="16" t="s">
        <v>5006</v>
      </c>
    </row>
    <row r="2016" spans="1:14" s="4" customFormat="1" ht="20" hidden="1" customHeight="1">
      <c r="A2016" s="46">
        <v>45594</v>
      </c>
      <c r="B2016" s="47"/>
      <c r="C2016" s="47"/>
      <c r="D2016" s="47" t="s">
        <v>4571</v>
      </c>
      <c r="E2016" s="47" t="s">
        <v>3470</v>
      </c>
      <c r="F2016" s="10" t="str">
        <f>IFERROR(VLOOKUP(VENTAS[[#This Row],[Código del producto Vendido]],STOCK[],5,FALSE),"-")</f>
        <v>Máscara completa de hombre araña</v>
      </c>
      <c r="G2016" s="47">
        <v>1</v>
      </c>
      <c r="H2016" s="48">
        <v>10</v>
      </c>
      <c r="I2016" s="12">
        <f>VENTAS[[#This Row],[Cantidad]]*VENTAS[[#This Row],[Precio Venta]]</f>
        <v>10</v>
      </c>
      <c r="J2016" s="12">
        <f>IF(VENTAS[[#This Row],[Nombre del Gestor]]&gt;1,VENTAS[[#This Row],[Total]]*10%,0)</f>
        <v>1</v>
      </c>
      <c r="K2016" s="12">
        <f>IFERROR(VLOOKUP(VENTAS[[#This Row],[Código del producto Vendido]],STOCK[],16,FALSE)*VENTAS[[#This Row],[Cantidad]]+VLOOKUP(VENTAS[[#This Row],[Código del producto Vendido]],STOCK[],19,FALSE)*VENTAS[[#This Row],[Cantidad]],VENTAS[[#This Row],[Total]])</f>
        <v>0</v>
      </c>
      <c r="L2016" s="12">
        <f>VENTAS[[#This Row],[Total]]-VENTAS[[#This Row],[Comisión 10%]]-VENTAS[[#This Row],[Costo SIN Comision]]</f>
        <v>9</v>
      </c>
      <c r="M2016" s="48"/>
      <c r="N2016" s="16" t="s">
        <v>5007</v>
      </c>
    </row>
    <row r="2017" spans="1:14" s="4" customFormat="1" ht="20" hidden="1" customHeight="1">
      <c r="A2017" s="46">
        <v>45594</v>
      </c>
      <c r="B2017" s="47"/>
      <c r="C2017" s="47"/>
      <c r="D2017" s="47" t="s">
        <v>4374</v>
      </c>
      <c r="E2017" s="47" t="s">
        <v>3381</v>
      </c>
      <c r="F2017" s="10" t="str">
        <f>IFERROR(VLOOKUP(VENTAS[[#This Row],[Código del producto Vendido]],STOCK[],5,FALSE),"-")</f>
        <v>Máscaras led verde de baterías</v>
      </c>
      <c r="G2017" s="47">
        <v>1</v>
      </c>
      <c r="H2017" s="48">
        <v>15</v>
      </c>
      <c r="I2017" s="12">
        <f>VENTAS[[#This Row],[Cantidad]]*VENTAS[[#This Row],[Precio Venta]]</f>
        <v>15</v>
      </c>
      <c r="J2017" s="12">
        <f>IF(VENTAS[[#This Row],[Nombre del Gestor]]&gt;1,VENTAS[[#This Row],[Total]]*10%,0)</f>
        <v>1.5</v>
      </c>
      <c r="K2017" s="12">
        <f>IFERROR(VLOOKUP(VENTAS[[#This Row],[Código del producto Vendido]],STOCK[],16,FALSE)*VENTAS[[#This Row],[Cantidad]]+VLOOKUP(VENTAS[[#This Row],[Código del producto Vendido]],STOCK[],19,FALSE)*VENTAS[[#This Row],[Cantidad]],VENTAS[[#This Row],[Total]])</f>
        <v>0</v>
      </c>
      <c r="L2017" s="12">
        <f>VENTAS[[#This Row],[Total]]-VENTAS[[#This Row],[Comisión 10%]]-VENTAS[[#This Row],[Costo SIN Comision]]</f>
        <v>13.5</v>
      </c>
      <c r="M2017" s="48"/>
      <c r="N2017" s="16" t="s">
        <v>5008</v>
      </c>
    </row>
    <row r="2018" spans="1:14" s="4" customFormat="1" ht="20" hidden="1" customHeight="1">
      <c r="A2018" s="46">
        <v>45594</v>
      </c>
      <c r="B2018" s="47"/>
      <c r="C2018" s="47"/>
      <c r="D2018" s="47" t="s">
        <v>4184</v>
      </c>
      <c r="E2018" s="47" t="s">
        <v>3448</v>
      </c>
      <c r="F2018" s="10" t="str">
        <f>IFERROR(VLOOKUP(VENTAS[[#This Row],[Código del producto Vendido]],STOCK[],5,FALSE),"-")</f>
        <v>Antifaz bordado</v>
      </c>
      <c r="G2018" s="47">
        <v>1</v>
      </c>
      <c r="H2018" s="48">
        <v>2</v>
      </c>
      <c r="I2018" s="12">
        <f>VENTAS[[#This Row],[Cantidad]]*VENTAS[[#This Row],[Precio Venta]]</f>
        <v>2</v>
      </c>
      <c r="J2018" s="12">
        <f>IF(VENTAS[[#This Row],[Nombre del Gestor]]&gt;1,VENTAS[[#This Row],[Total]]*10%,0)</f>
        <v>0.2</v>
      </c>
      <c r="K2018" s="12">
        <f>IFERROR(VLOOKUP(VENTAS[[#This Row],[Código del producto Vendido]],STOCK[],16,FALSE)*VENTAS[[#This Row],[Cantidad]]+VLOOKUP(VENTAS[[#This Row],[Código del producto Vendido]],STOCK[],19,FALSE)*VENTAS[[#This Row],[Cantidad]],VENTAS[[#This Row],[Total]])</f>
        <v>0</v>
      </c>
      <c r="L2018" s="12">
        <f>VENTAS[[#This Row],[Total]]-VENTAS[[#This Row],[Comisión 10%]]-VENTAS[[#This Row],[Costo SIN Comision]]</f>
        <v>1.8</v>
      </c>
      <c r="M2018" s="48"/>
      <c r="N2018" s="16" t="s">
        <v>5009</v>
      </c>
    </row>
    <row r="2019" spans="1:14" s="4" customFormat="1" ht="20" hidden="1" customHeight="1">
      <c r="A2019" s="46">
        <v>45594</v>
      </c>
      <c r="B2019" s="47"/>
      <c r="C2019" s="47"/>
      <c r="D2019" s="47" t="s">
        <v>4578</v>
      </c>
      <c r="E2019" s="47" t="s">
        <v>3358</v>
      </c>
      <c r="F2019" s="10" t="str">
        <f>IFERROR(VLOOKUP(VENTAS[[#This Row],[Código del producto Vendido]],STOCK[],5,FALSE),"-")</f>
        <v>Mascara careta aterrradora</v>
      </c>
      <c r="G2019" s="47">
        <v>1</v>
      </c>
      <c r="H2019" s="48">
        <v>12</v>
      </c>
      <c r="I2019" s="12">
        <f>VENTAS[[#This Row],[Cantidad]]*VENTAS[[#This Row],[Precio Venta]]</f>
        <v>12</v>
      </c>
      <c r="J2019" s="12">
        <f>IF(VENTAS[[#This Row],[Nombre del Gestor]]&gt;1,VENTAS[[#This Row],[Total]]*10%,0)</f>
        <v>1.2000000000000002</v>
      </c>
      <c r="K2019" s="12">
        <f>IFERROR(VLOOKUP(VENTAS[[#This Row],[Código del producto Vendido]],STOCK[],16,FALSE)*VENTAS[[#This Row],[Cantidad]]+VLOOKUP(VENTAS[[#This Row],[Código del producto Vendido]],STOCK[],19,FALSE)*VENTAS[[#This Row],[Cantidad]],VENTAS[[#This Row],[Total]])</f>
        <v>0</v>
      </c>
      <c r="L2019" s="12">
        <f>VENTAS[[#This Row],[Total]]-VENTAS[[#This Row],[Comisión 10%]]-VENTAS[[#This Row],[Costo SIN Comision]]</f>
        <v>10.8</v>
      </c>
      <c r="M2019" s="48"/>
      <c r="N2019" s="16" t="s">
        <v>5010</v>
      </c>
    </row>
    <row r="2020" spans="1:14" s="4" customFormat="1" ht="20" hidden="1" customHeight="1">
      <c r="A2020" s="46">
        <v>45594</v>
      </c>
      <c r="B2020" s="47"/>
      <c r="C2020" s="47"/>
      <c r="D2020" s="47" t="s">
        <v>4380</v>
      </c>
      <c r="E2020" s="47" t="s">
        <v>2780</v>
      </c>
      <c r="F2020" s="45" t="str">
        <f>IFERROR(VLOOKUP(VENTAS[[#This Row],[Código del producto Vendido]],STOCK[],5,FALSE),"-")</f>
        <v>Sandalias espadriles de saco nude atada al tobillo</v>
      </c>
      <c r="G2020" s="47">
        <v>1</v>
      </c>
      <c r="H2020" s="48">
        <v>35</v>
      </c>
      <c r="I2020" s="12">
        <f>VENTAS[[#This Row],[Cantidad]]*VENTAS[[#This Row],[Precio Venta]]</f>
        <v>35</v>
      </c>
      <c r="J2020" s="12">
        <f>IF(VENTAS[[#This Row],[Nombre del Gestor]]&gt;1,VENTAS[[#This Row],[Total]]*10%,0)</f>
        <v>3.5</v>
      </c>
      <c r="K2020" s="12">
        <f>IFERROR(VLOOKUP(VENTAS[[#This Row],[Código del producto Vendido]],STOCK[],16,FALSE)*VENTAS[[#This Row],[Cantidad]]+VLOOKUP(VENTAS[[#This Row],[Código del producto Vendido]],STOCK[],19,FALSE)*VENTAS[[#This Row],[Cantidad]],VENTAS[[#This Row],[Total]])</f>
        <v>12.15</v>
      </c>
      <c r="L2020" s="12">
        <f>VENTAS[[#This Row],[Total]]-VENTAS[[#This Row],[Comisión 10%]]-VENTAS[[#This Row],[Costo SIN Comision]]</f>
        <v>19.350000000000001</v>
      </c>
      <c r="M2020" s="48"/>
      <c r="N2020" s="16" t="s">
        <v>5011</v>
      </c>
    </row>
    <row r="2021" spans="1:14" s="4" customFormat="1" ht="20" hidden="1" customHeight="1">
      <c r="A2021" s="46">
        <v>45594</v>
      </c>
      <c r="B2021" s="47"/>
      <c r="C2021" s="47"/>
      <c r="D2021" s="47" t="s">
        <v>4374</v>
      </c>
      <c r="E2021" s="47" t="s">
        <v>3410</v>
      </c>
      <c r="F2021" s="10" t="str">
        <f>IFERROR(VLOOKUP(VENTAS[[#This Row],[Código del producto Vendido]],STOCK[],5,FALSE),"-")</f>
        <v>Disfraz de angel con cinturón y diadema</v>
      </c>
      <c r="G2021" s="47">
        <v>1</v>
      </c>
      <c r="H2021" s="48">
        <v>22</v>
      </c>
      <c r="I2021" s="12">
        <f>VENTAS[[#This Row],[Cantidad]]*VENTAS[[#This Row],[Precio Venta]]</f>
        <v>22</v>
      </c>
      <c r="J2021" s="12">
        <f>IF(VENTAS[[#This Row],[Nombre del Gestor]]&gt;1,VENTAS[[#This Row],[Total]]*10%,0)</f>
        <v>2.2000000000000002</v>
      </c>
      <c r="K2021" s="12">
        <f>IFERROR(VLOOKUP(VENTAS[[#This Row],[Código del producto Vendido]],STOCK[],16,FALSE)*VENTAS[[#This Row],[Cantidad]]+VLOOKUP(VENTAS[[#This Row],[Código del producto Vendido]],STOCK[],19,FALSE)*VENTAS[[#This Row],[Cantidad]],VENTAS[[#This Row],[Total]])</f>
        <v>0</v>
      </c>
      <c r="L2021" s="12">
        <f>VENTAS[[#This Row],[Total]]-VENTAS[[#This Row],[Comisión 10%]]-VENTAS[[#This Row],[Costo SIN Comision]]</f>
        <v>19.8</v>
      </c>
      <c r="M2021" s="48"/>
      <c r="N2021" s="16" t="s">
        <v>5012</v>
      </c>
    </row>
    <row r="2022" spans="1:14" s="4" customFormat="1" ht="20" hidden="1" customHeight="1">
      <c r="A2022" s="46">
        <v>45594</v>
      </c>
      <c r="B2022" s="47"/>
      <c r="C2022" s="47"/>
      <c r="D2022" s="47" t="s">
        <v>4571</v>
      </c>
      <c r="E2022" s="47" t="s">
        <v>3358</v>
      </c>
      <c r="F2022" s="10" t="str">
        <f>IFERROR(VLOOKUP(VENTAS[[#This Row],[Código del producto Vendido]],STOCK[],5,FALSE),"-")</f>
        <v>Mascara careta aterrradora</v>
      </c>
      <c r="G2022" s="47">
        <v>1</v>
      </c>
      <c r="H2022" s="48">
        <v>12</v>
      </c>
      <c r="I2022" s="12">
        <f>VENTAS[[#This Row],[Cantidad]]*VENTAS[[#This Row],[Precio Venta]]</f>
        <v>12</v>
      </c>
      <c r="J2022" s="12">
        <f>IF(VENTAS[[#This Row],[Nombre del Gestor]]&gt;1,VENTAS[[#This Row],[Total]]*10%,0)</f>
        <v>1.2000000000000002</v>
      </c>
      <c r="K2022" s="12">
        <f>IFERROR(VLOOKUP(VENTAS[[#This Row],[Código del producto Vendido]],STOCK[],16,FALSE)*VENTAS[[#This Row],[Cantidad]]+VLOOKUP(VENTAS[[#This Row],[Código del producto Vendido]],STOCK[],19,FALSE)*VENTAS[[#This Row],[Cantidad]],VENTAS[[#This Row],[Total]])</f>
        <v>0</v>
      </c>
      <c r="L2022" s="12">
        <f>VENTAS[[#This Row],[Total]]-VENTAS[[#This Row],[Comisión 10%]]-VENTAS[[#This Row],[Costo SIN Comision]]</f>
        <v>10.8</v>
      </c>
      <c r="M2022" s="48"/>
      <c r="N2022" s="16" t="s">
        <v>5013</v>
      </c>
    </row>
    <row r="2023" spans="1:14" s="4" customFormat="1" ht="20" hidden="1" customHeight="1">
      <c r="A2023" s="46">
        <v>45594</v>
      </c>
      <c r="B2023" s="47"/>
      <c r="C2023" s="47"/>
      <c r="D2023" s="47" t="s">
        <v>4571</v>
      </c>
      <c r="E2023" s="47" t="s">
        <v>3297</v>
      </c>
      <c r="F2023" s="10" t="str">
        <f>IFERROR(VLOOKUP(VENTAS[[#This Row],[Código del producto Vendido]],STOCK[],5,FALSE),"-")</f>
        <v xml:space="preserve">Guantes negros traslúcidos </v>
      </c>
      <c r="G2023" s="47">
        <v>1</v>
      </c>
      <c r="H2023" s="48">
        <v>5</v>
      </c>
      <c r="I2023" s="12">
        <f>VENTAS[[#This Row],[Cantidad]]*VENTAS[[#This Row],[Precio Venta]]</f>
        <v>5</v>
      </c>
      <c r="J2023" s="12">
        <f>IF(VENTAS[[#This Row],[Nombre del Gestor]]&gt;1,VENTAS[[#This Row],[Total]]*10%,0)</f>
        <v>0.5</v>
      </c>
      <c r="K2023" s="12">
        <f>IFERROR(VLOOKUP(VENTAS[[#This Row],[Código del producto Vendido]],STOCK[],16,FALSE)*VENTAS[[#This Row],[Cantidad]]+VLOOKUP(VENTAS[[#This Row],[Código del producto Vendido]],STOCK[],19,FALSE)*VENTAS[[#This Row],[Cantidad]],VENTAS[[#This Row],[Total]])</f>
        <v>0</v>
      </c>
      <c r="L2023" s="12">
        <f>VENTAS[[#This Row],[Total]]-VENTAS[[#This Row],[Comisión 10%]]-VENTAS[[#This Row],[Costo SIN Comision]]</f>
        <v>4.5</v>
      </c>
      <c r="M2023" s="48"/>
      <c r="N2023" s="16" t="s">
        <v>5014</v>
      </c>
    </row>
    <row r="2024" spans="1:14" s="4" customFormat="1" ht="20" hidden="1" customHeight="1">
      <c r="A2024" s="46">
        <v>45594</v>
      </c>
      <c r="B2024" s="47"/>
      <c r="C2024" s="47"/>
      <c r="D2024" s="47" t="s">
        <v>4571</v>
      </c>
      <c r="E2024" s="47" t="s">
        <v>3291</v>
      </c>
      <c r="F2024" s="10" t="str">
        <f>IFERROR(VLOOKUP(VENTAS[[#This Row],[Código del producto Vendido]],STOCK[],5,FALSE),"-")</f>
        <v>Falda básica de tutú negra</v>
      </c>
      <c r="G2024" s="47">
        <v>1</v>
      </c>
      <c r="H2024" s="48">
        <v>13</v>
      </c>
      <c r="I2024" s="12">
        <f>VENTAS[[#This Row],[Cantidad]]*VENTAS[[#This Row],[Precio Venta]]</f>
        <v>13</v>
      </c>
      <c r="J2024" s="12">
        <f>IF(VENTAS[[#This Row],[Nombre del Gestor]]&gt;1,VENTAS[[#This Row],[Total]]*10%,0)</f>
        <v>1.3</v>
      </c>
      <c r="K2024" s="12">
        <f>IFERROR(VLOOKUP(VENTAS[[#This Row],[Código del producto Vendido]],STOCK[],16,FALSE)*VENTAS[[#This Row],[Cantidad]]+VLOOKUP(VENTAS[[#This Row],[Código del producto Vendido]],STOCK[],19,FALSE)*VENTAS[[#This Row],[Cantidad]],VENTAS[[#This Row],[Total]])</f>
        <v>0</v>
      </c>
      <c r="L2024" s="12">
        <f>VENTAS[[#This Row],[Total]]-VENTAS[[#This Row],[Comisión 10%]]-VENTAS[[#This Row],[Costo SIN Comision]]</f>
        <v>11.7</v>
      </c>
      <c r="M2024" s="48"/>
      <c r="N2024" s="16" t="s">
        <v>5015</v>
      </c>
    </row>
    <row r="2025" spans="1:14" s="4" customFormat="1" ht="20" hidden="1" customHeight="1">
      <c r="A2025" s="46">
        <v>45594</v>
      </c>
      <c r="B2025" s="47"/>
      <c r="C2025" s="47"/>
      <c r="D2025" s="47" t="s">
        <v>4578</v>
      </c>
      <c r="E2025" s="47" t="s">
        <v>3297</v>
      </c>
      <c r="F2025" s="10" t="str">
        <f>IFERROR(VLOOKUP(VENTAS[[#This Row],[Código del producto Vendido]],STOCK[],5,FALSE),"-")</f>
        <v xml:space="preserve">Guantes negros traslúcidos </v>
      </c>
      <c r="G2025" s="47">
        <v>1</v>
      </c>
      <c r="H2025" s="48">
        <v>5</v>
      </c>
      <c r="I2025" s="12">
        <f>VENTAS[[#This Row],[Cantidad]]*VENTAS[[#This Row],[Precio Venta]]</f>
        <v>5</v>
      </c>
      <c r="J2025" s="12">
        <f>IF(VENTAS[[#This Row],[Nombre del Gestor]]&gt;1,VENTAS[[#This Row],[Total]]*10%,0)</f>
        <v>0.5</v>
      </c>
      <c r="K2025" s="12">
        <f>IFERROR(VLOOKUP(VENTAS[[#This Row],[Código del producto Vendido]],STOCK[],16,FALSE)*VENTAS[[#This Row],[Cantidad]]+VLOOKUP(VENTAS[[#This Row],[Código del producto Vendido]],STOCK[],19,FALSE)*VENTAS[[#This Row],[Cantidad]],VENTAS[[#This Row],[Total]])</f>
        <v>0</v>
      </c>
      <c r="L2025" s="12">
        <f>VENTAS[[#This Row],[Total]]-VENTAS[[#This Row],[Comisión 10%]]-VENTAS[[#This Row],[Costo SIN Comision]]</f>
        <v>4.5</v>
      </c>
      <c r="M2025" s="48"/>
      <c r="N2025" s="16" t="s">
        <v>5016</v>
      </c>
    </row>
    <row r="2026" spans="1:14" s="4" customFormat="1" ht="20" hidden="1" customHeight="1">
      <c r="A2026" s="46">
        <v>45594</v>
      </c>
      <c r="B2026" s="47"/>
      <c r="C2026" s="47"/>
      <c r="D2026" s="47" t="s">
        <v>4571</v>
      </c>
      <c r="E2026" s="47" t="s">
        <v>3479</v>
      </c>
      <c r="F2026" s="10" t="str">
        <f>IFERROR(VLOOKUP(VENTAS[[#This Row],[Código del producto Vendido]],STOCK[],5,FALSE),"-")</f>
        <v>Peluca negra con flequillo</v>
      </c>
      <c r="G2026" s="47">
        <v>1</v>
      </c>
      <c r="H2026" s="48">
        <v>20</v>
      </c>
      <c r="I2026" s="12">
        <f>VENTAS[[#This Row],[Cantidad]]*VENTAS[[#This Row],[Precio Venta]]</f>
        <v>20</v>
      </c>
      <c r="J2026" s="12">
        <f>IF(VENTAS[[#This Row],[Nombre del Gestor]]&gt;1,VENTAS[[#This Row],[Total]]*10%,0)</f>
        <v>2</v>
      </c>
      <c r="K2026" s="12">
        <f>IFERROR(VLOOKUP(VENTAS[[#This Row],[Código del producto Vendido]],STOCK[],16,FALSE)*VENTAS[[#This Row],[Cantidad]]+VLOOKUP(VENTAS[[#This Row],[Código del producto Vendido]],STOCK[],19,FALSE)*VENTAS[[#This Row],[Cantidad]],VENTAS[[#This Row],[Total]])</f>
        <v>0</v>
      </c>
      <c r="L2026" s="12">
        <f>VENTAS[[#This Row],[Total]]-VENTAS[[#This Row],[Comisión 10%]]-VENTAS[[#This Row],[Costo SIN Comision]]</f>
        <v>18</v>
      </c>
      <c r="M2026" s="48"/>
      <c r="N2026" s="16" t="s">
        <v>5017</v>
      </c>
    </row>
    <row r="2027" spans="1:14" s="4" customFormat="1" ht="20" hidden="1" customHeight="1">
      <c r="A2027" s="46">
        <v>45595</v>
      </c>
      <c r="B2027" s="47"/>
      <c r="C2027" s="47"/>
      <c r="D2027" s="47" t="s">
        <v>4374</v>
      </c>
      <c r="E2027" s="47" t="s">
        <v>3291</v>
      </c>
      <c r="F2027" s="10" t="str">
        <f>IFERROR(VLOOKUP(VENTAS[[#This Row],[Código del producto Vendido]],STOCK[],5,FALSE),"-")</f>
        <v>Falda básica de tutú negra</v>
      </c>
      <c r="G2027" s="47">
        <v>1</v>
      </c>
      <c r="H2027" s="48">
        <v>13</v>
      </c>
      <c r="I2027" s="12">
        <f>VENTAS[[#This Row],[Cantidad]]*VENTAS[[#This Row],[Precio Venta]]</f>
        <v>13</v>
      </c>
      <c r="J2027" s="12">
        <f>IF(VENTAS[[#This Row],[Nombre del Gestor]]&gt;1,VENTAS[[#This Row],[Total]]*10%,0)</f>
        <v>1.3</v>
      </c>
      <c r="K2027" s="12">
        <f>IFERROR(VLOOKUP(VENTAS[[#This Row],[Código del producto Vendido]],STOCK[],16,FALSE)*VENTAS[[#This Row],[Cantidad]]+VLOOKUP(VENTAS[[#This Row],[Código del producto Vendido]],STOCK[],19,FALSE)*VENTAS[[#This Row],[Cantidad]],VENTAS[[#This Row],[Total]])</f>
        <v>0</v>
      </c>
      <c r="L2027" s="12">
        <f>VENTAS[[#This Row],[Total]]-VENTAS[[#This Row],[Comisión 10%]]-VENTAS[[#This Row],[Costo SIN Comision]]</f>
        <v>11.7</v>
      </c>
      <c r="M2027" s="48"/>
      <c r="N2027" s="16" t="s">
        <v>5018</v>
      </c>
    </row>
    <row r="2028" spans="1:14" s="4" customFormat="1" ht="20" hidden="1" customHeight="1">
      <c r="A2028" s="46">
        <v>45595</v>
      </c>
      <c r="B2028" s="47"/>
      <c r="C2028" s="47"/>
      <c r="D2028" s="47" t="s">
        <v>4374</v>
      </c>
      <c r="E2028" s="47" t="s">
        <v>3297</v>
      </c>
      <c r="F2028" s="10" t="str">
        <f>IFERROR(VLOOKUP(VENTAS[[#This Row],[Código del producto Vendido]],STOCK[],5,FALSE),"-")</f>
        <v xml:space="preserve">Guantes negros traslúcidos </v>
      </c>
      <c r="G2028" s="47">
        <v>1</v>
      </c>
      <c r="H2028" s="48">
        <v>5</v>
      </c>
      <c r="I2028" s="12">
        <f>VENTAS[[#This Row],[Cantidad]]*VENTAS[[#This Row],[Precio Venta]]</f>
        <v>5</v>
      </c>
      <c r="J2028" s="12">
        <f>IF(VENTAS[[#This Row],[Nombre del Gestor]]&gt;1,VENTAS[[#This Row],[Total]]*10%,0)</f>
        <v>0.5</v>
      </c>
      <c r="K2028" s="12">
        <f>IFERROR(VLOOKUP(VENTAS[[#This Row],[Código del producto Vendido]],STOCK[],16,FALSE)*VENTAS[[#This Row],[Cantidad]]+VLOOKUP(VENTAS[[#This Row],[Código del producto Vendido]],STOCK[],19,FALSE)*VENTAS[[#This Row],[Cantidad]],VENTAS[[#This Row],[Total]])</f>
        <v>0</v>
      </c>
      <c r="L2028" s="12">
        <f>VENTAS[[#This Row],[Total]]-VENTAS[[#This Row],[Comisión 10%]]-VENTAS[[#This Row],[Costo SIN Comision]]</f>
        <v>4.5</v>
      </c>
      <c r="M2028" s="48"/>
      <c r="N2028" s="16" t="s">
        <v>5019</v>
      </c>
    </row>
    <row r="2029" spans="1:14" s="4" customFormat="1" ht="20" hidden="1" customHeight="1">
      <c r="A2029" s="46">
        <v>45595</v>
      </c>
      <c r="B2029" s="47"/>
      <c r="C2029" s="47"/>
      <c r="D2029" s="47" t="s">
        <v>4374</v>
      </c>
      <c r="E2029" s="47" t="s">
        <v>2929</v>
      </c>
      <c r="F2029" s="10" t="str">
        <f>IFERROR(VLOOKUP(VENTAS[[#This Row],[Código del producto Vendido]],STOCK[],5,FALSE),"-")</f>
        <v>Camiseta ajustada de rayas sin mangas</v>
      </c>
      <c r="G2029" s="47">
        <v>1</v>
      </c>
      <c r="H2029" s="48">
        <v>8</v>
      </c>
      <c r="I2029" s="12">
        <f>VENTAS[[#This Row],[Cantidad]]*VENTAS[[#This Row],[Precio Venta]]</f>
        <v>8</v>
      </c>
      <c r="J2029" s="12">
        <f>IF(VENTAS[[#This Row],[Nombre del Gestor]]&gt;1,VENTAS[[#This Row],[Total]]*10%,0)</f>
        <v>0.8</v>
      </c>
      <c r="K2029" s="12">
        <f>IFERROR(VLOOKUP(VENTAS[[#This Row],[Código del producto Vendido]],STOCK[],16,FALSE)*VENTAS[[#This Row],[Cantidad]]+VLOOKUP(VENTAS[[#This Row],[Código del producto Vendido]],STOCK[],19,FALSE)*VENTAS[[#This Row],[Cantidad]],VENTAS[[#This Row],[Total]])</f>
        <v>3.94</v>
      </c>
      <c r="L2029" s="12">
        <f>VENTAS[[#This Row],[Total]]-VENTAS[[#This Row],[Comisión 10%]]-VENTAS[[#This Row],[Costo SIN Comision]]</f>
        <v>3.2600000000000002</v>
      </c>
      <c r="M2029" s="48"/>
      <c r="N2029" s="16" t="s">
        <v>5020</v>
      </c>
    </row>
    <row r="2030" spans="1:14" s="4" customFormat="1" ht="20" hidden="1" customHeight="1">
      <c r="A2030" s="46">
        <v>45595</v>
      </c>
      <c r="B2030" s="47"/>
      <c r="C2030" s="47"/>
      <c r="D2030" s="47" t="s">
        <v>4374</v>
      </c>
      <c r="E2030" s="47" t="s">
        <v>2905</v>
      </c>
      <c r="F2030" s="10" t="str">
        <f>IFERROR(VLOOKUP(VENTAS[[#This Row],[Código del producto Vendido]],STOCK[],5,FALSE),"-")</f>
        <v>Sujetador de gran confort antideslizante sin tirantes color crema</v>
      </c>
      <c r="G2030" s="47">
        <v>1</v>
      </c>
      <c r="H2030" s="48">
        <v>15</v>
      </c>
      <c r="I2030" s="12">
        <f>VENTAS[[#This Row],[Cantidad]]*VENTAS[[#This Row],[Precio Venta]]</f>
        <v>15</v>
      </c>
      <c r="J2030" s="12">
        <f>IF(VENTAS[[#This Row],[Nombre del Gestor]]&gt;1,VENTAS[[#This Row],[Total]]*10%,0)</f>
        <v>1.5</v>
      </c>
      <c r="K2030" s="12">
        <f>IFERROR(VLOOKUP(VENTAS[[#This Row],[Código del producto Vendido]],STOCK[],16,FALSE)*VENTAS[[#This Row],[Cantidad]]+VLOOKUP(VENTAS[[#This Row],[Código del producto Vendido]],STOCK[],19,FALSE)*VENTAS[[#This Row],[Cantidad]],VENTAS[[#This Row],[Total]])</f>
        <v>8.15</v>
      </c>
      <c r="L2030" s="12">
        <f>VENTAS[[#This Row],[Total]]-VENTAS[[#This Row],[Comisión 10%]]-VENTAS[[#This Row],[Costo SIN Comision]]</f>
        <v>5.35</v>
      </c>
      <c r="M2030" s="48"/>
      <c r="N2030" s="16" t="s">
        <v>5021</v>
      </c>
    </row>
    <row r="2031" spans="1:14" s="4" customFormat="1" ht="20" hidden="1" customHeight="1">
      <c r="A2031" s="46">
        <v>45595</v>
      </c>
      <c r="B2031" s="47"/>
      <c r="C2031" s="47"/>
      <c r="D2031" s="47" t="s">
        <v>4380</v>
      </c>
      <c r="E2031" s="47" t="s">
        <v>3043</v>
      </c>
      <c r="F2031" s="10" t="str">
        <f>IFERROR(VLOOKUP(VENTAS[[#This Row],[Código del producto Vendido]],STOCK[],5,FALSE),"-")</f>
        <v>Shorts cargo negro con dobladillo y bolsillos en tendencia Marca H&amp;M</v>
      </c>
      <c r="G2031" s="47">
        <v>1</v>
      </c>
      <c r="H2031" s="48">
        <v>28</v>
      </c>
      <c r="I2031" s="12">
        <f>VENTAS[[#This Row],[Cantidad]]*VENTAS[[#This Row],[Precio Venta]]</f>
        <v>28</v>
      </c>
      <c r="J2031" s="12">
        <f>IF(VENTAS[[#This Row],[Nombre del Gestor]]&gt;1,VENTAS[[#This Row],[Total]]*10%,0)</f>
        <v>2.8000000000000003</v>
      </c>
      <c r="K2031" s="12">
        <f>IFERROR(VLOOKUP(VENTAS[[#This Row],[Código del producto Vendido]],STOCK[],16,FALSE)*VENTAS[[#This Row],[Cantidad]]+VLOOKUP(VENTAS[[#This Row],[Código del producto Vendido]],STOCK[],19,FALSE)*VENTAS[[#This Row],[Cantidad]],VENTAS[[#This Row],[Total]])</f>
        <v>10</v>
      </c>
      <c r="L2031" s="12">
        <f>VENTAS[[#This Row],[Total]]-VENTAS[[#This Row],[Comisión 10%]]-VENTAS[[#This Row],[Costo SIN Comision]]</f>
        <v>15.2</v>
      </c>
      <c r="M2031" s="48"/>
      <c r="N2031" s="16" t="s">
        <v>5022</v>
      </c>
    </row>
    <row r="2032" spans="1:14" s="4" customFormat="1" ht="20" hidden="1" customHeight="1">
      <c r="A2032" s="46">
        <v>45595</v>
      </c>
      <c r="B2032" s="47"/>
      <c r="C2032" s="47"/>
      <c r="D2032" s="47" t="s">
        <v>4380</v>
      </c>
      <c r="E2032" s="47" t="s">
        <v>3051</v>
      </c>
      <c r="F2032" s="10" t="str">
        <f>IFERROR(VLOOKUP(VENTAS[[#This Row],[Código del producto Vendido]],STOCK[],5,FALSE),"-")</f>
        <v>Shorts cargo gris con dobladillo y bolsillos en tendencia Marca H&amp;M</v>
      </c>
      <c r="G2032" s="47">
        <v>1</v>
      </c>
      <c r="H2032" s="48">
        <v>28</v>
      </c>
      <c r="I2032" s="12">
        <f>VENTAS[[#This Row],[Cantidad]]*VENTAS[[#This Row],[Precio Venta]]</f>
        <v>28</v>
      </c>
      <c r="J2032" s="12">
        <f>IF(VENTAS[[#This Row],[Nombre del Gestor]]&gt;1,VENTAS[[#This Row],[Total]]*10%,0)</f>
        <v>2.8000000000000003</v>
      </c>
      <c r="K2032" s="12">
        <f>IFERROR(VLOOKUP(VENTAS[[#This Row],[Código del producto Vendido]],STOCK[],16,FALSE)*VENTAS[[#This Row],[Cantidad]]+VLOOKUP(VENTAS[[#This Row],[Código del producto Vendido]],STOCK[],19,FALSE)*VENTAS[[#This Row],[Cantidad]],VENTAS[[#This Row],[Total]])</f>
        <v>10</v>
      </c>
      <c r="L2032" s="12">
        <f>VENTAS[[#This Row],[Total]]-VENTAS[[#This Row],[Comisión 10%]]-VENTAS[[#This Row],[Costo SIN Comision]]</f>
        <v>15.2</v>
      </c>
      <c r="M2032" s="48"/>
      <c r="N2032" s="16" t="s">
        <v>5023</v>
      </c>
    </row>
    <row r="2033" spans="1:14" s="4" customFormat="1" ht="20" hidden="1" customHeight="1">
      <c r="A2033" s="46">
        <v>45595</v>
      </c>
      <c r="B2033" s="47"/>
      <c r="C2033" s="47"/>
      <c r="D2033" s="47" t="s">
        <v>4374</v>
      </c>
      <c r="E2033" s="47" t="s">
        <v>3150</v>
      </c>
      <c r="F2033" s="10" t="str">
        <f>IFERROR(VLOOKUP(VENTAS[[#This Row],[Código del producto Vendido]],STOCK[],5,FALSE),"-")</f>
        <v>Suéter crema oversize de franjas beich Marca H&amp;M</v>
      </c>
      <c r="G2033" s="47">
        <v>1</v>
      </c>
      <c r="H2033" s="48">
        <v>25</v>
      </c>
      <c r="I2033" s="12">
        <f>VENTAS[[#This Row],[Cantidad]]*VENTAS[[#This Row],[Precio Venta]]</f>
        <v>25</v>
      </c>
      <c r="J2033" s="12">
        <f>IF(VENTAS[[#This Row],[Nombre del Gestor]]&gt;1,VENTAS[[#This Row],[Total]]*10%,0)</f>
        <v>2.5</v>
      </c>
      <c r="K2033" s="12">
        <f>IFERROR(VLOOKUP(VENTAS[[#This Row],[Código del producto Vendido]],STOCK[],16,FALSE)*VENTAS[[#This Row],[Cantidad]]+VLOOKUP(VENTAS[[#This Row],[Código del producto Vendido]],STOCK[],19,FALSE)*VENTAS[[#This Row],[Cantidad]],VENTAS[[#This Row],[Total]])</f>
        <v>12</v>
      </c>
      <c r="L2033" s="12">
        <f>VENTAS[[#This Row],[Total]]-VENTAS[[#This Row],[Comisión 10%]]-VENTAS[[#This Row],[Costo SIN Comision]]</f>
        <v>10.5</v>
      </c>
      <c r="M2033" s="48"/>
      <c r="N2033" s="16" t="s">
        <v>5024</v>
      </c>
    </row>
    <row r="2034" spans="1:14" s="4" customFormat="1" ht="20" hidden="1" customHeight="1">
      <c r="A2034" s="46">
        <v>45595</v>
      </c>
      <c r="B2034" s="47"/>
      <c r="C2034" s="47"/>
      <c r="D2034" s="47" t="s">
        <v>4374</v>
      </c>
      <c r="E2034" s="47" t="s">
        <v>3148</v>
      </c>
      <c r="F2034" s="10" t="str">
        <f>IFERROR(VLOOKUP(VENTAS[[#This Row],[Código del producto Vendido]],STOCK[],5,FALSE),"-")</f>
        <v>Suéter oversize crema de listas negras cuello de redondo Marca H&amp;M</v>
      </c>
      <c r="G2034" s="47">
        <v>1</v>
      </c>
      <c r="H2034" s="48">
        <v>25</v>
      </c>
      <c r="I2034" s="12">
        <f>VENTAS[[#This Row],[Cantidad]]*VENTAS[[#This Row],[Precio Venta]]</f>
        <v>25</v>
      </c>
      <c r="J2034" s="12">
        <f>IF(VENTAS[[#This Row],[Nombre del Gestor]]&gt;1,VENTAS[[#This Row],[Total]]*10%,0)</f>
        <v>2.5</v>
      </c>
      <c r="K2034" s="12">
        <f>IFERROR(VLOOKUP(VENTAS[[#This Row],[Código del producto Vendido]],STOCK[],16,FALSE)*VENTAS[[#This Row],[Cantidad]]+VLOOKUP(VENTAS[[#This Row],[Código del producto Vendido]],STOCK[],19,FALSE)*VENTAS[[#This Row],[Cantidad]],VENTAS[[#This Row],[Total]])</f>
        <v>12</v>
      </c>
      <c r="L2034" s="12">
        <f>VENTAS[[#This Row],[Total]]-VENTAS[[#This Row],[Comisión 10%]]-VENTAS[[#This Row],[Costo SIN Comision]]</f>
        <v>10.5</v>
      </c>
      <c r="M2034" s="48"/>
      <c r="N2034" s="16" t="s">
        <v>5025</v>
      </c>
    </row>
    <row r="2035" spans="1:14" s="4" customFormat="1" ht="20" hidden="1" customHeight="1">
      <c r="A2035" s="46">
        <v>45595</v>
      </c>
      <c r="B2035" s="47"/>
      <c r="C2035" s="47"/>
      <c r="D2035" s="47" t="s">
        <v>4473</v>
      </c>
      <c r="E2035" s="47" t="s">
        <v>1385</v>
      </c>
      <c r="F2035" s="10" t="str">
        <f>IFERROR(VLOOKUP(VENTAS[[#This Row],[Código del producto Vendido]],STOCK[],5,FALSE),"-")</f>
        <v>Medias de mallas</v>
      </c>
      <c r="G2035" s="47">
        <v>1</v>
      </c>
      <c r="H2035" s="48">
        <v>3</v>
      </c>
      <c r="I2035" s="12">
        <f>VENTAS[[#This Row],[Cantidad]]*VENTAS[[#This Row],[Precio Venta]]</f>
        <v>3</v>
      </c>
      <c r="J2035" s="12">
        <f>IF(VENTAS[[#This Row],[Nombre del Gestor]]&gt;1,VENTAS[[#This Row],[Total]]*10%,0)</f>
        <v>0.30000000000000004</v>
      </c>
      <c r="K2035" s="12">
        <f>IFERROR(VLOOKUP(VENTAS[[#This Row],[Código del producto Vendido]],STOCK[],16,FALSE)*VENTAS[[#This Row],[Cantidad]]+VLOOKUP(VENTAS[[#This Row],[Código del producto Vendido]],STOCK[],19,FALSE)*VENTAS[[#This Row],[Cantidad]],VENTAS[[#This Row],[Total]])</f>
        <v>1.8</v>
      </c>
      <c r="L2035" s="12">
        <f>VENTAS[[#This Row],[Total]]-VENTAS[[#This Row],[Comisión 10%]]-VENTAS[[#This Row],[Costo SIN Comision]]</f>
        <v>0.90000000000000013</v>
      </c>
      <c r="M2035" s="48"/>
      <c r="N2035" s="16" t="s">
        <v>5026</v>
      </c>
    </row>
    <row r="2036" spans="1:14" s="4" customFormat="1" ht="20" hidden="1" customHeight="1">
      <c r="A2036" s="46">
        <v>45595</v>
      </c>
      <c r="B2036" s="47"/>
      <c r="C2036" s="47"/>
      <c r="D2036" s="47" t="s">
        <v>4473</v>
      </c>
      <c r="E2036" s="47" t="s">
        <v>3442</v>
      </c>
      <c r="F2036" s="10" t="str">
        <f>IFERROR(VLOOKUP(VENTAS[[#This Row],[Código del producto Vendido]],STOCK[],5,FALSE),"-")</f>
        <v>Mono disfraz de montadora de motocicleta</v>
      </c>
      <c r="G2036" s="47">
        <v>1</v>
      </c>
      <c r="H2036" s="48">
        <v>20</v>
      </c>
      <c r="I2036" s="12">
        <f>VENTAS[[#This Row],[Cantidad]]*VENTAS[[#This Row],[Precio Venta]]</f>
        <v>20</v>
      </c>
      <c r="J2036" s="12">
        <f>IF(VENTAS[[#This Row],[Nombre del Gestor]]&gt;1,VENTAS[[#This Row],[Total]]*10%,0)</f>
        <v>2</v>
      </c>
      <c r="K2036" s="12">
        <f>IFERROR(VLOOKUP(VENTAS[[#This Row],[Código del producto Vendido]],STOCK[],16,FALSE)*VENTAS[[#This Row],[Cantidad]]+VLOOKUP(VENTAS[[#This Row],[Código del producto Vendido]],STOCK[],19,FALSE)*VENTAS[[#This Row],[Cantidad]],VENTAS[[#This Row],[Total]])</f>
        <v>0</v>
      </c>
      <c r="L2036" s="12">
        <f>VENTAS[[#This Row],[Total]]-VENTAS[[#This Row],[Comisión 10%]]-VENTAS[[#This Row],[Costo SIN Comision]]</f>
        <v>18</v>
      </c>
      <c r="M2036" s="48"/>
      <c r="N2036" s="16" t="s">
        <v>5027</v>
      </c>
    </row>
    <row r="2037" spans="1:14" s="4" customFormat="1" ht="20" hidden="1" customHeight="1">
      <c r="A2037" s="46">
        <v>45595</v>
      </c>
      <c r="B2037" s="47"/>
      <c r="C2037" s="47"/>
      <c r="D2037" s="47" t="s">
        <v>4473</v>
      </c>
      <c r="E2037" s="47" t="s">
        <v>3299</v>
      </c>
      <c r="F2037" s="10" t="str">
        <f>IFERROR(VLOOKUP(VENTAS[[#This Row],[Código del producto Vendido]],STOCK[],5,FALSE),"-")</f>
        <v>Gorro invisible para colocación de pelucas</v>
      </c>
      <c r="G2037" s="47">
        <v>1</v>
      </c>
      <c r="H2037" s="48">
        <v>3</v>
      </c>
      <c r="I2037" s="12">
        <f>VENTAS[[#This Row],[Cantidad]]*VENTAS[[#This Row],[Precio Venta]]</f>
        <v>3</v>
      </c>
      <c r="J2037" s="12">
        <f>IF(VENTAS[[#This Row],[Nombre del Gestor]]&gt;1,VENTAS[[#This Row],[Total]]*10%,0)</f>
        <v>0.30000000000000004</v>
      </c>
      <c r="K2037" s="12">
        <f>IFERROR(VLOOKUP(VENTAS[[#This Row],[Código del producto Vendido]],STOCK[],16,FALSE)*VENTAS[[#This Row],[Cantidad]]+VLOOKUP(VENTAS[[#This Row],[Código del producto Vendido]],STOCK[],19,FALSE)*VENTAS[[#This Row],[Cantidad]],VENTAS[[#This Row],[Total]])</f>
        <v>0</v>
      </c>
      <c r="L2037" s="12">
        <f>VENTAS[[#This Row],[Total]]-VENTAS[[#This Row],[Comisión 10%]]-VENTAS[[#This Row],[Costo SIN Comision]]</f>
        <v>2.7</v>
      </c>
      <c r="M2037" s="48"/>
      <c r="N2037" s="16" t="s">
        <v>5028</v>
      </c>
    </row>
    <row r="2038" spans="1:14" s="4" customFormat="1" ht="20" hidden="1" customHeight="1">
      <c r="A2038" s="46">
        <v>45595</v>
      </c>
      <c r="B2038" s="47"/>
      <c r="C2038" s="47"/>
      <c r="D2038" s="47" t="s">
        <v>4374</v>
      </c>
      <c r="E2038" s="47" t="s">
        <v>3303</v>
      </c>
      <c r="F2038" s="10" t="str">
        <f>IFERROR(VLOOKUP(VENTAS[[#This Row],[Código del producto Vendido]],STOCK[],5,FALSE),"-")</f>
        <v>Velo de novia para disfraz</v>
      </c>
      <c r="G2038" s="47">
        <v>1</v>
      </c>
      <c r="H2038" s="48">
        <v>10</v>
      </c>
      <c r="I2038" s="12">
        <f>VENTAS[[#This Row],[Cantidad]]*VENTAS[[#This Row],[Precio Venta]]</f>
        <v>10</v>
      </c>
      <c r="J2038" s="12">
        <f>IF(VENTAS[[#This Row],[Nombre del Gestor]]&gt;1,VENTAS[[#This Row],[Total]]*10%,0)</f>
        <v>1</v>
      </c>
      <c r="K2038" s="12">
        <f>IFERROR(VLOOKUP(VENTAS[[#This Row],[Código del producto Vendido]],STOCK[],16,FALSE)*VENTAS[[#This Row],[Cantidad]]+VLOOKUP(VENTAS[[#This Row],[Código del producto Vendido]],STOCK[],19,FALSE)*VENTAS[[#This Row],[Cantidad]],VENTAS[[#This Row],[Total]])</f>
        <v>0</v>
      </c>
      <c r="L2038" s="12">
        <f>VENTAS[[#This Row],[Total]]-VENTAS[[#This Row],[Comisión 10%]]-VENTAS[[#This Row],[Costo SIN Comision]]</f>
        <v>9</v>
      </c>
      <c r="M2038" s="48"/>
      <c r="N2038" s="16" t="s">
        <v>5029</v>
      </c>
    </row>
    <row r="2039" spans="1:14" s="4" customFormat="1" ht="20" hidden="1" customHeight="1">
      <c r="A2039" s="46">
        <v>45595</v>
      </c>
      <c r="B2039" s="47"/>
      <c r="C2039" s="47"/>
      <c r="D2039" s="47"/>
      <c r="E2039" s="47" t="s">
        <v>2908</v>
      </c>
      <c r="F2039" s="10" t="str">
        <f>IFERROR(VLOOKUP(VENTAS[[#This Row],[Código del producto Vendido]],STOCK[],5,FALSE),"-")</f>
        <v>Sujetador confortable talla grande Color crema</v>
      </c>
      <c r="G2039" s="47">
        <v>1</v>
      </c>
      <c r="H2039" s="48">
        <v>15</v>
      </c>
      <c r="I2039" s="12">
        <f>VENTAS[[#This Row],[Cantidad]]*VENTAS[[#This Row],[Precio Venta]]</f>
        <v>15</v>
      </c>
      <c r="J2039" s="12">
        <f>IF(VENTAS[[#This Row],[Nombre del Gestor]]&gt;1,VENTAS[[#This Row],[Total]]*10%,0)</f>
        <v>0</v>
      </c>
      <c r="K2039" s="12">
        <f>IFERROR(VLOOKUP(VENTAS[[#This Row],[Código del producto Vendido]],STOCK[],16,FALSE)*VENTAS[[#This Row],[Cantidad]]+VLOOKUP(VENTAS[[#This Row],[Código del producto Vendido]],STOCK[],19,FALSE)*VENTAS[[#This Row],[Cantidad]],VENTAS[[#This Row],[Total]])</f>
        <v>6.0399999999999991</v>
      </c>
      <c r="L2039" s="12">
        <f>VENTAS[[#This Row],[Total]]-VENTAS[[#This Row],[Comisión 10%]]-VENTAS[[#This Row],[Costo SIN Comision]]</f>
        <v>8.9600000000000009</v>
      </c>
      <c r="M2039" s="48"/>
      <c r="N2039" s="16" t="s">
        <v>5030</v>
      </c>
    </row>
    <row r="2040" spans="1:14" s="4" customFormat="1" ht="20" hidden="1" customHeight="1">
      <c r="A2040" s="46">
        <v>45595</v>
      </c>
      <c r="B2040" s="47"/>
      <c r="C2040" s="47"/>
      <c r="D2040" s="47"/>
      <c r="E2040" s="47" t="s">
        <v>2863</v>
      </c>
      <c r="F2040" s="10" t="str">
        <f>IFERROR(VLOOKUP(VENTAS[[#This Row],[Código del producto Vendido]],STOCK[],5,FALSE),"-")</f>
        <v>Vestido elegante de línea larga color negro de hombro atado</v>
      </c>
      <c r="G2040" s="47">
        <v>1</v>
      </c>
      <c r="H2040" s="48">
        <v>30</v>
      </c>
      <c r="I2040" s="12">
        <f>VENTAS[[#This Row],[Cantidad]]*VENTAS[[#This Row],[Precio Venta]]</f>
        <v>30</v>
      </c>
      <c r="J2040" s="12">
        <f>IF(VENTAS[[#This Row],[Nombre del Gestor]]&gt;1,VENTAS[[#This Row],[Total]]*10%,0)</f>
        <v>0</v>
      </c>
      <c r="K2040" s="12">
        <f>IFERROR(VLOOKUP(VENTAS[[#This Row],[Código del producto Vendido]],STOCK[],16,FALSE)*VENTAS[[#This Row],[Cantidad]]+VLOOKUP(VENTAS[[#This Row],[Código del producto Vendido]],STOCK[],19,FALSE)*VENTAS[[#This Row],[Cantidad]],VENTAS[[#This Row],[Total]])</f>
        <v>13.49</v>
      </c>
      <c r="L2040" s="12">
        <f>VENTAS[[#This Row],[Total]]-VENTAS[[#This Row],[Comisión 10%]]-VENTAS[[#This Row],[Costo SIN Comision]]</f>
        <v>16.509999999999998</v>
      </c>
      <c r="M2040" s="48"/>
      <c r="N2040" s="16" t="s">
        <v>5031</v>
      </c>
    </row>
    <row r="2041" spans="1:14" s="4" customFormat="1" ht="20" hidden="1" customHeight="1">
      <c r="A2041" s="46">
        <v>45595</v>
      </c>
      <c r="B2041" s="47"/>
      <c r="C2041" s="47"/>
      <c r="D2041" s="47"/>
      <c r="E2041" s="47" t="s">
        <v>2912</v>
      </c>
      <c r="F2041" s="10" t="str">
        <f>IFERROR(VLOOKUP(VENTAS[[#This Row],[Código del producto Vendido]],STOCK[],5,FALSE),"-")</f>
        <v>Sujetador confortable talla grande Color negro</v>
      </c>
      <c r="G2041" s="47">
        <v>1</v>
      </c>
      <c r="H2041" s="48">
        <v>15</v>
      </c>
      <c r="I2041" s="12">
        <f>VENTAS[[#This Row],[Cantidad]]*VENTAS[[#This Row],[Precio Venta]]</f>
        <v>15</v>
      </c>
      <c r="J2041" s="12">
        <f>IF(VENTAS[[#This Row],[Nombre del Gestor]]&gt;1,VENTAS[[#This Row],[Total]]*10%,0)</f>
        <v>0</v>
      </c>
      <c r="K2041" s="12">
        <f>IFERROR(VLOOKUP(VENTAS[[#This Row],[Código del producto Vendido]],STOCK[],16,FALSE)*VENTAS[[#This Row],[Cantidad]]+VLOOKUP(VENTAS[[#This Row],[Código del producto Vendido]],STOCK[],19,FALSE)*VENTAS[[#This Row],[Cantidad]],VENTAS[[#This Row],[Total]])</f>
        <v>5.9399999999999995</v>
      </c>
      <c r="L2041" s="12">
        <f>VENTAS[[#This Row],[Total]]-VENTAS[[#This Row],[Comisión 10%]]-VENTAS[[#This Row],[Costo SIN Comision]]</f>
        <v>9.06</v>
      </c>
      <c r="M2041" s="48"/>
      <c r="N2041" s="16" t="s">
        <v>5032</v>
      </c>
    </row>
    <row r="2042" spans="1:14" s="4" customFormat="1" ht="20" hidden="1" customHeight="1">
      <c r="A2042" s="46">
        <v>45595</v>
      </c>
      <c r="B2042" s="47"/>
      <c r="C2042" s="47"/>
      <c r="D2042" s="47" t="s">
        <v>4689</v>
      </c>
      <c r="E2042" s="47" t="s">
        <v>2864</v>
      </c>
      <c r="F2042" s="10" t="str">
        <f>IFERROR(VLOOKUP(VENTAS[[#This Row],[Código del producto Vendido]],STOCK[],5,FALSE),"-")</f>
        <v>Vestido de espalda descubierta de color sólido y tirantes de espagueti</v>
      </c>
      <c r="G2042" s="47">
        <v>1</v>
      </c>
      <c r="H2042" s="48">
        <v>25</v>
      </c>
      <c r="I2042" s="12">
        <f>VENTAS[[#This Row],[Cantidad]]*VENTAS[[#This Row],[Precio Venta]]</f>
        <v>25</v>
      </c>
      <c r="J2042" s="12">
        <f>IF(VENTAS[[#This Row],[Nombre del Gestor]]&gt;1,VENTAS[[#This Row],[Total]]*10%,0)</f>
        <v>2.5</v>
      </c>
      <c r="K2042" s="12">
        <f>IFERROR(VLOOKUP(VENTAS[[#This Row],[Código del producto Vendido]],STOCK[],16,FALSE)*VENTAS[[#This Row],[Cantidad]]+VLOOKUP(VENTAS[[#This Row],[Código del producto Vendido]],STOCK[],19,FALSE)*VENTAS[[#This Row],[Cantidad]],VENTAS[[#This Row],[Total]])</f>
        <v>11.98</v>
      </c>
      <c r="L2042" s="12">
        <f>VENTAS[[#This Row],[Total]]-VENTAS[[#This Row],[Comisión 10%]]-VENTAS[[#This Row],[Costo SIN Comision]]</f>
        <v>10.52</v>
      </c>
      <c r="M2042" s="48"/>
      <c r="N2042" s="16" t="s">
        <v>5033</v>
      </c>
    </row>
    <row r="2043" spans="1:14" s="4" customFormat="1" ht="20" hidden="1" customHeight="1">
      <c r="A2043" s="46">
        <v>45595</v>
      </c>
      <c r="B2043" s="47"/>
      <c r="C2043" s="47"/>
      <c r="D2043" s="47" t="s">
        <v>5034</v>
      </c>
      <c r="E2043" s="47" t="s">
        <v>3355</v>
      </c>
      <c r="F2043" s="10" t="str">
        <f>IFERROR(VLOOKUP(VENTAS[[#This Row],[Código del producto Vendido]],STOCK[],5,FALSE),"-")</f>
        <v>Disfraz de Diosa griega color negro (vestido y cinturón)</v>
      </c>
      <c r="G2043" s="47">
        <v>1</v>
      </c>
      <c r="H2043" s="48">
        <v>25</v>
      </c>
      <c r="I2043" s="12">
        <f>VENTAS[[#This Row],[Cantidad]]*VENTAS[[#This Row],[Precio Venta]]</f>
        <v>25</v>
      </c>
      <c r="J2043" s="12">
        <f>IF(VENTAS[[#This Row],[Nombre del Gestor]]&gt;1,VENTAS[[#This Row],[Total]]*10%,0)</f>
        <v>2.5</v>
      </c>
      <c r="K2043" s="12">
        <f>IFERROR(VLOOKUP(VENTAS[[#This Row],[Código del producto Vendido]],STOCK[],16,FALSE)*VENTAS[[#This Row],[Cantidad]]+VLOOKUP(VENTAS[[#This Row],[Código del producto Vendido]],STOCK[],19,FALSE)*VENTAS[[#This Row],[Cantidad]],VENTAS[[#This Row],[Total]])</f>
        <v>0</v>
      </c>
      <c r="L2043" s="12">
        <f>VENTAS[[#This Row],[Total]]-VENTAS[[#This Row],[Comisión 10%]]-VENTAS[[#This Row],[Costo SIN Comision]]</f>
        <v>22.5</v>
      </c>
      <c r="M2043" s="48"/>
      <c r="N2043" s="16" t="s">
        <v>5035</v>
      </c>
    </row>
    <row r="2044" spans="1:14" s="4" customFormat="1" ht="20" hidden="1" customHeight="1">
      <c r="A2044" s="46">
        <v>45595</v>
      </c>
      <c r="B2044" s="47"/>
      <c r="C2044" s="47"/>
      <c r="D2044" s="47" t="s">
        <v>5034</v>
      </c>
      <c r="E2044" s="47" t="s">
        <v>3349</v>
      </c>
      <c r="F2044" s="10" t="str">
        <f>IFERROR(VLOOKUP(VENTAS[[#This Row],[Código del producto Vendido]],STOCK[],5,FALSE),"-")</f>
        <v>Disfraz de diosa egipcia con mangas doradas y banda para la cintura</v>
      </c>
      <c r="G2044" s="47">
        <v>1</v>
      </c>
      <c r="H2044" s="48">
        <v>25</v>
      </c>
      <c r="I2044" s="12">
        <f>VENTAS[[#This Row],[Cantidad]]*VENTAS[[#This Row],[Precio Venta]]</f>
        <v>25</v>
      </c>
      <c r="J2044" s="12">
        <f>IF(VENTAS[[#This Row],[Nombre del Gestor]]&gt;1,VENTAS[[#This Row],[Total]]*10%,0)</f>
        <v>2.5</v>
      </c>
      <c r="K2044" s="12">
        <f>IFERROR(VLOOKUP(VENTAS[[#This Row],[Código del producto Vendido]],STOCK[],16,FALSE)*VENTAS[[#This Row],[Cantidad]]+VLOOKUP(VENTAS[[#This Row],[Código del producto Vendido]],STOCK[],19,FALSE)*VENTAS[[#This Row],[Cantidad]],VENTAS[[#This Row],[Total]])</f>
        <v>0</v>
      </c>
      <c r="L2044" s="12">
        <f>VENTAS[[#This Row],[Total]]-VENTAS[[#This Row],[Comisión 10%]]-VENTAS[[#This Row],[Costo SIN Comision]]</f>
        <v>22.5</v>
      </c>
      <c r="M2044" s="48"/>
      <c r="N2044" s="16" t="s">
        <v>5036</v>
      </c>
    </row>
    <row r="2045" spans="1:14" s="4" customFormat="1" ht="20" hidden="1" customHeight="1">
      <c r="A2045" s="46">
        <v>45595</v>
      </c>
      <c r="B2045" s="47"/>
      <c r="C2045" s="47"/>
      <c r="D2045" s="47" t="s">
        <v>4380</v>
      </c>
      <c r="E2045" s="47" t="s">
        <v>3389</v>
      </c>
      <c r="F2045" s="45" t="str">
        <f>IFERROR(VLOOKUP(VENTAS[[#This Row],[Código del producto Vendido]],STOCK[],5,FALSE),"-")</f>
        <v>Máscara completa de payaso</v>
      </c>
      <c r="G2045" s="47">
        <v>1</v>
      </c>
      <c r="H2045" s="48">
        <v>20</v>
      </c>
      <c r="I2045" s="12">
        <f>VENTAS[[#This Row],[Cantidad]]*VENTAS[[#This Row],[Precio Venta]]</f>
        <v>20</v>
      </c>
      <c r="J2045" s="12">
        <f>IF(VENTAS[[#This Row],[Nombre del Gestor]]&gt;1,VENTAS[[#This Row],[Total]]*10%,0)</f>
        <v>2</v>
      </c>
      <c r="K2045" s="12">
        <f>IFERROR(VLOOKUP(VENTAS[[#This Row],[Código del producto Vendido]],STOCK[],16,FALSE)*VENTAS[[#This Row],[Cantidad]]+VLOOKUP(VENTAS[[#This Row],[Código del producto Vendido]],STOCK[],19,FALSE)*VENTAS[[#This Row],[Cantidad]],VENTAS[[#This Row],[Total]])</f>
        <v>0</v>
      </c>
      <c r="L2045" s="12">
        <f>VENTAS[[#This Row],[Total]]-VENTAS[[#This Row],[Comisión 10%]]-VENTAS[[#This Row],[Costo SIN Comision]]</f>
        <v>18</v>
      </c>
      <c r="M2045" s="48"/>
      <c r="N2045" s="16" t="s">
        <v>5037</v>
      </c>
    </row>
    <row r="2046" spans="1:14" s="4" customFormat="1" ht="20" hidden="1" customHeight="1">
      <c r="A2046" s="46">
        <v>45595</v>
      </c>
      <c r="B2046" s="47"/>
      <c r="C2046" s="47"/>
      <c r="D2046" s="47" t="s">
        <v>4689</v>
      </c>
      <c r="E2046" s="47" t="s">
        <v>3349</v>
      </c>
      <c r="F2046" s="10" t="str">
        <f>IFERROR(VLOOKUP(VENTAS[[#This Row],[Código del producto Vendido]],STOCK[],5,FALSE),"-")</f>
        <v>Disfraz de diosa egipcia con mangas doradas y banda para la cintura</v>
      </c>
      <c r="G2046" s="47">
        <v>1</v>
      </c>
      <c r="H2046" s="48">
        <v>25</v>
      </c>
      <c r="I2046" s="12">
        <f>VENTAS[[#This Row],[Cantidad]]*VENTAS[[#This Row],[Precio Venta]]</f>
        <v>25</v>
      </c>
      <c r="J2046" s="12">
        <f>IF(VENTAS[[#This Row],[Nombre del Gestor]]&gt;1,VENTAS[[#This Row],[Total]]*10%,0)</f>
        <v>2.5</v>
      </c>
      <c r="K2046" s="12">
        <f>IFERROR(VLOOKUP(VENTAS[[#This Row],[Código del producto Vendido]],STOCK[],16,FALSE)*VENTAS[[#This Row],[Cantidad]]+VLOOKUP(VENTAS[[#This Row],[Código del producto Vendido]],STOCK[],19,FALSE)*VENTAS[[#This Row],[Cantidad]],VENTAS[[#This Row],[Total]])</f>
        <v>0</v>
      </c>
      <c r="L2046" s="12">
        <f>VENTAS[[#This Row],[Total]]-VENTAS[[#This Row],[Comisión 10%]]-VENTAS[[#This Row],[Costo SIN Comision]]</f>
        <v>22.5</v>
      </c>
      <c r="M2046" s="48"/>
      <c r="N2046" s="16" t="s">
        <v>5038</v>
      </c>
    </row>
    <row r="2047" spans="1:14" s="4" customFormat="1" ht="20" hidden="1" customHeight="1">
      <c r="A2047" s="46">
        <v>45595</v>
      </c>
      <c r="B2047" s="47"/>
      <c r="C2047" s="47"/>
      <c r="D2047" s="47" t="s">
        <v>4689</v>
      </c>
      <c r="E2047" s="47" t="s">
        <v>3355</v>
      </c>
      <c r="F2047" s="10" t="str">
        <f>IFERROR(VLOOKUP(VENTAS[[#This Row],[Código del producto Vendido]],STOCK[],5,FALSE),"-")</f>
        <v>Disfraz de Diosa griega color negro (vestido y cinturón)</v>
      </c>
      <c r="G2047" s="47">
        <v>1</v>
      </c>
      <c r="H2047" s="48">
        <v>25</v>
      </c>
      <c r="I2047" s="12">
        <f>VENTAS[[#This Row],[Cantidad]]*VENTAS[[#This Row],[Precio Venta]]</f>
        <v>25</v>
      </c>
      <c r="J2047" s="12">
        <f>IF(VENTAS[[#This Row],[Nombre del Gestor]]&gt;1,VENTAS[[#This Row],[Total]]*10%,0)</f>
        <v>2.5</v>
      </c>
      <c r="K2047" s="12">
        <f>IFERROR(VLOOKUP(VENTAS[[#This Row],[Código del producto Vendido]],STOCK[],16,FALSE)*VENTAS[[#This Row],[Cantidad]]+VLOOKUP(VENTAS[[#This Row],[Código del producto Vendido]],STOCK[],19,FALSE)*VENTAS[[#This Row],[Cantidad]],VENTAS[[#This Row],[Total]])</f>
        <v>0</v>
      </c>
      <c r="L2047" s="12">
        <f>VENTAS[[#This Row],[Total]]-VENTAS[[#This Row],[Comisión 10%]]-VENTAS[[#This Row],[Costo SIN Comision]]</f>
        <v>22.5</v>
      </c>
      <c r="M2047" s="48"/>
      <c r="N2047" s="16" t="s">
        <v>5039</v>
      </c>
    </row>
    <row r="2048" spans="1:14" s="4" customFormat="1" ht="20" hidden="1" customHeight="1">
      <c r="A2048" s="46">
        <v>45595</v>
      </c>
      <c r="B2048" s="47"/>
      <c r="C2048" s="47"/>
      <c r="D2048" s="47" t="s">
        <v>5040</v>
      </c>
      <c r="E2048" s="47" t="s">
        <v>3479</v>
      </c>
      <c r="F2048" s="10" t="str">
        <f>IFERROR(VLOOKUP(VENTAS[[#This Row],[Código del producto Vendido]],STOCK[],5,FALSE),"-")</f>
        <v>Peluca negra con flequillo</v>
      </c>
      <c r="G2048" s="47">
        <v>1</v>
      </c>
      <c r="H2048" s="48">
        <v>20</v>
      </c>
      <c r="I2048" s="12">
        <f>VENTAS[[#This Row],[Cantidad]]*VENTAS[[#This Row],[Precio Venta]]</f>
        <v>20</v>
      </c>
      <c r="J2048" s="12">
        <f>IF(VENTAS[[#This Row],[Nombre del Gestor]]&gt;1,VENTAS[[#This Row],[Total]]*10%,0)</f>
        <v>2</v>
      </c>
      <c r="K2048" s="12">
        <f>IFERROR(VLOOKUP(VENTAS[[#This Row],[Código del producto Vendido]],STOCK[],16,FALSE)*VENTAS[[#This Row],[Cantidad]]+VLOOKUP(VENTAS[[#This Row],[Código del producto Vendido]],STOCK[],19,FALSE)*VENTAS[[#This Row],[Cantidad]],VENTAS[[#This Row],[Total]])</f>
        <v>0</v>
      </c>
      <c r="L2048" s="12">
        <f>VENTAS[[#This Row],[Total]]-VENTAS[[#This Row],[Comisión 10%]]-VENTAS[[#This Row],[Costo SIN Comision]]</f>
        <v>18</v>
      </c>
      <c r="M2048" s="48"/>
      <c r="N2048" s="16" t="s">
        <v>5041</v>
      </c>
    </row>
    <row r="2049" spans="1:14" s="4" customFormat="1" ht="20" hidden="1" customHeight="1">
      <c r="A2049" s="46">
        <v>45595</v>
      </c>
      <c r="B2049" s="47"/>
      <c r="C2049" s="47"/>
      <c r="D2049" s="47" t="s">
        <v>4378</v>
      </c>
      <c r="E2049" s="47" t="s">
        <v>2870</v>
      </c>
      <c r="F2049" s="10" t="str">
        <f>IFERROR(VLOOKUP(VENTAS[[#This Row],[Código del producto Vendido]],STOCK[],5,FALSE),"-")</f>
        <v>Blusa corta de mangas abombadas de lazos delanteros color rojo</v>
      </c>
      <c r="G2049" s="47">
        <v>1</v>
      </c>
      <c r="H2049" s="48">
        <v>18</v>
      </c>
      <c r="I2049" s="12">
        <f>VENTAS[[#This Row],[Cantidad]]*VENTAS[[#This Row],[Precio Venta]]</f>
        <v>18</v>
      </c>
      <c r="J2049" s="12">
        <f>IF(VENTAS[[#This Row],[Nombre del Gestor]]&gt;1,VENTAS[[#This Row],[Total]]*10%,0)</f>
        <v>1.8</v>
      </c>
      <c r="K2049" s="12">
        <f>IFERROR(VLOOKUP(VENTAS[[#This Row],[Código del producto Vendido]],STOCK[],16,FALSE)*VENTAS[[#This Row],[Cantidad]]+VLOOKUP(VENTAS[[#This Row],[Código del producto Vendido]],STOCK[],19,FALSE)*VENTAS[[#This Row],[Cantidad]],VENTAS[[#This Row],[Total]])</f>
        <v>10.17</v>
      </c>
      <c r="L2049" s="12">
        <f>VENTAS[[#This Row],[Total]]-VENTAS[[#This Row],[Comisión 10%]]-VENTAS[[#This Row],[Costo SIN Comision]]</f>
        <v>6.0299999999999994</v>
      </c>
      <c r="M2049" s="48"/>
      <c r="N2049" s="16" t="s">
        <v>5042</v>
      </c>
    </row>
    <row r="2050" spans="1:14" s="4" customFormat="1" ht="20" hidden="1" customHeight="1">
      <c r="A2050" s="46">
        <v>45595</v>
      </c>
      <c r="B2050" s="47"/>
      <c r="C2050" s="47"/>
      <c r="D2050" s="47" t="s">
        <v>5043</v>
      </c>
      <c r="E2050" s="47" t="s">
        <v>3297</v>
      </c>
      <c r="F2050" s="10" t="str">
        <f>IFERROR(VLOOKUP(VENTAS[[#This Row],[Código del producto Vendido]],STOCK[],5,FALSE),"-")</f>
        <v xml:space="preserve">Guantes negros traslúcidos </v>
      </c>
      <c r="G2050" s="47">
        <v>2</v>
      </c>
      <c r="H2050" s="48">
        <v>5</v>
      </c>
      <c r="I2050" s="12">
        <f>VENTAS[[#This Row],[Cantidad]]*VENTAS[[#This Row],[Precio Venta]]</f>
        <v>10</v>
      </c>
      <c r="J2050" s="12">
        <f>IF(VENTAS[[#This Row],[Nombre del Gestor]]&gt;1,VENTAS[[#This Row],[Total]]*10%,0)</f>
        <v>1</v>
      </c>
      <c r="K2050" s="12">
        <f>IFERROR(VLOOKUP(VENTAS[[#This Row],[Código del producto Vendido]],STOCK[],16,FALSE)*VENTAS[[#This Row],[Cantidad]]+VLOOKUP(VENTAS[[#This Row],[Código del producto Vendido]],STOCK[],19,FALSE)*VENTAS[[#This Row],[Cantidad]],VENTAS[[#This Row],[Total]])</f>
        <v>0</v>
      </c>
      <c r="L2050" s="12">
        <f>VENTAS[[#This Row],[Total]]-VENTAS[[#This Row],[Comisión 10%]]-VENTAS[[#This Row],[Costo SIN Comision]]</f>
        <v>9</v>
      </c>
      <c r="M2050" s="48"/>
      <c r="N2050" s="16" t="s">
        <v>5044</v>
      </c>
    </row>
    <row r="2051" spans="1:14" s="4" customFormat="1" ht="20" hidden="1" customHeight="1">
      <c r="A2051" s="46">
        <v>45595</v>
      </c>
      <c r="B2051" s="47"/>
      <c r="C2051" s="47"/>
      <c r="D2051" s="47" t="s">
        <v>4757</v>
      </c>
      <c r="E2051" s="47" t="s">
        <v>3335</v>
      </c>
      <c r="F2051" s="10" t="str">
        <f>IFERROR(VLOOKUP(VENTAS[[#This Row],[Código del producto Vendido]],STOCK[],5,FALSE),"-")</f>
        <v>Diadema minimalista de diablito</v>
      </c>
      <c r="G2051" s="47">
        <v>1</v>
      </c>
      <c r="H2051" s="48">
        <v>5</v>
      </c>
      <c r="I2051" s="12">
        <f>VENTAS[[#This Row],[Cantidad]]*VENTAS[[#This Row],[Precio Venta]]</f>
        <v>5</v>
      </c>
      <c r="J2051" s="12">
        <f>IF(VENTAS[[#This Row],[Nombre del Gestor]]&gt;1,VENTAS[[#This Row],[Total]]*10%,0)</f>
        <v>0.5</v>
      </c>
      <c r="K2051" s="12">
        <f>IFERROR(VLOOKUP(VENTAS[[#This Row],[Código del producto Vendido]],STOCK[],16,FALSE)*VENTAS[[#This Row],[Cantidad]]+VLOOKUP(VENTAS[[#This Row],[Código del producto Vendido]],STOCK[],19,FALSE)*VENTAS[[#This Row],[Cantidad]],VENTAS[[#This Row],[Total]])</f>
        <v>0</v>
      </c>
      <c r="L2051" s="12">
        <f>VENTAS[[#This Row],[Total]]-VENTAS[[#This Row],[Comisión 10%]]-VENTAS[[#This Row],[Costo SIN Comision]]</f>
        <v>4.5</v>
      </c>
      <c r="M2051" s="48"/>
      <c r="N2051" s="16" t="s">
        <v>5045</v>
      </c>
    </row>
    <row r="2052" spans="1:14" s="4" customFormat="1" ht="20" hidden="1" customHeight="1">
      <c r="A2052" s="46">
        <v>45596</v>
      </c>
      <c r="B2052" s="47"/>
      <c r="C2052" s="47"/>
      <c r="D2052" s="47" t="s">
        <v>4408</v>
      </c>
      <c r="E2052" s="47" t="s">
        <v>3442</v>
      </c>
      <c r="F2052" s="10" t="str">
        <f>IFERROR(VLOOKUP(VENTAS[[#This Row],[Código del producto Vendido]],STOCK[],5,FALSE),"-")</f>
        <v>Mono disfraz de montadora de motocicleta</v>
      </c>
      <c r="G2052" s="47">
        <v>1</v>
      </c>
      <c r="H2052" s="48">
        <v>20</v>
      </c>
      <c r="I2052" s="12">
        <f>VENTAS[[#This Row],[Cantidad]]*VENTAS[[#This Row],[Precio Venta]]</f>
        <v>20</v>
      </c>
      <c r="J2052" s="12">
        <f>IF(VENTAS[[#This Row],[Nombre del Gestor]]&gt;1,VENTAS[[#This Row],[Total]]*10%,0)</f>
        <v>2</v>
      </c>
      <c r="K2052" s="12">
        <f>IFERROR(VLOOKUP(VENTAS[[#This Row],[Código del producto Vendido]],STOCK[],16,FALSE)*VENTAS[[#This Row],[Cantidad]]+VLOOKUP(VENTAS[[#This Row],[Código del producto Vendido]],STOCK[],19,FALSE)*VENTAS[[#This Row],[Cantidad]],VENTAS[[#This Row],[Total]])</f>
        <v>0</v>
      </c>
      <c r="L2052" s="12">
        <f>VENTAS[[#This Row],[Total]]-VENTAS[[#This Row],[Comisión 10%]]-VENTAS[[#This Row],[Costo SIN Comision]]</f>
        <v>18</v>
      </c>
      <c r="M2052" s="48"/>
      <c r="N2052" s="16" t="s">
        <v>5046</v>
      </c>
    </row>
    <row r="2053" spans="1:14" s="4" customFormat="1" ht="20" hidden="1" customHeight="1">
      <c r="A2053" s="46">
        <v>45596</v>
      </c>
      <c r="B2053" s="47"/>
      <c r="C2053" s="47"/>
      <c r="D2053" s="47" t="s">
        <v>4374</v>
      </c>
      <c r="E2053" s="47" t="s">
        <v>2907</v>
      </c>
      <c r="F2053" s="10" t="str">
        <f>IFERROR(VLOOKUP(VENTAS[[#This Row],[Código del producto Vendido]],STOCK[],5,FALSE),"-")</f>
        <v>Sujetador de gran confort antideslizante sin tirantes color crema</v>
      </c>
      <c r="G2053" s="47">
        <v>1</v>
      </c>
      <c r="H2053" s="48">
        <v>15</v>
      </c>
      <c r="I2053" s="12">
        <f>VENTAS[[#This Row],[Cantidad]]*VENTAS[[#This Row],[Precio Venta]]</f>
        <v>15</v>
      </c>
      <c r="J2053" s="12">
        <f>IF(VENTAS[[#This Row],[Nombre del Gestor]]&gt;1,VENTAS[[#This Row],[Total]]*10%,0)</f>
        <v>1.5</v>
      </c>
      <c r="K2053" s="12">
        <f>IFERROR(VLOOKUP(VENTAS[[#This Row],[Código del producto Vendido]],STOCK[],16,FALSE)*VENTAS[[#This Row],[Cantidad]]+VLOOKUP(VENTAS[[#This Row],[Código del producto Vendido]],STOCK[],19,FALSE)*VENTAS[[#This Row],[Cantidad]],VENTAS[[#This Row],[Total]])</f>
        <v>8.15</v>
      </c>
      <c r="L2053" s="12">
        <f>VENTAS[[#This Row],[Total]]-VENTAS[[#This Row],[Comisión 10%]]-VENTAS[[#This Row],[Costo SIN Comision]]</f>
        <v>5.35</v>
      </c>
      <c r="M2053" s="48"/>
      <c r="N2053" s="16" t="s">
        <v>5047</v>
      </c>
    </row>
    <row r="2054" spans="1:14" s="4" customFormat="1" ht="20" hidden="1" customHeight="1">
      <c r="A2054" s="46">
        <v>45596</v>
      </c>
      <c r="B2054" s="47"/>
      <c r="C2054" s="47"/>
      <c r="D2054" s="47" t="s">
        <v>4535</v>
      </c>
      <c r="E2054" s="47" t="s">
        <v>3473</v>
      </c>
      <c r="F2054" s="10" t="str">
        <f>IFERROR(VLOOKUP(VENTAS[[#This Row],[Código del producto Vendido]],STOCK[],5,FALSE),"-")</f>
        <v>Máscara completa de Miles Morales</v>
      </c>
      <c r="G2054" s="47">
        <v>1</v>
      </c>
      <c r="H2054" s="48">
        <v>10</v>
      </c>
      <c r="I2054" s="12">
        <f>VENTAS[[#This Row],[Cantidad]]*VENTAS[[#This Row],[Precio Venta]]</f>
        <v>10</v>
      </c>
      <c r="J2054" s="12">
        <f>IF(VENTAS[[#This Row],[Nombre del Gestor]]&gt;1,VENTAS[[#This Row],[Total]]*10%,0)</f>
        <v>1</v>
      </c>
      <c r="K2054" s="12">
        <f>IFERROR(VLOOKUP(VENTAS[[#This Row],[Código del producto Vendido]],STOCK[],16,FALSE)*VENTAS[[#This Row],[Cantidad]]+VLOOKUP(VENTAS[[#This Row],[Código del producto Vendido]],STOCK[],19,FALSE)*VENTAS[[#This Row],[Cantidad]],VENTAS[[#This Row],[Total]])</f>
        <v>0</v>
      </c>
      <c r="L2054" s="12">
        <f>VENTAS[[#This Row],[Total]]-VENTAS[[#This Row],[Comisión 10%]]-VENTAS[[#This Row],[Costo SIN Comision]]</f>
        <v>9</v>
      </c>
      <c r="M2054" s="48"/>
      <c r="N2054" s="16" t="s">
        <v>5048</v>
      </c>
    </row>
    <row r="2055" spans="1:14" s="4" customFormat="1" ht="20" hidden="1" customHeight="1">
      <c r="A2055" s="46">
        <v>45596</v>
      </c>
      <c r="B2055" s="47"/>
      <c r="C2055" s="47"/>
      <c r="D2055" s="47" t="s">
        <v>4380</v>
      </c>
      <c r="E2055" s="47" t="s">
        <v>3319</v>
      </c>
      <c r="F2055" s="10" t="str">
        <f>IFERROR(VLOOKUP(VENTAS[[#This Row],[Código del producto Vendido]],STOCK[],5,FALSE),"-")</f>
        <v>Conjunto de disfraz con top, tirantes, diadema y shorts</v>
      </c>
      <c r="G2055" s="47">
        <v>1</v>
      </c>
      <c r="H2055" s="48">
        <v>17.5</v>
      </c>
      <c r="I2055" s="12">
        <f>VENTAS[[#This Row],[Cantidad]]*VENTAS[[#This Row],[Precio Venta]]</f>
        <v>17.5</v>
      </c>
      <c r="J2055" s="12">
        <f>IF(VENTAS[[#This Row],[Nombre del Gestor]]&gt;1,VENTAS[[#This Row],[Total]]*10%,0)</f>
        <v>1.75</v>
      </c>
      <c r="K2055" s="12">
        <f>IFERROR(VLOOKUP(VENTAS[[#This Row],[Código del producto Vendido]],STOCK[],16,FALSE)*VENTAS[[#This Row],[Cantidad]]+VLOOKUP(VENTAS[[#This Row],[Código del producto Vendido]],STOCK[],19,FALSE)*VENTAS[[#This Row],[Cantidad]],VENTAS[[#This Row],[Total]])</f>
        <v>0</v>
      </c>
      <c r="L2055" s="12">
        <f>VENTAS[[#This Row],[Total]]-VENTAS[[#This Row],[Comisión 10%]]-VENTAS[[#This Row],[Costo SIN Comision]]</f>
        <v>15.75</v>
      </c>
      <c r="M2055" s="48"/>
      <c r="N2055" s="16" t="s">
        <v>5049</v>
      </c>
    </row>
    <row r="2056" spans="1:14" s="4" customFormat="1" ht="20" hidden="1" customHeight="1">
      <c r="A2056" s="46">
        <v>45596</v>
      </c>
      <c r="B2056" s="47"/>
      <c r="C2056" s="47"/>
      <c r="D2056" s="47" t="s">
        <v>4689</v>
      </c>
      <c r="E2056" s="47" t="s">
        <v>3460</v>
      </c>
      <c r="F2056" s="10" t="str">
        <f>IFERROR(VLOOKUP(VENTAS[[#This Row],[Código del producto Vendido]],STOCK[],5,FALSE),"-")</f>
        <v>Diadema rosas rojas</v>
      </c>
      <c r="G2056" s="47">
        <v>1</v>
      </c>
      <c r="H2056" s="48">
        <v>5</v>
      </c>
      <c r="I2056" s="12">
        <f>VENTAS[[#This Row],[Cantidad]]*VENTAS[[#This Row],[Precio Venta]]</f>
        <v>5</v>
      </c>
      <c r="J2056" s="12">
        <f>IF(VENTAS[[#This Row],[Nombre del Gestor]]&gt;1,VENTAS[[#This Row],[Total]]*10%,0)</f>
        <v>0.5</v>
      </c>
      <c r="K2056" s="12">
        <f>IFERROR(VLOOKUP(VENTAS[[#This Row],[Código del producto Vendido]],STOCK[],16,FALSE)*VENTAS[[#This Row],[Cantidad]]+VLOOKUP(VENTAS[[#This Row],[Código del producto Vendido]],STOCK[],19,FALSE)*VENTAS[[#This Row],[Cantidad]],VENTAS[[#This Row],[Total]])</f>
        <v>0</v>
      </c>
      <c r="L2056" s="12">
        <f>VENTAS[[#This Row],[Total]]-VENTAS[[#This Row],[Comisión 10%]]-VENTAS[[#This Row],[Costo SIN Comision]]</f>
        <v>4.5</v>
      </c>
      <c r="M2056" s="48"/>
      <c r="N2056" s="16" t="s">
        <v>5050</v>
      </c>
    </row>
    <row r="2057" spans="1:14" s="4" customFormat="1" ht="20" hidden="1" customHeight="1">
      <c r="A2057" s="46">
        <v>45596</v>
      </c>
      <c r="B2057" s="47"/>
      <c r="C2057" s="47"/>
      <c r="D2057" s="47"/>
      <c r="E2057" s="47" t="s">
        <v>3324</v>
      </c>
      <c r="F2057" s="10" t="str">
        <f>IFERROR(VLOOKUP(VENTAS[[#This Row],[Código del producto Vendido]],STOCK[],5,FALSE),"-")</f>
        <v>Máscara de Bathman</v>
      </c>
      <c r="G2057" s="47">
        <v>1</v>
      </c>
      <c r="H2057" s="48">
        <v>6</v>
      </c>
      <c r="I2057" s="12">
        <f>VENTAS[[#This Row],[Cantidad]]*VENTAS[[#This Row],[Precio Venta]]</f>
        <v>6</v>
      </c>
      <c r="J2057" s="12">
        <f>IF(VENTAS[[#This Row],[Nombre del Gestor]]&gt;1,VENTAS[[#This Row],[Total]]*10%,0)</f>
        <v>0</v>
      </c>
      <c r="K2057" s="12">
        <f>IFERROR(VLOOKUP(VENTAS[[#This Row],[Código del producto Vendido]],STOCK[],16,FALSE)*VENTAS[[#This Row],[Cantidad]]+VLOOKUP(VENTAS[[#This Row],[Código del producto Vendido]],STOCK[],19,FALSE)*VENTAS[[#This Row],[Cantidad]],VENTAS[[#This Row],[Total]])</f>
        <v>0</v>
      </c>
      <c r="L2057" s="12">
        <f>VENTAS[[#This Row],[Total]]-VENTAS[[#This Row],[Comisión 10%]]-VENTAS[[#This Row],[Costo SIN Comision]]</f>
        <v>6</v>
      </c>
      <c r="M2057" s="48"/>
      <c r="N2057" s="16" t="s">
        <v>5051</v>
      </c>
    </row>
    <row r="2058" spans="1:14" s="4" customFormat="1" ht="20" hidden="1" customHeight="1">
      <c r="A2058" s="46">
        <v>45596</v>
      </c>
      <c r="B2058" s="47"/>
      <c r="C2058" s="47"/>
      <c r="D2058" s="47"/>
      <c r="E2058" s="47" t="s">
        <v>3466</v>
      </c>
      <c r="F2058" s="10" t="str">
        <f>IFERROR(VLOOKUP(VENTAS[[#This Row],[Código del producto Vendido]],STOCK[],5,FALSE),"-")</f>
        <v>Diadema de Angel Negro</v>
      </c>
      <c r="G2058" s="47">
        <v>1</v>
      </c>
      <c r="H2058" s="48">
        <v>8</v>
      </c>
      <c r="I2058" s="12">
        <f>VENTAS[[#This Row],[Cantidad]]*VENTAS[[#This Row],[Precio Venta]]</f>
        <v>8</v>
      </c>
      <c r="J2058" s="12">
        <f>IF(VENTAS[[#This Row],[Nombre del Gestor]]&gt;1,VENTAS[[#This Row],[Total]]*10%,0)</f>
        <v>0</v>
      </c>
      <c r="K2058" s="12">
        <f>IFERROR(VLOOKUP(VENTAS[[#This Row],[Código del producto Vendido]],STOCK[],16,FALSE)*VENTAS[[#This Row],[Cantidad]]+VLOOKUP(VENTAS[[#This Row],[Código del producto Vendido]],STOCK[],19,FALSE)*VENTAS[[#This Row],[Cantidad]],VENTAS[[#This Row],[Total]])</f>
        <v>17</v>
      </c>
      <c r="L2058" s="12">
        <f>VENTAS[[#This Row],[Total]]-VENTAS[[#This Row],[Comisión 10%]]-VENTAS[[#This Row],[Costo SIN Comision]]</f>
        <v>-9</v>
      </c>
      <c r="M2058" s="48"/>
      <c r="N2058" s="16" t="s">
        <v>5052</v>
      </c>
    </row>
    <row r="2059" spans="1:14" s="4" customFormat="1" ht="20" hidden="1" customHeight="1">
      <c r="A2059" s="46">
        <v>45596</v>
      </c>
      <c r="B2059" s="47"/>
      <c r="C2059" s="47"/>
      <c r="D2059" s="47" t="s">
        <v>4184</v>
      </c>
      <c r="E2059" s="47" t="s">
        <v>3448</v>
      </c>
      <c r="F2059" s="10" t="str">
        <f>IFERROR(VLOOKUP(VENTAS[[#This Row],[Código del producto Vendido]],STOCK[],5,FALSE),"-")</f>
        <v>Antifaz bordado</v>
      </c>
      <c r="G2059" s="47">
        <v>1</v>
      </c>
      <c r="H2059" s="48">
        <v>2</v>
      </c>
      <c r="I2059" s="12">
        <f>VENTAS[[#This Row],[Cantidad]]*VENTAS[[#This Row],[Precio Venta]]</f>
        <v>2</v>
      </c>
      <c r="J2059" s="12">
        <f>IF(VENTAS[[#This Row],[Nombre del Gestor]]&gt;1,VENTAS[[#This Row],[Total]]*10%,0)</f>
        <v>0.2</v>
      </c>
      <c r="K2059" s="12">
        <f>IFERROR(VLOOKUP(VENTAS[[#This Row],[Código del producto Vendido]],STOCK[],16,FALSE)*VENTAS[[#This Row],[Cantidad]]+VLOOKUP(VENTAS[[#This Row],[Código del producto Vendido]],STOCK[],19,FALSE)*VENTAS[[#This Row],[Cantidad]],VENTAS[[#This Row],[Total]])</f>
        <v>0</v>
      </c>
      <c r="L2059" s="12">
        <f>VENTAS[[#This Row],[Total]]-VENTAS[[#This Row],[Comisión 10%]]-VENTAS[[#This Row],[Costo SIN Comision]]</f>
        <v>1.8</v>
      </c>
      <c r="M2059" s="48"/>
      <c r="N2059" s="16" t="s">
        <v>5053</v>
      </c>
    </row>
    <row r="2060" spans="1:14" s="4" customFormat="1" ht="20" hidden="1" customHeight="1">
      <c r="A2060" s="46">
        <v>45596</v>
      </c>
      <c r="B2060" s="47"/>
      <c r="C2060" s="47"/>
      <c r="D2060" s="47" t="s">
        <v>4689</v>
      </c>
      <c r="E2060" s="47" t="s">
        <v>3448</v>
      </c>
      <c r="F2060" s="10" t="str">
        <f>IFERROR(VLOOKUP(VENTAS[[#This Row],[Código del producto Vendido]],STOCK[],5,FALSE),"-")</f>
        <v>Antifaz bordado</v>
      </c>
      <c r="G2060" s="47">
        <v>1</v>
      </c>
      <c r="H2060" s="48">
        <v>4</v>
      </c>
      <c r="I2060" s="12">
        <f>VENTAS[[#This Row],[Cantidad]]*VENTAS[[#This Row],[Precio Venta]]</f>
        <v>4</v>
      </c>
      <c r="J2060" s="12">
        <f>IF(VENTAS[[#This Row],[Nombre del Gestor]]&gt;1,VENTAS[[#This Row],[Total]]*10%,0)</f>
        <v>0.4</v>
      </c>
      <c r="K2060" s="12">
        <f>IFERROR(VLOOKUP(VENTAS[[#This Row],[Código del producto Vendido]],STOCK[],16,FALSE)*VENTAS[[#This Row],[Cantidad]]+VLOOKUP(VENTAS[[#This Row],[Código del producto Vendido]],STOCK[],19,FALSE)*VENTAS[[#This Row],[Cantidad]],VENTAS[[#This Row],[Total]])</f>
        <v>0</v>
      </c>
      <c r="L2060" s="12">
        <f>VENTAS[[#This Row],[Total]]-VENTAS[[#This Row],[Comisión 10%]]-VENTAS[[#This Row],[Costo SIN Comision]]</f>
        <v>3.6</v>
      </c>
      <c r="M2060" s="48"/>
      <c r="N2060" s="16" t="s">
        <v>5054</v>
      </c>
    </row>
    <row r="2061" spans="1:14" s="4" customFormat="1" ht="20" hidden="1" customHeight="1">
      <c r="A2061" s="46">
        <v>45596</v>
      </c>
      <c r="B2061" s="47"/>
      <c r="C2061" s="47"/>
      <c r="D2061" s="47"/>
      <c r="E2061" s="47" t="s">
        <v>3448</v>
      </c>
      <c r="F2061" s="10" t="str">
        <f>IFERROR(VLOOKUP(VENTAS[[#This Row],[Código del producto Vendido]],STOCK[],5,FALSE),"-")</f>
        <v>Antifaz bordado</v>
      </c>
      <c r="G2061" s="47">
        <v>1</v>
      </c>
      <c r="H2061" s="48">
        <v>4</v>
      </c>
      <c r="I2061" s="12">
        <f>VENTAS[[#This Row],[Cantidad]]*VENTAS[[#This Row],[Precio Venta]]</f>
        <v>4</v>
      </c>
      <c r="J2061" s="12">
        <f>IF(VENTAS[[#This Row],[Nombre del Gestor]]&gt;1,VENTAS[[#This Row],[Total]]*10%,0)</f>
        <v>0</v>
      </c>
      <c r="K2061" s="12">
        <f>IFERROR(VLOOKUP(VENTAS[[#This Row],[Código del producto Vendido]],STOCK[],16,FALSE)*VENTAS[[#This Row],[Cantidad]]+VLOOKUP(VENTAS[[#This Row],[Código del producto Vendido]],STOCK[],19,FALSE)*VENTAS[[#This Row],[Cantidad]],VENTAS[[#This Row],[Total]])</f>
        <v>0</v>
      </c>
      <c r="L2061" s="12">
        <f>VENTAS[[#This Row],[Total]]-VENTAS[[#This Row],[Comisión 10%]]-VENTAS[[#This Row],[Costo SIN Comision]]</f>
        <v>4</v>
      </c>
      <c r="M2061" s="48"/>
      <c r="N2061" s="16" t="s">
        <v>5055</v>
      </c>
    </row>
    <row r="2062" spans="1:14" s="4" customFormat="1" ht="20" hidden="1" customHeight="1">
      <c r="A2062" s="46">
        <v>45596</v>
      </c>
      <c r="B2062" s="47"/>
      <c r="C2062" s="47"/>
      <c r="D2062" s="47"/>
      <c r="E2062" s="47" t="s">
        <v>3365</v>
      </c>
      <c r="F2062" s="10" t="str">
        <f>IFERROR(VLOOKUP(VENTAS[[#This Row],[Código del producto Vendido]],STOCK[],5,FALSE),"-")</f>
        <v>Antifaz de conejo sexy</v>
      </c>
      <c r="G2062" s="47">
        <v>1</v>
      </c>
      <c r="H2062" s="48">
        <v>8</v>
      </c>
      <c r="I2062" s="12">
        <f>VENTAS[[#This Row],[Cantidad]]*VENTAS[[#This Row],[Precio Venta]]</f>
        <v>8</v>
      </c>
      <c r="J2062" s="12">
        <f>IF(VENTAS[[#This Row],[Nombre del Gestor]]&gt;1,VENTAS[[#This Row],[Total]]*10%,0)</f>
        <v>0</v>
      </c>
      <c r="K2062" s="12">
        <f>IFERROR(VLOOKUP(VENTAS[[#This Row],[Código del producto Vendido]],STOCK[],16,FALSE)*VENTAS[[#This Row],[Cantidad]]+VLOOKUP(VENTAS[[#This Row],[Código del producto Vendido]],STOCK[],19,FALSE)*VENTAS[[#This Row],[Cantidad]],VENTAS[[#This Row],[Total]])</f>
        <v>0</v>
      </c>
      <c r="L2062" s="12">
        <f>VENTAS[[#This Row],[Total]]-VENTAS[[#This Row],[Comisión 10%]]-VENTAS[[#This Row],[Costo SIN Comision]]</f>
        <v>8</v>
      </c>
      <c r="M2062" s="48"/>
      <c r="N2062" s="16" t="s">
        <v>5056</v>
      </c>
    </row>
    <row r="2063" spans="1:14" s="4" customFormat="1" ht="20" hidden="1" customHeight="1">
      <c r="A2063" s="46">
        <v>45596</v>
      </c>
      <c r="B2063" s="47"/>
      <c r="C2063" s="47"/>
      <c r="D2063" s="47"/>
      <c r="E2063" s="47" t="s">
        <v>3291</v>
      </c>
      <c r="F2063" s="10" t="str">
        <f>IFERROR(VLOOKUP(VENTAS[[#This Row],[Código del producto Vendido]],STOCK[],5,FALSE),"-")</f>
        <v>Falda básica de tutú negra</v>
      </c>
      <c r="G2063" s="47">
        <v>1</v>
      </c>
      <c r="H2063" s="48">
        <v>13</v>
      </c>
      <c r="I2063" s="12">
        <f>VENTAS[[#This Row],[Cantidad]]*VENTAS[[#This Row],[Precio Venta]]</f>
        <v>13</v>
      </c>
      <c r="J2063" s="12">
        <f>IF(VENTAS[[#This Row],[Nombre del Gestor]]&gt;1,VENTAS[[#This Row],[Total]]*10%,0)</f>
        <v>0</v>
      </c>
      <c r="K2063" s="12">
        <f>IFERROR(VLOOKUP(VENTAS[[#This Row],[Código del producto Vendido]],STOCK[],16,FALSE)*VENTAS[[#This Row],[Cantidad]]+VLOOKUP(VENTAS[[#This Row],[Código del producto Vendido]],STOCK[],19,FALSE)*VENTAS[[#This Row],[Cantidad]],VENTAS[[#This Row],[Total]])</f>
        <v>0</v>
      </c>
      <c r="L2063" s="12">
        <f>VENTAS[[#This Row],[Total]]-VENTAS[[#This Row],[Comisión 10%]]-VENTAS[[#This Row],[Costo SIN Comision]]</f>
        <v>13</v>
      </c>
      <c r="M2063" s="48"/>
      <c r="N2063" s="16" t="s">
        <v>5057</v>
      </c>
    </row>
    <row r="2064" spans="1:14" s="4" customFormat="1" ht="20" hidden="1" customHeight="1">
      <c r="A2064" s="46">
        <v>45596</v>
      </c>
      <c r="B2064" s="47"/>
      <c r="C2064" s="47"/>
      <c r="D2064" s="47"/>
      <c r="E2064" s="47" t="s">
        <v>3446</v>
      </c>
      <c r="F2064" s="10" t="str">
        <f>IFERROR(VLOOKUP(VENTAS[[#This Row],[Código del producto Vendido]],STOCK[],5,FALSE),"-")</f>
        <v>Set sexy disfraz de zebra set de 2 piezas</v>
      </c>
      <c r="G2064" s="47">
        <v>1</v>
      </c>
      <c r="H2064" s="48">
        <v>20</v>
      </c>
      <c r="I2064" s="12">
        <f>VENTAS[[#This Row],[Cantidad]]*VENTAS[[#This Row],[Precio Venta]]</f>
        <v>20</v>
      </c>
      <c r="J2064" s="12">
        <f>IF(VENTAS[[#This Row],[Nombre del Gestor]]&gt;1,VENTAS[[#This Row],[Total]]*10%,0)</f>
        <v>0</v>
      </c>
      <c r="K2064" s="12">
        <f>IFERROR(VLOOKUP(VENTAS[[#This Row],[Código del producto Vendido]],STOCK[],16,FALSE)*VENTAS[[#This Row],[Cantidad]]+VLOOKUP(VENTAS[[#This Row],[Código del producto Vendido]],STOCK[],19,FALSE)*VENTAS[[#This Row],[Cantidad]],VENTAS[[#This Row],[Total]])</f>
        <v>0</v>
      </c>
      <c r="L2064" s="12">
        <f>VENTAS[[#This Row],[Total]]-VENTAS[[#This Row],[Comisión 10%]]-VENTAS[[#This Row],[Costo SIN Comision]]</f>
        <v>20</v>
      </c>
      <c r="M2064" s="48"/>
      <c r="N2064" s="16" t="s">
        <v>5058</v>
      </c>
    </row>
    <row r="2065" spans="1:14" s="4" customFormat="1" ht="20" hidden="1" customHeight="1">
      <c r="A2065" s="46">
        <v>45596</v>
      </c>
      <c r="B2065" s="47"/>
      <c r="C2065" s="47"/>
      <c r="D2065" s="47"/>
      <c r="E2065" s="47" t="s">
        <v>3363</v>
      </c>
      <c r="F2065" s="10" t="str">
        <f>IFERROR(VLOOKUP(VENTAS[[#This Row],[Código del producto Vendido]],STOCK[],5,FALSE),"-")</f>
        <v>Máscara completa de esqueleto endemoniado con peluca</v>
      </c>
      <c r="G2065" s="47">
        <v>1</v>
      </c>
      <c r="H2065" s="48">
        <v>20</v>
      </c>
      <c r="I2065" s="12">
        <f>VENTAS[[#This Row],[Cantidad]]*VENTAS[[#This Row],[Precio Venta]]</f>
        <v>20</v>
      </c>
      <c r="J2065" s="12">
        <f>IF(VENTAS[[#This Row],[Nombre del Gestor]]&gt;1,VENTAS[[#This Row],[Total]]*10%,0)</f>
        <v>0</v>
      </c>
      <c r="K2065" s="12">
        <f>IFERROR(VLOOKUP(VENTAS[[#This Row],[Código del producto Vendido]],STOCK[],16,FALSE)*VENTAS[[#This Row],[Cantidad]]+VLOOKUP(VENTAS[[#This Row],[Código del producto Vendido]],STOCK[],19,FALSE)*VENTAS[[#This Row],[Cantidad]],VENTAS[[#This Row],[Total]])</f>
        <v>0</v>
      </c>
      <c r="L2065" s="12">
        <f>VENTAS[[#This Row],[Total]]-VENTAS[[#This Row],[Comisión 10%]]-VENTAS[[#This Row],[Costo SIN Comision]]</f>
        <v>20</v>
      </c>
      <c r="M2065" s="48"/>
      <c r="N2065" s="16" t="s">
        <v>5059</v>
      </c>
    </row>
    <row r="2066" spans="1:14" s="4" customFormat="1" ht="20" hidden="1" customHeight="1">
      <c r="A2066" s="46">
        <v>45596</v>
      </c>
      <c r="B2066" s="47"/>
      <c r="C2066" s="47"/>
      <c r="D2066" s="47" t="s">
        <v>4408</v>
      </c>
      <c r="E2066" s="47" t="s">
        <v>3315</v>
      </c>
      <c r="F2066" s="10" t="str">
        <f>IFERROR(VLOOKUP(VENTAS[[#This Row],[Código del producto Vendido]],STOCK[],5,FALSE),"-")</f>
        <v>Mono disfraz Mortal Kombat (mono y cuerdas rojas)</v>
      </c>
      <c r="G2066" s="47">
        <v>1</v>
      </c>
      <c r="H2066" s="48">
        <v>20</v>
      </c>
      <c r="I2066" s="12">
        <f>VENTAS[[#This Row],[Cantidad]]*VENTAS[[#This Row],[Precio Venta]]</f>
        <v>20</v>
      </c>
      <c r="J2066" s="12">
        <f>IF(VENTAS[[#This Row],[Nombre del Gestor]]&gt;1,VENTAS[[#This Row],[Total]]*10%,0)</f>
        <v>2</v>
      </c>
      <c r="K2066" s="12">
        <f>IFERROR(VLOOKUP(VENTAS[[#This Row],[Código del producto Vendido]],STOCK[],16,FALSE)*VENTAS[[#This Row],[Cantidad]]+VLOOKUP(VENTAS[[#This Row],[Código del producto Vendido]],STOCK[],19,FALSE)*VENTAS[[#This Row],[Cantidad]],VENTAS[[#This Row],[Total]])</f>
        <v>0</v>
      </c>
      <c r="L2066" s="12">
        <f>VENTAS[[#This Row],[Total]]-VENTAS[[#This Row],[Comisión 10%]]-VENTAS[[#This Row],[Costo SIN Comision]]</f>
        <v>18</v>
      </c>
      <c r="M2066" s="48"/>
      <c r="N2066" s="16" t="s">
        <v>5060</v>
      </c>
    </row>
    <row r="2067" spans="1:14" s="4" customFormat="1" ht="20" hidden="1" customHeight="1">
      <c r="A2067" s="46">
        <v>45596</v>
      </c>
      <c r="B2067" s="47"/>
      <c r="C2067" s="47"/>
      <c r="D2067" s="47" t="s">
        <v>4408</v>
      </c>
      <c r="E2067" s="47" t="s">
        <v>3363</v>
      </c>
      <c r="F2067" s="10" t="str">
        <f>IFERROR(VLOOKUP(VENTAS[[#This Row],[Código del producto Vendido]],STOCK[],5,FALSE),"-")</f>
        <v>Máscara completa de esqueleto endemoniado con peluca</v>
      </c>
      <c r="G2067" s="47">
        <v>1</v>
      </c>
      <c r="H2067" s="48">
        <v>20</v>
      </c>
      <c r="I2067" s="12">
        <f>VENTAS[[#This Row],[Cantidad]]*VENTAS[[#This Row],[Precio Venta]]</f>
        <v>20</v>
      </c>
      <c r="J2067" s="12">
        <f>IF(VENTAS[[#This Row],[Nombre del Gestor]]&gt;1,VENTAS[[#This Row],[Total]]*10%,0)</f>
        <v>2</v>
      </c>
      <c r="K2067" s="12">
        <f>IFERROR(VLOOKUP(VENTAS[[#This Row],[Código del producto Vendido]],STOCK[],16,FALSE)*VENTAS[[#This Row],[Cantidad]]+VLOOKUP(VENTAS[[#This Row],[Código del producto Vendido]],STOCK[],19,FALSE)*VENTAS[[#This Row],[Cantidad]],VENTAS[[#This Row],[Total]])</f>
        <v>0</v>
      </c>
      <c r="L2067" s="12">
        <f>VENTAS[[#This Row],[Total]]-VENTAS[[#This Row],[Comisión 10%]]-VENTAS[[#This Row],[Costo SIN Comision]]</f>
        <v>18</v>
      </c>
      <c r="M2067" s="48"/>
      <c r="N2067" s="16" t="s">
        <v>5061</v>
      </c>
    </row>
    <row r="2068" spans="1:14" s="4" customFormat="1" ht="20" hidden="1" customHeight="1">
      <c r="A2068" s="46">
        <v>45596</v>
      </c>
      <c r="B2068" s="47"/>
      <c r="C2068" s="47"/>
      <c r="D2068" s="47" t="s">
        <v>4184</v>
      </c>
      <c r="E2068" s="47" t="s">
        <v>3357</v>
      </c>
      <c r="F2068" s="10" t="str">
        <f>IFERROR(VLOOKUP(VENTAS[[#This Row],[Código del producto Vendido]],STOCK[],5,FALSE),"-")</f>
        <v>Disfraz de Diosa griega color negro (vestido y cinturón)</v>
      </c>
      <c r="G2068" s="47">
        <v>1</v>
      </c>
      <c r="H2068" s="48">
        <v>17.5</v>
      </c>
      <c r="I2068" s="12">
        <f>VENTAS[[#This Row],[Cantidad]]*VENTAS[[#This Row],[Precio Venta]]</f>
        <v>17.5</v>
      </c>
      <c r="J2068" s="12">
        <f>IF(VENTAS[[#This Row],[Nombre del Gestor]]&gt;1,VENTAS[[#This Row],[Total]]*10%,0)</f>
        <v>1.75</v>
      </c>
      <c r="K2068" s="12">
        <f>IFERROR(VLOOKUP(VENTAS[[#This Row],[Código del producto Vendido]],STOCK[],16,FALSE)*VENTAS[[#This Row],[Cantidad]]+VLOOKUP(VENTAS[[#This Row],[Código del producto Vendido]],STOCK[],19,FALSE)*VENTAS[[#This Row],[Cantidad]],VENTAS[[#This Row],[Total]])</f>
        <v>0</v>
      </c>
      <c r="L2068" s="12">
        <f>VENTAS[[#This Row],[Total]]-VENTAS[[#This Row],[Comisión 10%]]-VENTAS[[#This Row],[Costo SIN Comision]]</f>
        <v>15.75</v>
      </c>
      <c r="M2068" s="48"/>
      <c r="N2068" s="16" t="s">
        <v>5062</v>
      </c>
    </row>
    <row r="2069" spans="1:14" s="4" customFormat="1" ht="20" hidden="1" customHeight="1">
      <c r="A2069" s="46">
        <v>45596</v>
      </c>
      <c r="B2069" s="47"/>
      <c r="C2069" s="47"/>
      <c r="D2069" s="47" t="s">
        <v>4184</v>
      </c>
      <c r="E2069" s="47" t="s">
        <v>3458</v>
      </c>
      <c r="F2069" s="10" t="str">
        <f>IFERROR(VLOOKUP(VENTAS[[#This Row],[Código del producto Vendido]],STOCK[],5,FALSE),"-")</f>
        <v>Disfraz de diosa egipcia con mangas doradas y banda para la cintura</v>
      </c>
      <c r="G2069" s="47">
        <v>1</v>
      </c>
      <c r="H2069" s="48">
        <v>17.5</v>
      </c>
      <c r="I2069" s="12">
        <f>VENTAS[[#This Row],[Cantidad]]*VENTAS[[#This Row],[Precio Venta]]</f>
        <v>17.5</v>
      </c>
      <c r="J2069" s="12">
        <f>IF(VENTAS[[#This Row],[Nombre del Gestor]]&gt;1,VENTAS[[#This Row],[Total]]*10%,0)</f>
        <v>1.75</v>
      </c>
      <c r="K2069" s="12">
        <f>IFERROR(VLOOKUP(VENTAS[[#This Row],[Código del producto Vendido]],STOCK[],16,FALSE)*VENTAS[[#This Row],[Cantidad]]+VLOOKUP(VENTAS[[#This Row],[Código del producto Vendido]],STOCK[],19,FALSE)*VENTAS[[#This Row],[Cantidad]],VENTAS[[#This Row],[Total]])</f>
        <v>0</v>
      </c>
      <c r="L2069" s="12">
        <f>VENTAS[[#This Row],[Total]]-VENTAS[[#This Row],[Comisión 10%]]-VENTAS[[#This Row],[Costo SIN Comision]]</f>
        <v>15.75</v>
      </c>
      <c r="M2069" s="48"/>
      <c r="N2069" s="16" t="s">
        <v>5063</v>
      </c>
    </row>
    <row r="2070" spans="1:14" s="4" customFormat="1" ht="20" hidden="1" customHeight="1">
      <c r="A2070" s="46">
        <v>45596</v>
      </c>
      <c r="B2070" s="47"/>
      <c r="C2070" s="47"/>
      <c r="D2070" s="47" t="s">
        <v>4237</v>
      </c>
      <c r="E2070" s="47" t="s">
        <v>3473</v>
      </c>
      <c r="F2070" s="10" t="str">
        <f>IFERROR(VLOOKUP(VENTAS[[#This Row],[Código del producto Vendido]],STOCK[],5,FALSE),"-")</f>
        <v>Máscara completa de Miles Morales</v>
      </c>
      <c r="G2070" s="47">
        <v>1</v>
      </c>
      <c r="H2070" s="48">
        <v>10</v>
      </c>
      <c r="I2070" s="12">
        <f>VENTAS[[#This Row],[Cantidad]]*VENTAS[[#This Row],[Precio Venta]]</f>
        <v>10</v>
      </c>
      <c r="J2070" s="12">
        <f>IF(VENTAS[[#This Row],[Nombre del Gestor]]&gt;1,VENTAS[[#This Row],[Total]]*10%,0)</f>
        <v>1</v>
      </c>
      <c r="K2070" s="12">
        <f>IFERROR(VLOOKUP(VENTAS[[#This Row],[Código del producto Vendido]],STOCK[],16,FALSE)*VENTAS[[#This Row],[Cantidad]]+VLOOKUP(VENTAS[[#This Row],[Código del producto Vendido]],STOCK[],19,FALSE)*VENTAS[[#This Row],[Cantidad]],VENTAS[[#This Row],[Total]])</f>
        <v>0</v>
      </c>
      <c r="L2070" s="12">
        <f>VENTAS[[#This Row],[Total]]-VENTAS[[#This Row],[Comisión 10%]]-VENTAS[[#This Row],[Costo SIN Comision]]</f>
        <v>9</v>
      </c>
      <c r="M2070" s="48"/>
      <c r="N2070" s="16" t="s">
        <v>5064</v>
      </c>
    </row>
    <row r="2071" spans="1:14" s="4" customFormat="1" ht="20" hidden="1" customHeight="1">
      <c r="A2071" s="46">
        <v>45596</v>
      </c>
      <c r="B2071" s="47"/>
      <c r="C2071" s="47"/>
      <c r="D2071" s="47" t="s">
        <v>4689</v>
      </c>
      <c r="E2071" s="47" t="s">
        <v>3473</v>
      </c>
      <c r="F2071" s="10" t="str">
        <f>IFERROR(VLOOKUP(VENTAS[[#This Row],[Código del producto Vendido]],STOCK[],5,FALSE),"-")</f>
        <v>Máscara completa de Miles Morales</v>
      </c>
      <c r="G2071" s="47">
        <v>1</v>
      </c>
      <c r="H2071" s="48">
        <v>10</v>
      </c>
      <c r="I2071" s="12">
        <f>VENTAS[[#This Row],[Cantidad]]*VENTAS[[#This Row],[Precio Venta]]</f>
        <v>10</v>
      </c>
      <c r="J2071" s="12">
        <f>IF(VENTAS[[#This Row],[Nombre del Gestor]]&gt;1,VENTAS[[#This Row],[Total]]*10%,0)</f>
        <v>1</v>
      </c>
      <c r="K2071" s="12">
        <f>IFERROR(VLOOKUP(VENTAS[[#This Row],[Código del producto Vendido]],STOCK[],16,FALSE)*VENTAS[[#This Row],[Cantidad]]+VLOOKUP(VENTAS[[#This Row],[Código del producto Vendido]],STOCK[],19,FALSE)*VENTAS[[#This Row],[Cantidad]],VENTAS[[#This Row],[Total]])</f>
        <v>0</v>
      </c>
      <c r="L2071" s="12">
        <f>VENTAS[[#This Row],[Total]]-VENTAS[[#This Row],[Comisión 10%]]-VENTAS[[#This Row],[Costo SIN Comision]]</f>
        <v>9</v>
      </c>
      <c r="M2071" s="48"/>
      <c r="N2071" s="16" t="s">
        <v>5065</v>
      </c>
    </row>
    <row r="2072" spans="1:14" s="4" customFormat="1" ht="20" hidden="1" customHeight="1">
      <c r="A2072" s="46">
        <v>45596</v>
      </c>
      <c r="B2072" s="47"/>
      <c r="C2072" s="47"/>
      <c r="D2072" s="47" t="s">
        <v>4380</v>
      </c>
      <c r="E2072" s="47" t="s">
        <v>3049</v>
      </c>
      <c r="F2072" s="10" t="str">
        <f>IFERROR(VLOOKUP(VENTAS[[#This Row],[Código del producto Vendido]],STOCK[],5,FALSE),"-")</f>
        <v>Shorts cargo gris con dobladillo y bolsillos en tendencia Marca H&amp;M</v>
      </c>
      <c r="G2072" s="47">
        <v>1</v>
      </c>
      <c r="H2072" s="48">
        <v>28</v>
      </c>
      <c r="I2072" s="12">
        <f>VENTAS[[#This Row],[Cantidad]]*VENTAS[[#This Row],[Precio Venta]]</f>
        <v>28</v>
      </c>
      <c r="J2072" s="12">
        <f>IF(VENTAS[[#This Row],[Nombre del Gestor]]&gt;1,VENTAS[[#This Row],[Total]]*10%,0)</f>
        <v>2.8000000000000003</v>
      </c>
      <c r="K2072" s="12">
        <f>IFERROR(VLOOKUP(VENTAS[[#This Row],[Código del producto Vendido]],STOCK[],16,FALSE)*VENTAS[[#This Row],[Cantidad]]+VLOOKUP(VENTAS[[#This Row],[Código del producto Vendido]],STOCK[],19,FALSE)*VENTAS[[#This Row],[Cantidad]],VENTAS[[#This Row],[Total]])</f>
        <v>10</v>
      </c>
      <c r="L2072" s="12">
        <f>VENTAS[[#This Row],[Total]]-VENTAS[[#This Row],[Comisión 10%]]-VENTAS[[#This Row],[Costo SIN Comision]]</f>
        <v>15.2</v>
      </c>
      <c r="M2072" s="48"/>
      <c r="N2072" s="16" t="s">
        <v>5066</v>
      </c>
    </row>
    <row r="2073" spans="1:14" s="4" customFormat="1" ht="20" hidden="1" customHeight="1">
      <c r="A2073" s="46">
        <v>45596</v>
      </c>
      <c r="B2073" s="47"/>
      <c r="C2073" s="47"/>
      <c r="D2073" s="47" t="s">
        <v>4374</v>
      </c>
      <c r="E2073" s="47" t="s">
        <v>3344</v>
      </c>
      <c r="F2073" s="10" t="str">
        <f>IFERROR(VLOOKUP(VENTAS[[#This Row],[Código del producto Vendido]],STOCK[],5,FALSE),"-")</f>
        <v>Set de 3 piezas de disfraz bunny (body, medias y diadema)</v>
      </c>
      <c r="G2073" s="47">
        <v>1</v>
      </c>
      <c r="H2073" s="48">
        <v>25</v>
      </c>
      <c r="I2073" s="12">
        <f>VENTAS[[#This Row],[Cantidad]]*VENTAS[[#This Row],[Precio Venta]]</f>
        <v>25</v>
      </c>
      <c r="J2073" s="12">
        <f>IF(VENTAS[[#This Row],[Nombre del Gestor]]&gt;1,VENTAS[[#This Row],[Total]]*10%,0)</f>
        <v>2.5</v>
      </c>
      <c r="K2073" s="12">
        <f>IFERROR(VLOOKUP(VENTAS[[#This Row],[Código del producto Vendido]],STOCK[],16,FALSE)*VENTAS[[#This Row],[Cantidad]]+VLOOKUP(VENTAS[[#This Row],[Código del producto Vendido]],STOCK[],19,FALSE)*VENTAS[[#This Row],[Cantidad]],VENTAS[[#This Row],[Total]])</f>
        <v>0</v>
      </c>
      <c r="L2073" s="12">
        <f>VENTAS[[#This Row],[Total]]-VENTAS[[#This Row],[Comisión 10%]]-VENTAS[[#This Row],[Costo SIN Comision]]</f>
        <v>22.5</v>
      </c>
      <c r="M2073" s="48"/>
      <c r="N2073" s="16" t="s">
        <v>5067</v>
      </c>
    </row>
    <row r="2074" spans="1:14" s="4" customFormat="1" ht="20" hidden="1" customHeight="1">
      <c r="A2074" s="46">
        <v>45596</v>
      </c>
      <c r="B2074" s="47"/>
      <c r="C2074" s="47"/>
      <c r="D2074" s="47" t="s">
        <v>5068</v>
      </c>
      <c r="E2074" s="47" t="s">
        <v>3289</v>
      </c>
      <c r="F2074" s="10" t="str">
        <f>IFERROR(VLOOKUP(VENTAS[[#This Row],[Código del producto Vendido]],STOCK[],5,FALSE),"-")</f>
        <v>Mono bandeau de vinyl</v>
      </c>
      <c r="G2074" s="47">
        <v>1</v>
      </c>
      <c r="H2074" s="48">
        <v>25</v>
      </c>
      <c r="I2074" s="12">
        <f>VENTAS[[#This Row],[Cantidad]]*VENTAS[[#This Row],[Precio Venta]]</f>
        <v>25</v>
      </c>
      <c r="J2074" s="12">
        <f>IF(VENTAS[[#This Row],[Nombre del Gestor]]&gt;1,VENTAS[[#This Row],[Total]]*10%,0)</f>
        <v>2.5</v>
      </c>
      <c r="K2074" s="12">
        <f>IFERROR(VLOOKUP(VENTAS[[#This Row],[Código del producto Vendido]],STOCK[],16,FALSE)*VENTAS[[#This Row],[Cantidad]]+VLOOKUP(VENTAS[[#This Row],[Código del producto Vendido]],STOCK[],19,FALSE)*VENTAS[[#This Row],[Cantidad]],VENTAS[[#This Row],[Total]])</f>
        <v>0</v>
      </c>
      <c r="L2074" s="12">
        <f>VENTAS[[#This Row],[Total]]-VENTAS[[#This Row],[Comisión 10%]]-VENTAS[[#This Row],[Costo SIN Comision]]</f>
        <v>22.5</v>
      </c>
      <c r="M2074" s="48"/>
      <c r="N2074" s="16" t="s">
        <v>5069</v>
      </c>
    </row>
    <row r="2075" spans="1:14" s="4" customFormat="1" ht="20" hidden="1" customHeight="1">
      <c r="A2075" s="46">
        <v>45596</v>
      </c>
      <c r="B2075" s="47"/>
      <c r="C2075" s="47"/>
      <c r="D2075" s="47" t="s">
        <v>4380</v>
      </c>
      <c r="E2075" s="47" t="s">
        <v>3353</v>
      </c>
      <c r="F2075" s="10" t="str">
        <f>IFERROR(VLOOKUP(VENTAS[[#This Row],[Código del producto Vendido]],STOCK[],5,FALSE),"-")</f>
        <v>Máscara de bruja con peluca</v>
      </c>
      <c r="G2075" s="47">
        <v>1</v>
      </c>
      <c r="H2075" s="48">
        <v>14</v>
      </c>
      <c r="I2075" s="12">
        <f>VENTAS[[#This Row],[Cantidad]]*VENTAS[[#This Row],[Precio Venta]]</f>
        <v>14</v>
      </c>
      <c r="J2075" s="12">
        <f>IF(VENTAS[[#This Row],[Nombre del Gestor]]&gt;1,VENTAS[[#This Row],[Total]]*10%,0)</f>
        <v>1.4000000000000001</v>
      </c>
      <c r="K2075" s="12">
        <f>IFERROR(VLOOKUP(VENTAS[[#This Row],[Código del producto Vendido]],STOCK[],16,FALSE)*VENTAS[[#This Row],[Cantidad]]+VLOOKUP(VENTAS[[#This Row],[Código del producto Vendido]],STOCK[],19,FALSE)*VENTAS[[#This Row],[Cantidad]],VENTAS[[#This Row],[Total]])</f>
        <v>0</v>
      </c>
      <c r="L2075" s="12">
        <f>VENTAS[[#This Row],[Total]]-VENTAS[[#This Row],[Comisión 10%]]-VENTAS[[#This Row],[Costo SIN Comision]]</f>
        <v>12.6</v>
      </c>
      <c r="M2075" s="48"/>
      <c r="N2075" s="16" t="s">
        <v>5070</v>
      </c>
    </row>
    <row r="2076" spans="1:14" s="4" customFormat="1" ht="20" hidden="1" customHeight="1">
      <c r="A2076" s="46">
        <v>45597</v>
      </c>
      <c r="B2076" s="47"/>
      <c r="C2076" s="47"/>
      <c r="D2076" s="47" t="s">
        <v>4349</v>
      </c>
      <c r="E2076" s="47" t="s">
        <v>2311</v>
      </c>
      <c r="F2076" s="10" t="str">
        <f>IFERROR(VLOOKUP(VENTAS[[#This Row],[Código del producto Vendido]],STOCK[],5,FALSE),"-")</f>
        <v>Blusa Vacaciones con lazo delantero</v>
      </c>
      <c r="G2076" s="47">
        <v>1</v>
      </c>
      <c r="H2076" s="48">
        <v>15</v>
      </c>
      <c r="I2076" s="12">
        <f>VENTAS[[#This Row],[Cantidad]]*VENTAS[[#This Row],[Precio Venta]]</f>
        <v>15</v>
      </c>
      <c r="J2076" s="12">
        <f>IF(VENTAS[[#This Row],[Nombre del Gestor]]&gt;1,VENTAS[[#This Row],[Total]]*10%,0)</f>
        <v>1.5</v>
      </c>
      <c r="K2076" s="12">
        <f>IFERROR(VLOOKUP(VENTAS[[#This Row],[Código del producto Vendido]],STOCK[],16,FALSE)*VENTAS[[#This Row],[Cantidad]]+VLOOKUP(VENTAS[[#This Row],[Código del producto Vendido]],STOCK[],19,FALSE)*VENTAS[[#This Row],[Cantidad]],VENTAS[[#This Row],[Total]])</f>
        <v>8.7331249999999994</v>
      </c>
      <c r="L2076" s="12">
        <f>VENTAS[[#This Row],[Total]]-VENTAS[[#This Row],[Comisión 10%]]-VENTAS[[#This Row],[Costo SIN Comision]]</f>
        <v>4.7668750000000006</v>
      </c>
      <c r="M2076" s="48"/>
      <c r="N2076" s="16" t="s">
        <v>5071</v>
      </c>
    </row>
    <row r="2077" spans="1:14" s="4" customFormat="1" ht="20" hidden="1" customHeight="1">
      <c r="A2077" s="46">
        <v>45597</v>
      </c>
      <c r="B2077" s="47"/>
      <c r="C2077" s="47"/>
      <c r="D2077" s="47" t="s">
        <v>4349</v>
      </c>
      <c r="E2077" s="47" t="s">
        <v>2568</v>
      </c>
      <c r="F2077" s="10" t="str">
        <f>IFERROR(VLOOKUP(VENTAS[[#This Row],[Código del producto Vendido]],STOCK[],5,FALSE),"-")</f>
        <v xml:space="preserve">Top corto de lazo delantero </v>
      </c>
      <c r="G2077" s="47">
        <v>1</v>
      </c>
      <c r="H2077" s="48">
        <v>17</v>
      </c>
      <c r="I2077" s="12">
        <f>VENTAS[[#This Row],[Cantidad]]*VENTAS[[#This Row],[Precio Venta]]</f>
        <v>17</v>
      </c>
      <c r="J2077" s="12">
        <f>IF(VENTAS[[#This Row],[Nombre del Gestor]]&gt;1,VENTAS[[#This Row],[Total]]*10%,0)</f>
        <v>1.7000000000000002</v>
      </c>
      <c r="K2077" s="12">
        <f>IFERROR(VLOOKUP(VENTAS[[#This Row],[Código del producto Vendido]],STOCK[],16,FALSE)*VENTAS[[#This Row],[Cantidad]]+VLOOKUP(VENTAS[[#This Row],[Código del producto Vendido]],STOCK[],19,FALSE)*VENTAS[[#This Row],[Cantidad]],VENTAS[[#This Row],[Total]])</f>
        <v>11.450000000000001</v>
      </c>
      <c r="L2077" s="12">
        <f>VENTAS[[#This Row],[Total]]-VENTAS[[#This Row],[Comisión 10%]]-VENTAS[[#This Row],[Costo SIN Comision]]</f>
        <v>3.8499999999999996</v>
      </c>
      <c r="M2077" s="48"/>
      <c r="N2077" s="16" t="s">
        <v>5072</v>
      </c>
    </row>
    <row r="2078" spans="1:14" s="4" customFormat="1" ht="20" hidden="1" customHeight="1">
      <c r="A2078" s="46">
        <v>45597</v>
      </c>
      <c r="B2078" s="47"/>
      <c r="C2078" s="47"/>
      <c r="D2078" s="47" t="s">
        <v>4374</v>
      </c>
      <c r="E2078" s="47" t="s">
        <v>2765</v>
      </c>
      <c r="F2078" s="10" t="str">
        <f>IFERROR(VLOOKUP(VENTAS[[#This Row],[Código del producto Vendido]],STOCK[],5,FALSE),"-")</f>
        <v>Set de bikini estilo europeo blanco en tendencia</v>
      </c>
      <c r="G2078" s="47">
        <v>1</v>
      </c>
      <c r="H2078" s="48">
        <v>22</v>
      </c>
      <c r="I2078" s="12">
        <f>VENTAS[[#This Row],[Cantidad]]*VENTAS[[#This Row],[Precio Venta]]</f>
        <v>22</v>
      </c>
      <c r="J2078" s="12">
        <f>IF(VENTAS[[#This Row],[Nombre del Gestor]]&gt;1,VENTAS[[#This Row],[Total]]*10%,0)</f>
        <v>2.2000000000000002</v>
      </c>
      <c r="K2078" s="12">
        <f>IFERROR(VLOOKUP(VENTAS[[#This Row],[Código del producto Vendido]],STOCK[],16,FALSE)*VENTAS[[#This Row],[Cantidad]]+VLOOKUP(VENTAS[[#This Row],[Código del producto Vendido]],STOCK[],19,FALSE)*VENTAS[[#This Row],[Cantidad]],VENTAS[[#This Row],[Total]])</f>
        <v>13.23</v>
      </c>
      <c r="L2078" s="12">
        <f>VENTAS[[#This Row],[Total]]-VENTAS[[#This Row],[Comisión 10%]]-VENTAS[[#This Row],[Costo SIN Comision]]</f>
        <v>6.57</v>
      </c>
      <c r="M2078" s="48"/>
      <c r="N2078" s="16" t="s">
        <v>5073</v>
      </c>
    </row>
    <row r="2079" spans="1:14" s="4" customFormat="1" ht="20" hidden="1" customHeight="1">
      <c r="A2079" s="46">
        <v>45597</v>
      </c>
      <c r="B2079" s="47"/>
      <c r="C2079" s="47"/>
      <c r="D2079" s="47"/>
      <c r="E2079" s="47" t="s">
        <v>2514</v>
      </c>
      <c r="F2079" s="10" t="str">
        <f>IFERROR(VLOOKUP(VENTAS[[#This Row],[Código del producto Vendido]],STOCK[],5,FALSE),"-")</f>
        <v>Camisa elegante de listas</v>
      </c>
      <c r="G2079" s="47">
        <v>1</v>
      </c>
      <c r="H2079" s="48">
        <v>22</v>
      </c>
      <c r="I2079" s="12">
        <f>VENTAS[[#This Row],[Cantidad]]*VENTAS[[#This Row],[Precio Venta]]</f>
        <v>22</v>
      </c>
      <c r="J2079" s="12">
        <f>IF(VENTAS[[#This Row],[Nombre del Gestor]]&gt;1,VENTAS[[#This Row],[Total]]*10%,0)</f>
        <v>0</v>
      </c>
      <c r="K2079" s="12">
        <f>IFERROR(VLOOKUP(VENTAS[[#This Row],[Código del producto Vendido]],STOCK[],16,FALSE)*VENTAS[[#This Row],[Cantidad]]+VLOOKUP(VENTAS[[#This Row],[Código del producto Vendido]],STOCK[],19,FALSE)*VENTAS[[#This Row],[Cantidad]],VENTAS[[#This Row],[Total]])</f>
        <v>11.3</v>
      </c>
      <c r="L2079" s="12">
        <f>VENTAS[[#This Row],[Total]]-VENTAS[[#This Row],[Comisión 10%]]-VENTAS[[#This Row],[Costo SIN Comision]]</f>
        <v>10.7</v>
      </c>
      <c r="M2079" s="48"/>
      <c r="N2079" s="16" t="s">
        <v>5074</v>
      </c>
    </row>
    <row r="2080" spans="1:14" s="4" customFormat="1" ht="20" hidden="1" customHeight="1">
      <c r="A2080" s="46">
        <v>45598</v>
      </c>
      <c r="B2080" s="47"/>
      <c r="C2080" s="47"/>
      <c r="D2080" s="47" t="s">
        <v>4374</v>
      </c>
      <c r="E2080" s="47" t="s">
        <v>3205</v>
      </c>
      <c r="F2080" s="10" t="str">
        <f>IFERROR(VLOOKUP(VENTAS[[#This Row],[Código del producto Vendido]],STOCK[],5,FALSE),"-")</f>
        <v xml:space="preserve">Camiseta de ajuste regular blanco </v>
      </c>
      <c r="G2080" s="47">
        <v>1</v>
      </c>
      <c r="H2080" s="48">
        <v>18</v>
      </c>
      <c r="I2080" s="12">
        <f>VENTAS[[#This Row],[Cantidad]]*VENTAS[[#This Row],[Precio Venta]]</f>
        <v>18</v>
      </c>
      <c r="J2080" s="12">
        <f>IF(VENTAS[[#This Row],[Nombre del Gestor]]&gt;1,VENTAS[[#This Row],[Total]]*10%,0)</f>
        <v>1.8</v>
      </c>
      <c r="K2080" s="12">
        <f>IFERROR(VLOOKUP(VENTAS[[#This Row],[Código del producto Vendido]],STOCK[],16,FALSE)*VENTAS[[#This Row],[Cantidad]]+VLOOKUP(VENTAS[[#This Row],[Código del producto Vendido]],STOCK[],19,FALSE)*VENTAS[[#This Row],[Cantidad]],VENTAS[[#This Row],[Total]])</f>
        <v>10</v>
      </c>
      <c r="L2080" s="12">
        <f>VENTAS[[#This Row],[Total]]-VENTAS[[#This Row],[Comisión 10%]]-VENTAS[[#This Row],[Costo SIN Comision]]</f>
        <v>6.1999999999999993</v>
      </c>
      <c r="M2080" s="48"/>
      <c r="N2080" s="16" t="s">
        <v>5075</v>
      </c>
    </row>
    <row r="2081" spans="1:14" s="4" customFormat="1" ht="20" hidden="1" customHeight="1">
      <c r="A2081" s="46">
        <v>45598</v>
      </c>
      <c r="B2081" s="47"/>
      <c r="C2081" s="47"/>
      <c r="D2081" s="47" t="s">
        <v>4378</v>
      </c>
      <c r="E2081" s="47" t="s">
        <v>2987</v>
      </c>
      <c r="F2081" s="10" t="str">
        <f>IFERROR(VLOOKUP(VENTAS[[#This Row],[Código del producto Vendido]],STOCK[],5,FALSE),"-")</f>
        <v>Vestido playero largo de mangas con escote V</v>
      </c>
      <c r="G2081" s="47">
        <v>1</v>
      </c>
      <c r="H2081" s="48">
        <v>30</v>
      </c>
      <c r="I2081" s="12">
        <f>VENTAS[[#This Row],[Cantidad]]*VENTAS[[#This Row],[Precio Venta]]</f>
        <v>30</v>
      </c>
      <c r="J2081" s="12">
        <f>IF(VENTAS[[#This Row],[Nombre del Gestor]]&gt;1,VENTAS[[#This Row],[Total]]*10%,0)</f>
        <v>3</v>
      </c>
      <c r="K2081" s="12">
        <f>IFERROR(VLOOKUP(VENTAS[[#This Row],[Código del producto Vendido]],STOCK[],16,FALSE)*VENTAS[[#This Row],[Cantidad]]+VLOOKUP(VENTAS[[#This Row],[Código del producto Vendido]],STOCK[],19,FALSE)*VENTAS[[#This Row],[Cantidad]],VENTAS[[#This Row],[Total]])</f>
        <v>11.02</v>
      </c>
      <c r="L2081" s="12">
        <f>VENTAS[[#This Row],[Total]]-VENTAS[[#This Row],[Comisión 10%]]-VENTAS[[#This Row],[Costo SIN Comision]]</f>
        <v>15.98</v>
      </c>
      <c r="M2081" s="48"/>
      <c r="N2081" s="16" t="s">
        <v>5076</v>
      </c>
    </row>
    <row r="2082" spans="1:14" s="4" customFormat="1" ht="20" hidden="1" customHeight="1">
      <c r="A2082" s="46">
        <v>45598</v>
      </c>
      <c r="B2082" s="47"/>
      <c r="C2082" s="47"/>
      <c r="D2082" s="47" t="s">
        <v>4378</v>
      </c>
      <c r="E2082" s="47" t="s">
        <v>2568</v>
      </c>
      <c r="F2082" s="10" t="str">
        <f>IFERROR(VLOOKUP(VENTAS[[#This Row],[Código del producto Vendido]],STOCK[],5,FALSE),"-")</f>
        <v xml:space="preserve">Top corto de lazo delantero </v>
      </c>
      <c r="G2082" s="47">
        <v>1</v>
      </c>
      <c r="H2082" s="48">
        <v>17</v>
      </c>
      <c r="I2082" s="12">
        <f>VENTAS[[#This Row],[Cantidad]]*VENTAS[[#This Row],[Precio Venta]]</f>
        <v>17</v>
      </c>
      <c r="J2082" s="12">
        <f>IF(VENTAS[[#This Row],[Nombre del Gestor]]&gt;1,VENTAS[[#This Row],[Total]]*10%,0)</f>
        <v>1.7000000000000002</v>
      </c>
      <c r="K2082" s="12">
        <f>IFERROR(VLOOKUP(VENTAS[[#This Row],[Código del producto Vendido]],STOCK[],16,FALSE)*VENTAS[[#This Row],[Cantidad]]+VLOOKUP(VENTAS[[#This Row],[Código del producto Vendido]],STOCK[],19,FALSE)*VENTAS[[#This Row],[Cantidad]],VENTAS[[#This Row],[Total]])</f>
        <v>11.450000000000001</v>
      </c>
      <c r="L2082" s="12">
        <f>VENTAS[[#This Row],[Total]]-VENTAS[[#This Row],[Comisión 10%]]-VENTAS[[#This Row],[Costo SIN Comision]]</f>
        <v>3.8499999999999996</v>
      </c>
      <c r="M2082" s="48"/>
      <c r="N2082" s="16" t="s">
        <v>5077</v>
      </c>
    </row>
    <row r="2083" spans="1:14" s="4" customFormat="1" ht="20" hidden="1" customHeight="1">
      <c r="A2083" s="46">
        <v>45598</v>
      </c>
      <c r="B2083" s="47"/>
      <c r="C2083" s="47"/>
      <c r="D2083" s="47" t="s">
        <v>4571</v>
      </c>
      <c r="E2083" s="47" t="s">
        <v>2754</v>
      </c>
      <c r="F2083" s="10" t="str">
        <f>IFERROR(VLOOKUP(VENTAS[[#This Row],[Código del producto Vendido]],STOCK[],5,FALSE),"-")</f>
        <v>Vestido Privé Unicolor Sin Mangas ajustado con pliegues color negro</v>
      </c>
      <c r="G2083" s="47">
        <v>1</v>
      </c>
      <c r="H2083" s="48">
        <v>20</v>
      </c>
      <c r="I2083" s="12">
        <f>VENTAS[[#This Row],[Cantidad]]*VENTAS[[#This Row],[Precio Venta]]</f>
        <v>20</v>
      </c>
      <c r="J2083" s="12">
        <f>IF(VENTAS[[#This Row],[Nombre del Gestor]]&gt;1,VENTAS[[#This Row],[Total]]*10%,0)</f>
        <v>2</v>
      </c>
      <c r="K2083" s="12">
        <f>IFERROR(VLOOKUP(VENTAS[[#This Row],[Código del producto Vendido]],STOCK[],16,FALSE)*VENTAS[[#This Row],[Cantidad]]+VLOOKUP(VENTAS[[#This Row],[Código del producto Vendido]],STOCK[],19,FALSE)*VENTAS[[#This Row],[Cantidad]],VENTAS[[#This Row],[Total]])</f>
        <v>6.12</v>
      </c>
      <c r="L2083" s="12">
        <f>VENTAS[[#This Row],[Total]]-VENTAS[[#This Row],[Comisión 10%]]-VENTAS[[#This Row],[Costo SIN Comision]]</f>
        <v>11.879999999999999</v>
      </c>
      <c r="M2083" s="48"/>
      <c r="N2083" s="16" t="s">
        <v>5078</v>
      </c>
    </row>
    <row r="2084" spans="1:14" ht="13" hidden="1" customHeight="1">
      <c r="A2084" s="46">
        <v>45599</v>
      </c>
      <c r="B2084" s="49"/>
      <c r="C2084" s="49"/>
      <c r="D2084" s="49" t="s">
        <v>4757</v>
      </c>
      <c r="E2084" s="49" t="s">
        <v>3132</v>
      </c>
      <c r="F2084" s="10" t="str">
        <f>IFERROR(VLOOKUP(VENTAS[[#This Row],[Código del producto Vendido]],STOCK[],5,FALSE),"-")</f>
        <v>Top crema con detalle de costura Marca H&amp;M</v>
      </c>
      <c r="G2084" s="49">
        <v>1</v>
      </c>
      <c r="H2084" s="48">
        <v>15</v>
      </c>
      <c r="I2084" s="12">
        <f>VENTAS[[#This Row],[Cantidad]]*VENTAS[[#This Row],[Precio Venta]]</f>
        <v>15</v>
      </c>
      <c r="J2084" s="12">
        <f>IF(VENTAS[[#This Row],[Nombre del Gestor]]&gt;1,VENTAS[[#This Row],[Total]]*10%,0)</f>
        <v>1.5</v>
      </c>
      <c r="K2084" s="12">
        <f>IFERROR(VLOOKUP(VENTAS[[#This Row],[Código del producto Vendido]],STOCK[],16,FALSE)*VENTAS[[#This Row],[Cantidad]]+VLOOKUP(VENTAS[[#This Row],[Código del producto Vendido]],STOCK[],19,FALSE)*VENTAS[[#This Row],[Cantidad]],VENTAS[[#This Row],[Total]])</f>
        <v>8</v>
      </c>
      <c r="L2084" s="12">
        <f>VENTAS[[#This Row],[Total]]-VENTAS[[#This Row],[Comisión 10%]]-VENTAS[[#This Row],[Costo SIN Comision]]</f>
        <v>5.5</v>
      </c>
      <c r="M2084" s="49"/>
      <c r="N2084" s="16" t="s">
        <v>5079</v>
      </c>
    </row>
    <row r="2085" spans="1:14" ht="13" hidden="1" customHeight="1">
      <c r="A2085" s="46">
        <v>45599</v>
      </c>
      <c r="B2085" s="49"/>
      <c r="C2085" s="49" t="s">
        <v>4406</v>
      </c>
      <c r="D2085" s="49"/>
      <c r="E2085" s="49" t="s">
        <v>2867</v>
      </c>
      <c r="F2085" s="10" t="str">
        <f>IFERROR(VLOOKUP(VENTAS[[#This Row],[Código del producto Vendido]],STOCK[],5,FALSE),"-")</f>
        <v>Vestido de espalda descubierta de color sólido y tirantes de espagueti</v>
      </c>
      <c r="G2085" s="49">
        <v>1</v>
      </c>
      <c r="H2085" s="48">
        <v>25</v>
      </c>
      <c r="I2085" s="12">
        <f>VENTAS[[#This Row],[Cantidad]]*VENTAS[[#This Row],[Precio Venta]]</f>
        <v>25</v>
      </c>
      <c r="J2085" s="12">
        <f>IF(VENTAS[[#This Row],[Nombre del Gestor]]&gt;1,VENTAS[[#This Row],[Total]]*10%,0)</f>
        <v>0</v>
      </c>
      <c r="K2085" s="12">
        <f>IFERROR(VLOOKUP(VENTAS[[#This Row],[Código del producto Vendido]],STOCK[],16,FALSE)*VENTAS[[#This Row],[Cantidad]]+VLOOKUP(VENTAS[[#This Row],[Código del producto Vendido]],STOCK[],19,FALSE)*VENTAS[[#This Row],[Cantidad]],VENTAS[[#This Row],[Total]])</f>
        <v>11.98</v>
      </c>
      <c r="L2085" s="12">
        <f>VENTAS[[#This Row],[Total]]-VENTAS[[#This Row],[Comisión 10%]]-VENTAS[[#This Row],[Costo SIN Comision]]</f>
        <v>13.02</v>
      </c>
      <c r="M2085" s="49"/>
      <c r="N2085" s="16" t="s">
        <v>5080</v>
      </c>
    </row>
    <row r="2086" spans="1:14" ht="13" hidden="1" customHeight="1">
      <c r="A2086" s="46">
        <v>45599</v>
      </c>
      <c r="B2086" s="49"/>
      <c r="C2086" s="49"/>
      <c r="D2086" s="49" t="s">
        <v>4184</v>
      </c>
      <c r="E2086" s="49" t="s">
        <v>2903</v>
      </c>
      <c r="F2086" s="10" t="str">
        <f>IFERROR(VLOOKUP(VENTAS[[#This Row],[Código del producto Vendido]],STOCK[],5,FALSE),"-")</f>
        <v>Sujetador de gran confort antideslizante sin tirantes color crema</v>
      </c>
      <c r="G2086" s="49">
        <v>1</v>
      </c>
      <c r="H2086" s="48">
        <v>15</v>
      </c>
      <c r="I2086" s="12">
        <f>VENTAS[[#This Row],[Cantidad]]*VENTAS[[#This Row],[Precio Venta]]</f>
        <v>15</v>
      </c>
      <c r="J2086" s="12">
        <f>IF(VENTAS[[#This Row],[Nombre del Gestor]]&gt;1,VENTAS[[#This Row],[Total]]*10%,0)</f>
        <v>1.5</v>
      </c>
      <c r="K2086" s="12">
        <f>IFERROR(VLOOKUP(VENTAS[[#This Row],[Código del producto Vendido]],STOCK[],16,FALSE)*VENTAS[[#This Row],[Cantidad]]+VLOOKUP(VENTAS[[#This Row],[Código del producto Vendido]],STOCK[],19,FALSE)*VENTAS[[#This Row],[Cantidad]],VENTAS[[#This Row],[Total]])</f>
        <v>8.14</v>
      </c>
      <c r="L2086" s="12">
        <f>VENTAS[[#This Row],[Total]]-VENTAS[[#This Row],[Comisión 10%]]-VENTAS[[#This Row],[Costo SIN Comision]]</f>
        <v>5.3599999999999994</v>
      </c>
      <c r="M2086" s="49"/>
      <c r="N2086" s="16" t="s">
        <v>5081</v>
      </c>
    </row>
    <row r="2087" spans="1:14" ht="13" hidden="1" customHeight="1">
      <c r="A2087" s="46">
        <v>45599</v>
      </c>
      <c r="B2087" s="49"/>
      <c r="C2087" s="49"/>
      <c r="D2087" s="49" t="s">
        <v>4184</v>
      </c>
      <c r="E2087" s="49" t="s">
        <v>2897</v>
      </c>
      <c r="F2087" s="10" t="str">
        <f>IFERROR(VLOOKUP(VENTAS[[#This Row],[Código del producto Vendido]],STOCK[],5,FALSE),"-")</f>
        <v>Sujetador de gran confort antideslizante sin tirantes color negro</v>
      </c>
      <c r="G2087" s="49">
        <v>1</v>
      </c>
      <c r="H2087" s="48">
        <v>15</v>
      </c>
      <c r="I2087" s="12">
        <f>VENTAS[[#This Row],[Cantidad]]*VENTAS[[#This Row],[Precio Venta]]</f>
        <v>15</v>
      </c>
      <c r="J2087" s="12">
        <f>IF(VENTAS[[#This Row],[Nombre del Gestor]]&gt;1,VENTAS[[#This Row],[Total]]*10%,0)</f>
        <v>1.5</v>
      </c>
      <c r="K2087" s="12">
        <f>IFERROR(VLOOKUP(VENTAS[[#This Row],[Código del producto Vendido]],STOCK[],16,FALSE)*VENTAS[[#This Row],[Cantidad]]+VLOOKUP(VENTAS[[#This Row],[Código del producto Vendido]],STOCK[],19,FALSE)*VENTAS[[#This Row],[Cantidad]],VENTAS[[#This Row],[Total]])</f>
        <v>6.3800000000000008</v>
      </c>
      <c r="L2087" s="12">
        <f>VENTAS[[#This Row],[Total]]-VENTAS[[#This Row],[Comisión 10%]]-VENTAS[[#This Row],[Costo SIN Comision]]</f>
        <v>7.1199999999999992</v>
      </c>
      <c r="M2087" s="49"/>
      <c r="N2087" s="16" t="s">
        <v>5082</v>
      </c>
    </row>
    <row r="2088" spans="1:14" ht="13" hidden="1" customHeight="1">
      <c r="A2088" s="46">
        <v>45599</v>
      </c>
      <c r="B2088" s="49"/>
      <c r="C2088" s="49" t="s">
        <v>4406</v>
      </c>
      <c r="D2088" s="49"/>
      <c r="E2088" s="49" t="s">
        <v>3216</v>
      </c>
      <c r="F2088" s="10" t="str">
        <f>IFERROR(VLOOKUP(VENTAS[[#This Row],[Código del producto Vendido]],STOCK[],5,FALSE),"-")</f>
        <v>Camisa negra slim fit de cuello chino Marca H&amp;M</v>
      </c>
      <c r="G2088" s="49">
        <v>1</v>
      </c>
      <c r="H2088" s="48">
        <v>25</v>
      </c>
      <c r="I2088" s="12">
        <f>VENTAS[[#This Row],[Cantidad]]*VENTAS[[#This Row],[Precio Venta]]</f>
        <v>25</v>
      </c>
      <c r="J2088" s="12">
        <f>IF(VENTAS[[#This Row],[Nombre del Gestor]]&gt;1,VENTAS[[#This Row],[Total]]*10%,0)</f>
        <v>0</v>
      </c>
      <c r="K2088" s="12">
        <f>IFERROR(VLOOKUP(VENTAS[[#This Row],[Código del producto Vendido]],STOCK[],16,FALSE)*VENTAS[[#This Row],[Cantidad]]+VLOOKUP(VENTAS[[#This Row],[Código del producto Vendido]],STOCK[],19,FALSE)*VENTAS[[#This Row],[Cantidad]],VENTAS[[#This Row],[Total]])</f>
        <v>10</v>
      </c>
      <c r="L2088" s="12">
        <f>VENTAS[[#This Row],[Total]]-VENTAS[[#This Row],[Comisión 10%]]-VENTAS[[#This Row],[Costo SIN Comision]]</f>
        <v>15</v>
      </c>
      <c r="M2088" s="49"/>
      <c r="N2088" s="16" t="s">
        <v>5083</v>
      </c>
    </row>
    <row r="2089" spans="1:14" ht="13" hidden="1" customHeight="1">
      <c r="A2089" s="46">
        <v>45599</v>
      </c>
      <c r="B2089" s="49"/>
      <c r="C2089" s="49"/>
      <c r="D2089" s="49" t="s">
        <v>4571</v>
      </c>
      <c r="E2089" s="49" t="s">
        <v>1890</v>
      </c>
      <c r="F2089" s="10" t="str">
        <f>IFERROR(VLOOKUP(VENTAS[[#This Row],[Código del producto Vendido]],STOCK[],5,FALSE),"-")</f>
        <v>Vestido Camisero de Bolas</v>
      </c>
      <c r="G2089" s="49">
        <v>1</v>
      </c>
      <c r="H2089" s="48">
        <v>35</v>
      </c>
      <c r="I2089" s="12">
        <f>VENTAS[[#This Row],[Cantidad]]*VENTAS[[#This Row],[Precio Venta]]</f>
        <v>35</v>
      </c>
      <c r="J2089" s="12">
        <f>IF(VENTAS[[#This Row],[Nombre del Gestor]]&gt;1,VENTAS[[#This Row],[Total]]*10%,0)</f>
        <v>3.5</v>
      </c>
      <c r="K2089" s="12">
        <f>IFERROR(VLOOKUP(VENTAS[[#This Row],[Código del producto Vendido]],STOCK[],16,FALSE)*VENTAS[[#This Row],[Cantidad]]+VLOOKUP(VENTAS[[#This Row],[Código del producto Vendido]],STOCK[],19,FALSE)*VENTAS[[#This Row],[Cantidad]],VENTAS[[#This Row],[Total]])</f>
        <v>23.32</v>
      </c>
      <c r="L2089" s="12">
        <f>VENTAS[[#This Row],[Total]]-VENTAS[[#This Row],[Comisión 10%]]-VENTAS[[#This Row],[Costo SIN Comision]]</f>
        <v>8.18</v>
      </c>
      <c r="M2089" s="49"/>
      <c r="N2089" s="16" t="s">
        <v>5084</v>
      </c>
    </row>
    <row r="2090" spans="1:14" ht="13" hidden="1" customHeight="1">
      <c r="A2090" s="46">
        <v>45599</v>
      </c>
      <c r="B2090" s="49"/>
      <c r="C2090" s="49"/>
      <c r="D2090" s="49" t="s">
        <v>4757</v>
      </c>
      <c r="E2090" s="49" t="s">
        <v>2547</v>
      </c>
      <c r="F2090" s="10" t="str">
        <f>IFERROR(VLOOKUP(VENTAS[[#This Row],[Código del producto Vendido]],STOCK[],5,FALSE),"-")</f>
        <v>Pullover largo unicolor tela traslúcida negro</v>
      </c>
      <c r="G2090" s="49">
        <v>1</v>
      </c>
      <c r="H2090" s="48">
        <v>10</v>
      </c>
      <c r="I2090" s="12">
        <f>VENTAS[[#This Row],[Cantidad]]*VENTAS[[#This Row],[Precio Venta]]</f>
        <v>10</v>
      </c>
      <c r="J2090" s="12">
        <f>IF(VENTAS[[#This Row],[Nombre del Gestor]]&gt;1,VENTAS[[#This Row],[Total]]*10%,0)</f>
        <v>1</v>
      </c>
      <c r="K2090" s="12">
        <f>IFERROR(VLOOKUP(VENTAS[[#This Row],[Código del producto Vendido]],STOCK[],16,FALSE)*VENTAS[[#This Row],[Cantidad]]+VLOOKUP(VENTAS[[#This Row],[Código del producto Vendido]],STOCK[],19,FALSE)*VENTAS[[#This Row],[Cantidad]],VENTAS[[#This Row],[Total]])</f>
        <v>4.32</v>
      </c>
      <c r="L2090" s="12">
        <f>VENTAS[[#This Row],[Total]]-VENTAS[[#This Row],[Comisión 10%]]-VENTAS[[#This Row],[Costo SIN Comision]]</f>
        <v>4.68</v>
      </c>
      <c r="M2090" s="49"/>
      <c r="N2090" s="16" t="s">
        <v>5085</v>
      </c>
    </row>
    <row r="2091" spans="1:14" ht="13" hidden="1" customHeight="1">
      <c r="A2091" s="46">
        <v>45599</v>
      </c>
      <c r="B2091" s="49"/>
      <c r="C2091" s="49"/>
      <c r="D2091" s="49" t="s">
        <v>4757</v>
      </c>
      <c r="E2091" s="49" t="s">
        <v>3434</v>
      </c>
      <c r="F2091" s="10" t="str">
        <f>IFERROR(VLOOKUP(VENTAS[[#This Row],[Código del producto Vendido]],STOCK[],5,FALSE),"-")</f>
        <v>Pullover rojo de gatico</v>
      </c>
      <c r="G2091" s="49">
        <v>1</v>
      </c>
      <c r="H2091" s="48">
        <v>12</v>
      </c>
      <c r="I2091" s="12">
        <f>VENTAS[[#This Row],[Cantidad]]*VENTAS[[#This Row],[Precio Venta]]</f>
        <v>12</v>
      </c>
      <c r="J2091" s="12">
        <f>IF(VENTAS[[#This Row],[Nombre del Gestor]]&gt;1,VENTAS[[#This Row],[Total]]*10%,0)</f>
        <v>1.2000000000000002</v>
      </c>
      <c r="K2091" s="12">
        <f>IFERROR(VLOOKUP(VENTAS[[#This Row],[Código del producto Vendido]],STOCK[],16,FALSE)*VENTAS[[#This Row],[Cantidad]]+VLOOKUP(VENTAS[[#This Row],[Código del producto Vendido]],STOCK[],19,FALSE)*VENTAS[[#This Row],[Cantidad]],VENTAS[[#This Row],[Total]])</f>
        <v>0</v>
      </c>
      <c r="L2091" s="12">
        <f>VENTAS[[#This Row],[Total]]-VENTAS[[#This Row],[Comisión 10%]]-VENTAS[[#This Row],[Costo SIN Comision]]</f>
        <v>10.8</v>
      </c>
      <c r="M2091" s="49"/>
      <c r="N2091" s="16" t="s">
        <v>5086</v>
      </c>
    </row>
    <row r="2092" spans="1:14" ht="13" hidden="1" customHeight="1">
      <c r="A2092" s="46">
        <v>45599</v>
      </c>
      <c r="B2092" s="49"/>
      <c r="C2092" s="49"/>
      <c r="D2092" s="49" t="s">
        <v>4757</v>
      </c>
      <c r="E2092" s="49" t="s">
        <v>3437</v>
      </c>
      <c r="F2092" s="10" t="str">
        <f>IFERROR(VLOOKUP(VENTAS[[#This Row],[Código del producto Vendido]],STOCK[],5,FALSE),"-")</f>
        <v>Pullover naranja calabaza</v>
      </c>
      <c r="G2092" s="49">
        <v>1</v>
      </c>
      <c r="H2092" s="48">
        <v>12</v>
      </c>
      <c r="I2092" s="12">
        <f>VENTAS[[#This Row],[Cantidad]]*VENTAS[[#This Row],[Precio Venta]]</f>
        <v>12</v>
      </c>
      <c r="J2092" s="12">
        <f>IF(VENTAS[[#This Row],[Nombre del Gestor]]&gt;1,VENTAS[[#This Row],[Total]]*10%,0)</f>
        <v>1.2000000000000002</v>
      </c>
      <c r="K2092" s="12">
        <f>IFERROR(VLOOKUP(VENTAS[[#This Row],[Código del producto Vendido]],STOCK[],16,FALSE)*VENTAS[[#This Row],[Cantidad]]+VLOOKUP(VENTAS[[#This Row],[Código del producto Vendido]],STOCK[],19,FALSE)*VENTAS[[#This Row],[Cantidad]],VENTAS[[#This Row],[Total]])</f>
        <v>0</v>
      </c>
      <c r="L2092" s="12">
        <f>VENTAS[[#This Row],[Total]]-VENTAS[[#This Row],[Comisión 10%]]-VENTAS[[#This Row],[Costo SIN Comision]]</f>
        <v>10.8</v>
      </c>
      <c r="M2092" s="49"/>
      <c r="N2092" s="16" t="s">
        <v>5087</v>
      </c>
    </row>
    <row r="2093" spans="1:14" ht="13" hidden="1" customHeight="1">
      <c r="A2093" s="46">
        <v>45599</v>
      </c>
      <c r="B2093" s="49"/>
      <c r="C2093" s="49"/>
      <c r="D2093" s="49" t="s">
        <v>4757</v>
      </c>
      <c r="E2093" s="49" t="s">
        <v>3112</v>
      </c>
      <c r="F2093" s="10" t="str">
        <f>IFERROR(VLOOKUP(VENTAS[[#This Row],[Código del producto Vendido]],STOCK[],5,FALSE),"-")</f>
        <v>Top jersey de listas de manga media Marca H&amp;M</v>
      </c>
      <c r="G2093" s="49">
        <v>1</v>
      </c>
      <c r="H2093" s="48">
        <v>15</v>
      </c>
      <c r="I2093" s="12">
        <f>VENTAS[[#This Row],[Cantidad]]*VENTAS[[#This Row],[Precio Venta]]</f>
        <v>15</v>
      </c>
      <c r="J2093" s="12">
        <f>IF(VENTAS[[#This Row],[Nombre del Gestor]]&gt;1,VENTAS[[#This Row],[Total]]*10%,0)</f>
        <v>1.5</v>
      </c>
      <c r="K2093" s="12">
        <f>IFERROR(VLOOKUP(VENTAS[[#This Row],[Código del producto Vendido]],STOCK[],16,FALSE)*VENTAS[[#This Row],[Cantidad]]+VLOOKUP(VENTAS[[#This Row],[Código del producto Vendido]],STOCK[],19,FALSE)*VENTAS[[#This Row],[Cantidad]],VENTAS[[#This Row],[Total]])</f>
        <v>8</v>
      </c>
      <c r="L2093" s="12">
        <f>VENTAS[[#This Row],[Total]]-VENTAS[[#This Row],[Comisión 10%]]-VENTAS[[#This Row],[Costo SIN Comision]]</f>
        <v>5.5</v>
      </c>
      <c r="M2093" s="49"/>
      <c r="N2093" s="16" t="s">
        <v>5088</v>
      </c>
    </row>
    <row r="2094" spans="1:14" ht="13" hidden="1" customHeight="1">
      <c r="A2094" s="46">
        <v>45599</v>
      </c>
      <c r="B2094" s="49"/>
      <c r="C2094" s="49"/>
      <c r="D2094" s="49" t="s">
        <v>4349</v>
      </c>
      <c r="E2094" s="49" t="s">
        <v>2843</v>
      </c>
      <c r="F2094" s="10" t="str">
        <f>IFERROR(VLOOKUP(VENTAS[[#This Row],[Código del producto Vendido]],STOCK[],5,FALSE),"-")</f>
        <v>Bolso de ratán unicolor con ribete negro</v>
      </c>
      <c r="G2094" s="49">
        <v>1</v>
      </c>
      <c r="H2094" s="48">
        <v>30</v>
      </c>
      <c r="I2094" s="12">
        <f>VENTAS[[#This Row],[Cantidad]]*VENTAS[[#This Row],[Precio Venta]]</f>
        <v>30</v>
      </c>
      <c r="J2094" s="12">
        <f>IF(VENTAS[[#This Row],[Nombre del Gestor]]&gt;1,VENTAS[[#This Row],[Total]]*10%,0)</f>
        <v>3</v>
      </c>
      <c r="K2094" s="12">
        <f>IFERROR(VLOOKUP(VENTAS[[#This Row],[Código del producto Vendido]],STOCK[],16,FALSE)*VENTAS[[#This Row],[Cantidad]]+VLOOKUP(VENTAS[[#This Row],[Código del producto Vendido]],STOCK[],19,FALSE)*VENTAS[[#This Row],[Cantidad]],VENTAS[[#This Row],[Total]])</f>
        <v>15.59</v>
      </c>
      <c r="L2094" s="12">
        <f>VENTAS[[#This Row],[Total]]-VENTAS[[#This Row],[Comisión 10%]]-VENTAS[[#This Row],[Costo SIN Comision]]</f>
        <v>11.41</v>
      </c>
      <c r="M2094" s="49"/>
      <c r="N2094" s="16" t="s">
        <v>5089</v>
      </c>
    </row>
    <row r="2095" spans="1:14" ht="13" hidden="1" customHeight="1">
      <c r="A2095" s="46">
        <v>45600</v>
      </c>
      <c r="B2095" s="49"/>
      <c r="C2095" s="49" t="s">
        <v>5090</v>
      </c>
      <c r="D2095" s="49"/>
      <c r="E2095" s="49" t="s">
        <v>3224</v>
      </c>
      <c r="F2095" s="10" t="str">
        <f>IFERROR(VLOOKUP(VENTAS[[#This Row],[Código del producto Vendido]],STOCK[],5,FALSE),"-")</f>
        <v>Enguatada azul navy de cuello tortuga con zíper de tejido de punto grueso de gran calidad Marca H&amp;M</v>
      </c>
      <c r="G2095" s="49">
        <v>1</v>
      </c>
      <c r="H2095" s="48">
        <v>35</v>
      </c>
      <c r="I2095" s="12">
        <f>VENTAS[[#This Row],[Cantidad]]*VENTAS[[#This Row],[Precio Venta]]</f>
        <v>35</v>
      </c>
      <c r="J2095" s="12">
        <f>IF(VENTAS[[#This Row],[Nombre del Gestor]]&gt;1,VENTAS[[#This Row],[Total]]*10%,0)</f>
        <v>0</v>
      </c>
      <c r="K2095" s="12">
        <f>IFERROR(VLOOKUP(VENTAS[[#This Row],[Código del producto Vendido]],STOCK[],16,FALSE)*VENTAS[[#This Row],[Cantidad]]+VLOOKUP(VENTAS[[#This Row],[Código del producto Vendido]],STOCK[],19,FALSE)*VENTAS[[#This Row],[Cantidad]],VENTAS[[#This Row],[Total]])</f>
        <v>12</v>
      </c>
      <c r="L2095" s="12">
        <f>VENTAS[[#This Row],[Total]]-VENTAS[[#This Row],[Comisión 10%]]-VENTAS[[#This Row],[Costo SIN Comision]]</f>
        <v>23</v>
      </c>
      <c r="M2095" s="49"/>
      <c r="N2095" s="16" t="s">
        <v>5091</v>
      </c>
    </row>
    <row r="2096" spans="1:14" ht="13" hidden="1" customHeight="1">
      <c r="A2096" s="46">
        <v>45600</v>
      </c>
      <c r="B2096" s="49"/>
      <c r="C2096" s="49"/>
      <c r="D2096" s="49" t="s">
        <v>4184</v>
      </c>
      <c r="E2096" s="49" t="s">
        <v>3243</v>
      </c>
      <c r="F2096" s="10" t="str">
        <f>IFERROR(VLOOKUP(VENTAS[[#This Row],[Código del producto Vendido]],STOCK[],5,FALSE),"-")</f>
        <v>Jogger gris jaspeado con bolsillos discretos Marca H&amp;M</v>
      </c>
      <c r="G2096" s="49">
        <v>1</v>
      </c>
      <c r="H2096" s="48">
        <v>30</v>
      </c>
      <c r="I2096" s="12">
        <f>VENTAS[[#This Row],[Cantidad]]*VENTAS[[#This Row],[Precio Venta]]</f>
        <v>30</v>
      </c>
      <c r="J2096" s="12">
        <f>IF(VENTAS[[#This Row],[Nombre del Gestor]]&gt;1,VENTAS[[#This Row],[Total]]*10%,0)</f>
        <v>3</v>
      </c>
      <c r="K2096" s="12">
        <f>IFERROR(VLOOKUP(VENTAS[[#This Row],[Código del producto Vendido]],STOCK[],16,FALSE)*VENTAS[[#This Row],[Cantidad]]+VLOOKUP(VENTAS[[#This Row],[Código del producto Vendido]],STOCK[],19,FALSE)*VENTAS[[#This Row],[Cantidad]],VENTAS[[#This Row],[Total]])</f>
        <v>12</v>
      </c>
      <c r="L2096" s="12">
        <f>VENTAS[[#This Row],[Total]]-VENTAS[[#This Row],[Comisión 10%]]-VENTAS[[#This Row],[Costo SIN Comision]]</f>
        <v>15</v>
      </c>
      <c r="M2096" s="49"/>
      <c r="N2096" s="16" t="s">
        <v>5092</v>
      </c>
    </row>
    <row r="2097" spans="1:14" ht="13" hidden="1" customHeight="1">
      <c r="A2097" s="46">
        <v>45600</v>
      </c>
      <c r="B2097" s="49"/>
      <c r="C2097" s="49"/>
      <c r="D2097" s="49" t="s">
        <v>4184</v>
      </c>
      <c r="E2097" s="49" t="s">
        <v>3200</v>
      </c>
      <c r="F2097" s="10" t="str">
        <f>IFERROR(VLOOKUP(VENTAS[[#This Row],[Código del producto Vendido]],STOCK[],5,FALSE),"-")</f>
        <v>Pullover de hombre Loose Fit de gran calidad de cuello redondo negro Marca H&amp;M</v>
      </c>
      <c r="G2097" s="49">
        <v>1</v>
      </c>
      <c r="H2097" s="48">
        <v>18</v>
      </c>
      <c r="I2097" s="12">
        <f>VENTAS[[#This Row],[Cantidad]]*VENTAS[[#This Row],[Precio Venta]]</f>
        <v>18</v>
      </c>
      <c r="J2097" s="12">
        <f>IF(VENTAS[[#This Row],[Nombre del Gestor]]&gt;1,VENTAS[[#This Row],[Total]]*10%,0)</f>
        <v>1.8</v>
      </c>
      <c r="K2097" s="12">
        <f>IFERROR(VLOOKUP(VENTAS[[#This Row],[Código del producto Vendido]],STOCK[],16,FALSE)*VENTAS[[#This Row],[Cantidad]]+VLOOKUP(VENTAS[[#This Row],[Código del producto Vendido]],STOCK[],19,FALSE)*VENTAS[[#This Row],[Cantidad]],VENTAS[[#This Row],[Total]])</f>
        <v>10</v>
      </c>
      <c r="L2097" s="12">
        <f>VENTAS[[#This Row],[Total]]-VENTAS[[#This Row],[Comisión 10%]]-VENTAS[[#This Row],[Costo SIN Comision]]</f>
        <v>6.1999999999999993</v>
      </c>
      <c r="M2097" s="49"/>
      <c r="N2097" s="16" t="s">
        <v>5093</v>
      </c>
    </row>
    <row r="2098" spans="1:14" ht="13" hidden="1" customHeight="1">
      <c r="A2098" s="46">
        <v>45600</v>
      </c>
      <c r="B2098" s="49"/>
      <c r="C2098" s="49"/>
      <c r="D2098" s="49" t="s">
        <v>4184</v>
      </c>
      <c r="E2098" s="49" t="s">
        <v>3199</v>
      </c>
      <c r="F2098" s="10" t="str">
        <f>IFERROR(VLOOKUP(VENTAS[[#This Row],[Código del producto Vendido]],STOCK[],5,FALSE),"-")</f>
        <v>Pullover de hombre Loose Fit de gran calidad de cuello redondo negro Marca H&amp;M</v>
      </c>
      <c r="G2098" s="49">
        <v>1</v>
      </c>
      <c r="H2098" s="48">
        <v>18</v>
      </c>
      <c r="I2098" s="12">
        <f>VENTAS[[#This Row],[Cantidad]]*VENTAS[[#This Row],[Precio Venta]]</f>
        <v>18</v>
      </c>
      <c r="J2098" s="12">
        <f>IF(VENTAS[[#This Row],[Nombre del Gestor]]&gt;1,VENTAS[[#This Row],[Total]]*10%,0)</f>
        <v>1.8</v>
      </c>
      <c r="K2098" s="12">
        <f>IFERROR(VLOOKUP(VENTAS[[#This Row],[Código del producto Vendido]],STOCK[],16,FALSE)*VENTAS[[#This Row],[Cantidad]]+VLOOKUP(VENTAS[[#This Row],[Código del producto Vendido]],STOCK[],19,FALSE)*VENTAS[[#This Row],[Cantidad]],VENTAS[[#This Row],[Total]])</f>
        <v>10</v>
      </c>
      <c r="L2098" s="12">
        <f>VENTAS[[#This Row],[Total]]-VENTAS[[#This Row],[Comisión 10%]]-VENTAS[[#This Row],[Costo SIN Comision]]</f>
        <v>6.1999999999999993</v>
      </c>
      <c r="M2098" s="49"/>
      <c r="N2098" s="16" t="s">
        <v>5094</v>
      </c>
    </row>
    <row r="2099" spans="1:14" ht="13" hidden="1" customHeight="1">
      <c r="A2099" s="46">
        <v>45600</v>
      </c>
      <c r="B2099" s="49"/>
      <c r="C2099" s="49"/>
      <c r="D2099" s="49" t="s">
        <v>4757</v>
      </c>
      <c r="E2099" s="49" t="s">
        <v>3112</v>
      </c>
      <c r="F2099" s="10" t="str">
        <f>IFERROR(VLOOKUP(VENTAS[[#This Row],[Código del producto Vendido]],STOCK[],5,FALSE),"-")</f>
        <v>Top jersey de listas de manga media Marca H&amp;M</v>
      </c>
      <c r="G2099" s="49">
        <v>1</v>
      </c>
      <c r="H2099" s="48">
        <v>15</v>
      </c>
      <c r="I2099" s="12">
        <f>VENTAS[[#This Row],[Cantidad]]*VENTAS[[#This Row],[Precio Venta]]</f>
        <v>15</v>
      </c>
      <c r="J2099" s="12">
        <f>IF(VENTAS[[#This Row],[Nombre del Gestor]]&gt;1,VENTAS[[#This Row],[Total]]*10%,0)</f>
        <v>1.5</v>
      </c>
      <c r="K2099" s="12">
        <f>IFERROR(VLOOKUP(VENTAS[[#This Row],[Código del producto Vendido]],STOCK[],16,FALSE)*VENTAS[[#This Row],[Cantidad]]+VLOOKUP(VENTAS[[#This Row],[Código del producto Vendido]],STOCK[],19,FALSE)*VENTAS[[#This Row],[Cantidad]],VENTAS[[#This Row],[Total]])</f>
        <v>8</v>
      </c>
      <c r="L2099" s="12">
        <f>VENTAS[[#This Row],[Total]]-VENTAS[[#This Row],[Comisión 10%]]-VENTAS[[#This Row],[Costo SIN Comision]]</f>
        <v>5.5</v>
      </c>
      <c r="M2099" s="49"/>
      <c r="N2099" s="16" t="s">
        <v>5095</v>
      </c>
    </row>
    <row r="2100" spans="1:14" ht="13" hidden="1" customHeight="1">
      <c r="A2100" s="46">
        <v>45600</v>
      </c>
      <c r="B2100" s="49"/>
      <c r="C2100" s="49"/>
      <c r="D2100" s="49" t="s">
        <v>4374</v>
      </c>
      <c r="E2100" s="49" t="s">
        <v>1907</v>
      </c>
      <c r="F2100" s="10" t="str">
        <f>IFERROR(VLOOKUP(VENTAS[[#This Row],[Código del producto Vendido]],STOCK[],5,FALSE),"-")</f>
        <v>Blusa estampada de Lunares</v>
      </c>
      <c r="G2100" s="49">
        <v>1</v>
      </c>
      <c r="H2100" s="48">
        <v>14</v>
      </c>
      <c r="I2100" s="12">
        <f>VENTAS[[#This Row],[Cantidad]]*VENTAS[[#This Row],[Precio Venta]]</f>
        <v>14</v>
      </c>
      <c r="J2100" s="12">
        <f>IF(VENTAS[[#This Row],[Nombre del Gestor]]&gt;1,VENTAS[[#This Row],[Total]]*10%,0)</f>
        <v>1.4000000000000001</v>
      </c>
      <c r="K2100" s="12">
        <f>IFERROR(VLOOKUP(VENTAS[[#This Row],[Código del producto Vendido]],STOCK[],16,FALSE)*VENTAS[[#This Row],[Cantidad]]+VLOOKUP(VENTAS[[#This Row],[Código del producto Vendido]],STOCK[],19,FALSE)*VENTAS[[#This Row],[Cantidad]],VENTAS[[#This Row],[Total]])</f>
        <v>9.1999999999999993</v>
      </c>
      <c r="L2100" s="12">
        <f>VENTAS[[#This Row],[Total]]-VENTAS[[#This Row],[Comisión 10%]]-VENTAS[[#This Row],[Costo SIN Comision]]</f>
        <v>3.4000000000000004</v>
      </c>
      <c r="M2100" s="49"/>
      <c r="N2100" s="16" t="s">
        <v>5096</v>
      </c>
    </row>
    <row r="2101" spans="1:14" ht="13" hidden="1" customHeight="1">
      <c r="A2101" s="46">
        <v>45600</v>
      </c>
      <c r="B2101" s="49"/>
      <c r="C2101" s="49"/>
      <c r="D2101" s="49" t="s">
        <v>4374</v>
      </c>
      <c r="E2101" s="49" t="s">
        <v>2567</v>
      </c>
      <c r="F2101" s="10" t="str">
        <f>IFERROR(VLOOKUP(VENTAS[[#This Row],[Código del producto Vendido]],STOCK[],5,FALSE),"-")</f>
        <v xml:space="preserve">Top corto de lazo delantero </v>
      </c>
      <c r="G2101" s="49">
        <v>1</v>
      </c>
      <c r="H2101" s="48">
        <v>17</v>
      </c>
      <c r="I2101" s="12">
        <f>VENTAS[[#This Row],[Cantidad]]*VENTAS[[#This Row],[Precio Venta]]</f>
        <v>17</v>
      </c>
      <c r="J2101" s="12">
        <f>IF(VENTAS[[#This Row],[Nombre del Gestor]]&gt;1,VENTAS[[#This Row],[Total]]*10%,0)</f>
        <v>1.7000000000000002</v>
      </c>
      <c r="K2101" s="12">
        <f>IFERROR(VLOOKUP(VENTAS[[#This Row],[Código del producto Vendido]],STOCK[],16,FALSE)*VENTAS[[#This Row],[Cantidad]]+VLOOKUP(VENTAS[[#This Row],[Código del producto Vendido]],STOCK[],19,FALSE)*VENTAS[[#This Row],[Cantidad]],VENTAS[[#This Row],[Total]])</f>
        <v>11.450000000000001</v>
      </c>
      <c r="L2101" s="12">
        <f>VENTAS[[#This Row],[Total]]-VENTAS[[#This Row],[Comisión 10%]]-VENTAS[[#This Row],[Costo SIN Comision]]</f>
        <v>3.8499999999999996</v>
      </c>
      <c r="M2101" s="49"/>
      <c r="N2101" s="16" t="s">
        <v>5097</v>
      </c>
    </row>
    <row r="2102" spans="1:14" ht="13" hidden="1" customHeight="1">
      <c r="A2102" s="46">
        <v>45607</v>
      </c>
      <c r="B2102" s="49"/>
      <c r="C2102" s="49" t="s">
        <v>5098</v>
      </c>
      <c r="D2102" s="49"/>
      <c r="E2102" s="49" t="s">
        <v>3173</v>
      </c>
      <c r="F2102" s="10" t="str">
        <f>IFERROR(VLOOKUP(VENTAS[[#This Row],[Código del producto Vendido]],STOCK[],5,FALSE),"-")</f>
        <v>Pullover polo blanco muscle fit de cuello con zíper Marca H&amp;M</v>
      </c>
      <c r="G2102" s="49">
        <v>1</v>
      </c>
      <c r="H2102" s="48">
        <v>25</v>
      </c>
      <c r="I2102" s="12">
        <f>VENTAS[[#This Row],[Cantidad]]*VENTAS[[#This Row],[Precio Venta]]</f>
        <v>25</v>
      </c>
      <c r="J2102" s="12">
        <f>IF(VENTAS[[#This Row],[Nombre del Gestor]]&gt;1,VENTAS[[#This Row],[Total]]*10%,0)</f>
        <v>0</v>
      </c>
      <c r="K2102" s="12">
        <f>IFERROR(VLOOKUP(VENTAS[[#This Row],[Código del producto Vendido]],STOCK[],16,FALSE)*VENTAS[[#This Row],[Cantidad]]+VLOOKUP(VENTAS[[#This Row],[Código del producto Vendido]],STOCK[],19,FALSE)*VENTAS[[#This Row],[Cantidad]],VENTAS[[#This Row],[Total]])</f>
        <v>10</v>
      </c>
      <c r="L2102" s="12">
        <f>VENTAS[[#This Row],[Total]]-VENTAS[[#This Row],[Comisión 10%]]-VENTAS[[#This Row],[Costo SIN Comision]]</f>
        <v>15</v>
      </c>
      <c r="M2102" s="49"/>
      <c r="N2102" s="16" t="s">
        <v>5099</v>
      </c>
    </row>
    <row r="2103" spans="1:14" ht="13" hidden="1" customHeight="1">
      <c r="A2103" s="46">
        <v>45607</v>
      </c>
      <c r="B2103" s="49"/>
      <c r="C2103" s="49" t="s">
        <v>5098</v>
      </c>
      <c r="D2103" s="49"/>
      <c r="E2103" s="49" t="s">
        <v>3177</v>
      </c>
      <c r="F2103" s="10" t="str">
        <f>IFERROR(VLOOKUP(VENTAS[[#This Row],[Código del producto Vendido]],STOCK[],5,FALSE),"-")</f>
        <v>Pullover polo negro muscle fit de cuello con zíper Marca H&amp;M</v>
      </c>
      <c r="G2103" s="49">
        <v>1</v>
      </c>
      <c r="H2103" s="48">
        <v>25</v>
      </c>
      <c r="I2103" s="12">
        <f>VENTAS[[#This Row],[Cantidad]]*VENTAS[[#This Row],[Precio Venta]]</f>
        <v>25</v>
      </c>
      <c r="J2103" s="12">
        <f>IF(VENTAS[[#This Row],[Nombre del Gestor]]&gt;1,VENTAS[[#This Row],[Total]]*10%,0)</f>
        <v>0</v>
      </c>
      <c r="K2103" s="12">
        <f>IFERROR(VLOOKUP(VENTAS[[#This Row],[Código del producto Vendido]],STOCK[],16,FALSE)*VENTAS[[#This Row],[Cantidad]]+VLOOKUP(VENTAS[[#This Row],[Código del producto Vendido]],STOCK[],19,FALSE)*VENTAS[[#This Row],[Cantidad]],VENTAS[[#This Row],[Total]])</f>
        <v>10</v>
      </c>
      <c r="L2103" s="12">
        <f>VENTAS[[#This Row],[Total]]-VENTAS[[#This Row],[Comisión 10%]]-VENTAS[[#This Row],[Costo SIN Comision]]</f>
        <v>15</v>
      </c>
      <c r="M2103" s="49"/>
      <c r="N2103" s="16" t="s">
        <v>5100</v>
      </c>
    </row>
    <row r="2104" spans="1:14" ht="13" hidden="1" customHeight="1">
      <c r="A2104" s="46">
        <v>45601</v>
      </c>
      <c r="B2104" s="49"/>
      <c r="C2104" s="49"/>
      <c r="D2104" s="49" t="s">
        <v>4571</v>
      </c>
      <c r="E2104" s="49" t="s">
        <v>2942</v>
      </c>
      <c r="F2104" s="10" t="str">
        <f>IFERROR(VLOOKUP(VENTAS[[#This Row],[Código del producto Vendido]],STOCK[],5,FALSE),"-")</f>
        <v>Vestido maxi sólido con espalda ajustable</v>
      </c>
      <c r="G2104" s="49">
        <v>1</v>
      </c>
      <c r="H2104" s="48">
        <v>25</v>
      </c>
      <c r="I2104" s="12">
        <f>VENTAS[[#This Row],[Cantidad]]*VENTAS[[#This Row],[Precio Venta]]</f>
        <v>25</v>
      </c>
      <c r="J2104" s="12">
        <f>IF(VENTAS[[#This Row],[Nombre del Gestor]]&gt;1,VENTAS[[#This Row],[Total]]*10%,0)</f>
        <v>2.5</v>
      </c>
      <c r="K2104" s="12">
        <f>IFERROR(VLOOKUP(VENTAS[[#This Row],[Código del producto Vendido]],STOCK[],16,FALSE)*VENTAS[[#This Row],[Cantidad]]+VLOOKUP(VENTAS[[#This Row],[Código del producto Vendido]],STOCK[],19,FALSE)*VENTAS[[#This Row],[Cantidad]],VENTAS[[#This Row],[Total]])</f>
        <v>10.790000000000001</v>
      </c>
      <c r="L2104" s="12">
        <f>VENTAS[[#This Row],[Total]]-VENTAS[[#This Row],[Comisión 10%]]-VENTAS[[#This Row],[Costo SIN Comision]]</f>
        <v>11.709999999999999</v>
      </c>
      <c r="M2104" s="49"/>
      <c r="N2104" s="16" t="s">
        <v>5101</v>
      </c>
    </row>
    <row r="2105" spans="1:14" ht="13" hidden="1" customHeight="1">
      <c r="A2105" s="46">
        <v>45601</v>
      </c>
      <c r="B2105" s="49"/>
      <c r="C2105" s="49"/>
      <c r="D2105" s="49" t="s">
        <v>4374</v>
      </c>
      <c r="E2105" s="49" t="s">
        <v>2934</v>
      </c>
      <c r="F2105" s="10" t="str">
        <f>IFERROR(VLOOKUP(VENTAS[[#This Row],[Código del producto Vendido]],STOCK[],5,FALSE),"-")</f>
        <v>Jeans de talle alto y pierna ancha color azul claro</v>
      </c>
      <c r="G2105" s="49">
        <v>1</v>
      </c>
      <c r="H2105" s="48">
        <v>30</v>
      </c>
      <c r="I2105" s="12">
        <f>VENTAS[[#This Row],[Cantidad]]*VENTAS[[#This Row],[Precio Venta]]</f>
        <v>30</v>
      </c>
      <c r="J2105" s="12">
        <f>IF(VENTAS[[#This Row],[Nombre del Gestor]]&gt;1,VENTAS[[#This Row],[Total]]*10%,0)</f>
        <v>3</v>
      </c>
      <c r="K2105" s="12">
        <f>IFERROR(VLOOKUP(VENTAS[[#This Row],[Código del producto Vendido]],STOCK[],16,FALSE)*VENTAS[[#This Row],[Cantidad]]+VLOOKUP(VENTAS[[#This Row],[Código del producto Vendido]],STOCK[],19,FALSE)*VENTAS[[#This Row],[Cantidad]],VENTAS[[#This Row],[Total]])</f>
        <v>12.46</v>
      </c>
      <c r="L2105" s="12">
        <f>VENTAS[[#This Row],[Total]]-VENTAS[[#This Row],[Comisión 10%]]-VENTAS[[#This Row],[Costo SIN Comision]]</f>
        <v>14.54</v>
      </c>
      <c r="M2105" s="49"/>
      <c r="N2105" s="16" t="s">
        <v>5102</v>
      </c>
    </row>
    <row r="2106" spans="1:14" ht="13" hidden="1" customHeight="1">
      <c r="A2106" s="46">
        <v>45574</v>
      </c>
      <c r="B2106" s="49"/>
      <c r="C2106" s="49"/>
      <c r="D2106" s="49" t="s">
        <v>5103</v>
      </c>
      <c r="E2106" s="49" t="s">
        <v>2960</v>
      </c>
      <c r="F2106" s="10" t="s">
        <v>2959</v>
      </c>
      <c r="G2106" s="49">
        <v>1</v>
      </c>
      <c r="H2106" s="48">
        <v>30</v>
      </c>
      <c r="I2106" s="12">
        <f>VENTAS[[#This Row],[Cantidad]]*VENTAS[[#This Row],[Precio Venta]]</f>
        <v>30</v>
      </c>
      <c r="J2106" s="12">
        <f>IF(VENTAS[[#This Row],[Nombre del Gestor]]&gt;1,VENTAS[[#This Row],[Total]]*10%,0)</f>
        <v>3</v>
      </c>
      <c r="K2106" s="12">
        <f>IFERROR(VLOOKUP(VENTAS[[#This Row],[Código del producto Vendido]],STOCK[],16,FALSE)*VENTAS[[#This Row],[Cantidad]]+VLOOKUP(VENTAS[[#This Row],[Código del producto Vendido]],STOCK[],19,FALSE)*VENTAS[[#This Row],[Cantidad]],VENTAS[[#This Row],[Total]])</f>
        <v>15.13</v>
      </c>
      <c r="L2106" s="12">
        <f>VENTAS[[#This Row],[Total]]-VENTAS[[#This Row],[Comisión 10%]]-VENTAS[[#This Row],[Costo SIN Comision]]</f>
        <v>11.87</v>
      </c>
      <c r="M2106" s="49"/>
      <c r="N2106" s="16" t="s">
        <v>5104</v>
      </c>
    </row>
    <row r="2107" spans="1:14" ht="13" hidden="1" customHeight="1">
      <c r="A2107" s="46">
        <v>45574</v>
      </c>
      <c r="B2107" s="49"/>
      <c r="C2107" s="49"/>
      <c r="D2107" s="49" t="s">
        <v>5105</v>
      </c>
      <c r="E2107" s="49" t="s">
        <v>2431</v>
      </c>
      <c r="F2107" s="10" t="s">
        <v>2427</v>
      </c>
      <c r="G2107" s="49">
        <v>1</v>
      </c>
      <c r="H2107" s="48">
        <v>23</v>
      </c>
      <c r="I2107" s="12">
        <f>VENTAS[[#This Row],[Cantidad]]*VENTAS[[#This Row],[Precio Venta]]</f>
        <v>23</v>
      </c>
      <c r="J2107" s="12">
        <f>IF(VENTAS[[#This Row],[Nombre del Gestor]]&gt;1,VENTAS[[#This Row],[Total]]*10%,0)</f>
        <v>2.3000000000000003</v>
      </c>
      <c r="K2107" s="12">
        <f>IFERROR(VLOOKUP(VENTAS[[#This Row],[Código del producto Vendido]],STOCK[],16,FALSE)*VENTAS[[#This Row],[Cantidad]]+VLOOKUP(VENTAS[[#This Row],[Código del producto Vendido]],STOCK[],19,FALSE)*VENTAS[[#This Row],[Cantidad]],VENTAS[[#This Row],[Total]])</f>
        <v>11.43533490011751</v>
      </c>
      <c r="L2107" s="12">
        <f>VENTAS[[#This Row],[Total]]-VENTAS[[#This Row],[Comisión 10%]]-VENTAS[[#This Row],[Costo SIN Comision]]</f>
        <v>9.2646650998824889</v>
      </c>
      <c r="M2107" s="49"/>
      <c r="N2107" s="16" t="s">
        <v>5106</v>
      </c>
    </row>
    <row r="2108" spans="1:14" ht="13" hidden="1" customHeight="1">
      <c r="A2108" s="46">
        <v>45574</v>
      </c>
      <c r="B2108" s="49"/>
      <c r="C2108" s="49"/>
      <c r="D2108" s="49" t="s">
        <v>5107</v>
      </c>
      <c r="E2108" s="49" t="s">
        <v>3344</v>
      </c>
      <c r="F2108" s="10" t="s">
        <v>3345</v>
      </c>
      <c r="G2108" s="49">
        <v>1</v>
      </c>
      <c r="H2108" s="48">
        <v>25</v>
      </c>
      <c r="I2108" s="12">
        <f>VENTAS[[#This Row],[Cantidad]]*VENTAS[[#This Row],[Precio Venta]]</f>
        <v>25</v>
      </c>
      <c r="J2108" s="12">
        <f>IF(VENTAS[[#This Row],[Nombre del Gestor]]&gt;1,VENTAS[[#This Row],[Total]]*10%,0)</f>
        <v>2.5</v>
      </c>
      <c r="K2108" s="12">
        <f>IFERROR(VLOOKUP(VENTAS[[#This Row],[Código del producto Vendido]],STOCK[],16,FALSE)*VENTAS[[#This Row],[Cantidad]]+VLOOKUP(VENTAS[[#This Row],[Código del producto Vendido]],STOCK[],19,FALSE)*VENTAS[[#This Row],[Cantidad]],VENTAS[[#This Row],[Total]])</f>
        <v>0</v>
      </c>
      <c r="L2108" s="12">
        <f>VENTAS[[#This Row],[Total]]-VENTAS[[#This Row],[Comisión 10%]]-VENTAS[[#This Row],[Costo SIN Comision]]</f>
        <v>22.5</v>
      </c>
      <c r="M2108" s="49"/>
      <c r="N2108" s="16" t="s">
        <v>5108</v>
      </c>
    </row>
    <row r="2109" spans="1:14" ht="13" hidden="1" customHeight="1">
      <c r="A2109" s="46">
        <v>45574</v>
      </c>
      <c r="B2109" s="49"/>
      <c r="C2109" s="49"/>
      <c r="D2109" s="49" t="s">
        <v>5109</v>
      </c>
      <c r="E2109" s="49" t="s">
        <v>2779</v>
      </c>
      <c r="F2109" s="10" t="s">
        <v>2778</v>
      </c>
      <c r="G2109" s="49">
        <v>1</v>
      </c>
      <c r="H2109" s="48">
        <v>35</v>
      </c>
      <c r="I2109" s="12">
        <f>VENTAS[[#This Row],[Cantidad]]*VENTAS[[#This Row],[Precio Venta]]</f>
        <v>35</v>
      </c>
      <c r="J2109" s="12">
        <f>IF(VENTAS[[#This Row],[Nombre del Gestor]]&gt;1,VENTAS[[#This Row],[Total]]*10%,0)</f>
        <v>3.5</v>
      </c>
      <c r="K2109" s="12">
        <f>IFERROR(VLOOKUP(VENTAS[[#This Row],[Código del producto Vendido]],STOCK[],16,FALSE)*VENTAS[[#This Row],[Cantidad]]+VLOOKUP(VENTAS[[#This Row],[Código del producto Vendido]],STOCK[],19,FALSE)*VENTAS[[#This Row],[Cantidad]],VENTAS[[#This Row],[Total]])</f>
        <v>12.15</v>
      </c>
      <c r="L2109" s="12">
        <f>VENTAS[[#This Row],[Total]]-VENTAS[[#This Row],[Comisión 10%]]-VENTAS[[#This Row],[Costo SIN Comision]]</f>
        <v>19.350000000000001</v>
      </c>
      <c r="M2109" s="49"/>
      <c r="N2109" s="16" t="s">
        <v>5110</v>
      </c>
    </row>
    <row r="2110" spans="1:14" ht="13" hidden="1" customHeight="1">
      <c r="A2110" s="46">
        <v>45574</v>
      </c>
      <c r="B2110" s="49"/>
      <c r="C2110" s="49"/>
      <c r="D2110" s="49" t="s">
        <v>5111</v>
      </c>
      <c r="E2110" s="49" t="s">
        <v>3372</v>
      </c>
      <c r="F2110" s="10" t="s">
        <v>3336</v>
      </c>
      <c r="G2110" s="49">
        <v>1</v>
      </c>
      <c r="H2110" s="48">
        <v>5</v>
      </c>
      <c r="I2110" s="12">
        <f>VENTAS[[#This Row],[Cantidad]]*VENTAS[[#This Row],[Precio Venta]]</f>
        <v>5</v>
      </c>
      <c r="J2110" s="12">
        <f>IF(VENTAS[[#This Row],[Nombre del Gestor]]&gt;1,VENTAS[[#This Row],[Total]]*10%,0)</f>
        <v>0.5</v>
      </c>
      <c r="K2110" s="12">
        <f>IFERROR(VLOOKUP(VENTAS[[#This Row],[Código del producto Vendido]],STOCK[],16,FALSE)*VENTAS[[#This Row],[Cantidad]]+VLOOKUP(VENTAS[[#This Row],[Código del producto Vendido]],STOCK[],19,FALSE)*VENTAS[[#This Row],[Cantidad]],VENTAS[[#This Row],[Total]])</f>
        <v>0</v>
      </c>
      <c r="L2110" s="12">
        <f>VENTAS[[#This Row],[Total]]-VENTAS[[#This Row],[Comisión 10%]]-VENTAS[[#This Row],[Costo SIN Comision]]</f>
        <v>4.5</v>
      </c>
      <c r="M2110" s="49"/>
      <c r="N2110" s="16" t="s">
        <v>5112</v>
      </c>
    </row>
    <row r="2111" spans="1:14" ht="13" hidden="1" customHeight="1">
      <c r="A2111" s="46">
        <v>45602</v>
      </c>
      <c r="B2111" s="49"/>
      <c r="C2111" s="49"/>
      <c r="D2111" s="49" t="s">
        <v>4374</v>
      </c>
      <c r="E2111" s="49" t="s">
        <v>3140</v>
      </c>
      <c r="F2111" s="10" t="str">
        <f>IFERROR(VLOOKUP(VENTAS[[#This Row],[Código del producto Vendido]],STOCK[],5,FALSE),"-")</f>
        <v>Cardigan tejido color crema con botones Marca H&amp;M</v>
      </c>
      <c r="G2111" s="49">
        <v>1</v>
      </c>
      <c r="H2111" s="48">
        <v>22</v>
      </c>
      <c r="I2111" s="12">
        <f>VENTAS[[#This Row],[Cantidad]]*VENTAS[[#This Row],[Precio Venta]]</f>
        <v>22</v>
      </c>
      <c r="J2111" s="12">
        <f>IF(VENTAS[[#This Row],[Nombre del Gestor]]&gt;1,VENTAS[[#This Row],[Total]]*10%,0)</f>
        <v>2.2000000000000002</v>
      </c>
      <c r="K2111" s="12">
        <f>IFERROR(VLOOKUP(VENTAS[[#This Row],[Código del producto Vendido]],STOCK[],16,FALSE)*VENTAS[[#This Row],[Cantidad]]+VLOOKUP(VENTAS[[#This Row],[Código del producto Vendido]],STOCK[],19,FALSE)*VENTAS[[#This Row],[Cantidad]],VENTAS[[#This Row],[Total]])</f>
        <v>12</v>
      </c>
      <c r="L2111" s="12">
        <f>VENTAS[[#This Row],[Total]]-VENTAS[[#This Row],[Comisión 10%]]-VENTAS[[#This Row],[Costo SIN Comision]]</f>
        <v>7.8000000000000007</v>
      </c>
      <c r="M2111" s="49"/>
      <c r="N2111" s="16" t="s">
        <v>5113</v>
      </c>
    </row>
    <row r="2112" spans="1:14" ht="39" hidden="1" customHeight="1">
      <c r="A2112" s="46">
        <v>45607</v>
      </c>
      <c r="B2112" s="49"/>
      <c r="C2112" s="49" t="s">
        <v>5114</v>
      </c>
      <c r="D2112" s="49"/>
      <c r="E2112" s="49" t="s">
        <v>3222</v>
      </c>
      <c r="F2112" s="10" t="str">
        <f>IFERROR(VLOOKUP(VENTAS[[#This Row],[Código del producto Vendido]],STOCK[],5,FALSE),"-")</f>
        <v>Enguatada azul navy de viscosa y cuello redondo Marca H&amp;M</v>
      </c>
      <c r="G2112" s="49">
        <v>1</v>
      </c>
      <c r="H2112" s="48">
        <v>25</v>
      </c>
      <c r="I2112" s="12">
        <f>VENTAS[[#This Row],[Cantidad]]*VENTAS[[#This Row],[Precio Venta]]</f>
        <v>25</v>
      </c>
      <c r="J2112" s="12">
        <f>IF(VENTAS[[#This Row],[Nombre del Gestor]]&gt;1,VENTAS[[#This Row],[Total]]*10%,0)</f>
        <v>0</v>
      </c>
      <c r="K2112" s="12">
        <f>IFERROR(VLOOKUP(VENTAS[[#This Row],[Código del producto Vendido]],STOCK[],16,FALSE)*VENTAS[[#This Row],[Cantidad]]+VLOOKUP(VENTAS[[#This Row],[Código del producto Vendido]],STOCK[],19,FALSE)*VENTAS[[#This Row],[Cantidad]],VENTAS[[#This Row],[Total]])</f>
        <v>12</v>
      </c>
      <c r="L2112" s="12">
        <f>VENTAS[[#This Row],[Total]]-VENTAS[[#This Row],[Comisión 10%]]-VENTAS[[#This Row],[Costo SIN Comision]]</f>
        <v>13</v>
      </c>
      <c r="M2112" s="49"/>
      <c r="N2112" s="16" t="s">
        <v>5115</v>
      </c>
    </row>
    <row r="2113" spans="1:14" ht="13" hidden="1" customHeight="1">
      <c r="A2113" s="46">
        <v>45607</v>
      </c>
      <c r="B2113" s="49"/>
      <c r="C2113" s="49"/>
      <c r="D2113" s="49" t="s">
        <v>4571</v>
      </c>
      <c r="E2113" s="49" t="s">
        <v>1652</v>
      </c>
      <c r="F2113" s="10" t="str">
        <f>IFERROR(VLOOKUP(VENTAS[[#This Row],[Código del producto Vendido]],STOCK[],5,FALSE),"-")</f>
        <v>Vestido Frenchy Azul</v>
      </c>
      <c r="G2113" s="49">
        <v>1</v>
      </c>
      <c r="H2113" s="48">
        <v>20</v>
      </c>
      <c r="I2113" s="12">
        <f>VENTAS[[#This Row],[Cantidad]]*VENTAS[[#This Row],[Precio Venta]]</f>
        <v>20</v>
      </c>
      <c r="J2113" s="12">
        <f>IF(VENTAS[[#This Row],[Nombre del Gestor]]&gt;1,VENTAS[[#This Row],[Total]]*10%,0)</f>
        <v>2</v>
      </c>
      <c r="K2113" s="12">
        <f>IFERROR(VLOOKUP(VENTAS[[#This Row],[Código del producto Vendido]],STOCK[],16,FALSE)*VENTAS[[#This Row],[Cantidad]]+VLOOKUP(VENTAS[[#This Row],[Código del producto Vendido]],STOCK[],19,FALSE)*VENTAS[[#This Row],[Cantidad]],VENTAS[[#This Row],[Total]])</f>
        <v>11.56</v>
      </c>
      <c r="L2113" s="12">
        <f>VENTAS[[#This Row],[Total]]-VENTAS[[#This Row],[Comisión 10%]]-VENTAS[[#This Row],[Costo SIN Comision]]</f>
        <v>6.4399999999999995</v>
      </c>
      <c r="M2113" s="49"/>
      <c r="N2113" s="16" t="s">
        <v>5116</v>
      </c>
    </row>
    <row r="2114" spans="1:14" ht="13" hidden="1" customHeight="1">
      <c r="A2114" s="46">
        <v>45607</v>
      </c>
      <c r="B2114" s="49"/>
      <c r="C2114" s="49"/>
      <c r="D2114" s="49" t="s">
        <v>4571</v>
      </c>
      <c r="E2114" s="49" t="s">
        <v>2934</v>
      </c>
      <c r="F2114" s="10" t="str">
        <f>IFERROR(VLOOKUP(VENTAS[[#This Row],[Código del producto Vendido]],STOCK[],5,FALSE),"-")</f>
        <v>Jeans de talle alto y pierna ancha color azul claro</v>
      </c>
      <c r="G2114" s="49">
        <v>1</v>
      </c>
      <c r="H2114" s="48">
        <v>30</v>
      </c>
      <c r="I2114" s="12">
        <f>VENTAS[[#This Row],[Cantidad]]*VENTAS[[#This Row],[Precio Venta]]</f>
        <v>30</v>
      </c>
      <c r="J2114" s="12">
        <f>IF(VENTAS[[#This Row],[Nombre del Gestor]]&gt;1,VENTAS[[#This Row],[Total]]*10%,0)</f>
        <v>3</v>
      </c>
      <c r="K2114" s="12">
        <f>IFERROR(VLOOKUP(VENTAS[[#This Row],[Código del producto Vendido]],STOCK[],16,FALSE)*VENTAS[[#This Row],[Cantidad]]+VLOOKUP(VENTAS[[#This Row],[Código del producto Vendido]],STOCK[],19,FALSE)*VENTAS[[#This Row],[Cantidad]],VENTAS[[#This Row],[Total]])</f>
        <v>12.46</v>
      </c>
      <c r="L2114" s="12">
        <f>VENTAS[[#This Row],[Total]]-VENTAS[[#This Row],[Comisión 10%]]-VENTAS[[#This Row],[Costo SIN Comision]]</f>
        <v>14.54</v>
      </c>
      <c r="M2114" s="49"/>
      <c r="N2114" s="16" t="s">
        <v>5117</v>
      </c>
    </row>
    <row r="2115" spans="1:14" ht="13" hidden="1" customHeight="1">
      <c r="A2115" s="46">
        <v>45608</v>
      </c>
      <c r="B2115" s="49"/>
      <c r="C2115" s="49"/>
      <c r="D2115" s="49" t="s">
        <v>4380</v>
      </c>
      <c r="E2115" s="49" t="s">
        <v>2935</v>
      </c>
      <c r="F2115" s="10" t="str">
        <f>IFERROR(VLOOKUP(VENTAS[[#This Row],[Código del producto Vendido]],STOCK[],5,FALSE),"-")</f>
        <v>Jeans de talle alto y pierna ancha color azul claro</v>
      </c>
      <c r="G2115" s="49">
        <v>1</v>
      </c>
      <c r="H2115" s="48">
        <v>30</v>
      </c>
      <c r="I2115" s="12">
        <f>VENTAS[[#This Row],[Cantidad]]*VENTAS[[#This Row],[Precio Venta]]</f>
        <v>30</v>
      </c>
      <c r="J2115" s="12">
        <f>IF(VENTAS[[#This Row],[Nombre del Gestor]]&gt;1,VENTAS[[#This Row],[Total]]*10%,0)</f>
        <v>3</v>
      </c>
      <c r="K2115" s="12">
        <f>IFERROR(VLOOKUP(VENTAS[[#This Row],[Código del producto Vendido]],STOCK[],16,FALSE)*VENTAS[[#This Row],[Cantidad]]+VLOOKUP(VENTAS[[#This Row],[Código del producto Vendido]],STOCK[],19,FALSE)*VENTAS[[#This Row],[Cantidad]],VENTAS[[#This Row],[Total]])</f>
        <v>12.46</v>
      </c>
      <c r="L2115" s="12">
        <f>VENTAS[[#This Row],[Total]]-VENTAS[[#This Row],[Comisión 10%]]-VENTAS[[#This Row],[Costo SIN Comision]]</f>
        <v>14.54</v>
      </c>
      <c r="M2115" s="49"/>
      <c r="N2115" s="16" t="s">
        <v>5118</v>
      </c>
    </row>
    <row r="2116" spans="1:14" ht="13" hidden="1" customHeight="1">
      <c r="A2116" s="46">
        <v>45609</v>
      </c>
      <c r="B2116" s="49"/>
      <c r="C2116" s="49"/>
      <c r="D2116" s="49" t="s">
        <v>4374</v>
      </c>
      <c r="E2116" s="49" t="s">
        <v>2734</v>
      </c>
      <c r="F2116" s="10" t="str">
        <f>IFERROR(VLOOKUP(VENTAS[[#This Row],[Código del producto Vendido]],STOCK[],5,FALSE),"-")</f>
        <v>Traje de baño sexy de una sola pieza negro</v>
      </c>
      <c r="G2116" s="49">
        <v>1</v>
      </c>
      <c r="H2116" s="48">
        <v>20</v>
      </c>
      <c r="I2116" s="12">
        <f>VENTAS[[#This Row],[Cantidad]]*VENTAS[[#This Row],[Precio Venta]]</f>
        <v>20</v>
      </c>
      <c r="J2116" s="12">
        <f>IF(VENTAS[[#This Row],[Nombre del Gestor]]&gt;1,VENTAS[[#This Row],[Total]]*10%,0)</f>
        <v>2</v>
      </c>
      <c r="K2116" s="12">
        <f>IFERROR(VLOOKUP(VENTAS[[#This Row],[Código del producto Vendido]],STOCK[],16,FALSE)*VENTAS[[#This Row],[Cantidad]]+VLOOKUP(VENTAS[[#This Row],[Código del producto Vendido]],STOCK[],19,FALSE)*VENTAS[[#This Row],[Cantidad]],VENTAS[[#This Row],[Total]])</f>
        <v>11.059999999999999</v>
      </c>
      <c r="L2116" s="12">
        <f>VENTAS[[#This Row],[Total]]-VENTAS[[#This Row],[Comisión 10%]]-VENTAS[[#This Row],[Costo SIN Comision]]</f>
        <v>6.9400000000000013</v>
      </c>
      <c r="M2116" s="49"/>
      <c r="N2116" s="16" t="s">
        <v>5119</v>
      </c>
    </row>
    <row r="2117" spans="1:14" ht="13" hidden="1" customHeight="1">
      <c r="A2117" s="46">
        <v>45609</v>
      </c>
      <c r="B2117" s="49"/>
      <c r="C2117" s="49"/>
      <c r="D2117" s="49" t="s">
        <v>4349</v>
      </c>
      <c r="E2117" s="49" t="s">
        <v>3009</v>
      </c>
      <c r="F2117" s="10" t="str">
        <f>IFERROR(VLOOKUP(VENTAS[[#This Row],[Código del producto Vendido]],STOCK[],5,FALSE),"-")</f>
        <v>Conjunto de dos prendas elegante-casual color Beis</v>
      </c>
      <c r="G2117" s="49">
        <v>1</v>
      </c>
      <c r="H2117" s="48">
        <v>40</v>
      </c>
      <c r="I2117" s="12">
        <f>VENTAS[[#This Row],[Cantidad]]*VENTAS[[#This Row],[Precio Venta]]</f>
        <v>40</v>
      </c>
      <c r="J2117" s="12">
        <f>IF(VENTAS[[#This Row],[Nombre del Gestor]]&gt;1,VENTAS[[#This Row],[Total]]*10%,0)</f>
        <v>4</v>
      </c>
      <c r="K2117" s="12">
        <f>IFERROR(VLOOKUP(VENTAS[[#This Row],[Código del producto Vendido]],STOCK[],16,FALSE)*VENTAS[[#This Row],[Cantidad]]+VLOOKUP(VENTAS[[#This Row],[Código del producto Vendido]],STOCK[],19,FALSE)*VENTAS[[#This Row],[Cantidad]],VENTAS[[#This Row],[Total]])</f>
        <v>13.47</v>
      </c>
      <c r="L2117" s="12">
        <f>VENTAS[[#This Row],[Total]]-VENTAS[[#This Row],[Comisión 10%]]-VENTAS[[#This Row],[Costo SIN Comision]]</f>
        <v>22.53</v>
      </c>
      <c r="M2117" s="49"/>
      <c r="N2117" s="16" t="s">
        <v>5120</v>
      </c>
    </row>
    <row r="2118" spans="1:14" ht="13" hidden="1" customHeight="1">
      <c r="A2118" s="46">
        <v>45609</v>
      </c>
      <c r="B2118" s="49"/>
      <c r="C2118" s="49"/>
      <c r="D2118" s="49" t="s">
        <v>4571</v>
      </c>
      <c r="E2118" s="49" t="s">
        <v>901</v>
      </c>
      <c r="F2118" s="10" t="str">
        <f>IFERROR(VLOOKUP(VENTAS[[#This Row],[Código del producto Vendido]],STOCK[],5,FALSE),"-")</f>
        <v>Maxi Vestido Fruncido</v>
      </c>
      <c r="G2118" s="49">
        <v>1</v>
      </c>
      <c r="H2118" s="48">
        <v>30</v>
      </c>
      <c r="I2118" s="12">
        <f>VENTAS[[#This Row],[Cantidad]]*VENTAS[[#This Row],[Precio Venta]]</f>
        <v>30</v>
      </c>
      <c r="J2118" s="12">
        <f>IF(VENTAS[[#This Row],[Nombre del Gestor]]&gt;1,VENTAS[[#This Row],[Total]]*10%,0)</f>
        <v>3</v>
      </c>
      <c r="K2118" s="12">
        <f>IFERROR(VLOOKUP(VENTAS[[#This Row],[Código del producto Vendido]],STOCK[],16,FALSE)*VENTAS[[#This Row],[Cantidad]]+VLOOKUP(VENTAS[[#This Row],[Código del producto Vendido]],STOCK[],19,FALSE)*VENTAS[[#This Row],[Cantidad]],VENTAS[[#This Row],[Total]])</f>
        <v>21.456363636363598</v>
      </c>
      <c r="L2118" s="12">
        <f>VENTAS[[#This Row],[Total]]-VENTAS[[#This Row],[Comisión 10%]]-VENTAS[[#This Row],[Costo SIN Comision]]</f>
        <v>5.5436363636364021</v>
      </c>
      <c r="M2118" s="49"/>
      <c r="N2118" s="16" t="s">
        <v>5121</v>
      </c>
    </row>
    <row r="2119" spans="1:14" ht="13" hidden="1" customHeight="1">
      <c r="A2119" s="46">
        <v>45609</v>
      </c>
      <c r="B2119" s="49"/>
      <c r="C2119" s="49" t="s">
        <v>4406</v>
      </c>
      <c r="D2119" s="49"/>
      <c r="E2119" s="49" t="s">
        <v>3212</v>
      </c>
      <c r="F2119" s="10" t="str">
        <f>IFERROR(VLOOKUP(VENTAS[[#This Row],[Código del producto Vendido]],STOCK[],5,FALSE),"-")</f>
        <v>Camisa de algodón estampada en color block Marca H&amp;M</v>
      </c>
      <c r="G2119" s="49">
        <v>1</v>
      </c>
      <c r="H2119" s="48">
        <v>22</v>
      </c>
      <c r="I2119" s="12">
        <f>VENTAS[[#This Row],[Cantidad]]*VENTAS[[#This Row],[Precio Venta]]</f>
        <v>22</v>
      </c>
      <c r="J2119" s="12">
        <f>IF(VENTAS[[#This Row],[Nombre del Gestor]]&gt;1,VENTAS[[#This Row],[Total]]*10%,0)</f>
        <v>0</v>
      </c>
      <c r="K2119" s="12">
        <f>IFERROR(VLOOKUP(VENTAS[[#This Row],[Código del producto Vendido]],STOCK[],16,FALSE)*VENTAS[[#This Row],[Cantidad]]+VLOOKUP(VENTAS[[#This Row],[Código del producto Vendido]],STOCK[],19,FALSE)*VENTAS[[#This Row],[Cantidad]],VENTAS[[#This Row],[Total]])</f>
        <v>10</v>
      </c>
      <c r="L2119" s="12">
        <f>VENTAS[[#This Row],[Total]]-VENTAS[[#This Row],[Comisión 10%]]-VENTAS[[#This Row],[Costo SIN Comision]]</f>
        <v>12</v>
      </c>
      <c r="M2119" s="49"/>
      <c r="N2119" s="16" t="s">
        <v>5122</v>
      </c>
    </row>
    <row r="2120" spans="1:14" ht="13" hidden="1" customHeight="1">
      <c r="A2120" s="46">
        <v>45609</v>
      </c>
      <c r="B2120" s="49"/>
      <c r="C2120" s="49" t="s">
        <v>4406</v>
      </c>
      <c r="D2120" s="49"/>
      <c r="E2120" s="49" t="s">
        <v>1459</v>
      </c>
      <c r="F2120" s="10" t="str">
        <f>IFERROR(VLOOKUP(VENTAS[[#This Row],[Código del producto Vendido]],STOCK[],5,FALSE),"-")</f>
        <v>Pantalón alto de bajo elegante</v>
      </c>
      <c r="G2120" s="49">
        <v>1</v>
      </c>
      <c r="H2120" s="48">
        <v>32</v>
      </c>
      <c r="I2120" s="12">
        <f>VENTAS[[#This Row],[Cantidad]]*VENTAS[[#This Row],[Precio Venta]]</f>
        <v>32</v>
      </c>
      <c r="J2120" s="12">
        <f>IF(VENTAS[[#This Row],[Nombre del Gestor]]&gt;1,VENTAS[[#This Row],[Total]]*10%,0)</f>
        <v>0</v>
      </c>
      <c r="K2120" s="12">
        <f>IFERROR(VLOOKUP(VENTAS[[#This Row],[Código del producto Vendido]],STOCK[],16,FALSE)*VENTAS[[#This Row],[Cantidad]]+VLOOKUP(VENTAS[[#This Row],[Código del producto Vendido]],STOCK[],19,FALSE)*VENTAS[[#This Row],[Cantidad]],VENTAS[[#This Row],[Total]])</f>
        <v>16.189999999999998</v>
      </c>
      <c r="L2120" s="12">
        <f>VENTAS[[#This Row],[Total]]-VENTAS[[#This Row],[Comisión 10%]]-VENTAS[[#This Row],[Costo SIN Comision]]</f>
        <v>15.810000000000002</v>
      </c>
      <c r="M2120" s="49"/>
      <c r="N2120" s="16" t="s">
        <v>5123</v>
      </c>
    </row>
    <row r="2121" spans="1:14" ht="13" hidden="1" customHeight="1">
      <c r="A2121" s="46">
        <v>45610</v>
      </c>
      <c r="B2121" s="49"/>
      <c r="C2121" s="49"/>
      <c r="D2121" s="49" t="s">
        <v>4571</v>
      </c>
      <c r="E2121" s="49" t="s">
        <v>3152</v>
      </c>
      <c r="F2121" s="10" t="str">
        <f>IFERROR(VLOOKUP(VENTAS[[#This Row],[Código del producto Vendido]],STOCK[],5,FALSE),"-")</f>
        <v>Suéter crema polar con letrero Marca H&amp;M</v>
      </c>
      <c r="G2121" s="49">
        <v>1</v>
      </c>
      <c r="H2121" s="48">
        <v>20</v>
      </c>
      <c r="I2121" s="12">
        <f>VENTAS[[#This Row],[Cantidad]]*VENTAS[[#This Row],[Precio Venta]]</f>
        <v>20</v>
      </c>
      <c r="J2121" s="12">
        <f>IF(VENTAS[[#This Row],[Nombre del Gestor]]&gt;1,VENTAS[[#This Row],[Total]]*10%,0)</f>
        <v>2</v>
      </c>
      <c r="K2121" s="12">
        <f>IFERROR(VLOOKUP(VENTAS[[#This Row],[Código del producto Vendido]],STOCK[],16,FALSE)*VENTAS[[#This Row],[Cantidad]]+VLOOKUP(VENTAS[[#This Row],[Código del producto Vendido]],STOCK[],19,FALSE)*VENTAS[[#This Row],[Cantidad]],VENTAS[[#This Row],[Total]])</f>
        <v>12</v>
      </c>
      <c r="L2121" s="12">
        <f>VENTAS[[#This Row],[Total]]-VENTAS[[#This Row],[Comisión 10%]]-VENTAS[[#This Row],[Costo SIN Comision]]</f>
        <v>6</v>
      </c>
      <c r="M2121" s="49"/>
      <c r="N2121" s="16" t="s">
        <v>5124</v>
      </c>
    </row>
    <row r="2122" spans="1:14" ht="13" hidden="1" customHeight="1">
      <c r="A2122" s="46">
        <v>45610</v>
      </c>
      <c r="B2122" s="49"/>
      <c r="C2122" s="49"/>
      <c r="D2122" s="49" t="s">
        <v>4571</v>
      </c>
      <c r="E2122" s="49" t="s">
        <v>2620</v>
      </c>
      <c r="F2122" s="10" t="str">
        <f>IFERROR(VLOOKUP(VENTAS[[#This Row],[Código del producto Vendido]],STOCK[],5,FALSE),"-")</f>
        <v>Vestido de tirantes atados y espalda corrida</v>
      </c>
      <c r="G2122" s="49">
        <v>1</v>
      </c>
      <c r="H2122" s="48">
        <v>35</v>
      </c>
      <c r="I2122" s="12">
        <f>VENTAS[[#This Row],[Cantidad]]*VENTAS[[#This Row],[Precio Venta]]</f>
        <v>35</v>
      </c>
      <c r="J2122" s="12">
        <f>IF(VENTAS[[#This Row],[Nombre del Gestor]]&gt;1,VENTAS[[#This Row],[Total]]*10%,0)</f>
        <v>3.5</v>
      </c>
      <c r="K2122" s="12">
        <f>IFERROR(VLOOKUP(VENTAS[[#This Row],[Código del producto Vendido]],STOCK[],16,FALSE)*VENTAS[[#This Row],[Cantidad]]+VLOOKUP(VENTAS[[#This Row],[Código del producto Vendido]],STOCK[],19,FALSE)*VENTAS[[#This Row],[Cantidad]],VENTAS[[#This Row],[Total]])</f>
        <v>15.46</v>
      </c>
      <c r="L2122" s="12">
        <f>VENTAS[[#This Row],[Total]]-VENTAS[[#This Row],[Comisión 10%]]-VENTAS[[#This Row],[Costo SIN Comision]]</f>
        <v>16.04</v>
      </c>
      <c r="M2122" s="49"/>
      <c r="N2122" s="16" t="s">
        <v>5125</v>
      </c>
    </row>
    <row r="2123" spans="1:14" ht="13" hidden="1" customHeight="1">
      <c r="A2123" s="46">
        <v>45611</v>
      </c>
      <c r="B2123" s="49"/>
      <c r="C2123" s="49" t="s">
        <v>5126</v>
      </c>
      <c r="D2123" s="49"/>
      <c r="E2123" s="49" t="s">
        <v>2960</v>
      </c>
      <c r="F2123" s="10" t="str">
        <f>IFERROR(VLOOKUP(VENTAS[[#This Row],[Código del producto Vendido]],STOCK[],5,FALSE),"-")</f>
        <v>Vestido elegante largo ajustado con hombro atado</v>
      </c>
      <c r="G2123" s="49">
        <v>1</v>
      </c>
      <c r="H2123" s="48">
        <v>30</v>
      </c>
      <c r="I2123" s="12">
        <f>VENTAS[[#This Row],[Cantidad]]*VENTAS[[#This Row],[Precio Venta]]</f>
        <v>30</v>
      </c>
      <c r="J2123" s="12">
        <f>IF(VENTAS[[#This Row],[Nombre del Gestor]]&gt;1,VENTAS[[#This Row],[Total]]*10%,0)</f>
        <v>0</v>
      </c>
      <c r="K2123" s="12">
        <f>IFERROR(VLOOKUP(VENTAS[[#This Row],[Código del producto Vendido]],STOCK[],16,FALSE)*VENTAS[[#This Row],[Cantidad]]+VLOOKUP(VENTAS[[#This Row],[Código del producto Vendido]],STOCK[],19,FALSE)*VENTAS[[#This Row],[Cantidad]],VENTAS[[#This Row],[Total]])</f>
        <v>15.13</v>
      </c>
      <c r="L2123" s="12">
        <f>VENTAS[[#This Row],[Total]]-VENTAS[[#This Row],[Comisión 10%]]-VENTAS[[#This Row],[Costo SIN Comision]]</f>
        <v>14.87</v>
      </c>
      <c r="M2123" s="49"/>
      <c r="N2123" s="16" t="s">
        <v>5127</v>
      </c>
    </row>
    <row r="2124" spans="1:14" ht="13" hidden="1" customHeight="1">
      <c r="A2124" s="46">
        <v>45611</v>
      </c>
      <c r="B2124" s="49"/>
      <c r="C2124" s="49" t="s">
        <v>5126</v>
      </c>
      <c r="D2124" s="49"/>
      <c r="E2124" s="49" t="s">
        <v>2961</v>
      </c>
      <c r="F2124" s="10" t="str">
        <f>IFERROR(VLOOKUP(VENTAS[[#This Row],[Código del producto Vendido]],STOCK[],5,FALSE),"-")</f>
        <v>Vestido elegante largo ajustado con hombro atado</v>
      </c>
      <c r="G2124" s="49">
        <v>1</v>
      </c>
      <c r="H2124" s="48">
        <v>30</v>
      </c>
      <c r="I2124" s="12">
        <f>VENTAS[[#This Row],[Cantidad]]*VENTAS[[#This Row],[Precio Venta]]</f>
        <v>30</v>
      </c>
      <c r="J2124" s="12">
        <f>IF(VENTAS[[#This Row],[Nombre del Gestor]]&gt;1,VENTAS[[#This Row],[Total]]*10%,0)</f>
        <v>0</v>
      </c>
      <c r="K2124" s="12">
        <f>IFERROR(VLOOKUP(VENTAS[[#This Row],[Código del producto Vendido]],STOCK[],16,FALSE)*VENTAS[[#This Row],[Cantidad]]+VLOOKUP(VENTAS[[#This Row],[Código del producto Vendido]],STOCK[],19,FALSE)*VENTAS[[#This Row],[Cantidad]],VENTAS[[#This Row],[Total]])</f>
        <v>15.13</v>
      </c>
      <c r="L2124" s="12">
        <f>VENTAS[[#This Row],[Total]]-VENTAS[[#This Row],[Comisión 10%]]-VENTAS[[#This Row],[Costo SIN Comision]]</f>
        <v>14.87</v>
      </c>
      <c r="M2124" s="49"/>
      <c r="N2124" s="16" t="s">
        <v>5128</v>
      </c>
    </row>
    <row r="2125" spans="1:14" ht="13" hidden="1" customHeight="1">
      <c r="A2125" s="46">
        <v>45611</v>
      </c>
      <c r="B2125" s="49"/>
      <c r="C2125" s="49" t="s">
        <v>5126</v>
      </c>
      <c r="D2125" s="49"/>
      <c r="E2125" s="49" t="s">
        <v>2961</v>
      </c>
      <c r="F2125" s="10" t="str">
        <f>IFERROR(VLOOKUP(VENTAS[[#This Row],[Código del producto Vendido]],STOCK[],5,FALSE),"-")</f>
        <v>Vestido elegante largo ajustado con hombro atado</v>
      </c>
      <c r="G2125" s="49">
        <v>1</v>
      </c>
      <c r="H2125" s="48">
        <v>30</v>
      </c>
      <c r="I2125" s="12">
        <f>VENTAS[[#This Row],[Cantidad]]*VENTAS[[#This Row],[Precio Venta]]</f>
        <v>30</v>
      </c>
      <c r="J2125" s="12">
        <f>IF(VENTAS[[#This Row],[Nombre del Gestor]]&gt;1,VENTAS[[#This Row],[Total]]*10%,0)</f>
        <v>0</v>
      </c>
      <c r="K2125" s="12">
        <f>IFERROR(VLOOKUP(VENTAS[[#This Row],[Código del producto Vendido]],STOCK[],16,FALSE)*VENTAS[[#This Row],[Cantidad]]+VLOOKUP(VENTAS[[#This Row],[Código del producto Vendido]],STOCK[],19,FALSE)*VENTAS[[#This Row],[Cantidad]],VENTAS[[#This Row],[Total]])</f>
        <v>15.13</v>
      </c>
      <c r="L2125" s="12">
        <f>VENTAS[[#This Row],[Total]]-VENTAS[[#This Row],[Comisión 10%]]-VENTAS[[#This Row],[Costo SIN Comision]]</f>
        <v>14.87</v>
      </c>
      <c r="M2125" s="49"/>
      <c r="N2125" s="16" t="s">
        <v>5129</v>
      </c>
    </row>
    <row r="2126" spans="1:14" ht="13" hidden="1" customHeight="1">
      <c r="A2126" s="46">
        <v>45612</v>
      </c>
      <c r="B2126" s="49"/>
      <c r="C2126" s="49"/>
      <c r="D2126" s="49" t="s">
        <v>4330</v>
      </c>
      <c r="E2126" s="49" t="s">
        <v>3195</v>
      </c>
      <c r="F2126" s="10" t="str">
        <f>IFERROR(VLOOKUP(VENTAS[[#This Row],[Código del producto Vendido]],STOCK[],5,FALSE),"-")</f>
        <v>Pullover de hombre Loose Fit de gran calidad de cuello redondo verde Marca H&amp;M</v>
      </c>
      <c r="G2126" s="49">
        <v>1</v>
      </c>
      <c r="H2126" s="48">
        <v>18</v>
      </c>
      <c r="I2126" s="12">
        <f>VENTAS[[#This Row],[Cantidad]]*VENTAS[[#This Row],[Precio Venta]]</f>
        <v>18</v>
      </c>
      <c r="J2126" s="12">
        <f>IF(VENTAS[[#This Row],[Nombre del Gestor]]&gt;1,VENTAS[[#This Row],[Total]]*10%,0)</f>
        <v>1.8</v>
      </c>
      <c r="K2126" s="12">
        <f>IFERROR(VLOOKUP(VENTAS[[#This Row],[Código del producto Vendido]],STOCK[],16,FALSE)*VENTAS[[#This Row],[Cantidad]]+VLOOKUP(VENTAS[[#This Row],[Código del producto Vendido]],STOCK[],19,FALSE)*VENTAS[[#This Row],[Cantidad]],VENTAS[[#This Row],[Total]])</f>
        <v>10</v>
      </c>
      <c r="L2126" s="12">
        <f>VENTAS[[#This Row],[Total]]-VENTAS[[#This Row],[Comisión 10%]]-VENTAS[[#This Row],[Costo SIN Comision]]</f>
        <v>6.1999999999999993</v>
      </c>
      <c r="M2126" s="49"/>
      <c r="N2126" s="16" t="s">
        <v>5130</v>
      </c>
    </row>
    <row r="2127" spans="1:14" ht="13" hidden="1" customHeight="1">
      <c r="A2127" s="46">
        <v>45612</v>
      </c>
      <c r="B2127" s="49"/>
      <c r="C2127" s="49"/>
      <c r="D2127" s="49" t="s">
        <v>4349</v>
      </c>
      <c r="E2127" s="49" t="s">
        <v>2740</v>
      </c>
      <c r="F2127" s="10" t="str">
        <f>IFERROR(VLOOKUP(VENTAS[[#This Row],[Código del producto Vendido]],STOCK[],5,FALSE),"-")</f>
        <v>Sandalias planas de moda de punta cuadrada</v>
      </c>
      <c r="G2127" s="49">
        <v>1</v>
      </c>
      <c r="H2127" s="48">
        <v>12</v>
      </c>
      <c r="I2127" s="12">
        <f>VENTAS[[#This Row],[Cantidad]]*VENTAS[[#This Row],[Precio Venta]]</f>
        <v>12</v>
      </c>
      <c r="J2127" s="12">
        <f>IF(VENTAS[[#This Row],[Nombre del Gestor]]&gt;1,VENTAS[[#This Row],[Total]]*10%,0)</f>
        <v>1.2000000000000002</v>
      </c>
      <c r="K2127" s="12">
        <f>IFERROR(VLOOKUP(VENTAS[[#This Row],[Código del producto Vendido]],STOCK[],16,FALSE)*VENTAS[[#This Row],[Cantidad]]+VLOOKUP(VENTAS[[#This Row],[Código del producto Vendido]],STOCK[],19,FALSE)*VENTAS[[#This Row],[Cantidad]],VENTAS[[#This Row],[Total]])</f>
        <v>8.34</v>
      </c>
      <c r="L2127" s="12">
        <f>VENTAS[[#This Row],[Total]]-VENTAS[[#This Row],[Comisión 10%]]-VENTAS[[#This Row],[Costo SIN Comision]]</f>
        <v>2.4600000000000009</v>
      </c>
      <c r="M2127" s="49"/>
      <c r="N2127" s="16" t="s">
        <v>5131</v>
      </c>
    </row>
    <row r="2128" spans="1:14" ht="13" hidden="1" customHeight="1">
      <c r="A2128" s="46">
        <v>45612</v>
      </c>
      <c r="B2128" s="49"/>
      <c r="C2128" s="49"/>
      <c r="D2128" s="49" t="s">
        <v>4349</v>
      </c>
      <c r="E2128" s="49" t="s">
        <v>2866</v>
      </c>
      <c r="F2128" s="10" t="str">
        <f>IFERROR(VLOOKUP(VENTAS[[#This Row],[Código del producto Vendido]],STOCK[],5,FALSE),"-")</f>
        <v>Vestido de espalda descubierta de color sólido y tirantes de espagueti</v>
      </c>
      <c r="G2128" s="49">
        <v>1</v>
      </c>
      <c r="H2128" s="48">
        <v>25</v>
      </c>
      <c r="I2128" s="12">
        <f>VENTAS[[#This Row],[Cantidad]]*VENTAS[[#This Row],[Precio Venta]]</f>
        <v>25</v>
      </c>
      <c r="J2128" s="12">
        <f>IF(VENTAS[[#This Row],[Nombre del Gestor]]&gt;1,VENTAS[[#This Row],[Total]]*10%,0)</f>
        <v>2.5</v>
      </c>
      <c r="K2128" s="12">
        <f>IFERROR(VLOOKUP(VENTAS[[#This Row],[Código del producto Vendido]],STOCK[],16,FALSE)*VENTAS[[#This Row],[Cantidad]]+VLOOKUP(VENTAS[[#This Row],[Código del producto Vendido]],STOCK[],19,FALSE)*VENTAS[[#This Row],[Cantidad]],VENTAS[[#This Row],[Total]])</f>
        <v>11.98</v>
      </c>
      <c r="L2128" s="12">
        <f>VENTAS[[#This Row],[Total]]-VENTAS[[#This Row],[Comisión 10%]]-VENTAS[[#This Row],[Costo SIN Comision]]</f>
        <v>10.52</v>
      </c>
      <c r="M2128" s="49"/>
      <c r="N2128" s="16" t="s">
        <v>5132</v>
      </c>
    </row>
    <row r="2129" spans="1:14" ht="13" hidden="1" customHeight="1">
      <c r="A2129" s="46">
        <v>45612</v>
      </c>
      <c r="B2129" s="49"/>
      <c r="C2129" s="49"/>
      <c r="D2129" s="49" t="s">
        <v>4380</v>
      </c>
      <c r="E2129" s="49" t="s">
        <v>2806</v>
      </c>
      <c r="F2129" s="10" t="str">
        <f>IFERROR(VLOOKUP(VENTAS[[#This Row],[Código del producto Vendido]],STOCK[],5,FALSE),"-")</f>
        <v>Sandalias espadriles de cuña de correas transparentes</v>
      </c>
      <c r="G2129" s="49">
        <v>1</v>
      </c>
      <c r="H2129" s="48">
        <v>40</v>
      </c>
      <c r="I2129" s="12">
        <f>VENTAS[[#This Row],[Cantidad]]*VENTAS[[#This Row],[Precio Venta]]</f>
        <v>40</v>
      </c>
      <c r="J2129" s="12">
        <f>IF(VENTAS[[#This Row],[Nombre del Gestor]]&gt;1,VENTAS[[#This Row],[Total]]*10%,0)</f>
        <v>4</v>
      </c>
      <c r="K2129" s="12">
        <f>IFERROR(VLOOKUP(VENTAS[[#This Row],[Código del producto Vendido]],STOCK[],16,FALSE)*VENTAS[[#This Row],[Cantidad]]+VLOOKUP(VENTAS[[#This Row],[Código del producto Vendido]],STOCK[],19,FALSE)*VENTAS[[#This Row],[Cantidad]],VENTAS[[#This Row],[Total]])</f>
        <v>13.01</v>
      </c>
      <c r="L2129" s="12">
        <f>VENTAS[[#This Row],[Total]]-VENTAS[[#This Row],[Comisión 10%]]-VENTAS[[#This Row],[Costo SIN Comision]]</f>
        <v>22.990000000000002</v>
      </c>
      <c r="M2129" s="49"/>
      <c r="N2129" s="16" t="s">
        <v>5133</v>
      </c>
    </row>
    <row r="2130" spans="1:14" ht="13" hidden="1" customHeight="1">
      <c r="A2130" s="46">
        <v>45614</v>
      </c>
      <c r="B2130" s="49"/>
      <c r="C2130" s="49"/>
      <c r="D2130" s="49" t="s">
        <v>4535</v>
      </c>
      <c r="E2130" s="49" t="s">
        <v>2862</v>
      </c>
      <c r="F2130" s="10" t="str">
        <f>IFERROR(VLOOKUP(VENTAS[[#This Row],[Código del producto Vendido]],STOCK[],5,FALSE),"-")</f>
        <v>Vestido elegante de línea larga color negro de hombro atado</v>
      </c>
      <c r="G2130" s="49">
        <v>1</v>
      </c>
      <c r="H2130" s="48">
        <v>30</v>
      </c>
      <c r="I2130" s="12">
        <f>VENTAS[[#This Row],[Cantidad]]*VENTAS[[#This Row],[Precio Venta]]</f>
        <v>30</v>
      </c>
      <c r="J2130" s="12">
        <f>IF(VENTAS[[#This Row],[Nombre del Gestor]]&gt;1,VENTAS[[#This Row],[Total]]*10%,0)</f>
        <v>3</v>
      </c>
      <c r="K2130" s="12">
        <f>IFERROR(VLOOKUP(VENTAS[[#This Row],[Código del producto Vendido]],STOCK[],16,FALSE)*VENTAS[[#This Row],[Cantidad]]+VLOOKUP(VENTAS[[#This Row],[Código del producto Vendido]],STOCK[],19,FALSE)*VENTAS[[#This Row],[Cantidad]],VENTAS[[#This Row],[Total]])</f>
        <v>13.49</v>
      </c>
      <c r="L2130" s="12">
        <f>VENTAS[[#This Row],[Total]]-VENTAS[[#This Row],[Comisión 10%]]-VENTAS[[#This Row],[Costo SIN Comision]]</f>
        <v>13.51</v>
      </c>
      <c r="M2130" s="49"/>
      <c r="N2130" s="16" t="s">
        <v>5134</v>
      </c>
    </row>
    <row r="2131" spans="1:14" ht="13" hidden="1" customHeight="1">
      <c r="A2131" s="46">
        <v>45614</v>
      </c>
      <c r="B2131" s="49"/>
      <c r="C2131" s="49"/>
      <c r="D2131" s="49" t="s">
        <v>4349</v>
      </c>
      <c r="E2131" s="49" t="s">
        <v>2089</v>
      </c>
      <c r="F2131" s="10" t="str">
        <f>IFERROR(VLOOKUP(VENTAS[[#This Row],[Código del producto Vendido]],STOCK[],5,FALSE),"-")</f>
        <v>Blusa estampada de Lunares</v>
      </c>
      <c r="G2131" s="49">
        <v>1</v>
      </c>
      <c r="H2131" s="48">
        <v>14</v>
      </c>
      <c r="I2131" s="12">
        <f>VENTAS[[#This Row],[Cantidad]]*VENTAS[[#This Row],[Precio Venta]]</f>
        <v>14</v>
      </c>
      <c r="J2131" s="12">
        <f>IF(VENTAS[[#This Row],[Nombre del Gestor]]&gt;1,VENTAS[[#This Row],[Total]]*10%,0)</f>
        <v>1.4000000000000001</v>
      </c>
      <c r="K2131" s="12">
        <f>IFERROR(VLOOKUP(VENTAS[[#This Row],[Código del producto Vendido]],STOCK[],16,FALSE)*VENTAS[[#This Row],[Cantidad]]+VLOOKUP(VENTAS[[#This Row],[Código del producto Vendido]],STOCK[],19,FALSE)*VENTAS[[#This Row],[Cantidad]],VENTAS[[#This Row],[Total]])</f>
        <v>9.1999999999999993</v>
      </c>
      <c r="L2131" s="12">
        <f>VENTAS[[#This Row],[Total]]-VENTAS[[#This Row],[Comisión 10%]]-VENTAS[[#This Row],[Costo SIN Comision]]</f>
        <v>3.4000000000000004</v>
      </c>
      <c r="M2131" s="49"/>
      <c r="N2131" s="16" t="s">
        <v>5135</v>
      </c>
    </row>
    <row r="2132" spans="1:14" ht="13" hidden="1" customHeight="1">
      <c r="A2132" s="46">
        <v>45614</v>
      </c>
      <c r="B2132" s="49"/>
      <c r="C2132" s="49"/>
      <c r="D2132" s="49" t="s">
        <v>4349</v>
      </c>
      <c r="E2132" s="49" t="s">
        <v>2952</v>
      </c>
      <c r="F2132" s="10" t="str">
        <f>IFERROR(VLOOKUP(VENTAS[[#This Row],[Código del producto Vendido]],STOCK[],5,FALSE),"-")</f>
        <v>Pantalón elegante de pierna ancha color crema</v>
      </c>
      <c r="G2132" s="49">
        <v>1</v>
      </c>
      <c r="H2132" s="48">
        <v>30</v>
      </c>
      <c r="I2132" s="12">
        <f>VENTAS[[#This Row],[Cantidad]]*VENTAS[[#This Row],[Precio Venta]]</f>
        <v>30</v>
      </c>
      <c r="J2132" s="12">
        <f>IF(VENTAS[[#This Row],[Nombre del Gestor]]&gt;1,VENTAS[[#This Row],[Total]]*10%,0)</f>
        <v>3</v>
      </c>
      <c r="K2132" s="12">
        <f>IFERROR(VLOOKUP(VENTAS[[#This Row],[Código del producto Vendido]],STOCK[],16,FALSE)*VENTAS[[#This Row],[Cantidad]]+VLOOKUP(VENTAS[[#This Row],[Código del producto Vendido]],STOCK[],19,FALSE)*VENTAS[[#This Row],[Cantidad]],VENTAS[[#This Row],[Total]])</f>
        <v>8.6</v>
      </c>
      <c r="L2132" s="12">
        <f>VENTAS[[#This Row],[Total]]-VENTAS[[#This Row],[Comisión 10%]]-VENTAS[[#This Row],[Costo SIN Comision]]</f>
        <v>18.399999999999999</v>
      </c>
      <c r="M2132" s="49"/>
      <c r="N2132" s="16" t="s">
        <v>5136</v>
      </c>
    </row>
    <row r="2133" spans="1:14" ht="13" hidden="1" customHeight="1">
      <c r="A2133" s="46">
        <v>45614</v>
      </c>
      <c r="B2133" s="49"/>
      <c r="C2133" s="49"/>
      <c r="D2133" s="49" t="s">
        <v>4473</v>
      </c>
      <c r="E2133" s="49" t="s">
        <v>1645</v>
      </c>
      <c r="F2133" s="10" t="str">
        <f>IFERROR(VLOOKUP(VENTAS[[#This Row],[Código del producto Vendido]],STOCK[],5,FALSE),"-")</f>
        <v>Kimono floral</v>
      </c>
      <c r="G2133" s="49">
        <v>1</v>
      </c>
      <c r="H2133" s="48">
        <v>15</v>
      </c>
      <c r="I2133" s="12">
        <f>VENTAS[[#This Row],[Cantidad]]*VENTAS[[#This Row],[Precio Venta]]</f>
        <v>15</v>
      </c>
      <c r="J2133" s="12">
        <f>IF(VENTAS[[#This Row],[Nombre del Gestor]]&gt;1,VENTAS[[#This Row],[Total]]*10%,0)</f>
        <v>1.5</v>
      </c>
      <c r="K2133" s="12">
        <f>IFERROR(VLOOKUP(VENTAS[[#This Row],[Código del producto Vendido]],STOCK[],16,FALSE)*VENTAS[[#This Row],[Cantidad]]+VLOOKUP(VENTAS[[#This Row],[Código del producto Vendido]],STOCK[],19,FALSE)*VENTAS[[#This Row],[Cantidad]],VENTAS[[#This Row],[Total]])</f>
        <v>8.66</v>
      </c>
      <c r="L2133" s="12">
        <f>VENTAS[[#This Row],[Total]]-VENTAS[[#This Row],[Comisión 10%]]-VENTAS[[#This Row],[Costo SIN Comision]]</f>
        <v>4.84</v>
      </c>
      <c r="M2133" s="49"/>
      <c r="N2133" s="16" t="s">
        <v>5137</v>
      </c>
    </row>
    <row r="2134" spans="1:14" ht="13" hidden="1" customHeight="1">
      <c r="A2134" s="46">
        <v>45614</v>
      </c>
      <c r="B2134" s="49"/>
      <c r="C2134" s="49"/>
      <c r="D2134" s="49" t="s">
        <v>4571</v>
      </c>
      <c r="E2134" s="49" t="s">
        <v>2089</v>
      </c>
      <c r="F2134" s="10" t="str">
        <f>IFERROR(VLOOKUP(VENTAS[[#This Row],[Código del producto Vendido]],STOCK[],5,FALSE),"-")</f>
        <v>Blusa estampada de Lunares</v>
      </c>
      <c r="G2134" s="49">
        <v>1</v>
      </c>
      <c r="H2134" s="48">
        <v>14</v>
      </c>
      <c r="I2134" s="12">
        <f>VENTAS[[#This Row],[Cantidad]]*VENTAS[[#This Row],[Precio Venta]]</f>
        <v>14</v>
      </c>
      <c r="J2134" s="12">
        <f>IF(VENTAS[[#This Row],[Nombre del Gestor]]&gt;1,VENTAS[[#This Row],[Total]]*10%,0)</f>
        <v>1.4000000000000001</v>
      </c>
      <c r="K2134" s="12">
        <f>IFERROR(VLOOKUP(VENTAS[[#This Row],[Código del producto Vendido]],STOCK[],16,FALSE)*VENTAS[[#This Row],[Cantidad]]+VLOOKUP(VENTAS[[#This Row],[Código del producto Vendido]],STOCK[],19,FALSE)*VENTAS[[#This Row],[Cantidad]],VENTAS[[#This Row],[Total]])</f>
        <v>9.1999999999999993</v>
      </c>
      <c r="L2134" s="12">
        <f>VENTAS[[#This Row],[Total]]-VENTAS[[#This Row],[Comisión 10%]]-VENTAS[[#This Row],[Costo SIN Comision]]</f>
        <v>3.4000000000000004</v>
      </c>
      <c r="M2134" s="49"/>
      <c r="N2134" s="16" t="s">
        <v>5138</v>
      </c>
    </row>
    <row r="2135" spans="1:14" ht="13" hidden="1" customHeight="1">
      <c r="A2135" s="46">
        <v>45614</v>
      </c>
      <c r="B2135" s="49"/>
      <c r="C2135" s="49"/>
      <c r="D2135" s="49" t="s">
        <v>4330</v>
      </c>
      <c r="E2135" s="49" t="s">
        <v>2611</v>
      </c>
      <c r="F2135" s="10" t="str">
        <f>IFERROR(VLOOKUP(VENTAS[[#This Row],[Código del producto Vendido]],STOCK[],5,FALSE),"-")</f>
        <v>Falda Maxi plisada favorecedora</v>
      </c>
      <c r="G2135" s="49">
        <v>1</v>
      </c>
      <c r="H2135" s="48">
        <v>25</v>
      </c>
      <c r="I2135" s="12">
        <f>VENTAS[[#This Row],[Cantidad]]*VENTAS[[#This Row],[Precio Venta]]</f>
        <v>25</v>
      </c>
      <c r="J2135" s="12">
        <f>IF(VENTAS[[#This Row],[Nombre del Gestor]]&gt;1,VENTAS[[#This Row],[Total]]*10%,0)</f>
        <v>2.5</v>
      </c>
      <c r="K2135" s="12">
        <f>IFERROR(VLOOKUP(VENTAS[[#This Row],[Código del producto Vendido]],STOCK[],16,FALSE)*VENTAS[[#This Row],[Cantidad]]+VLOOKUP(VENTAS[[#This Row],[Código del producto Vendido]],STOCK[],19,FALSE)*VENTAS[[#This Row],[Cantidad]],VENTAS[[#This Row],[Total]])</f>
        <v>15.71</v>
      </c>
      <c r="L2135" s="12">
        <f>VENTAS[[#This Row],[Total]]-VENTAS[[#This Row],[Comisión 10%]]-VENTAS[[#This Row],[Costo SIN Comision]]</f>
        <v>6.7899999999999991</v>
      </c>
      <c r="M2135" s="49"/>
      <c r="N2135" s="16" t="s">
        <v>5139</v>
      </c>
    </row>
    <row r="2136" spans="1:14" ht="13" hidden="1" customHeight="1">
      <c r="A2136" s="46">
        <v>45614</v>
      </c>
      <c r="B2136" s="49"/>
      <c r="C2136" s="49"/>
      <c r="D2136" s="49" t="s">
        <v>4380</v>
      </c>
      <c r="E2136" s="49" t="s">
        <v>2718</v>
      </c>
      <c r="F2136" s="10" t="str">
        <f>IFERROR(VLOOKUP(VENTAS[[#This Row],[Código del producto Vendido]],STOCK[],5,FALSE),"-")</f>
        <v>Sneakers chunky blancos</v>
      </c>
      <c r="G2136" s="49">
        <v>1</v>
      </c>
      <c r="H2136" s="48">
        <v>45</v>
      </c>
      <c r="I2136" s="12">
        <f>VENTAS[[#This Row],[Cantidad]]*VENTAS[[#This Row],[Precio Venta]]</f>
        <v>45</v>
      </c>
      <c r="J2136" s="12">
        <f>IF(VENTAS[[#This Row],[Nombre del Gestor]]&gt;1,VENTAS[[#This Row],[Total]]*10%,0)</f>
        <v>4.5</v>
      </c>
      <c r="K2136" s="12">
        <f>IFERROR(VLOOKUP(VENTAS[[#This Row],[Código del producto Vendido]],STOCK[],16,FALSE)*VENTAS[[#This Row],[Cantidad]]+VLOOKUP(VENTAS[[#This Row],[Código del producto Vendido]],STOCK[],19,FALSE)*VENTAS[[#This Row],[Cantidad]],VENTAS[[#This Row],[Total]])</f>
        <v>24.47</v>
      </c>
      <c r="L2136" s="12">
        <f>VENTAS[[#This Row],[Total]]-VENTAS[[#This Row],[Comisión 10%]]-VENTAS[[#This Row],[Costo SIN Comision]]</f>
        <v>16.03</v>
      </c>
      <c r="M2136" s="49"/>
      <c r="N2136" s="16" t="s">
        <v>5140</v>
      </c>
    </row>
    <row r="2137" spans="1:14" ht="13" hidden="1" customHeight="1">
      <c r="A2137" s="46">
        <v>45614</v>
      </c>
      <c r="B2137" s="49"/>
      <c r="C2137" s="49"/>
      <c r="D2137" s="49" t="s">
        <v>4380</v>
      </c>
      <c r="E2137" s="49" t="s">
        <v>2718</v>
      </c>
      <c r="F2137" s="10" t="str">
        <f>IFERROR(VLOOKUP(VENTAS[[#This Row],[Código del producto Vendido]],STOCK[],5,FALSE),"-")</f>
        <v>Sneakers chunky blancos</v>
      </c>
      <c r="G2137" s="49">
        <v>1</v>
      </c>
      <c r="H2137" s="48">
        <v>45</v>
      </c>
      <c r="I2137" s="12">
        <f>VENTAS[[#This Row],[Cantidad]]*VENTAS[[#This Row],[Precio Venta]]</f>
        <v>45</v>
      </c>
      <c r="J2137" s="12">
        <f>IF(VENTAS[[#This Row],[Nombre del Gestor]]&gt;1,VENTAS[[#This Row],[Total]]*10%,0)</f>
        <v>4.5</v>
      </c>
      <c r="K2137" s="12">
        <f>IFERROR(VLOOKUP(VENTAS[[#This Row],[Código del producto Vendido]],STOCK[],16,FALSE)*VENTAS[[#This Row],[Cantidad]]+VLOOKUP(VENTAS[[#This Row],[Código del producto Vendido]],STOCK[],19,FALSE)*VENTAS[[#This Row],[Cantidad]],VENTAS[[#This Row],[Total]])</f>
        <v>24.47</v>
      </c>
      <c r="L2137" s="12">
        <f>VENTAS[[#This Row],[Total]]-VENTAS[[#This Row],[Comisión 10%]]-VENTAS[[#This Row],[Costo SIN Comision]]</f>
        <v>16.03</v>
      </c>
      <c r="M2137" s="49"/>
      <c r="N2137" s="16" t="s">
        <v>5141</v>
      </c>
    </row>
    <row r="2138" spans="1:14" ht="13" hidden="1" customHeight="1">
      <c r="A2138" s="46">
        <v>45616</v>
      </c>
      <c r="B2138" s="49"/>
      <c r="C2138" s="49"/>
      <c r="D2138" s="49" t="s">
        <v>4184</v>
      </c>
      <c r="E2138" s="49" t="s">
        <v>2631</v>
      </c>
      <c r="F2138" s="10" t="str">
        <f>IFERROR(VLOOKUP(VENTAS[[#This Row],[Código del producto Vendido]],STOCK[],5,FALSE),"-")</f>
        <v>Pantalón fuccia ajustado de tela H&amp;M</v>
      </c>
      <c r="G2138" s="49">
        <v>1</v>
      </c>
      <c r="H2138" s="48">
        <v>30</v>
      </c>
      <c r="I2138" s="12">
        <f>VENTAS[[#This Row],[Cantidad]]*VENTAS[[#This Row],[Precio Venta]]</f>
        <v>30</v>
      </c>
      <c r="J2138" s="12">
        <f>IF(VENTAS[[#This Row],[Nombre del Gestor]]&gt;1,VENTAS[[#This Row],[Total]]*10%,0)</f>
        <v>3</v>
      </c>
      <c r="K2138" s="12">
        <f>IFERROR(VLOOKUP(VENTAS[[#This Row],[Código del producto Vendido]],STOCK[],16,FALSE)*VENTAS[[#This Row],[Cantidad]]+VLOOKUP(VENTAS[[#This Row],[Código del producto Vendido]],STOCK[],19,FALSE)*VENTAS[[#This Row],[Cantidad]],VENTAS[[#This Row],[Total]])</f>
        <v>12.96</v>
      </c>
      <c r="L2138" s="12">
        <f>VENTAS[[#This Row],[Total]]-VENTAS[[#This Row],[Comisión 10%]]-VENTAS[[#This Row],[Costo SIN Comision]]</f>
        <v>14.04</v>
      </c>
      <c r="M2138" s="49"/>
      <c r="N2138" s="16" t="s">
        <v>5142</v>
      </c>
    </row>
    <row r="2139" spans="1:14" ht="13" hidden="1" customHeight="1">
      <c r="A2139" s="46">
        <v>45617</v>
      </c>
      <c r="B2139" s="49"/>
      <c r="C2139" s="49"/>
      <c r="D2139" s="49" t="s">
        <v>4320</v>
      </c>
      <c r="E2139" s="49" t="s">
        <v>2921</v>
      </c>
      <c r="F2139" s="10" t="str">
        <f>IFERROR(VLOOKUP(VENTAS[[#This Row],[Código del producto Vendido]],STOCK[],5,FALSE),"-")</f>
        <v>Chaleco de traje estilo blazer color blanco</v>
      </c>
      <c r="G2139" s="49">
        <v>1</v>
      </c>
      <c r="H2139" s="48">
        <v>25</v>
      </c>
      <c r="I2139" s="12">
        <f>VENTAS[[#This Row],[Cantidad]]*VENTAS[[#This Row],[Precio Venta]]</f>
        <v>25</v>
      </c>
      <c r="J2139" s="12">
        <f>IF(VENTAS[[#This Row],[Nombre del Gestor]]&gt;1,VENTAS[[#This Row],[Total]]*10%,0)</f>
        <v>2.5</v>
      </c>
      <c r="K2139" s="12">
        <f>IFERROR(VLOOKUP(VENTAS[[#This Row],[Código del producto Vendido]],STOCK[],16,FALSE)*VENTAS[[#This Row],[Cantidad]]+VLOOKUP(VENTAS[[#This Row],[Código del producto Vendido]],STOCK[],19,FALSE)*VENTAS[[#This Row],[Cantidad]],VENTAS[[#This Row],[Total]])</f>
        <v>12.040000000000001</v>
      </c>
      <c r="L2139" s="12">
        <f>VENTAS[[#This Row],[Total]]-VENTAS[[#This Row],[Comisión 10%]]-VENTAS[[#This Row],[Costo SIN Comision]]</f>
        <v>10.459999999999999</v>
      </c>
      <c r="M2139" s="49"/>
      <c r="N2139" s="16" t="s">
        <v>5143</v>
      </c>
    </row>
    <row r="2140" spans="1:14" ht="13" hidden="1" customHeight="1">
      <c r="A2140" s="46">
        <v>45617</v>
      </c>
      <c r="B2140" s="49"/>
      <c r="C2140" s="49"/>
      <c r="D2140" s="49" t="s">
        <v>4374</v>
      </c>
      <c r="E2140" s="49" t="s">
        <v>3275</v>
      </c>
      <c r="F2140" s="10" t="str">
        <f>IFERROR(VLOOKUP(VENTAS[[#This Row],[Código del producto Vendido]],STOCK[],5,FALSE),"-")</f>
        <v>Top jersey de cuello tortuga color gris Marca H&amp;M</v>
      </c>
      <c r="G2140" s="49">
        <v>1</v>
      </c>
      <c r="H2140" s="48">
        <v>18</v>
      </c>
      <c r="I2140" s="12">
        <f>VENTAS[[#This Row],[Cantidad]]*VENTAS[[#This Row],[Precio Venta]]</f>
        <v>18</v>
      </c>
      <c r="J2140" s="12">
        <f>IF(VENTAS[[#This Row],[Nombre del Gestor]]&gt;1,VENTAS[[#This Row],[Total]]*10%,0)</f>
        <v>1.8</v>
      </c>
      <c r="K2140" s="12">
        <f>IFERROR(VLOOKUP(VENTAS[[#This Row],[Código del producto Vendido]],STOCK[],16,FALSE)*VENTAS[[#This Row],[Cantidad]]+VLOOKUP(VENTAS[[#This Row],[Código del producto Vendido]],STOCK[],19,FALSE)*VENTAS[[#This Row],[Cantidad]],VENTAS[[#This Row],[Total]])</f>
        <v>8</v>
      </c>
      <c r="L2140" s="12">
        <f>VENTAS[[#This Row],[Total]]-VENTAS[[#This Row],[Comisión 10%]]-VENTAS[[#This Row],[Costo SIN Comision]]</f>
        <v>8.1999999999999993</v>
      </c>
      <c r="M2140" s="49"/>
      <c r="N2140" s="16" t="s">
        <v>5144</v>
      </c>
    </row>
    <row r="2141" spans="1:14" ht="13" hidden="1" customHeight="1">
      <c r="A2141" s="46">
        <v>45617</v>
      </c>
      <c r="B2141" s="49"/>
      <c r="C2141" s="49"/>
      <c r="D2141" s="49" t="s">
        <v>4380</v>
      </c>
      <c r="E2141" s="49" t="s">
        <v>1763</v>
      </c>
      <c r="F2141" s="10" t="str">
        <f>IFERROR(VLOOKUP(VENTAS[[#This Row],[Código del producto Vendido]],STOCK[],5,FALSE),"-")</f>
        <v>Zapatillas blanco casual</v>
      </c>
      <c r="G2141" s="49">
        <v>1</v>
      </c>
      <c r="H2141" s="48">
        <v>32</v>
      </c>
      <c r="I2141" s="12">
        <f>VENTAS[[#This Row],[Cantidad]]*VENTAS[[#This Row],[Precio Venta]]</f>
        <v>32</v>
      </c>
      <c r="J2141" s="12">
        <f>IF(VENTAS[[#This Row],[Nombre del Gestor]]&gt;1,VENTAS[[#This Row],[Total]]*10%,0)</f>
        <v>3.2</v>
      </c>
      <c r="K2141" s="12">
        <f>IFERROR(VLOOKUP(VENTAS[[#This Row],[Código del producto Vendido]],STOCK[],16,FALSE)*VENTAS[[#This Row],[Cantidad]]+VLOOKUP(VENTAS[[#This Row],[Código del producto Vendido]],STOCK[],19,FALSE)*VENTAS[[#This Row],[Cantidad]],VENTAS[[#This Row],[Total]])</f>
        <v>25.470588235294102</v>
      </c>
      <c r="L2141" s="12">
        <f>VENTAS[[#This Row],[Total]]-VENTAS[[#This Row],[Comisión 10%]]-VENTAS[[#This Row],[Costo SIN Comision]]</f>
        <v>3.3294117647058989</v>
      </c>
      <c r="M2141" s="49"/>
      <c r="N2141" s="16" t="s">
        <v>5145</v>
      </c>
    </row>
    <row r="2142" spans="1:14" ht="13" hidden="1" customHeight="1">
      <c r="A2142" s="46">
        <v>45617</v>
      </c>
      <c r="B2142" s="49"/>
      <c r="C2142" s="49"/>
      <c r="D2142" s="49" t="s">
        <v>4528</v>
      </c>
      <c r="E2142" s="49" t="s">
        <v>3255</v>
      </c>
      <c r="F2142" s="10" t="str">
        <f>IFERROR(VLOOKUP(VENTAS[[#This Row],[Código del producto Vendido]],STOCK[],5,FALSE),"-")</f>
        <v>Calzoncillos Boxers de algodón colores variados</v>
      </c>
      <c r="G2142" s="49">
        <v>3</v>
      </c>
      <c r="H2142" s="48">
        <v>4</v>
      </c>
      <c r="I2142" s="12">
        <f>VENTAS[[#This Row],[Cantidad]]*VENTAS[[#This Row],[Precio Venta]]</f>
        <v>12</v>
      </c>
      <c r="J2142" s="12">
        <f>IF(VENTAS[[#This Row],[Nombre del Gestor]]&gt;1,VENTAS[[#This Row],[Total]]*10%,0)</f>
        <v>1.2000000000000002</v>
      </c>
      <c r="K2142" s="12">
        <f>IFERROR(VLOOKUP(VENTAS[[#This Row],[Código del producto Vendido]],STOCK[],16,FALSE)*VENTAS[[#This Row],[Cantidad]]+VLOOKUP(VENTAS[[#This Row],[Código del producto Vendido]],STOCK[],19,FALSE)*VENTAS[[#This Row],[Cantidad]],VENTAS[[#This Row],[Total]])</f>
        <v>6</v>
      </c>
      <c r="L2142" s="12">
        <f>VENTAS[[#This Row],[Total]]-VENTAS[[#This Row],[Comisión 10%]]-VENTAS[[#This Row],[Costo SIN Comision]]</f>
        <v>4.8000000000000007</v>
      </c>
      <c r="M2142" s="49"/>
      <c r="N2142" s="16" t="s">
        <v>5146</v>
      </c>
    </row>
    <row r="2143" spans="1:14" ht="13" hidden="1" customHeight="1">
      <c r="A2143" s="46">
        <v>45617</v>
      </c>
      <c r="B2143" s="49"/>
      <c r="C2143" s="49"/>
      <c r="D2143" s="49" t="s">
        <v>4757</v>
      </c>
      <c r="E2143" s="49" t="s">
        <v>3185</v>
      </c>
      <c r="F2143" s="10" t="str">
        <f>IFERROR(VLOOKUP(VENTAS[[#This Row],[Código del producto Vendido]],STOCK[],5,FALSE),"-")</f>
        <v>Pullover de hombre Loose Fit de gran calidad de cuello redondo gris oscuro Marca H&amp;M</v>
      </c>
      <c r="G2143" s="49">
        <v>1</v>
      </c>
      <c r="H2143" s="48">
        <v>18</v>
      </c>
      <c r="I2143" s="12">
        <f>VENTAS[[#This Row],[Cantidad]]*VENTAS[[#This Row],[Precio Venta]]</f>
        <v>18</v>
      </c>
      <c r="J2143" s="12">
        <f>IF(VENTAS[[#This Row],[Nombre del Gestor]]&gt;1,VENTAS[[#This Row],[Total]]*10%,0)</f>
        <v>1.8</v>
      </c>
      <c r="K2143" s="12">
        <f>IFERROR(VLOOKUP(VENTAS[[#This Row],[Código del producto Vendido]],STOCK[],16,FALSE)*VENTAS[[#This Row],[Cantidad]]+VLOOKUP(VENTAS[[#This Row],[Código del producto Vendido]],STOCK[],19,FALSE)*VENTAS[[#This Row],[Cantidad]],VENTAS[[#This Row],[Total]])</f>
        <v>10</v>
      </c>
      <c r="L2143" s="12">
        <f>VENTAS[[#This Row],[Total]]-VENTAS[[#This Row],[Comisión 10%]]-VENTAS[[#This Row],[Costo SIN Comision]]</f>
        <v>6.1999999999999993</v>
      </c>
      <c r="M2143" s="49"/>
      <c r="N2143" s="16" t="s">
        <v>5147</v>
      </c>
    </row>
    <row r="2144" spans="1:14" ht="13" hidden="1" customHeight="1">
      <c r="A2144" s="46">
        <v>45617</v>
      </c>
      <c r="B2144" s="49"/>
      <c r="C2144" s="49"/>
      <c r="D2144" s="49" t="s">
        <v>4757</v>
      </c>
      <c r="E2144" s="49" t="s">
        <v>3193</v>
      </c>
      <c r="F2144" s="10" t="str">
        <f>IFERROR(VLOOKUP(VENTAS[[#This Row],[Código del producto Vendido]],STOCK[],5,FALSE),"-")</f>
        <v>Pullover de hombre Loose Fit de gran calidad de cuello redondo azul Marca H&amp;M</v>
      </c>
      <c r="G2144" s="49">
        <v>1</v>
      </c>
      <c r="H2144" s="48">
        <v>18</v>
      </c>
      <c r="I2144" s="12">
        <f>VENTAS[[#This Row],[Cantidad]]*VENTAS[[#This Row],[Precio Venta]]</f>
        <v>18</v>
      </c>
      <c r="J2144" s="12">
        <f>IF(VENTAS[[#This Row],[Nombre del Gestor]]&gt;1,VENTAS[[#This Row],[Total]]*10%,0)</f>
        <v>1.8</v>
      </c>
      <c r="K2144" s="12">
        <f>IFERROR(VLOOKUP(VENTAS[[#This Row],[Código del producto Vendido]],STOCK[],16,FALSE)*VENTAS[[#This Row],[Cantidad]]+VLOOKUP(VENTAS[[#This Row],[Código del producto Vendido]],STOCK[],19,FALSE)*VENTAS[[#This Row],[Cantidad]],VENTAS[[#This Row],[Total]])</f>
        <v>10</v>
      </c>
      <c r="L2144" s="12">
        <f>VENTAS[[#This Row],[Total]]-VENTAS[[#This Row],[Comisión 10%]]-VENTAS[[#This Row],[Costo SIN Comision]]</f>
        <v>6.1999999999999993</v>
      </c>
      <c r="M2144" s="49"/>
      <c r="N2144" s="16" t="s">
        <v>5148</v>
      </c>
    </row>
    <row r="2145" spans="1:14" ht="13" hidden="1" customHeight="1">
      <c r="A2145" s="46">
        <v>45617</v>
      </c>
      <c r="B2145" s="49"/>
      <c r="C2145" s="49"/>
      <c r="D2145" s="49" t="s">
        <v>4757</v>
      </c>
      <c r="E2145" s="49" t="s">
        <v>3146</v>
      </c>
      <c r="F2145" s="10" t="str">
        <f>IFERROR(VLOOKUP(VENTAS[[#This Row],[Código del producto Vendido]],STOCK[],5,FALSE),"-")</f>
        <v>Suéter oversize crema de franjas azul oscuro de cuello redondo Marca H&amp;M</v>
      </c>
      <c r="G2145" s="49">
        <v>1</v>
      </c>
      <c r="H2145" s="48">
        <v>25</v>
      </c>
      <c r="I2145" s="12">
        <f>VENTAS[[#This Row],[Cantidad]]*VENTAS[[#This Row],[Precio Venta]]</f>
        <v>25</v>
      </c>
      <c r="J2145" s="12">
        <f>IF(VENTAS[[#This Row],[Nombre del Gestor]]&gt;1,VENTAS[[#This Row],[Total]]*10%,0)</f>
        <v>2.5</v>
      </c>
      <c r="K2145" s="12">
        <f>IFERROR(VLOOKUP(VENTAS[[#This Row],[Código del producto Vendido]],STOCK[],16,FALSE)*VENTAS[[#This Row],[Cantidad]]+VLOOKUP(VENTAS[[#This Row],[Código del producto Vendido]],STOCK[],19,FALSE)*VENTAS[[#This Row],[Cantidad]],VENTAS[[#This Row],[Total]])</f>
        <v>12</v>
      </c>
      <c r="L2145" s="12">
        <f>VENTAS[[#This Row],[Total]]-VENTAS[[#This Row],[Comisión 10%]]-VENTAS[[#This Row],[Costo SIN Comision]]</f>
        <v>10.5</v>
      </c>
      <c r="M2145" s="49"/>
      <c r="N2145" s="16" t="s">
        <v>5149</v>
      </c>
    </row>
    <row r="2146" spans="1:14" ht="13" hidden="1" customHeight="1">
      <c r="A2146" s="46">
        <v>45617</v>
      </c>
      <c r="B2146" s="49"/>
      <c r="C2146" s="49" t="s">
        <v>4406</v>
      </c>
      <c r="D2146" s="49"/>
      <c r="E2146" s="49" t="s">
        <v>3060</v>
      </c>
      <c r="F2146" s="10" t="str">
        <f>IFERROR(VLOOKUP(VENTAS[[#This Row],[Código del producto Vendido]],STOCK[],5,FALSE),"-")</f>
        <v>Pantalón elegante de pierna ancha gris de listas blancas Marca H&amp;M</v>
      </c>
      <c r="G2146" s="49">
        <v>1</v>
      </c>
      <c r="H2146" s="48">
        <v>30</v>
      </c>
      <c r="I2146" s="12">
        <f>VENTAS[[#This Row],[Cantidad]]*VENTAS[[#This Row],[Precio Venta]]</f>
        <v>30</v>
      </c>
      <c r="J2146" s="12">
        <f>IF(VENTAS[[#This Row],[Nombre del Gestor]]&gt;1,VENTAS[[#This Row],[Total]]*10%,0)</f>
        <v>0</v>
      </c>
      <c r="K2146" s="12">
        <f>IFERROR(VLOOKUP(VENTAS[[#This Row],[Código del producto Vendido]],STOCK[],16,FALSE)*VENTAS[[#This Row],[Cantidad]]+VLOOKUP(VENTAS[[#This Row],[Código del producto Vendido]],STOCK[],19,FALSE)*VENTAS[[#This Row],[Cantidad]],VENTAS[[#This Row],[Total]])</f>
        <v>10</v>
      </c>
      <c r="L2146" s="12">
        <f>VENTAS[[#This Row],[Total]]-VENTAS[[#This Row],[Comisión 10%]]-VENTAS[[#This Row],[Costo SIN Comision]]</f>
        <v>20</v>
      </c>
      <c r="M2146" s="49"/>
      <c r="N2146" s="16" t="s">
        <v>5150</v>
      </c>
    </row>
    <row r="2147" spans="1:14" ht="13" hidden="1" customHeight="1">
      <c r="A2147" s="46">
        <v>45617</v>
      </c>
      <c r="B2147" s="49"/>
      <c r="C2147" s="49" t="s">
        <v>4406</v>
      </c>
      <c r="D2147" s="49"/>
      <c r="E2147" s="49" t="s">
        <v>2435</v>
      </c>
      <c r="F2147" s="10" t="str">
        <f>IFERROR(VLOOKUP(VENTAS[[#This Row],[Código del producto Vendido]],STOCK[],5,FALSE),"-")</f>
        <v>Pantalón ancho con cordón ajustable</v>
      </c>
      <c r="G2147" s="49">
        <v>1</v>
      </c>
      <c r="H2147" s="48">
        <v>23</v>
      </c>
      <c r="I2147" s="12">
        <f>VENTAS[[#This Row],[Cantidad]]*VENTAS[[#This Row],[Precio Venta]]</f>
        <v>23</v>
      </c>
      <c r="J2147" s="12">
        <f>IF(VENTAS[[#This Row],[Nombre del Gestor]]&gt;1,VENTAS[[#This Row],[Total]]*10%,0)</f>
        <v>0</v>
      </c>
      <c r="K2147" s="12">
        <f>IFERROR(VLOOKUP(VENTAS[[#This Row],[Código del producto Vendido]],STOCK[],16,FALSE)*VENTAS[[#This Row],[Cantidad]]+VLOOKUP(VENTAS[[#This Row],[Código del producto Vendido]],STOCK[],19,FALSE)*VENTAS[[#This Row],[Cantidad]],VENTAS[[#This Row],[Total]])</f>
        <v>11.43533490011751</v>
      </c>
      <c r="L2147" s="12">
        <f>VENTAS[[#This Row],[Total]]-VENTAS[[#This Row],[Comisión 10%]]-VENTAS[[#This Row],[Costo SIN Comision]]</f>
        <v>11.56466509988249</v>
      </c>
      <c r="M2147" s="49"/>
      <c r="N2147" s="16" t="s">
        <v>5151</v>
      </c>
    </row>
    <row r="2148" spans="1:14" ht="13" hidden="1" customHeight="1">
      <c r="A2148" s="46">
        <v>45617</v>
      </c>
      <c r="B2148" s="49"/>
      <c r="C2148" s="49" t="s">
        <v>4406</v>
      </c>
      <c r="D2148" s="49"/>
      <c r="E2148" s="49" t="s">
        <v>3106</v>
      </c>
      <c r="F2148" s="10" t="str">
        <f>IFERROR(VLOOKUP(VENTAS[[#This Row],[Código del producto Vendido]],STOCK[],5,FALSE),"-")</f>
        <v>Blusa negra de escote cuadrado Marca H&amp;M</v>
      </c>
      <c r="G2148" s="49">
        <v>1</v>
      </c>
      <c r="H2148" s="48">
        <v>15</v>
      </c>
      <c r="I2148" s="12">
        <f>VENTAS[[#This Row],[Cantidad]]*VENTAS[[#This Row],[Precio Venta]]</f>
        <v>15</v>
      </c>
      <c r="J2148" s="12">
        <f>IF(VENTAS[[#This Row],[Nombre del Gestor]]&gt;1,VENTAS[[#This Row],[Total]]*10%,0)</f>
        <v>0</v>
      </c>
      <c r="K2148" s="12">
        <f>IFERROR(VLOOKUP(VENTAS[[#This Row],[Código del producto Vendido]],STOCK[],16,FALSE)*VENTAS[[#This Row],[Cantidad]]+VLOOKUP(VENTAS[[#This Row],[Código del producto Vendido]],STOCK[],19,FALSE)*VENTAS[[#This Row],[Cantidad]],VENTAS[[#This Row],[Total]])</f>
        <v>8</v>
      </c>
      <c r="L2148" s="12">
        <f>VENTAS[[#This Row],[Total]]-VENTAS[[#This Row],[Comisión 10%]]-VENTAS[[#This Row],[Costo SIN Comision]]</f>
        <v>7</v>
      </c>
      <c r="M2148" s="49"/>
      <c r="N2148" s="16" t="s">
        <v>5152</v>
      </c>
    </row>
    <row r="2149" spans="1:14" ht="13" hidden="1" customHeight="1">
      <c r="A2149" s="46">
        <v>45617</v>
      </c>
      <c r="B2149" s="49"/>
      <c r="C2149" s="49" t="s">
        <v>4406</v>
      </c>
      <c r="D2149" s="49"/>
      <c r="E2149" s="49" t="s">
        <v>3118</v>
      </c>
      <c r="F2149" s="10" t="str">
        <f>IFERROR(VLOOKUP(VENTAS[[#This Row],[Código del producto Vendido]],STOCK[],5,FALSE),"-")</f>
        <v>Pullover oversize de listas cramelitas Marca H&amp;M</v>
      </c>
      <c r="G2149" s="49">
        <v>1</v>
      </c>
      <c r="H2149" s="48">
        <v>15</v>
      </c>
      <c r="I2149" s="12">
        <f>VENTAS[[#This Row],[Cantidad]]*VENTAS[[#This Row],[Precio Venta]]</f>
        <v>15</v>
      </c>
      <c r="J2149" s="12">
        <f>IF(VENTAS[[#This Row],[Nombre del Gestor]]&gt;1,VENTAS[[#This Row],[Total]]*10%,0)</f>
        <v>0</v>
      </c>
      <c r="K2149" s="12">
        <f>IFERROR(VLOOKUP(VENTAS[[#This Row],[Código del producto Vendido]],STOCK[],16,FALSE)*VENTAS[[#This Row],[Cantidad]]+VLOOKUP(VENTAS[[#This Row],[Código del producto Vendido]],STOCK[],19,FALSE)*VENTAS[[#This Row],[Cantidad]],VENTAS[[#This Row],[Total]])</f>
        <v>8</v>
      </c>
      <c r="L2149" s="12">
        <f>VENTAS[[#This Row],[Total]]-VENTAS[[#This Row],[Comisión 10%]]-VENTAS[[#This Row],[Costo SIN Comision]]</f>
        <v>7</v>
      </c>
      <c r="M2149" s="49"/>
      <c r="N2149" s="16" t="s">
        <v>5153</v>
      </c>
    </row>
    <row r="2150" spans="1:14" ht="13" hidden="1" customHeight="1">
      <c r="A2150" s="46">
        <v>45618</v>
      </c>
      <c r="B2150" s="49"/>
      <c r="C2150" s="49"/>
      <c r="D2150" s="49" t="s">
        <v>4330</v>
      </c>
      <c r="E2150" s="49" t="s">
        <v>999</v>
      </c>
      <c r="F2150" s="10" t="str">
        <f>IFERROR(VLOOKUP(VENTAS[[#This Row],[Código del producto Vendido]],STOCK[],5,FALSE),"-")</f>
        <v>Top Acanalado</v>
      </c>
      <c r="G2150" s="49">
        <v>1</v>
      </c>
      <c r="H2150" s="48">
        <v>14</v>
      </c>
      <c r="I2150" s="12">
        <f>VENTAS[[#This Row],[Cantidad]]*VENTAS[[#This Row],[Precio Venta]]</f>
        <v>14</v>
      </c>
      <c r="J2150" s="12">
        <f>IF(VENTAS[[#This Row],[Nombre del Gestor]]&gt;1,VENTAS[[#This Row],[Total]]*10%,0)</f>
        <v>1.4000000000000001</v>
      </c>
      <c r="K2150" s="12">
        <f>IFERROR(VLOOKUP(VENTAS[[#This Row],[Código del producto Vendido]],STOCK[],16,FALSE)*VENTAS[[#This Row],[Cantidad]]+VLOOKUP(VENTAS[[#This Row],[Código del producto Vendido]],STOCK[],19,FALSE)*VENTAS[[#This Row],[Cantidad]],VENTAS[[#This Row],[Total]])</f>
        <v>9.2799999999999994</v>
      </c>
      <c r="L2150" s="12">
        <f>VENTAS[[#This Row],[Total]]-VENTAS[[#This Row],[Comisión 10%]]-VENTAS[[#This Row],[Costo SIN Comision]]</f>
        <v>3.3200000000000003</v>
      </c>
      <c r="M2150" s="49"/>
      <c r="N2150" s="16" t="s">
        <v>5154</v>
      </c>
    </row>
    <row r="2151" spans="1:14" ht="13" hidden="1" customHeight="1">
      <c r="A2151" s="46">
        <v>45618</v>
      </c>
      <c r="B2151" s="49"/>
      <c r="C2151" s="49"/>
      <c r="D2151" s="49" t="s">
        <v>4380</v>
      </c>
      <c r="E2151" s="49" t="s">
        <v>2935</v>
      </c>
      <c r="F2151" s="10" t="str">
        <f>IFERROR(VLOOKUP(VENTAS[[#This Row],[Código del producto Vendido]],STOCK[],5,FALSE),"-")</f>
        <v>Jeans de talle alto y pierna ancha color azul claro</v>
      </c>
      <c r="G2151" s="49">
        <v>2</v>
      </c>
      <c r="H2151" s="48">
        <v>30</v>
      </c>
      <c r="I2151" s="12">
        <f>VENTAS[[#This Row],[Cantidad]]*VENTAS[[#This Row],[Precio Venta]]</f>
        <v>60</v>
      </c>
      <c r="J2151" s="12">
        <f>IF(VENTAS[[#This Row],[Nombre del Gestor]]&gt;1,VENTAS[[#This Row],[Total]]*10%,0)</f>
        <v>6</v>
      </c>
      <c r="K2151" s="12">
        <f>IFERROR(VLOOKUP(VENTAS[[#This Row],[Código del producto Vendido]],STOCK[],16,FALSE)*VENTAS[[#This Row],[Cantidad]]+VLOOKUP(VENTAS[[#This Row],[Código del producto Vendido]],STOCK[],19,FALSE)*VENTAS[[#This Row],[Cantidad]],VENTAS[[#This Row],[Total]])</f>
        <v>24.92</v>
      </c>
      <c r="L2151" s="12">
        <f>VENTAS[[#This Row],[Total]]-VENTAS[[#This Row],[Comisión 10%]]-VENTAS[[#This Row],[Costo SIN Comision]]</f>
        <v>29.08</v>
      </c>
      <c r="M2151" s="49"/>
      <c r="N2151" s="16" t="s">
        <v>5155</v>
      </c>
    </row>
    <row r="2152" spans="1:14" ht="13" hidden="1" customHeight="1">
      <c r="A2152" s="46">
        <v>45618</v>
      </c>
      <c r="B2152" s="49"/>
      <c r="C2152" s="49"/>
      <c r="D2152" s="49" t="s">
        <v>4571</v>
      </c>
      <c r="E2152" s="49" t="s">
        <v>1709</v>
      </c>
      <c r="F2152" s="10" t="str">
        <f>IFERROR(VLOOKUP(VENTAS[[#This Row],[Código del producto Vendido]],STOCK[],5,FALSE),"-")</f>
        <v>Vestido ajustado con abertura de manga larga</v>
      </c>
      <c r="G2152" s="49">
        <v>1</v>
      </c>
      <c r="H2152" s="48">
        <v>20</v>
      </c>
      <c r="I2152" s="12">
        <f>VENTAS[[#This Row],[Cantidad]]*VENTAS[[#This Row],[Precio Venta]]</f>
        <v>20</v>
      </c>
      <c r="J2152" s="12">
        <f>IF(VENTAS[[#This Row],[Nombre del Gestor]]&gt;1,VENTAS[[#This Row],[Total]]*10%,0)</f>
        <v>2</v>
      </c>
      <c r="K2152" s="12">
        <f>IFERROR(VLOOKUP(VENTAS[[#This Row],[Código del producto Vendido]],STOCK[],16,FALSE)*VENTAS[[#This Row],[Cantidad]]+VLOOKUP(VENTAS[[#This Row],[Código del producto Vendido]],STOCK[],19,FALSE)*VENTAS[[#This Row],[Cantidad]],VENTAS[[#This Row],[Total]])</f>
        <v>9.9700000000000006</v>
      </c>
      <c r="L2152" s="12">
        <f>VENTAS[[#This Row],[Total]]-VENTAS[[#This Row],[Comisión 10%]]-VENTAS[[#This Row],[Costo SIN Comision]]</f>
        <v>8.0299999999999994</v>
      </c>
      <c r="M2152" s="49"/>
      <c r="N2152" s="16" t="s">
        <v>5156</v>
      </c>
    </row>
    <row r="2153" spans="1:14" ht="13" hidden="1" customHeight="1">
      <c r="A2153" s="46">
        <v>45619</v>
      </c>
      <c r="B2153" s="49"/>
      <c r="C2153" s="49"/>
      <c r="D2153" s="49" t="s">
        <v>4571</v>
      </c>
      <c r="E2153" s="49" t="s">
        <v>1859</v>
      </c>
      <c r="F2153" s="10" t="str">
        <f>IFERROR(VLOOKUP(VENTAS[[#This Row],[Código del producto Vendido]],STOCK[],5,FALSE),"-")</f>
        <v>Crossbody Bag Guateado</v>
      </c>
      <c r="G2153" s="49">
        <v>1</v>
      </c>
      <c r="H2153" s="48">
        <v>20</v>
      </c>
      <c r="I2153" s="12">
        <f>VENTAS[[#This Row],[Cantidad]]*VENTAS[[#This Row],[Precio Venta]]</f>
        <v>20</v>
      </c>
      <c r="J2153" s="12">
        <f>IF(VENTAS[[#This Row],[Nombre del Gestor]]&gt;1,VENTAS[[#This Row],[Total]]*10%,0)</f>
        <v>2</v>
      </c>
      <c r="K2153" s="12">
        <f>IFERROR(VLOOKUP(VENTAS[[#This Row],[Código del producto Vendido]],STOCK[],16,FALSE)*VENTAS[[#This Row],[Cantidad]]+VLOOKUP(VENTAS[[#This Row],[Código del producto Vendido]],STOCK[],19,FALSE)*VENTAS[[#This Row],[Cantidad]],VENTAS[[#This Row],[Total]])</f>
        <v>11.790000000000001</v>
      </c>
      <c r="L2153" s="12">
        <f>VENTAS[[#This Row],[Total]]-VENTAS[[#This Row],[Comisión 10%]]-VENTAS[[#This Row],[Costo SIN Comision]]</f>
        <v>6.2099999999999991</v>
      </c>
      <c r="M2153" s="49"/>
      <c r="N2153" s="16" t="s">
        <v>5157</v>
      </c>
    </row>
    <row r="2154" spans="1:14" ht="13" hidden="1" customHeight="1">
      <c r="A2154" s="46">
        <v>45621</v>
      </c>
      <c r="B2154" s="49"/>
      <c r="C2154" s="49"/>
      <c r="D2154" s="49" t="s">
        <v>4571</v>
      </c>
      <c r="E2154" s="49" t="s">
        <v>1707</v>
      </c>
      <c r="F2154" s="10" t="str">
        <f>IFERROR(VLOOKUP(VENTAS[[#This Row],[Código del producto Vendido]],STOCK[],5,FALSE),"-")</f>
        <v>Vestido ajustado con abertura de manga larga</v>
      </c>
      <c r="G2154" s="49">
        <v>1</v>
      </c>
      <c r="H2154" s="48">
        <v>20</v>
      </c>
      <c r="I2154" s="12">
        <f>VENTAS[[#This Row],[Cantidad]]*VENTAS[[#This Row],[Precio Venta]]</f>
        <v>20</v>
      </c>
      <c r="J2154" s="12">
        <f>IF(VENTAS[[#This Row],[Nombre del Gestor]]&gt;1,VENTAS[[#This Row],[Total]]*10%,0)</f>
        <v>2</v>
      </c>
      <c r="K2154" s="12">
        <f>IFERROR(VLOOKUP(VENTAS[[#This Row],[Código del producto Vendido]],STOCK[],16,FALSE)*VENTAS[[#This Row],[Cantidad]]+VLOOKUP(VENTAS[[#This Row],[Código del producto Vendido]],STOCK[],19,FALSE)*VENTAS[[#This Row],[Cantidad]],VENTAS[[#This Row],[Total]])</f>
        <v>9.9700000000000006</v>
      </c>
      <c r="L2154" s="12">
        <f>VENTAS[[#This Row],[Total]]-VENTAS[[#This Row],[Comisión 10%]]-VENTAS[[#This Row],[Costo SIN Comision]]</f>
        <v>8.0299999999999994</v>
      </c>
      <c r="M2154" s="49"/>
      <c r="N2154" s="16" t="s">
        <v>5158</v>
      </c>
    </row>
    <row r="2155" spans="1:14" ht="13" hidden="1" customHeight="1">
      <c r="A2155" s="46">
        <v>45621</v>
      </c>
      <c r="B2155" s="49"/>
      <c r="C2155" s="49"/>
      <c r="D2155" s="49" t="s">
        <v>4374</v>
      </c>
      <c r="E2155" s="49" t="s">
        <v>2471</v>
      </c>
      <c r="F2155" s="10" t="str">
        <f>IFERROR(VLOOKUP(VENTAS[[#This Row],[Código del producto Vendido]],STOCK[],5,FALSE),"-")</f>
        <v>Sandalias strappy de plataforma color beige</v>
      </c>
      <c r="G2155" s="49">
        <v>1</v>
      </c>
      <c r="H2155" s="48">
        <v>35</v>
      </c>
      <c r="I2155" s="12">
        <f>VENTAS[[#This Row],[Cantidad]]*VENTAS[[#This Row],[Precio Venta]]</f>
        <v>35</v>
      </c>
      <c r="J2155" s="12">
        <f>IF(VENTAS[[#This Row],[Nombre del Gestor]]&gt;1,VENTAS[[#This Row],[Total]]*10%,0)</f>
        <v>3.5</v>
      </c>
      <c r="K2155" s="12">
        <f>IFERROR(VLOOKUP(VENTAS[[#This Row],[Código del producto Vendido]],STOCK[],16,FALSE)*VENTAS[[#This Row],[Cantidad]]+VLOOKUP(VENTAS[[#This Row],[Código del producto Vendido]],STOCK[],19,FALSE)*VENTAS[[#This Row],[Cantidad]],VENTAS[[#This Row],[Total]])</f>
        <v>21.13165</v>
      </c>
      <c r="L2155" s="12">
        <f>VENTAS[[#This Row],[Total]]-VENTAS[[#This Row],[Comisión 10%]]-VENTAS[[#This Row],[Costo SIN Comision]]</f>
        <v>10.36835</v>
      </c>
      <c r="M2155" s="49"/>
      <c r="N2155" s="16" t="s">
        <v>5159</v>
      </c>
    </row>
    <row r="2156" spans="1:14" ht="13" hidden="1" customHeight="1">
      <c r="A2156" s="46">
        <v>45621</v>
      </c>
      <c r="B2156" s="49"/>
      <c r="C2156" s="49"/>
      <c r="D2156" s="49" t="s">
        <v>4184</v>
      </c>
      <c r="E2156" s="49" t="s">
        <v>597</v>
      </c>
      <c r="F2156" s="10" t="str">
        <f>IFERROR(VLOOKUP(VENTAS[[#This Row],[Código del producto Vendido]],STOCK[],5,FALSE),"-")</f>
        <v>Top cruzado naranja</v>
      </c>
      <c r="G2156" s="49">
        <v>1</v>
      </c>
      <c r="H2156" s="48">
        <v>9</v>
      </c>
      <c r="I2156" s="12">
        <f>VENTAS[[#This Row],[Cantidad]]*VENTAS[[#This Row],[Precio Venta]]</f>
        <v>9</v>
      </c>
      <c r="J2156" s="12">
        <f>IF(VENTAS[[#This Row],[Nombre del Gestor]]&gt;1,VENTAS[[#This Row],[Total]]*10%,0)</f>
        <v>0.9</v>
      </c>
      <c r="K2156" s="12">
        <f>IFERROR(VLOOKUP(VENTAS[[#This Row],[Código del producto Vendido]],STOCK[],16,FALSE)*VENTAS[[#This Row],[Cantidad]]+VLOOKUP(VENTAS[[#This Row],[Código del producto Vendido]],STOCK[],19,FALSE)*VENTAS[[#This Row],[Cantidad]],VENTAS[[#This Row],[Total]])</f>
        <v>5.0683333333333307</v>
      </c>
      <c r="L2156" s="12">
        <f>VENTAS[[#This Row],[Total]]-VENTAS[[#This Row],[Comisión 10%]]-VENTAS[[#This Row],[Costo SIN Comision]]</f>
        <v>3.031666666666669</v>
      </c>
      <c r="M2156" s="49"/>
      <c r="N2156" s="16" t="s">
        <v>5160</v>
      </c>
    </row>
    <row r="2157" spans="1:14" ht="13" hidden="1" customHeight="1">
      <c r="A2157" s="46">
        <v>45621</v>
      </c>
      <c r="B2157" s="49"/>
      <c r="C2157" s="49"/>
      <c r="D2157" s="49" t="s">
        <v>4184</v>
      </c>
      <c r="E2157" s="49" t="s">
        <v>997</v>
      </c>
      <c r="F2157" s="10" t="str">
        <f>IFERROR(VLOOKUP(VENTAS[[#This Row],[Código del producto Vendido]],STOCK[],5,FALSE),"-")</f>
        <v>Top Acanalado</v>
      </c>
      <c r="G2157" s="49">
        <v>1</v>
      </c>
      <c r="H2157" s="48">
        <v>14</v>
      </c>
      <c r="I2157" s="12">
        <f>VENTAS[[#This Row],[Cantidad]]*VENTAS[[#This Row],[Precio Venta]]</f>
        <v>14</v>
      </c>
      <c r="J2157" s="12">
        <f>IF(VENTAS[[#This Row],[Nombre del Gestor]]&gt;1,VENTAS[[#This Row],[Total]]*10%,0)</f>
        <v>1.4000000000000001</v>
      </c>
      <c r="K2157" s="12">
        <f>IFERROR(VLOOKUP(VENTAS[[#This Row],[Código del producto Vendido]],STOCK[],16,FALSE)*VENTAS[[#This Row],[Cantidad]]+VLOOKUP(VENTAS[[#This Row],[Código del producto Vendido]],STOCK[],19,FALSE)*VENTAS[[#This Row],[Cantidad]],VENTAS[[#This Row],[Total]])</f>
        <v>9.2799999999999994</v>
      </c>
      <c r="L2157" s="12">
        <f>VENTAS[[#This Row],[Total]]-VENTAS[[#This Row],[Comisión 10%]]-VENTAS[[#This Row],[Costo SIN Comision]]</f>
        <v>3.3200000000000003</v>
      </c>
      <c r="M2157" s="49"/>
      <c r="N2157" s="16" t="s">
        <v>5161</v>
      </c>
    </row>
    <row r="2158" spans="1:14" ht="13" hidden="1" customHeight="1">
      <c r="A2158" s="46">
        <v>45621</v>
      </c>
      <c r="B2158" s="49"/>
      <c r="C2158" s="49"/>
      <c r="D2158" s="49" t="s">
        <v>4184</v>
      </c>
      <c r="E2158" s="49" t="s">
        <v>1908</v>
      </c>
      <c r="F2158" s="10" t="str">
        <f>IFERROR(VLOOKUP(VENTAS[[#This Row],[Código del producto Vendido]],STOCK[],5,FALSE),"-")</f>
        <v>Crossbody Cromado</v>
      </c>
      <c r="G2158" s="49">
        <v>1</v>
      </c>
      <c r="H2158" s="48">
        <v>35</v>
      </c>
      <c r="I2158" s="12">
        <f>VENTAS[[#This Row],[Cantidad]]*VENTAS[[#This Row],[Precio Venta]]</f>
        <v>35</v>
      </c>
      <c r="J2158" s="12">
        <f>IF(VENTAS[[#This Row],[Nombre del Gestor]]&gt;1,VENTAS[[#This Row],[Total]]*10%,0)</f>
        <v>3.5</v>
      </c>
      <c r="K2158" s="12">
        <f>IFERROR(VLOOKUP(VENTAS[[#This Row],[Código del producto Vendido]],STOCK[],16,FALSE)*VENTAS[[#This Row],[Cantidad]]+VLOOKUP(VENTAS[[#This Row],[Código del producto Vendido]],STOCK[],19,FALSE)*VENTAS[[#This Row],[Cantidad]],VENTAS[[#This Row],[Total]])</f>
        <v>21.48</v>
      </c>
      <c r="L2158" s="12">
        <f>VENTAS[[#This Row],[Total]]-VENTAS[[#This Row],[Comisión 10%]]-VENTAS[[#This Row],[Costo SIN Comision]]</f>
        <v>10.02</v>
      </c>
      <c r="M2158" s="49"/>
      <c r="N2158" s="16" t="s">
        <v>5162</v>
      </c>
    </row>
    <row r="2159" spans="1:14" ht="13" hidden="1" customHeight="1">
      <c r="A2159" s="46">
        <v>45622</v>
      </c>
      <c r="B2159" s="49"/>
      <c r="C2159" s="49"/>
      <c r="D2159" s="49" t="s">
        <v>4571</v>
      </c>
      <c r="E2159" s="49" t="s">
        <v>2753</v>
      </c>
      <c r="F2159" s="10" t="str">
        <f>IFERROR(VLOOKUP(VENTAS[[#This Row],[Código del producto Vendido]],STOCK[],5,FALSE),"-")</f>
        <v>Vestido Privé Unicolor Sin Mangas ajustado con pliegues color negro</v>
      </c>
      <c r="G2159" s="49">
        <v>1</v>
      </c>
      <c r="H2159" s="48">
        <v>20</v>
      </c>
      <c r="I2159" s="12">
        <f>VENTAS[[#This Row],[Cantidad]]*VENTAS[[#This Row],[Precio Venta]]</f>
        <v>20</v>
      </c>
      <c r="J2159" s="12">
        <f>IF(VENTAS[[#This Row],[Nombre del Gestor]]&gt;1,VENTAS[[#This Row],[Total]]*10%,0)</f>
        <v>2</v>
      </c>
      <c r="K2159" s="12">
        <f>IFERROR(VLOOKUP(VENTAS[[#This Row],[Código del producto Vendido]],STOCK[],16,FALSE)*VENTAS[[#This Row],[Cantidad]]+VLOOKUP(VENTAS[[#This Row],[Código del producto Vendido]],STOCK[],19,FALSE)*VENTAS[[#This Row],[Cantidad]],VENTAS[[#This Row],[Total]])</f>
        <v>6.12</v>
      </c>
      <c r="L2159" s="12">
        <f>VENTAS[[#This Row],[Total]]-VENTAS[[#This Row],[Comisión 10%]]-VENTAS[[#This Row],[Costo SIN Comision]]</f>
        <v>11.879999999999999</v>
      </c>
      <c r="M2159" s="49"/>
      <c r="N2159" s="16" t="s">
        <v>5163</v>
      </c>
    </row>
    <row r="2160" spans="1:14" ht="13" hidden="1" customHeight="1">
      <c r="A2160" s="46">
        <v>45622</v>
      </c>
      <c r="B2160" s="49"/>
      <c r="C2160" s="49"/>
      <c r="D2160" s="49" t="s">
        <v>4349</v>
      </c>
      <c r="E2160" s="49" t="s">
        <v>1002</v>
      </c>
      <c r="F2160" s="10" t="str">
        <f>IFERROR(VLOOKUP(VENTAS[[#This Row],[Código del producto Vendido]],STOCK[],5,FALSE),"-")</f>
        <v>Vestido frenchy de puntos</v>
      </c>
      <c r="G2160" s="49">
        <v>1</v>
      </c>
      <c r="H2160" s="48">
        <v>22</v>
      </c>
      <c r="I2160" s="12">
        <f>VENTAS[[#This Row],[Cantidad]]*VENTAS[[#This Row],[Precio Venta]]</f>
        <v>22</v>
      </c>
      <c r="J2160" s="12">
        <f>IF(VENTAS[[#This Row],[Nombre del Gestor]]&gt;1,VENTAS[[#This Row],[Total]]*10%,0)</f>
        <v>2.2000000000000002</v>
      </c>
      <c r="K2160" s="12">
        <f>IFERROR(VLOOKUP(VENTAS[[#This Row],[Código del producto Vendido]],STOCK[],16,FALSE)*VENTAS[[#This Row],[Cantidad]]+VLOOKUP(VENTAS[[#This Row],[Código del producto Vendido]],STOCK[],19,FALSE)*VENTAS[[#This Row],[Cantidad]],VENTAS[[#This Row],[Total]])</f>
        <v>15.3272727272727</v>
      </c>
      <c r="L2160" s="12">
        <f>VENTAS[[#This Row],[Total]]-VENTAS[[#This Row],[Comisión 10%]]-VENTAS[[#This Row],[Costo SIN Comision]]</f>
        <v>4.4727272727273011</v>
      </c>
      <c r="M2160" s="49"/>
      <c r="N2160" s="16" t="s">
        <v>5164</v>
      </c>
    </row>
    <row r="2161" spans="1:14" ht="13" hidden="1" customHeight="1">
      <c r="A2161" s="46">
        <v>45622</v>
      </c>
      <c r="B2161" s="49"/>
      <c r="C2161" s="49"/>
      <c r="D2161" s="49" t="s">
        <v>4349</v>
      </c>
      <c r="E2161" s="49" t="s">
        <v>604</v>
      </c>
      <c r="F2161" s="10" t="str">
        <f>IFERROR(VLOOKUP(VENTAS[[#This Row],[Código del producto Vendido]],STOCK[],5,FALSE),"-")</f>
        <v>Vestido floral de mangas farol</v>
      </c>
      <c r="G2161" s="49">
        <v>1</v>
      </c>
      <c r="H2161" s="48">
        <v>18</v>
      </c>
      <c r="I2161" s="12">
        <f>VENTAS[[#This Row],[Cantidad]]*VENTAS[[#This Row],[Precio Venta]]</f>
        <v>18</v>
      </c>
      <c r="J2161" s="12">
        <f>IF(VENTAS[[#This Row],[Nombre del Gestor]]&gt;1,VENTAS[[#This Row],[Total]]*10%,0)</f>
        <v>1.8</v>
      </c>
      <c r="K2161" s="12">
        <f>IFERROR(VLOOKUP(VENTAS[[#This Row],[Código del producto Vendido]],STOCK[],16,FALSE)*VENTAS[[#This Row],[Cantidad]]+VLOOKUP(VENTAS[[#This Row],[Código del producto Vendido]],STOCK[],19,FALSE)*VENTAS[[#This Row],[Cantidad]],VENTAS[[#This Row],[Total]])</f>
        <v>10.72222222222222</v>
      </c>
      <c r="L2161" s="12">
        <f>VENTAS[[#This Row],[Total]]-VENTAS[[#This Row],[Comisión 10%]]-VENTAS[[#This Row],[Costo SIN Comision]]</f>
        <v>5.4777777777777796</v>
      </c>
      <c r="M2161" s="49"/>
      <c r="N2161" s="16" t="s">
        <v>5165</v>
      </c>
    </row>
    <row r="2162" spans="1:14" ht="13" hidden="1" customHeight="1">
      <c r="A2162" s="46">
        <v>45622</v>
      </c>
      <c r="B2162" s="49"/>
      <c r="C2162" s="49"/>
      <c r="D2162" s="49" t="s">
        <v>4349</v>
      </c>
      <c r="E2162" s="49" t="s">
        <v>1770</v>
      </c>
      <c r="F2162" s="10" t="str">
        <f>IFERROR(VLOOKUP(VENTAS[[#This Row],[Código del producto Vendido]],STOCK[],5,FALSE),"-")</f>
        <v>Calcetines bajos</v>
      </c>
      <c r="G2162" s="49">
        <v>4</v>
      </c>
      <c r="H2162" s="48">
        <v>1</v>
      </c>
      <c r="I2162" s="12">
        <f>VENTAS[[#This Row],[Cantidad]]*VENTAS[[#This Row],[Precio Venta]]</f>
        <v>4</v>
      </c>
      <c r="J2162" s="12">
        <f>IF(VENTAS[[#This Row],[Nombre del Gestor]]&gt;1,VENTAS[[#This Row],[Total]]*10%,0)</f>
        <v>0.4</v>
      </c>
      <c r="K2162" s="12">
        <f>IFERROR(VLOOKUP(VENTAS[[#This Row],[Código del producto Vendido]],STOCK[],16,FALSE)*VENTAS[[#This Row],[Cantidad]]+VLOOKUP(VENTAS[[#This Row],[Código del producto Vendido]],STOCK[],19,FALSE)*VENTAS[[#This Row],[Cantidad]],VENTAS[[#This Row],[Total]])</f>
        <v>1.717647058823528</v>
      </c>
      <c r="L2162" s="12">
        <f>VENTAS[[#This Row],[Total]]-VENTAS[[#This Row],[Comisión 10%]]-VENTAS[[#This Row],[Costo SIN Comision]]</f>
        <v>1.8823529411764721</v>
      </c>
      <c r="M2162" s="49"/>
      <c r="N2162" s="16" t="s">
        <v>5166</v>
      </c>
    </row>
    <row r="2163" spans="1:14" ht="13" hidden="1" customHeight="1">
      <c r="A2163" s="46">
        <v>45622</v>
      </c>
      <c r="B2163" s="49"/>
      <c r="C2163" s="49"/>
      <c r="D2163" s="49" t="s">
        <v>4484</v>
      </c>
      <c r="E2163" s="49" t="s">
        <v>1553</v>
      </c>
      <c r="F2163" s="10" t="str">
        <f>IFERROR(VLOOKUP(VENTAS[[#This Row],[Código del producto Vendido]],STOCK[],5,FALSE),"-")</f>
        <v>Mocasín de punta fina Marca H&amp;M</v>
      </c>
      <c r="G2163" s="49">
        <v>1</v>
      </c>
      <c r="H2163" s="48">
        <v>55</v>
      </c>
      <c r="I2163" s="12">
        <f>VENTAS[[#This Row],[Cantidad]]*VENTAS[[#This Row],[Precio Venta]]</f>
        <v>55</v>
      </c>
      <c r="J2163" s="12">
        <f>IF(VENTAS[[#This Row],[Nombre del Gestor]]&gt;1,VENTAS[[#This Row],[Total]]*10%,0)</f>
        <v>5.5</v>
      </c>
      <c r="K2163" s="12">
        <f>IFERROR(VLOOKUP(VENTAS[[#This Row],[Código del producto Vendido]],STOCK[],16,FALSE)*VENTAS[[#This Row],[Cantidad]]+VLOOKUP(VENTAS[[#This Row],[Código del producto Vendido]],STOCK[],19,FALSE)*VENTAS[[#This Row],[Cantidad]],VENTAS[[#This Row],[Total]])</f>
        <v>40</v>
      </c>
      <c r="L2163" s="12">
        <f>VENTAS[[#This Row],[Total]]-VENTAS[[#This Row],[Comisión 10%]]-VENTAS[[#This Row],[Costo SIN Comision]]</f>
        <v>9.5</v>
      </c>
      <c r="M2163" s="49"/>
      <c r="N2163" s="16" t="s">
        <v>5167</v>
      </c>
    </row>
    <row r="2164" spans="1:14" ht="13" hidden="1" customHeight="1">
      <c r="A2164" s="46">
        <v>45623</v>
      </c>
      <c r="B2164" s="49"/>
      <c r="C2164" s="49"/>
      <c r="D2164" s="49" t="s">
        <v>4349</v>
      </c>
      <c r="E2164" s="49" t="s">
        <v>1867</v>
      </c>
      <c r="F2164" s="10" t="str">
        <f>IFERROR(VLOOKUP(VENTAS[[#This Row],[Código del producto Vendido]],STOCK[],5,FALSE),"-")</f>
        <v>Blazer entallado</v>
      </c>
      <c r="G2164" s="49">
        <v>1</v>
      </c>
      <c r="H2164" s="48">
        <v>40</v>
      </c>
      <c r="I2164" s="12">
        <f>VENTAS[[#This Row],[Cantidad]]*VENTAS[[#This Row],[Precio Venta]]</f>
        <v>40</v>
      </c>
      <c r="J2164" s="12">
        <f>IF(VENTAS[[#This Row],[Nombre del Gestor]]&gt;1,VENTAS[[#This Row],[Total]]*10%,0)</f>
        <v>4</v>
      </c>
      <c r="K2164" s="12">
        <f>IFERROR(VLOOKUP(VENTAS[[#This Row],[Código del producto Vendido]],STOCK[],16,FALSE)*VENTAS[[#This Row],[Cantidad]]+VLOOKUP(VENTAS[[#This Row],[Código del producto Vendido]],STOCK[],19,FALSE)*VENTAS[[#This Row],[Cantidad]],VENTAS[[#This Row],[Total]])</f>
        <v>24.29</v>
      </c>
      <c r="L2164" s="12">
        <f>VENTAS[[#This Row],[Total]]-VENTAS[[#This Row],[Comisión 10%]]-VENTAS[[#This Row],[Costo SIN Comision]]</f>
        <v>11.71</v>
      </c>
      <c r="M2164" s="49"/>
      <c r="N2164" s="16" t="s">
        <v>5168</v>
      </c>
    </row>
    <row r="2165" spans="1:14" ht="13" hidden="1" customHeight="1">
      <c r="A2165" s="46">
        <v>45623</v>
      </c>
      <c r="B2165" s="49"/>
      <c r="C2165" s="49"/>
      <c r="D2165" s="49" t="s">
        <v>4378</v>
      </c>
      <c r="E2165" s="49" t="s">
        <v>691</v>
      </c>
      <c r="F2165" s="10" t="str">
        <f>IFERROR(VLOOKUP(VENTAS[[#This Row],[Código del producto Vendido]],STOCK[],5,FALSE),"-")</f>
        <v>Falda ajustada animal print</v>
      </c>
      <c r="G2165" s="49">
        <v>1</v>
      </c>
      <c r="H2165" s="48">
        <v>12</v>
      </c>
      <c r="I2165" s="12">
        <f>VENTAS[[#This Row],[Cantidad]]*VENTAS[[#This Row],[Precio Venta]]</f>
        <v>12</v>
      </c>
      <c r="J2165" s="12">
        <f>IF(VENTAS[[#This Row],[Nombre del Gestor]]&gt;1,VENTAS[[#This Row],[Total]]*10%,0)</f>
        <v>1.2000000000000002</v>
      </c>
      <c r="K2165" s="12">
        <f>IFERROR(VLOOKUP(VENTAS[[#This Row],[Código del producto Vendido]],STOCK[],16,FALSE)*VENTAS[[#This Row],[Cantidad]]+VLOOKUP(VENTAS[[#This Row],[Código del producto Vendido]],STOCK[],19,FALSE)*VENTAS[[#This Row],[Cantidad]],VENTAS[[#This Row],[Total]])</f>
        <v>7.05</v>
      </c>
      <c r="L2165" s="12">
        <f>VENTAS[[#This Row],[Total]]-VENTAS[[#This Row],[Comisión 10%]]-VENTAS[[#This Row],[Costo SIN Comision]]</f>
        <v>3.7500000000000009</v>
      </c>
      <c r="M2165" s="49"/>
      <c r="N2165" s="16" t="s">
        <v>5169</v>
      </c>
    </row>
    <row r="2166" spans="1:14" ht="13" hidden="1" customHeight="1">
      <c r="A2166" s="46">
        <v>45623</v>
      </c>
      <c r="B2166" s="49"/>
      <c r="C2166" s="49"/>
      <c r="D2166" s="49" t="s">
        <v>4330</v>
      </c>
      <c r="E2166" s="49" t="s">
        <v>3241</v>
      </c>
      <c r="F2166" s="10" t="str">
        <f>IFERROR(VLOOKUP(VENTAS[[#This Row],[Código del producto Vendido]],STOCK[],5,FALSE),"-")</f>
        <v>Jogger regular fit negro con bolsillos discretos Marca H&amp;M</v>
      </c>
      <c r="G2166" s="49">
        <v>1</v>
      </c>
      <c r="H2166" s="48">
        <v>30</v>
      </c>
      <c r="I2166" s="12">
        <f>VENTAS[[#This Row],[Cantidad]]*VENTAS[[#This Row],[Precio Venta]]</f>
        <v>30</v>
      </c>
      <c r="J2166" s="12">
        <f>IF(VENTAS[[#This Row],[Nombre del Gestor]]&gt;1,VENTAS[[#This Row],[Total]]*10%,0)</f>
        <v>3</v>
      </c>
      <c r="K2166" s="12">
        <f>IFERROR(VLOOKUP(VENTAS[[#This Row],[Código del producto Vendido]],STOCK[],16,FALSE)*VENTAS[[#This Row],[Cantidad]]+VLOOKUP(VENTAS[[#This Row],[Código del producto Vendido]],STOCK[],19,FALSE)*VENTAS[[#This Row],[Cantidad]],VENTAS[[#This Row],[Total]])</f>
        <v>12</v>
      </c>
      <c r="L2166" s="12">
        <f>VENTAS[[#This Row],[Total]]-VENTAS[[#This Row],[Comisión 10%]]-VENTAS[[#This Row],[Costo SIN Comision]]</f>
        <v>15</v>
      </c>
      <c r="M2166" s="49"/>
      <c r="N2166" s="16" t="s">
        <v>5170</v>
      </c>
    </row>
    <row r="2167" spans="1:14" ht="13" hidden="1" customHeight="1">
      <c r="A2167" s="46">
        <v>45624</v>
      </c>
      <c r="B2167" s="49"/>
      <c r="C2167" s="49"/>
      <c r="D2167" s="49" t="s">
        <v>4571</v>
      </c>
      <c r="E2167" s="49" t="s">
        <v>2871</v>
      </c>
      <c r="F2167" s="10" t="str">
        <f>IFERROR(VLOOKUP(VENTAS[[#This Row],[Código del producto Vendido]],STOCK[],5,FALSE),"-")</f>
        <v>Vestido rojo elegante de cuello healter de tela satinada</v>
      </c>
      <c r="G2167" s="49">
        <v>1</v>
      </c>
      <c r="H2167" s="48">
        <v>30</v>
      </c>
      <c r="I2167" s="12">
        <f>VENTAS[[#This Row],[Cantidad]]*VENTAS[[#This Row],[Precio Venta]]</f>
        <v>30</v>
      </c>
      <c r="J2167" s="12">
        <f>IF(VENTAS[[#This Row],[Nombre del Gestor]]&gt;1,VENTAS[[#This Row],[Total]]*10%,0)</f>
        <v>3</v>
      </c>
      <c r="K2167" s="12">
        <f>IFERROR(VLOOKUP(VENTAS[[#This Row],[Código del producto Vendido]],STOCK[],16,FALSE)*VENTAS[[#This Row],[Cantidad]]+VLOOKUP(VENTAS[[#This Row],[Código del producto Vendido]],STOCK[],19,FALSE)*VENTAS[[#This Row],[Cantidad]],VENTAS[[#This Row],[Total]])</f>
        <v>15.67</v>
      </c>
      <c r="L2167" s="12">
        <f>VENTAS[[#This Row],[Total]]-VENTAS[[#This Row],[Comisión 10%]]-VENTAS[[#This Row],[Costo SIN Comision]]</f>
        <v>11.33</v>
      </c>
      <c r="M2167" s="49"/>
      <c r="N2167" s="16" t="s">
        <v>5171</v>
      </c>
    </row>
    <row r="2168" spans="1:14" ht="13" hidden="1" customHeight="1">
      <c r="A2168" s="46">
        <v>45624</v>
      </c>
      <c r="B2168" s="49"/>
      <c r="C2168" s="49"/>
      <c r="D2168" s="49" t="s">
        <v>4571</v>
      </c>
      <c r="E2168" s="49" t="s">
        <v>3090</v>
      </c>
      <c r="F2168" s="10" t="str">
        <f>IFERROR(VLOOKUP(VENTAS[[#This Row],[Código del producto Vendido]],STOCK[],5,FALSE),"-")</f>
        <v>Blusa-Camisa elegante de listas de cuello V Marca H&amp;M</v>
      </c>
      <c r="G2168" s="49">
        <v>1</v>
      </c>
      <c r="H2168" s="48">
        <v>22</v>
      </c>
      <c r="I2168" s="12">
        <f>VENTAS[[#This Row],[Cantidad]]*VENTAS[[#This Row],[Precio Venta]]</f>
        <v>22</v>
      </c>
      <c r="J2168" s="12">
        <f>IF(VENTAS[[#This Row],[Nombre del Gestor]]&gt;1,VENTAS[[#This Row],[Total]]*10%,0)</f>
        <v>2.2000000000000002</v>
      </c>
      <c r="K2168" s="12">
        <f>IFERROR(VLOOKUP(VENTAS[[#This Row],[Código del producto Vendido]],STOCK[],16,FALSE)*VENTAS[[#This Row],[Cantidad]]+VLOOKUP(VENTAS[[#This Row],[Código del producto Vendido]],STOCK[],19,FALSE)*VENTAS[[#This Row],[Cantidad]],VENTAS[[#This Row],[Total]])</f>
        <v>8</v>
      </c>
      <c r="L2168" s="12">
        <f>VENTAS[[#This Row],[Total]]-VENTAS[[#This Row],[Comisión 10%]]-VENTAS[[#This Row],[Costo SIN Comision]]</f>
        <v>11.8</v>
      </c>
      <c r="M2168" s="49"/>
      <c r="N2168" s="16" t="s">
        <v>5172</v>
      </c>
    </row>
    <row r="2169" spans="1:14" ht="13" hidden="1" customHeight="1">
      <c r="A2169" s="46">
        <v>45624</v>
      </c>
      <c r="B2169" s="49"/>
      <c r="C2169" s="49"/>
      <c r="D2169" s="49" t="s">
        <v>4374</v>
      </c>
      <c r="E2169" s="49" t="s">
        <v>3068</v>
      </c>
      <c r="F2169" s="10" t="str">
        <f>IFERROR(VLOOKUP(VENTAS[[#This Row],[Código del producto Vendido]],STOCK[],5,FALSE),"-")</f>
        <v>Jogger de pierna ancha color negro Marca H&amp;M</v>
      </c>
      <c r="G2169" s="49">
        <v>1</v>
      </c>
      <c r="H2169" s="48">
        <v>30</v>
      </c>
      <c r="I2169" s="12">
        <f>VENTAS[[#This Row],[Cantidad]]*VENTAS[[#This Row],[Precio Venta]]</f>
        <v>30</v>
      </c>
      <c r="J2169" s="12">
        <f>IF(VENTAS[[#This Row],[Nombre del Gestor]]&gt;1,VENTAS[[#This Row],[Total]]*10%,0)</f>
        <v>3</v>
      </c>
      <c r="K2169" s="12">
        <f>IFERROR(VLOOKUP(VENTAS[[#This Row],[Código del producto Vendido]],STOCK[],16,FALSE)*VENTAS[[#This Row],[Cantidad]]+VLOOKUP(VENTAS[[#This Row],[Código del producto Vendido]],STOCK[],19,FALSE)*VENTAS[[#This Row],[Cantidad]],VENTAS[[#This Row],[Total]])</f>
        <v>12</v>
      </c>
      <c r="L2169" s="12">
        <f>VENTAS[[#This Row],[Total]]-VENTAS[[#This Row],[Comisión 10%]]-VENTAS[[#This Row],[Costo SIN Comision]]</f>
        <v>15</v>
      </c>
      <c r="M2169" s="49"/>
      <c r="N2169" s="16" t="s">
        <v>5173</v>
      </c>
    </row>
    <row r="2170" spans="1:14" ht="13" hidden="1" customHeight="1">
      <c r="A2170" s="46">
        <v>45624</v>
      </c>
      <c r="B2170" s="49"/>
      <c r="C2170" s="49"/>
      <c r="D2170" s="49" t="s">
        <v>4374</v>
      </c>
      <c r="E2170" s="49" t="s">
        <v>3076</v>
      </c>
      <c r="F2170" s="10" t="str">
        <f>IFERROR(VLOOKUP(VENTAS[[#This Row],[Código del producto Vendido]],STOCK[],5,FALSE),"-")</f>
        <v>Vestido verde Maxi ajustado con corrugado de manga corta Marca H&amp;M</v>
      </c>
      <c r="G2170" s="49">
        <v>1</v>
      </c>
      <c r="H2170" s="48">
        <v>30</v>
      </c>
      <c r="I2170" s="12">
        <f>VENTAS[[#This Row],[Cantidad]]*VENTAS[[#This Row],[Precio Venta]]</f>
        <v>30</v>
      </c>
      <c r="J2170" s="12">
        <f>IF(VENTAS[[#This Row],[Nombre del Gestor]]&gt;1,VENTAS[[#This Row],[Total]]*10%,0)</f>
        <v>3</v>
      </c>
      <c r="K2170" s="12">
        <f>IFERROR(VLOOKUP(VENTAS[[#This Row],[Código del producto Vendido]],STOCK[],16,FALSE)*VENTAS[[#This Row],[Cantidad]]+VLOOKUP(VENTAS[[#This Row],[Código del producto Vendido]],STOCK[],19,FALSE)*VENTAS[[#This Row],[Cantidad]],VENTAS[[#This Row],[Total]])</f>
        <v>8</v>
      </c>
      <c r="L2170" s="12">
        <f>VENTAS[[#This Row],[Total]]-VENTAS[[#This Row],[Comisión 10%]]-VENTAS[[#This Row],[Costo SIN Comision]]</f>
        <v>19</v>
      </c>
      <c r="M2170" s="49"/>
      <c r="N2170" s="16" t="s">
        <v>5174</v>
      </c>
    </row>
    <row r="2171" spans="1:14" ht="13" hidden="1" customHeight="1">
      <c r="A2171" s="46">
        <v>45624</v>
      </c>
      <c r="B2171" s="49"/>
      <c r="C2171" s="49"/>
      <c r="D2171" s="49" t="s">
        <v>4380</v>
      </c>
      <c r="E2171" s="49" t="s">
        <v>2781</v>
      </c>
      <c r="F2171" s="10" t="str">
        <f>IFERROR(VLOOKUP(VENTAS[[#This Row],[Código del producto Vendido]],STOCK[],5,FALSE),"-")</f>
        <v>Sandalias naranjas espadriles de saco atadas con hebilla al tobillo</v>
      </c>
      <c r="G2171" s="49">
        <v>1</v>
      </c>
      <c r="H2171" s="48">
        <v>35</v>
      </c>
      <c r="I2171" s="12">
        <f>VENTAS[[#This Row],[Cantidad]]*VENTAS[[#This Row],[Precio Venta]]</f>
        <v>35</v>
      </c>
      <c r="J2171" s="12">
        <f>IF(VENTAS[[#This Row],[Nombre del Gestor]]&gt;1,VENTAS[[#This Row],[Total]]*10%,0)</f>
        <v>3.5</v>
      </c>
      <c r="K2171" s="12">
        <f>IFERROR(VLOOKUP(VENTAS[[#This Row],[Código del producto Vendido]],STOCK[],16,FALSE)*VENTAS[[#This Row],[Cantidad]]+VLOOKUP(VENTAS[[#This Row],[Código del producto Vendido]],STOCK[],19,FALSE)*VENTAS[[#This Row],[Cantidad]],VENTAS[[#This Row],[Total]])</f>
        <v>10.4</v>
      </c>
      <c r="L2171" s="12">
        <f>VENTAS[[#This Row],[Total]]-VENTAS[[#This Row],[Comisión 10%]]-VENTAS[[#This Row],[Costo SIN Comision]]</f>
        <v>21.1</v>
      </c>
      <c r="M2171" s="49"/>
      <c r="N2171" s="16" t="s">
        <v>5175</v>
      </c>
    </row>
    <row r="2172" spans="1:14" ht="13" hidden="1" customHeight="1">
      <c r="A2172" s="46">
        <v>45625</v>
      </c>
      <c r="B2172" s="49"/>
      <c r="C2172" s="49"/>
      <c r="D2172" s="49" t="s">
        <v>4408</v>
      </c>
      <c r="E2172" s="49" t="s">
        <v>2900</v>
      </c>
      <c r="F2172" s="10" t="str">
        <f>IFERROR(VLOOKUP(VENTAS[[#This Row],[Código del producto Vendido]],STOCK[],5,FALSE),"-")</f>
        <v>Sujetador de gran confort antideslizante sin tirantes color negro</v>
      </c>
      <c r="G2172" s="49">
        <v>1</v>
      </c>
      <c r="H2172" s="48">
        <v>15</v>
      </c>
      <c r="I2172" s="12">
        <f>VENTAS[[#This Row],[Cantidad]]*VENTAS[[#This Row],[Precio Venta]]</f>
        <v>15</v>
      </c>
      <c r="J2172" s="12">
        <f>IF(VENTAS[[#This Row],[Nombre del Gestor]]&gt;1,VENTAS[[#This Row],[Total]]*10%,0)</f>
        <v>1.5</v>
      </c>
      <c r="K2172" s="12">
        <f>IFERROR(VLOOKUP(VENTAS[[#This Row],[Código del producto Vendido]],STOCK[],16,FALSE)*VENTAS[[#This Row],[Cantidad]]+VLOOKUP(VENTAS[[#This Row],[Código del producto Vendido]],STOCK[],19,FALSE)*VENTAS[[#This Row],[Cantidad]],VENTAS[[#This Row],[Total]])</f>
        <v>6.3800000000000008</v>
      </c>
      <c r="L2172" s="12">
        <f>VENTAS[[#This Row],[Total]]-VENTAS[[#This Row],[Comisión 10%]]-VENTAS[[#This Row],[Costo SIN Comision]]</f>
        <v>7.1199999999999992</v>
      </c>
      <c r="M2172" s="49"/>
      <c r="N2172" s="16" t="s">
        <v>5176</v>
      </c>
    </row>
    <row r="2173" spans="1:14" ht="13" hidden="1" customHeight="1">
      <c r="A2173" s="46">
        <v>45625</v>
      </c>
      <c r="B2173" s="49"/>
      <c r="C2173" s="49" t="s">
        <v>5126</v>
      </c>
      <c r="D2173" s="49"/>
      <c r="E2173" s="49" t="s">
        <v>1803</v>
      </c>
      <c r="F2173" s="10" t="str">
        <f>IFERROR(VLOOKUP(VENTAS[[#This Row],[Código del producto Vendido]],STOCK[],5,FALSE),"-")</f>
        <v>Camisa blanca estampado de ave</v>
      </c>
      <c r="G2173" s="49">
        <v>1</v>
      </c>
      <c r="H2173" s="48">
        <v>25</v>
      </c>
      <c r="I2173" s="12">
        <f>VENTAS[[#This Row],[Cantidad]]*VENTAS[[#This Row],[Precio Venta]]</f>
        <v>25</v>
      </c>
      <c r="J2173" s="12">
        <f>IF(VENTAS[[#This Row],[Nombre del Gestor]]&gt;1,VENTAS[[#This Row],[Total]]*10%,0)</f>
        <v>0</v>
      </c>
      <c r="K2173" s="12">
        <f>IFERROR(VLOOKUP(VENTAS[[#This Row],[Código del producto Vendido]],STOCK[],16,FALSE)*VENTAS[[#This Row],[Cantidad]]+VLOOKUP(VENTAS[[#This Row],[Código del producto Vendido]],STOCK[],19,FALSE)*VENTAS[[#This Row],[Cantidad]],VENTAS[[#This Row],[Total]])</f>
        <v>12.941176470588241</v>
      </c>
      <c r="L2173" s="12">
        <f>VENTAS[[#This Row],[Total]]-VENTAS[[#This Row],[Comisión 10%]]-VENTAS[[#This Row],[Costo SIN Comision]]</f>
        <v>12.058823529411759</v>
      </c>
      <c r="M2173" s="49"/>
      <c r="N2173" s="16" t="s">
        <v>5177</v>
      </c>
    </row>
    <row r="2174" spans="1:14" ht="13" hidden="1" customHeight="1">
      <c r="A2174" s="46">
        <v>45625</v>
      </c>
      <c r="B2174" s="49"/>
      <c r="C2174" s="49"/>
      <c r="D2174" s="49" t="s">
        <v>4374</v>
      </c>
      <c r="E2174" s="49" t="s">
        <v>3006</v>
      </c>
      <c r="F2174" s="10" t="str">
        <f>IFERROR(VLOOKUP(VENTAS[[#This Row],[Código del producto Vendido]],STOCK[],5,FALSE),"-")</f>
        <v xml:space="preserve">Vestido de botones y listas amarillas con abertura </v>
      </c>
      <c r="G2174" s="49">
        <v>1</v>
      </c>
      <c r="H2174" s="48">
        <v>25</v>
      </c>
      <c r="I2174" s="12">
        <f>VENTAS[[#This Row],[Cantidad]]*VENTAS[[#This Row],[Precio Venta]]</f>
        <v>25</v>
      </c>
      <c r="J2174" s="12">
        <f>IF(VENTAS[[#This Row],[Nombre del Gestor]]&gt;1,VENTAS[[#This Row],[Total]]*10%,0)</f>
        <v>2.5</v>
      </c>
      <c r="K2174" s="12">
        <f>IFERROR(VLOOKUP(VENTAS[[#This Row],[Código del producto Vendido]],STOCK[],16,FALSE)*VENTAS[[#This Row],[Cantidad]]+VLOOKUP(VENTAS[[#This Row],[Código del producto Vendido]],STOCK[],19,FALSE)*VENTAS[[#This Row],[Cantidad]],VENTAS[[#This Row],[Total]])</f>
        <v>13.13</v>
      </c>
      <c r="L2174" s="12">
        <f>VENTAS[[#This Row],[Total]]-VENTAS[[#This Row],[Comisión 10%]]-VENTAS[[#This Row],[Costo SIN Comision]]</f>
        <v>9.3699999999999992</v>
      </c>
      <c r="M2174" s="49"/>
      <c r="N2174" s="16" t="s">
        <v>5178</v>
      </c>
    </row>
    <row r="2175" spans="1:14" ht="13" hidden="1" customHeight="1">
      <c r="A2175" s="46">
        <v>45625</v>
      </c>
      <c r="B2175" s="49"/>
      <c r="C2175" s="49"/>
      <c r="D2175" s="49" t="s">
        <v>4571</v>
      </c>
      <c r="E2175" s="49" t="s">
        <v>2901</v>
      </c>
      <c r="F2175" s="10" t="str">
        <f>IFERROR(VLOOKUP(VENTAS[[#This Row],[Código del producto Vendido]],STOCK[],5,FALSE),"-")</f>
        <v>Sujetador de gran confort antideslizante sin tirantes color negro</v>
      </c>
      <c r="G2175" s="49">
        <v>1</v>
      </c>
      <c r="H2175" s="48">
        <v>15</v>
      </c>
      <c r="I2175" s="12">
        <f>VENTAS[[#This Row],[Cantidad]]*VENTAS[[#This Row],[Precio Venta]]</f>
        <v>15</v>
      </c>
      <c r="J2175" s="12">
        <f>IF(VENTAS[[#This Row],[Nombre del Gestor]]&gt;1,VENTAS[[#This Row],[Total]]*10%,0)</f>
        <v>1.5</v>
      </c>
      <c r="K2175" s="12">
        <f>IFERROR(VLOOKUP(VENTAS[[#This Row],[Código del producto Vendido]],STOCK[],16,FALSE)*VENTAS[[#This Row],[Cantidad]]+VLOOKUP(VENTAS[[#This Row],[Código del producto Vendido]],STOCK[],19,FALSE)*VENTAS[[#This Row],[Cantidad]],VENTAS[[#This Row],[Total]])</f>
        <v>6.3800000000000008</v>
      </c>
      <c r="L2175" s="12">
        <f>VENTAS[[#This Row],[Total]]-VENTAS[[#This Row],[Comisión 10%]]-VENTAS[[#This Row],[Costo SIN Comision]]</f>
        <v>7.1199999999999992</v>
      </c>
      <c r="M2175" s="49"/>
      <c r="N2175" s="16" t="s">
        <v>5179</v>
      </c>
    </row>
    <row r="2176" spans="1:14" ht="12" hidden="1" customHeight="1">
      <c r="N2176" s="50"/>
    </row>
    <row r="2177" spans="1:14" ht="12" hidden="1" customHeight="1">
      <c r="A2177" s="51">
        <v>45627</v>
      </c>
      <c r="B2177" s="49"/>
      <c r="C2177" s="49"/>
      <c r="D2177" s="49" t="s">
        <v>5180</v>
      </c>
      <c r="E2177" s="49" t="s">
        <v>3130</v>
      </c>
      <c r="F2177" s="10" t="str">
        <f>IFERROR(VLOOKUP(VENTAS[[#This Row],[Código del producto Vendido]],STOCK[],5,FALSE),"-")</f>
        <v>Top de mangas largas de rayas de cuello tortuga Marca H&amp;M</v>
      </c>
      <c r="G2177" s="49">
        <v>1</v>
      </c>
      <c r="H2177" s="49">
        <v>15</v>
      </c>
      <c r="I2177" s="12">
        <f>VENTAS[[#This Row],[Cantidad]]*VENTAS[[#This Row],[Precio Venta]]</f>
        <v>15</v>
      </c>
      <c r="J2177" s="12">
        <f>IF(VENTAS[[#This Row],[Nombre del Gestor]]&gt;1,VENTAS[[#This Row],[Total]]*10%,0)</f>
        <v>1.5</v>
      </c>
      <c r="K2177" s="12">
        <f>IFERROR(VLOOKUP(VENTAS[[#This Row],[Código del producto Vendido]],STOCK[],16,FALSE)*VENTAS[[#This Row],[Cantidad]]+VLOOKUP(VENTAS[[#This Row],[Código del producto Vendido]],STOCK[],19,FALSE)*VENTAS[[#This Row],[Cantidad]],VENTAS[[#This Row],[Total]])</f>
        <v>8</v>
      </c>
      <c r="L2177" s="12">
        <f>VENTAS[[#This Row],[Total]]-VENTAS[[#This Row],[Comisión 10%]]-VENTAS[[#This Row],[Costo SIN Comision]]</f>
        <v>5.5</v>
      </c>
      <c r="M2177" s="49"/>
      <c r="N2177" s="50" t="s">
        <v>5181</v>
      </c>
    </row>
    <row r="2178" spans="1:14" ht="12" hidden="1" customHeight="1">
      <c r="A2178" s="51">
        <v>45627</v>
      </c>
      <c r="B2178" s="49"/>
      <c r="C2178" s="49"/>
      <c r="D2178" s="49" t="s">
        <v>4408</v>
      </c>
      <c r="E2178" s="49" t="s">
        <v>1828</v>
      </c>
      <c r="F2178" s="10" t="str">
        <f>IFERROR(VLOOKUP(VENTAS[[#This Row],[Código del producto Vendido]],STOCK[],5,FALSE),"-")</f>
        <v>Bolso Crossbody en detalle de cocodrilo</v>
      </c>
      <c r="G2178" s="49">
        <v>1</v>
      </c>
      <c r="H2178" s="49">
        <v>25</v>
      </c>
      <c r="I2178" s="12">
        <f>VENTAS[[#This Row],[Cantidad]]*VENTAS[[#This Row],[Precio Venta]]</f>
        <v>25</v>
      </c>
      <c r="J2178" s="12">
        <f>IF(VENTAS[[#This Row],[Nombre del Gestor]]&gt;1,VENTAS[[#This Row],[Total]]*10%,0)</f>
        <v>2.5</v>
      </c>
      <c r="K2178" s="12">
        <f>IFERROR(VLOOKUP(VENTAS[[#This Row],[Código del producto Vendido]],STOCK[],16,FALSE)*VENTAS[[#This Row],[Cantidad]]+VLOOKUP(VENTAS[[#This Row],[Código del producto Vendido]],STOCK[],19,FALSE)*VENTAS[[#This Row],[Cantidad]],VENTAS[[#This Row],[Total]])</f>
        <v>11.790000000000001</v>
      </c>
      <c r="L2178" s="12">
        <f>VENTAS[[#This Row],[Total]]-VENTAS[[#This Row],[Comisión 10%]]-VENTAS[[#This Row],[Costo SIN Comision]]</f>
        <v>10.709999999999999</v>
      </c>
      <c r="M2178" s="49"/>
      <c r="N2178" s="50" t="s">
        <v>5182</v>
      </c>
    </row>
    <row r="2179" spans="1:14" ht="12" hidden="1" customHeight="1">
      <c r="A2179" s="51">
        <v>45627</v>
      </c>
      <c r="B2179" s="49"/>
      <c r="C2179" s="49"/>
      <c r="D2179" s="49" t="s">
        <v>4408</v>
      </c>
      <c r="E2179" s="49" t="s">
        <v>2819</v>
      </c>
      <c r="F2179" s="10" t="str">
        <f>IFERROR(VLOOKUP(VENTAS[[#This Row],[Código del producto Vendido]],STOCK[],5,FALSE),"-")</f>
        <v>Bolso minimalista de moda cuadrado con solapa rojo</v>
      </c>
      <c r="G2179" s="49">
        <v>1</v>
      </c>
      <c r="H2179" s="49">
        <v>25</v>
      </c>
      <c r="I2179" s="12">
        <f>VENTAS[[#This Row],[Cantidad]]*VENTAS[[#This Row],[Precio Venta]]</f>
        <v>25</v>
      </c>
      <c r="J2179" s="12">
        <f>IF(VENTAS[[#This Row],[Nombre del Gestor]]&gt;1,VENTAS[[#This Row],[Total]]*10%,0)</f>
        <v>2.5</v>
      </c>
      <c r="K2179" s="12">
        <f>IFERROR(VLOOKUP(VENTAS[[#This Row],[Código del producto Vendido]],STOCK[],16,FALSE)*VENTAS[[#This Row],[Cantidad]]+VLOOKUP(VENTAS[[#This Row],[Código del producto Vendido]],STOCK[],19,FALSE)*VENTAS[[#This Row],[Cantidad]],VENTAS[[#This Row],[Total]])</f>
        <v>11.040000000000001</v>
      </c>
      <c r="L2179" s="12">
        <f>VENTAS[[#This Row],[Total]]-VENTAS[[#This Row],[Comisión 10%]]-VENTAS[[#This Row],[Costo SIN Comision]]</f>
        <v>11.459999999999999</v>
      </c>
      <c r="M2179" s="49"/>
      <c r="N2179" s="50" t="s">
        <v>5183</v>
      </c>
    </row>
    <row r="2180" spans="1:14" ht="12" hidden="1" customHeight="1">
      <c r="A2180" s="51">
        <v>45628</v>
      </c>
      <c r="B2180" s="49"/>
      <c r="C2180" s="49"/>
      <c r="D2180" s="49" t="s">
        <v>5184</v>
      </c>
      <c r="E2180" s="49" t="s">
        <v>3144</v>
      </c>
      <c r="F2180" s="10" t="str">
        <f>IFERROR(VLOOKUP(VENTAS[[#This Row],[Código del producto Vendido]],STOCK[],5,FALSE),"-")</f>
        <v>Suéter azul gris tejido de cuello V Marca H&amp;M</v>
      </c>
      <c r="G2180" s="49">
        <v>1</v>
      </c>
      <c r="H2180" s="49">
        <v>25</v>
      </c>
      <c r="I2180" s="12">
        <f>VENTAS[[#This Row],[Cantidad]]*VENTAS[[#This Row],[Precio Venta]]</f>
        <v>25</v>
      </c>
      <c r="J2180" s="12">
        <f>IF(VENTAS[[#This Row],[Nombre del Gestor]]&gt;1,VENTAS[[#This Row],[Total]]*10%,0)</f>
        <v>2.5</v>
      </c>
      <c r="K2180" s="12">
        <f>IFERROR(VLOOKUP(VENTAS[[#This Row],[Código del producto Vendido]],STOCK[],16,FALSE)*VENTAS[[#This Row],[Cantidad]]+VLOOKUP(VENTAS[[#This Row],[Código del producto Vendido]],STOCK[],19,FALSE)*VENTAS[[#This Row],[Cantidad]],VENTAS[[#This Row],[Total]])</f>
        <v>12</v>
      </c>
      <c r="L2180" s="12">
        <f>VENTAS[[#This Row],[Total]]-VENTAS[[#This Row],[Comisión 10%]]-VENTAS[[#This Row],[Costo SIN Comision]]</f>
        <v>10.5</v>
      </c>
      <c r="M2180" s="49"/>
      <c r="N2180" s="50" t="s">
        <v>5185</v>
      </c>
    </row>
    <row r="2181" spans="1:14" ht="12" hidden="1" customHeight="1">
      <c r="A2181" s="51">
        <v>45629</v>
      </c>
      <c r="B2181" s="49"/>
      <c r="C2181" s="49"/>
      <c r="D2181" s="49" t="s">
        <v>4571</v>
      </c>
      <c r="E2181" s="49" t="s">
        <v>3004</v>
      </c>
      <c r="F2181" s="10" t="str">
        <f>IFERROR(VLOOKUP(VENTAS[[#This Row],[Código del producto Vendido]],STOCK[],5,FALSE),"-")</f>
        <v xml:space="preserve">Vestido de botones y listas amarillas con abertura </v>
      </c>
      <c r="G2181" s="49">
        <v>1</v>
      </c>
      <c r="H2181" s="49">
        <v>25</v>
      </c>
      <c r="I2181" s="12">
        <f>VENTAS[[#This Row],[Cantidad]]*VENTAS[[#This Row],[Precio Venta]]</f>
        <v>25</v>
      </c>
      <c r="J2181" s="12">
        <f>IF(VENTAS[[#This Row],[Nombre del Gestor]]&gt;1,VENTAS[[#This Row],[Total]]*10%,0)</f>
        <v>2.5</v>
      </c>
      <c r="K2181" s="12">
        <f>IFERROR(VLOOKUP(VENTAS[[#This Row],[Código del producto Vendido]],STOCK[],16,FALSE)*VENTAS[[#This Row],[Cantidad]]+VLOOKUP(VENTAS[[#This Row],[Código del producto Vendido]],STOCK[],19,FALSE)*VENTAS[[#This Row],[Cantidad]],VENTAS[[#This Row],[Total]])</f>
        <v>13.13</v>
      </c>
      <c r="L2181" s="12">
        <f>VENTAS[[#This Row],[Total]]-VENTAS[[#This Row],[Comisión 10%]]-VENTAS[[#This Row],[Costo SIN Comision]]</f>
        <v>9.3699999999999992</v>
      </c>
      <c r="M2181" s="49"/>
      <c r="N2181" s="50" t="s">
        <v>5186</v>
      </c>
    </row>
    <row r="2182" spans="1:14" ht="12" hidden="1" customHeight="1">
      <c r="A2182" s="51">
        <v>45629</v>
      </c>
      <c r="B2182" s="49"/>
      <c r="C2182" s="49"/>
      <c r="D2182" s="49" t="s">
        <v>4374</v>
      </c>
      <c r="E2182" s="49" t="s">
        <v>2871</v>
      </c>
      <c r="F2182" s="10" t="str">
        <f>IFERROR(VLOOKUP(VENTAS[[#This Row],[Código del producto Vendido]],STOCK[],5,FALSE),"-")</f>
        <v>Vestido rojo elegante de cuello healter de tela satinada</v>
      </c>
      <c r="G2182" s="49">
        <v>1</v>
      </c>
      <c r="H2182" s="49">
        <v>30</v>
      </c>
      <c r="I2182" s="12">
        <f>VENTAS[[#This Row],[Cantidad]]*VENTAS[[#This Row],[Precio Venta]]</f>
        <v>30</v>
      </c>
      <c r="J2182" s="12">
        <f>IF(VENTAS[[#This Row],[Nombre del Gestor]]&gt;1,VENTAS[[#This Row],[Total]]*10%,0)</f>
        <v>3</v>
      </c>
      <c r="K2182" s="12">
        <f>IFERROR(VLOOKUP(VENTAS[[#This Row],[Código del producto Vendido]],STOCK[],16,FALSE)*VENTAS[[#This Row],[Cantidad]]+VLOOKUP(VENTAS[[#This Row],[Código del producto Vendido]],STOCK[],19,FALSE)*VENTAS[[#This Row],[Cantidad]],VENTAS[[#This Row],[Total]])</f>
        <v>15.67</v>
      </c>
      <c r="L2182" s="12">
        <f>VENTAS[[#This Row],[Total]]-VENTAS[[#This Row],[Comisión 10%]]-VENTAS[[#This Row],[Costo SIN Comision]]</f>
        <v>11.33</v>
      </c>
      <c r="M2182" s="49"/>
      <c r="N2182" s="50" t="s">
        <v>5187</v>
      </c>
    </row>
    <row r="2183" spans="1:14" ht="12" hidden="1" customHeight="1">
      <c r="A2183" s="51">
        <v>45629</v>
      </c>
      <c r="B2183" s="49"/>
      <c r="C2183" s="49"/>
      <c r="D2183" s="49" t="s">
        <v>4408</v>
      </c>
      <c r="E2183" s="49" t="s">
        <v>403</v>
      </c>
      <c r="F2183" s="10" t="str">
        <f>IFERROR(VLOOKUP(VENTAS[[#This Row],[Código del producto Vendido]],STOCK[],5,FALSE),"-")</f>
        <v>Vestido Floreado corte de sirena</v>
      </c>
      <c r="G2183" s="49">
        <v>1</v>
      </c>
      <c r="H2183" s="49">
        <v>55</v>
      </c>
      <c r="I2183" s="12">
        <f>VENTAS[[#This Row],[Cantidad]]*VENTAS[[#This Row],[Precio Venta]]</f>
        <v>55</v>
      </c>
      <c r="J2183" s="12">
        <f>IF(VENTAS[[#This Row],[Nombre del Gestor]]&gt;1,VENTAS[[#This Row],[Total]]*10%,0)</f>
        <v>5.5</v>
      </c>
      <c r="K2183" s="12">
        <f>IFERROR(VLOOKUP(VENTAS[[#This Row],[Código del producto Vendido]],STOCK[],16,FALSE)*VENTAS[[#This Row],[Cantidad]]+VLOOKUP(VENTAS[[#This Row],[Código del producto Vendido]],STOCK[],19,FALSE)*VENTAS[[#This Row],[Cantidad]],VENTAS[[#This Row],[Total]])</f>
        <v>33.625</v>
      </c>
      <c r="L2183" s="12">
        <f>VENTAS[[#This Row],[Total]]-VENTAS[[#This Row],[Comisión 10%]]-VENTAS[[#This Row],[Costo SIN Comision]]</f>
        <v>15.875</v>
      </c>
      <c r="M2183" s="49"/>
      <c r="N2183" s="50" t="s">
        <v>5188</v>
      </c>
    </row>
    <row r="2184" spans="1:14" ht="12" hidden="1" customHeight="1">
      <c r="A2184" s="51">
        <v>45629</v>
      </c>
      <c r="B2184" s="49"/>
      <c r="C2184" s="49"/>
      <c r="D2184" s="49" t="s">
        <v>4750</v>
      </c>
      <c r="E2184" s="49" t="s">
        <v>3027</v>
      </c>
      <c r="F2184" s="10" t="str">
        <f>IFERROR(VLOOKUP(VENTAS[[#This Row],[Código del producto Vendido]],STOCK[],5,FALSE),"-")</f>
        <v>Blusa de manga elegante en vuelos con ribete en contraste Color Rosa</v>
      </c>
      <c r="G2184" s="49">
        <v>1</v>
      </c>
      <c r="H2184" s="49">
        <v>18</v>
      </c>
      <c r="I2184" s="12">
        <f>VENTAS[[#This Row],[Cantidad]]*VENTAS[[#This Row],[Precio Venta]]</f>
        <v>18</v>
      </c>
      <c r="J2184" s="12">
        <f>IF(VENTAS[[#This Row],[Nombre del Gestor]]&gt;1,VENTAS[[#This Row],[Total]]*10%,0)</f>
        <v>1.8</v>
      </c>
      <c r="K2184" s="12">
        <f>IFERROR(VLOOKUP(VENTAS[[#This Row],[Código del producto Vendido]],STOCK[],16,FALSE)*VENTAS[[#This Row],[Cantidad]]+VLOOKUP(VENTAS[[#This Row],[Código del producto Vendido]],STOCK[],19,FALSE)*VENTAS[[#This Row],[Cantidad]],VENTAS[[#This Row],[Total]])</f>
        <v>9.27</v>
      </c>
      <c r="L2184" s="12">
        <f>VENTAS[[#This Row],[Total]]-VENTAS[[#This Row],[Comisión 10%]]-VENTAS[[#This Row],[Costo SIN Comision]]</f>
        <v>6.93</v>
      </c>
      <c r="M2184" s="49"/>
      <c r="N2184" s="50" t="s">
        <v>5189</v>
      </c>
    </row>
    <row r="2185" spans="1:14" ht="12" hidden="1" customHeight="1">
      <c r="A2185" s="51">
        <v>45629</v>
      </c>
      <c r="B2185" s="49"/>
      <c r="C2185" s="49"/>
      <c r="D2185" s="49" t="s">
        <v>4750</v>
      </c>
      <c r="E2185" s="49" t="s">
        <v>3013</v>
      </c>
      <c r="F2185" s="10" t="str">
        <f>IFERROR(VLOOKUP(VENTAS[[#This Row],[Código del producto Vendido]],STOCK[],5,FALSE),"-")</f>
        <v>Pantalón alto de pierna ancha color caramelo</v>
      </c>
      <c r="G2185" s="49">
        <v>1</v>
      </c>
      <c r="H2185" s="49">
        <v>30</v>
      </c>
      <c r="I2185" s="12">
        <f>VENTAS[[#This Row],[Cantidad]]*VENTAS[[#This Row],[Precio Venta]]</f>
        <v>30</v>
      </c>
      <c r="J2185" s="12">
        <f>IF(VENTAS[[#This Row],[Nombre del Gestor]]&gt;1,VENTAS[[#This Row],[Total]]*10%,0)</f>
        <v>3</v>
      </c>
      <c r="K2185" s="12">
        <f>IFERROR(VLOOKUP(VENTAS[[#This Row],[Código del producto Vendido]],STOCK[],16,FALSE)*VENTAS[[#This Row],[Cantidad]]+VLOOKUP(VENTAS[[#This Row],[Código del producto Vendido]],STOCK[],19,FALSE)*VENTAS[[#This Row],[Cantidad]],VENTAS[[#This Row],[Total]])</f>
        <v>12.63</v>
      </c>
      <c r="L2185" s="12">
        <f>VENTAS[[#This Row],[Total]]-VENTAS[[#This Row],[Comisión 10%]]-VENTAS[[#This Row],[Costo SIN Comision]]</f>
        <v>14.37</v>
      </c>
      <c r="M2185" s="49"/>
      <c r="N2185" s="50" t="s">
        <v>5190</v>
      </c>
    </row>
    <row r="2186" spans="1:14" ht="12" hidden="1" customHeight="1">
      <c r="A2186" s="51">
        <v>45629</v>
      </c>
      <c r="B2186" s="49"/>
      <c r="C2186" s="49"/>
      <c r="D2186" s="49" t="s">
        <v>4750</v>
      </c>
      <c r="E2186" s="49" t="s">
        <v>3041</v>
      </c>
      <c r="F2186" s="10" t="str">
        <f>IFERROR(VLOOKUP(VENTAS[[#This Row],[Código del producto Vendido]],STOCK[],5,FALSE),"-")</f>
        <v>Conjunto de 3 piezas (camisa, top y shorts)</v>
      </c>
      <c r="G2186" s="49">
        <v>1</v>
      </c>
      <c r="H2186" s="49">
        <v>30</v>
      </c>
      <c r="I2186" s="12">
        <f>VENTAS[[#This Row],[Cantidad]]*VENTAS[[#This Row],[Precio Venta]]</f>
        <v>30</v>
      </c>
      <c r="J2186" s="12">
        <f>IF(VENTAS[[#This Row],[Nombre del Gestor]]&gt;1,VENTAS[[#This Row],[Total]]*10%,0)</f>
        <v>3</v>
      </c>
      <c r="K2186" s="12">
        <f>IFERROR(VLOOKUP(VENTAS[[#This Row],[Código del producto Vendido]],STOCK[],16,FALSE)*VENTAS[[#This Row],[Cantidad]]+VLOOKUP(VENTAS[[#This Row],[Código del producto Vendido]],STOCK[],19,FALSE)*VENTAS[[#This Row],[Cantidad]],VENTAS[[#This Row],[Total]])</f>
        <v>11.11</v>
      </c>
      <c r="L2186" s="12">
        <f>VENTAS[[#This Row],[Total]]-VENTAS[[#This Row],[Comisión 10%]]-VENTAS[[#This Row],[Costo SIN Comision]]</f>
        <v>15.89</v>
      </c>
      <c r="M2186" s="49"/>
      <c r="N2186" s="50" t="s">
        <v>5191</v>
      </c>
    </row>
    <row r="2187" spans="1:14" ht="12" hidden="1" customHeight="1">
      <c r="A2187" s="51">
        <v>45629</v>
      </c>
      <c r="B2187" s="49"/>
      <c r="C2187" s="49"/>
      <c r="D2187" s="49" t="s">
        <v>4750</v>
      </c>
      <c r="E2187" s="49" t="s">
        <v>2949</v>
      </c>
      <c r="F2187" s="10" t="str">
        <f>IFERROR(VLOOKUP(VENTAS[[#This Row],[Código del producto Vendido]],STOCK[],5,FALSE),"-")</f>
        <v>Pantalón elegante de pierna ancha color crema</v>
      </c>
      <c r="G2187" s="49">
        <v>1</v>
      </c>
      <c r="H2187" s="49">
        <v>30</v>
      </c>
      <c r="I2187" s="12">
        <f>VENTAS[[#This Row],[Cantidad]]*VENTAS[[#This Row],[Precio Venta]]</f>
        <v>30</v>
      </c>
      <c r="J2187" s="12">
        <f>IF(VENTAS[[#This Row],[Nombre del Gestor]]&gt;1,VENTAS[[#This Row],[Total]]*10%,0)</f>
        <v>3</v>
      </c>
      <c r="K2187" s="12">
        <f>IFERROR(VLOOKUP(VENTAS[[#This Row],[Código del producto Vendido]],STOCK[],16,FALSE)*VENTAS[[#This Row],[Cantidad]]+VLOOKUP(VENTAS[[#This Row],[Código del producto Vendido]],STOCK[],19,FALSE)*VENTAS[[#This Row],[Cantidad]],VENTAS[[#This Row],[Total]])</f>
        <v>8.6</v>
      </c>
      <c r="L2187" s="12">
        <f>VENTAS[[#This Row],[Total]]-VENTAS[[#This Row],[Comisión 10%]]-VENTAS[[#This Row],[Costo SIN Comision]]</f>
        <v>18.399999999999999</v>
      </c>
      <c r="M2187" s="49"/>
      <c r="N2187" s="50" t="s">
        <v>5192</v>
      </c>
    </row>
    <row r="2188" spans="1:14" ht="12" hidden="1" customHeight="1">
      <c r="A2188" s="51">
        <v>45629</v>
      </c>
      <c r="B2188" s="49"/>
      <c r="C2188" s="49"/>
      <c r="D2188" s="49" t="s">
        <v>5193</v>
      </c>
      <c r="E2188" s="49" t="s">
        <v>3019</v>
      </c>
      <c r="F2188" s="10" t="str">
        <f>IFERROR(VLOOKUP(VENTAS[[#This Row],[Código del producto Vendido]],STOCK[],5,FALSE),"-")</f>
        <v>Sandalias de plataforma espadriles con correas doradas</v>
      </c>
      <c r="G2188" s="49">
        <v>1</v>
      </c>
      <c r="H2188" s="49">
        <v>40</v>
      </c>
      <c r="I2188" s="12">
        <f>VENTAS[[#This Row],[Cantidad]]*VENTAS[[#This Row],[Precio Venta]]</f>
        <v>40</v>
      </c>
      <c r="J2188" s="12">
        <f>IF(VENTAS[[#This Row],[Nombre del Gestor]]&gt;1,VENTAS[[#This Row],[Total]]*10%,0)</f>
        <v>4</v>
      </c>
      <c r="K2188" s="12">
        <f>IFERROR(VLOOKUP(VENTAS[[#This Row],[Código del producto Vendido]],STOCK[],16,FALSE)*VENTAS[[#This Row],[Cantidad]]+VLOOKUP(VENTAS[[#This Row],[Código del producto Vendido]],STOCK[],19,FALSE)*VENTAS[[#This Row],[Cantidad]],VENTAS[[#This Row],[Total]])</f>
        <v>11.65</v>
      </c>
      <c r="L2188" s="12">
        <f>VENTAS[[#This Row],[Total]]-VENTAS[[#This Row],[Comisión 10%]]-VENTAS[[#This Row],[Costo SIN Comision]]</f>
        <v>24.35</v>
      </c>
      <c r="M2188" s="49"/>
      <c r="N2188" s="50" t="s">
        <v>5194</v>
      </c>
    </row>
    <row r="2189" spans="1:14" ht="12" hidden="1" customHeight="1">
      <c r="A2189" s="51">
        <v>45629</v>
      </c>
      <c r="B2189" s="49"/>
      <c r="C2189" s="49"/>
      <c r="D2189" s="49" t="s">
        <v>5195</v>
      </c>
      <c r="E2189" s="49" t="s">
        <v>2802</v>
      </c>
      <c r="F2189" s="10" t="str">
        <f>IFERROR(VLOOKUP(VENTAS[[#This Row],[Código del producto Vendido]],STOCK[],5,FALSE),"-")</f>
        <v>Sandalias planas con adornos de aro y tiras al tobillo</v>
      </c>
      <c r="G2189" s="49">
        <v>1</v>
      </c>
      <c r="H2189" s="49">
        <v>25</v>
      </c>
      <c r="I2189" s="12">
        <f>VENTAS[[#This Row],[Cantidad]]*VENTAS[[#This Row],[Precio Venta]]</f>
        <v>25</v>
      </c>
      <c r="J2189" s="12">
        <f>IF(VENTAS[[#This Row],[Nombre del Gestor]]&gt;1,VENTAS[[#This Row],[Total]]*10%,0)</f>
        <v>2.5</v>
      </c>
      <c r="K2189" s="12">
        <f>IFERROR(VLOOKUP(VENTAS[[#This Row],[Código del producto Vendido]],STOCK[],16,FALSE)*VENTAS[[#This Row],[Cantidad]]+VLOOKUP(VENTAS[[#This Row],[Código del producto Vendido]],STOCK[],19,FALSE)*VENTAS[[#This Row],[Cantidad]],VENTAS[[#This Row],[Total]])</f>
        <v>11.4</v>
      </c>
      <c r="L2189" s="12">
        <f>VENTAS[[#This Row],[Total]]-VENTAS[[#This Row],[Comisión 10%]]-VENTAS[[#This Row],[Costo SIN Comision]]</f>
        <v>11.1</v>
      </c>
      <c r="M2189" s="49"/>
      <c r="N2189" s="50" t="s">
        <v>5196</v>
      </c>
    </row>
    <row r="2190" spans="1:14" ht="12" hidden="1" customHeight="1">
      <c r="A2190" s="51">
        <v>45629</v>
      </c>
      <c r="B2190" s="49"/>
      <c r="C2190" s="49"/>
      <c r="D2190" s="49" t="s">
        <v>4237</v>
      </c>
      <c r="E2190" s="49" t="s">
        <v>2771</v>
      </c>
      <c r="F2190" s="10" t="str">
        <f>IFERROR(VLOOKUP(VENTAS[[#This Row],[Código del producto Vendido]],STOCK[],5,FALSE),"-")</f>
        <v>Sandalias de plataforma de rafia natural</v>
      </c>
      <c r="G2190" s="49">
        <v>1</v>
      </c>
      <c r="H2190" s="49">
        <v>45</v>
      </c>
      <c r="I2190" s="12">
        <f>VENTAS[[#This Row],[Cantidad]]*VENTAS[[#This Row],[Precio Venta]]</f>
        <v>45</v>
      </c>
      <c r="J2190" s="12">
        <f>IF(VENTAS[[#This Row],[Nombre del Gestor]]&gt;1,VENTAS[[#This Row],[Total]]*10%,0)</f>
        <v>4.5</v>
      </c>
      <c r="K2190" s="12">
        <f>IFERROR(VLOOKUP(VENTAS[[#This Row],[Código del producto Vendido]],STOCK[],16,FALSE)*VENTAS[[#This Row],[Cantidad]]+VLOOKUP(VENTAS[[#This Row],[Código del producto Vendido]],STOCK[],19,FALSE)*VENTAS[[#This Row],[Cantidad]],VENTAS[[#This Row],[Total]])</f>
        <v>19.649999999999999</v>
      </c>
      <c r="L2190" s="12">
        <f>VENTAS[[#This Row],[Total]]-VENTAS[[#This Row],[Comisión 10%]]-VENTAS[[#This Row],[Costo SIN Comision]]</f>
        <v>20.85</v>
      </c>
      <c r="M2190" s="49"/>
      <c r="N2190" s="50" t="s">
        <v>5197</v>
      </c>
    </row>
    <row r="2191" spans="1:14" ht="12" hidden="1" customHeight="1">
      <c r="A2191" s="51">
        <v>45629</v>
      </c>
      <c r="B2191" s="49"/>
      <c r="C2191" s="49"/>
      <c r="D2191" s="49" t="s">
        <v>4349</v>
      </c>
      <c r="E2191" s="49" t="s">
        <v>2524</v>
      </c>
      <c r="F2191" s="10" t="str">
        <f>IFERROR(VLOOKUP(VENTAS[[#This Row],[Código del producto Vendido]],STOCK[],5,FALSE),"-")</f>
        <v>Cinturón fino de hebilla de estilo elegante negro</v>
      </c>
      <c r="G2191" s="49">
        <v>1</v>
      </c>
      <c r="H2191" s="49">
        <v>12</v>
      </c>
      <c r="I2191" s="12">
        <f>VENTAS[[#This Row],[Cantidad]]*VENTAS[[#This Row],[Precio Venta]]</f>
        <v>12</v>
      </c>
      <c r="J2191" s="12">
        <f>IF(VENTAS[[#This Row],[Nombre del Gestor]]&gt;1,VENTAS[[#This Row],[Total]]*10%,0)</f>
        <v>1.2000000000000002</v>
      </c>
      <c r="K2191" s="12">
        <f>IFERROR(VLOOKUP(VENTAS[[#This Row],[Código del producto Vendido]],STOCK[],16,FALSE)*VENTAS[[#This Row],[Cantidad]]+VLOOKUP(VENTAS[[#This Row],[Código del producto Vendido]],STOCK[],19,FALSE)*VENTAS[[#This Row],[Cantidad]],VENTAS[[#This Row],[Total]])</f>
        <v>5.13</v>
      </c>
      <c r="L2191" s="12">
        <f>VENTAS[[#This Row],[Total]]-VENTAS[[#This Row],[Comisión 10%]]-VENTAS[[#This Row],[Costo SIN Comision]]</f>
        <v>5.6700000000000008</v>
      </c>
      <c r="M2191" s="49"/>
      <c r="N2191" s="50" t="s">
        <v>5198</v>
      </c>
    </row>
    <row r="2192" spans="1:14" ht="12" hidden="1" customHeight="1">
      <c r="A2192" s="51">
        <v>45629</v>
      </c>
      <c r="B2192" s="49"/>
      <c r="C2192" s="49"/>
      <c r="D2192" s="49" t="s">
        <v>4349</v>
      </c>
      <c r="E2192" s="49" t="s">
        <v>1770</v>
      </c>
      <c r="F2192" s="10" t="str">
        <f>IFERROR(VLOOKUP(VENTAS[[#This Row],[Código del producto Vendido]],STOCK[],5,FALSE),"-")</f>
        <v>Calcetines bajos</v>
      </c>
      <c r="G2192" s="49">
        <v>4</v>
      </c>
      <c r="H2192" s="49">
        <v>1</v>
      </c>
      <c r="I2192" s="12">
        <f>VENTAS[[#This Row],[Cantidad]]*VENTAS[[#This Row],[Precio Venta]]</f>
        <v>4</v>
      </c>
      <c r="J2192" s="12">
        <f>IF(VENTAS[[#This Row],[Nombre del Gestor]]&gt;1,VENTAS[[#This Row],[Total]]*10%,0)</f>
        <v>0.4</v>
      </c>
      <c r="K2192" s="12">
        <f>IFERROR(VLOOKUP(VENTAS[[#This Row],[Código del producto Vendido]],STOCK[],16,FALSE)*VENTAS[[#This Row],[Cantidad]]+VLOOKUP(VENTAS[[#This Row],[Código del producto Vendido]],STOCK[],19,FALSE)*VENTAS[[#This Row],[Cantidad]],VENTAS[[#This Row],[Total]])</f>
        <v>1.717647058823528</v>
      </c>
      <c r="L2192" s="12">
        <f>VENTAS[[#This Row],[Total]]-VENTAS[[#This Row],[Comisión 10%]]-VENTAS[[#This Row],[Costo SIN Comision]]</f>
        <v>1.8823529411764721</v>
      </c>
      <c r="M2192" s="49"/>
      <c r="N2192" s="50" t="s">
        <v>5199</v>
      </c>
    </row>
    <row r="2193" spans="1:14" ht="12" hidden="1" customHeight="1">
      <c r="A2193" s="51">
        <v>45630</v>
      </c>
      <c r="B2193" s="49"/>
      <c r="C2193" s="49"/>
      <c r="D2193" s="49" t="s">
        <v>5200</v>
      </c>
      <c r="E2193" s="49" t="s">
        <v>3509</v>
      </c>
      <c r="F2193" s="10" t="str">
        <f>IFERROR(VLOOKUP(VENTAS[[#This Row],[Código del producto Vendido]],STOCK[],5,FALSE),"-")</f>
        <v>Camiseta de jersey escote cuadrado de manga larga H&amp;M</v>
      </c>
      <c r="G2193" s="49">
        <v>1</v>
      </c>
      <c r="H2193" s="49">
        <v>18</v>
      </c>
      <c r="I2193" s="12">
        <f>VENTAS[[#This Row],[Cantidad]]*VENTAS[[#This Row],[Precio Venta]]</f>
        <v>18</v>
      </c>
      <c r="J2193" s="12">
        <f>IF(VENTAS[[#This Row],[Nombre del Gestor]]&gt;1,VENTAS[[#This Row],[Total]]*10%,0)</f>
        <v>1.8</v>
      </c>
      <c r="K2193" s="12">
        <f>IFERROR(VLOOKUP(VENTAS[[#This Row],[Código del producto Vendido]],STOCK[],16,FALSE)*VENTAS[[#This Row],[Cantidad]]+VLOOKUP(VENTAS[[#This Row],[Código del producto Vendido]],STOCK[],19,FALSE)*VENTAS[[#This Row],[Cantidad]],VENTAS[[#This Row],[Total]])</f>
        <v>9</v>
      </c>
      <c r="L2193" s="12">
        <f>VENTAS[[#This Row],[Total]]-VENTAS[[#This Row],[Comisión 10%]]-VENTAS[[#This Row],[Costo SIN Comision]]</f>
        <v>7.1999999999999993</v>
      </c>
      <c r="M2193" s="49"/>
      <c r="N2193" s="50" t="s">
        <v>5201</v>
      </c>
    </row>
    <row r="2194" spans="1:14" ht="12" hidden="1" customHeight="1">
      <c r="A2194" s="51">
        <v>45631</v>
      </c>
      <c r="B2194" s="49"/>
      <c r="C2194" s="49"/>
      <c r="D2194" s="49" t="s">
        <v>5202</v>
      </c>
      <c r="E2194" s="49" t="s">
        <v>3566</v>
      </c>
      <c r="F2194" s="10" t="str">
        <f>IFERROR(VLOOKUP(VENTAS[[#This Row],[Código del producto Vendido]],STOCK[],5,FALSE),"-")</f>
        <v>Top con cuello redondo Marrón oscuro H&amp;M</v>
      </c>
      <c r="G2194" s="49">
        <v>1</v>
      </c>
      <c r="H2194" s="49">
        <v>15</v>
      </c>
      <c r="I2194" s="12">
        <f>VENTAS[[#This Row],[Cantidad]]*VENTAS[[#This Row],[Precio Venta]]</f>
        <v>15</v>
      </c>
      <c r="J2194" s="12">
        <f>IF(VENTAS[[#This Row],[Nombre del Gestor]]&gt;1,VENTAS[[#This Row],[Total]]*10%,0)</f>
        <v>1.5</v>
      </c>
      <c r="K2194" s="12">
        <f>IFERROR(VLOOKUP(VENTAS[[#This Row],[Código del producto Vendido]],STOCK[],16,FALSE)*VENTAS[[#This Row],[Cantidad]]+VLOOKUP(VENTAS[[#This Row],[Código del producto Vendido]],STOCK[],19,FALSE)*VENTAS[[#This Row],[Cantidad]],VENTAS[[#This Row],[Total]])</f>
        <v>9</v>
      </c>
      <c r="L2194" s="12">
        <f>VENTAS[[#This Row],[Total]]-VENTAS[[#This Row],[Comisión 10%]]-VENTAS[[#This Row],[Costo SIN Comision]]</f>
        <v>4.5</v>
      </c>
      <c r="M2194" s="49"/>
      <c r="N2194" s="50" t="s">
        <v>5203</v>
      </c>
    </row>
    <row r="2195" spans="1:14" ht="12" hidden="1" customHeight="1">
      <c r="A2195" s="51">
        <v>45631</v>
      </c>
      <c r="B2195" s="49"/>
      <c r="C2195" s="49"/>
      <c r="D2195" s="49" t="s">
        <v>5202</v>
      </c>
      <c r="E2195" s="49" t="s">
        <v>3637</v>
      </c>
      <c r="F2195" s="10" t="str">
        <f>IFERROR(VLOOKUP(VENTAS[[#This Row],[Código del producto Vendido]],STOCK[],5,FALSE),"-")</f>
        <v>Jeans altos anchos de mujer azul Vaquero H&amp;M</v>
      </c>
      <c r="G2195" s="49">
        <v>1</v>
      </c>
      <c r="H2195" s="49">
        <v>40</v>
      </c>
      <c r="I2195" s="12">
        <f>VENTAS[[#This Row],[Cantidad]]*VENTAS[[#This Row],[Precio Venta]]</f>
        <v>40</v>
      </c>
      <c r="J2195" s="12">
        <f>IF(VENTAS[[#This Row],[Nombre del Gestor]]&gt;1,VENTAS[[#This Row],[Total]]*10%,0)</f>
        <v>4</v>
      </c>
      <c r="K2195" s="12">
        <f>IFERROR(VLOOKUP(VENTAS[[#This Row],[Código del producto Vendido]],STOCK[],16,FALSE)*VENTAS[[#This Row],[Cantidad]]+VLOOKUP(VENTAS[[#This Row],[Código del producto Vendido]],STOCK[],19,FALSE)*VENTAS[[#This Row],[Cantidad]],VENTAS[[#This Row],[Total]])</f>
        <v>9</v>
      </c>
      <c r="L2195" s="12">
        <f>VENTAS[[#This Row],[Total]]-VENTAS[[#This Row],[Comisión 10%]]-VENTAS[[#This Row],[Costo SIN Comision]]</f>
        <v>27</v>
      </c>
      <c r="M2195" s="49"/>
      <c r="N2195" s="50" t="s">
        <v>5204</v>
      </c>
    </row>
    <row r="2196" spans="1:14" ht="12" hidden="1" customHeight="1">
      <c r="A2196" s="51">
        <v>45631</v>
      </c>
      <c r="B2196" s="49"/>
      <c r="C2196" s="49"/>
      <c r="D2196" s="49" t="s">
        <v>5202</v>
      </c>
      <c r="E2196" s="49" t="s">
        <v>3514</v>
      </c>
      <c r="F2196" s="10" t="str">
        <f>IFERROR(VLOOKUP(VENTAS[[#This Row],[Código del producto Vendido]],STOCK[],5,FALSE),"-")</f>
        <v>Jeans altos corte recto de mujer H&amp;M</v>
      </c>
      <c r="G2196" s="49">
        <v>1</v>
      </c>
      <c r="H2196" s="49">
        <v>38</v>
      </c>
      <c r="I2196" s="12">
        <f>VENTAS[[#This Row],[Cantidad]]*VENTAS[[#This Row],[Precio Venta]]</f>
        <v>38</v>
      </c>
      <c r="J2196" s="12">
        <f>IF(VENTAS[[#This Row],[Nombre del Gestor]]&gt;1,VENTAS[[#This Row],[Total]]*10%,0)</f>
        <v>3.8000000000000003</v>
      </c>
      <c r="K2196" s="12">
        <f>IFERROR(VLOOKUP(VENTAS[[#This Row],[Código del producto Vendido]],STOCK[],16,FALSE)*VENTAS[[#This Row],[Cantidad]]+VLOOKUP(VENTAS[[#This Row],[Código del producto Vendido]],STOCK[],19,FALSE)*VENTAS[[#This Row],[Cantidad]],VENTAS[[#This Row],[Total]])</f>
        <v>9</v>
      </c>
      <c r="L2196" s="12">
        <f>VENTAS[[#This Row],[Total]]-VENTAS[[#This Row],[Comisión 10%]]-VENTAS[[#This Row],[Costo SIN Comision]]</f>
        <v>25.200000000000003</v>
      </c>
      <c r="M2196" s="49"/>
      <c r="N2196" s="50" t="s">
        <v>5205</v>
      </c>
    </row>
    <row r="2197" spans="1:14" ht="12" hidden="1" customHeight="1">
      <c r="A2197" s="51">
        <v>45631</v>
      </c>
      <c r="B2197" s="49"/>
      <c r="C2197" s="49"/>
      <c r="D2197" s="49" t="s">
        <v>4349</v>
      </c>
      <c r="E2197" s="49" t="s">
        <v>3533</v>
      </c>
      <c r="F2197" s="10" t="str">
        <f>IFERROR(VLOOKUP(VENTAS[[#This Row],[Código del producto Vendido]],STOCK[],5,FALSE),"-")</f>
        <v>Top borgoña de mezcla modal acanalado H&amp;M</v>
      </c>
      <c r="G2197" s="49">
        <v>1</v>
      </c>
      <c r="H2197" s="49">
        <v>16</v>
      </c>
      <c r="I2197" s="12">
        <f>VENTAS[[#This Row],[Cantidad]]*VENTAS[[#This Row],[Precio Venta]]</f>
        <v>16</v>
      </c>
      <c r="J2197" s="12">
        <f>IF(VENTAS[[#This Row],[Nombre del Gestor]]&gt;1,VENTAS[[#This Row],[Total]]*10%,0)</f>
        <v>1.6</v>
      </c>
      <c r="K2197" s="12">
        <f>IFERROR(VLOOKUP(VENTAS[[#This Row],[Código del producto Vendido]],STOCK[],16,FALSE)*VENTAS[[#This Row],[Cantidad]]+VLOOKUP(VENTAS[[#This Row],[Código del producto Vendido]],STOCK[],19,FALSE)*VENTAS[[#This Row],[Cantidad]],VENTAS[[#This Row],[Total]])</f>
        <v>9</v>
      </c>
      <c r="L2197" s="12">
        <f>VENTAS[[#This Row],[Total]]-VENTAS[[#This Row],[Comisión 10%]]-VENTAS[[#This Row],[Costo SIN Comision]]</f>
        <v>5.4</v>
      </c>
      <c r="M2197" s="49"/>
      <c r="N2197" s="50" t="s">
        <v>5206</v>
      </c>
    </row>
    <row r="2198" spans="1:14" ht="12" hidden="1" customHeight="1">
      <c r="A2198" s="51">
        <v>45631</v>
      </c>
      <c r="B2198" s="49"/>
      <c r="C2198" s="49"/>
      <c r="D2198" s="49" t="s">
        <v>4349</v>
      </c>
      <c r="E2198" s="49" t="s">
        <v>3589</v>
      </c>
      <c r="F2198" s="10" t="str">
        <f>IFERROR(VLOOKUP(VENTAS[[#This Row],[Código del producto Vendido]],STOCK[],5,FALSE),"-")</f>
        <v>Top de cuello alto de microfibra gris oscuro H&amp;M</v>
      </c>
      <c r="G2198" s="49">
        <v>1</v>
      </c>
      <c r="H2198" s="49">
        <v>18</v>
      </c>
      <c r="I2198" s="12">
        <f>VENTAS[[#This Row],[Cantidad]]*VENTAS[[#This Row],[Precio Venta]]</f>
        <v>18</v>
      </c>
      <c r="J2198" s="12">
        <f>IF(VENTAS[[#This Row],[Nombre del Gestor]]&gt;1,VENTAS[[#This Row],[Total]]*10%,0)</f>
        <v>1.8</v>
      </c>
      <c r="K2198" s="12">
        <f>IFERROR(VLOOKUP(VENTAS[[#This Row],[Código del producto Vendido]],STOCK[],16,FALSE)*VENTAS[[#This Row],[Cantidad]]+VLOOKUP(VENTAS[[#This Row],[Código del producto Vendido]],STOCK[],19,FALSE)*VENTAS[[#This Row],[Cantidad]],VENTAS[[#This Row],[Total]])</f>
        <v>9</v>
      </c>
      <c r="L2198" s="12">
        <f>VENTAS[[#This Row],[Total]]-VENTAS[[#This Row],[Comisión 10%]]-VENTAS[[#This Row],[Costo SIN Comision]]</f>
        <v>7.1999999999999993</v>
      </c>
      <c r="M2198" s="49"/>
      <c r="N2198" s="50" t="s">
        <v>5207</v>
      </c>
    </row>
    <row r="2199" spans="1:14" ht="12" hidden="1" customHeight="1">
      <c r="A2199" s="51">
        <v>45631</v>
      </c>
      <c r="B2199" s="49"/>
      <c r="C2199" s="49"/>
      <c r="D2199" s="49" t="s">
        <v>4374</v>
      </c>
      <c r="E2199" s="49" t="s">
        <v>2751</v>
      </c>
      <c r="F2199" s="10" t="str">
        <f>IFERROR(VLOOKUP(VENTAS[[#This Row],[Código del producto Vendido]],STOCK[],5,FALSE),"-")</f>
        <v>Vestido Privé Unicolor Sin Mangas ajustado con pliegues color negro</v>
      </c>
      <c r="G2199" s="49">
        <v>1</v>
      </c>
      <c r="H2199" s="49">
        <v>20</v>
      </c>
      <c r="I2199" s="12">
        <f>VENTAS[[#This Row],[Cantidad]]*VENTAS[[#This Row],[Precio Venta]]</f>
        <v>20</v>
      </c>
      <c r="J2199" s="12">
        <f>IF(VENTAS[[#This Row],[Nombre del Gestor]]&gt;1,VENTAS[[#This Row],[Total]]*10%,0)</f>
        <v>2</v>
      </c>
      <c r="K2199" s="12">
        <f>IFERROR(VLOOKUP(VENTAS[[#This Row],[Código del producto Vendido]],STOCK[],16,FALSE)*VENTAS[[#This Row],[Cantidad]]+VLOOKUP(VENTAS[[#This Row],[Código del producto Vendido]],STOCK[],19,FALSE)*VENTAS[[#This Row],[Cantidad]],VENTAS[[#This Row],[Total]])</f>
        <v>6.12</v>
      </c>
      <c r="L2199" s="12">
        <f>VENTAS[[#This Row],[Total]]-VENTAS[[#This Row],[Comisión 10%]]-VENTAS[[#This Row],[Costo SIN Comision]]</f>
        <v>11.879999999999999</v>
      </c>
      <c r="M2199" s="49"/>
      <c r="N2199" s="50" t="s">
        <v>5208</v>
      </c>
    </row>
    <row r="2200" spans="1:14" ht="12" hidden="1" customHeight="1">
      <c r="A2200" s="51">
        <v>45631</v>
      </c>
      <c r="B2200" s="49"/>
      <c r="C2200" s="49"/>
      <c r="D2200" s="49" t="s">
        <v>5209</v>
      </c>
      <c r="E2200" s="49" t="s">
        <v>2725</v>
      </c>
      <c r="F2200" s="10" t="str">
        <f>IFERROR(VLOOKUP(VENTAS[[#This Row],[Código del producto Vendido]],STOCK[],5,FALSE),"-")</f>
        <v>Shorts Caquis Azul Marino H&amp;M</v>
      </c>
      <c r="G2200" s="49">
        <v>1</v>
      </c>
      <c r="H2200" s="49">
        <v>35</v>
      </c>
      <c r="I2200" s="12">
        <f>VENTAS[[#This Row],[Cantidad]]*VENTAS[[#This Row],[Precio Venta]]</f>
        <v>35</v>
      </c>
      <c r="J2200" s="12">
        <f>IF(VENTAS[[#This Row],[Nombre del Gestor]]&gt;1,VENTAS[[#This Row],[Total]]*10%,0)</f>
        <v>3.5</v>
      </c>
      <c r="K2200" s="12">
        <f>IFERROR(VLOOKUP(VENTAS[[#This Row],[Código del producto Vendido]],STOCK[],16,FALSE)*VENTAS[[#This Row],[Cantidad]]+VLOOKUP(VENTAS[[#This Row],[Código del producto Vendido]],STOCK[],19,FALSE)*VENTAS[[#This Row],[Cantidad]],VENTAS[[#This Row],[Total]])</f>
        <v>28.3</v>
      </c>
      <c r="L2200" s="12">
        <f>VENTAS[[#This Row],[Total]]-VENTAS[[#This Row],[Comisión 10%]]-VENTAS[[#This Row],[Costo SIN Comision]]</f>
        <v>3.1999999999999993</v>
      </c>
      <c r="M2200" s="49"/>
      <c r="N2200" s="50" t="s">
        <v>5210</v>
      </c>
    </row>
    <row r="2201" spans="1:14" ht="12" hidden="1" customHeight="1">
      <c r="A2201" s="51">
        <v>45631</v>
      </c>
      <c r="B2201" s="49"/>
      <c r="C2201" s="49"/>
      <c r="D2201" s="49" t="s">
        <v>5209</v>
      </c>
      <c r="E2201" s="49" t="s">
        <v>2721</v>
      </c>
      <c r="F2201" s="10" t="str">
        <f>IFERROR(VLOOKUP(VENTAS[[#This Row],[Código del producto Vendido]],STOCK[],5,FALSE),"-")</f>
        <v>Shorts Caquis Beige H&amp;M</v>
      </c>
      <c r="G2201" s="49">
        <v>1</v>
      </c>
      <c r="H2201" s="49">
        <v>35</v>
      </c>
      <c r="I2201" s="12">
        <f>VENTAS[[#This Row],[Cantidad]]*VENTAS[[#This Row],[Precio Venta]]</f>
        <v>35</v>
      </c>
      <c r="J2201" s="12">
        <f>IF(VENTAS[[#This Row],[Nombre del Gestor]]&gt;1,VENTAS[[#This Row],[Total]]*10%,0)</f>
        <v>3.5</v>
      </c>
      <c r="K2201" s="12">
        <f>IFERROR(VLOOKUP(VENTAS[[#This Row],[Código del producto Vendido]],STOCK[],16,FALSE)*VENTAS[[#This Row],[Cantidad]]+VLOOKUP(VENTAS[[#This Row],[Código del producto Vendido]],STOCK[],19,FALSE)*VENTAS[[#This Row],[Cantidad]],VENTAS[[#This Row],[Total]])</f>
        <v>28.3</v>
      </c>
      <c r="L2201" s="12">
        <f>VENTAS[[#This Row],[Total]]-VENTAS[[#This Row],[Comisión 10%]]-VENTAS[[#This Row],[Costo SIN Comision]]</f>
        <v>3.1999999999999993</v>
      </c>
      <c r="M2201" s="49"/>
      <c r="N2201" s="50" t="s">
        <v>5211</v>
      </c>
    </row>
    <row r="2202" spans="1:14" ht="12" hidden="1" customHeight="1">
      <c r="A2202" s="51">
        <v>45631</v>
      </c>
      <c r="B2202" s="49"/>
      <c r="C2202" s="49"/>
      <c r="D2202" s="49" t="s">
        <v>5209</v>
      </c>
      <c r="E2202" s="49" t="s">
        <v>3593</v>
      </c>
      <c r="F2202" s="10" t="str">
        <f>IFERROR(VLOOKUP(VENTAS[[#This Row],[Código del producto Vendido]],STOCK[],5,FALSE),"-")</f>
        <v>Pantalones de sarga de algodón beige H&amp;M</v>
      </c>
      <c r="G2202" s="49">
        <v>1</v>
      </c>
      <c r="H2202" s="49">
        <v>35</v>
      </c>
      <c r="I2202" s="12">
        <f>VENTAS[[#This Row],[Cantidad]]*VENTAS[[#This Row],[Precio Venta]]</f>
        <v>35</v>
      </c>
      <c r="J2202" s="12">
        <f>IF(VENTAS[[#This Row],[Nombre del Gestor]]&gt;1,VENTAS[[#This Row],[Total]]*10%,0)</f>
        <v>3.5</v>
      </c>
      <c r="K2202" s="12">
        <f>IFERROR(VLOOKUP(VENTAS[[#This Row],[Código del producto Vendido]],STOCK[],16,FALSE)*VENTAS[[#This Row],[Cantidad]]+VLOOKUP(VENTAS[[#This Row],[Código del producto Vendido]],STOCK[],19,FALSE)*VENTAS[[#This Row],[Cantidad]],VENTAS[[#This Row],[Total]])</f>
        <v>9</v>
      </c>
      <c r="L2202" s="12">
        <f>VENTAS[[#This Row],[Total]]-VENTAS[[#This Row],[Comisión 10%]]-VENTAS[[#This Row],[Costo SIN Comision]]</f>
        <v>22.5</v>
      </c>
      <c r="M2202" s="49"/>
      <c r="N2202" s="50" t="s">
        <v>5212</v>
      </c>
    </row>
    <row r="2203" spans="1:14" ht="12" hidden="1" customHeight="1">
      <c r="A2203" s="51">
        <v>45631</v>
      </c>
      <c r="B2203" s="49"/>
      <c r="C2203" s="49"/>
      <c r="D2203" s="49" t="s">
        <v>5209</v>
      </c>
      <c r="E2203" s="49" t="s">
        <v>2727</v>
      </c>
      <c r="F2203" s="10" t="str">
        <f>IFERROR(VLOOKUP(VENTAS[[#This Row],[Código del producto Vendido]],STOCK[],5,FALSE),"-")</f>
        <v>Shorts Caquis Gris H&amp;M</v>
      </c>
      <c r="G2203" s="49">
        <v>1</v>
      </c>
      <c r="H2203" s="49">
        <v>35</v>
      </c>
      <c r="I2203" s="12">
        <f>VENTAS[[#This Row],[Cantidad]]*VENTAS[[#This Row],[Precio Venta]]</f>
        <v>35</v>
      </c>
      <c r="J2203" s="12">
        <f>IF(VENTAS[[#This Row],[Nombre del Gestor]]&gt;1,VENTAS[[#This Row],[Total]]*10%,0)</f>
        <v>3.5</v>
      </c>
      <c r="K2203" s="12">
        <f>IFERROR(VLOOKUP(VENTAS[[#This Row],[Código del producto Vendido]],STOCK[],16,FALSE)*VENTAS[[#This Row],[Cantidad]]+VLOOKUP(VENTAS[[#This Row],[Código del producto Vendido]],STOCK[],19,FALSE)*VENTAS[[#This Row],[Cantidad]],VENTAS[[#This Row],[Total]])</f>
        <v>28.3</v>
      </c>
      <c r="L2203" s="12">
        <f>VENTAS[[#This Row],[Total]]-VENTAS[[#This Row],[Comisión 10%]]-VENTAS[[#This Row],[Costo SIN Comision]]</f>
        <v>3.1999999999999993</v>
      </c>
      <c r="M2203" s="49"/>
      <c r="N2203" s="50" t="s">
        <v>5213</v>
      </c>
    </row>
    <row r="2204" spans="1:14" ht="12" hidden="1" customHeight="1">
      <c r="A2204" s="51">
        <v>45631</v>
      </c>
      <c r="B2204" s="49"/>
      <c r="C2204" s="49"/>
      <c r="D2204" s="49" t="s">
        <v>5209</v>
      </c>
      <c r="E2204" s="49" t="s">
        <v>3197</v>
      </c>
      <c r="F2204" s="10" t="str">
        <f>IFERROR(VLOOKUP(VENTAS[[#This Row],[Código del producto Vendido]],STOCK[],5,FALSE),"-")</f>
        <v>Pullover de hombre Loose Fit de gran calidad de cuello redondo negro Marca H&amp;M</v>
      </c>
      <c r="G2204" s="49">
        <v>1</v>
      </c>
      <c r="H2204" s="49">
        <v>18</v>
      </c>
      <c r="I2204" s="12">
        <f>VENTAS[[#This Row],[Cantidad]]*VENTAS[[#This Row],[Precio Venta]]</f>
        <v>18</v>
      </c>
      <c r="J2204" s="12">
        <f>IF(VENTAS[[#This Row],[Nombre del Gestor]]&gt;1,VENTAS[[#This Row],[Total]]*10%,0)</f>
        <v>1.8</v>
      </c>
      <c r="K2204" s="12">
        <f>IFERROR(VLOOKUP(VENTAS[[#This Row],[Código del producto Vendido]],STOCK[],16,FALSE)*VENTAS[[#This Row],[Cantidad]]+VLOOKUP(VENTAS[[#This Row],[Código del producto Vendido]],STOCK[],19,FALSE)*VENTAS[[#This Row],[Cantidad]],VENTAS[[#This Row],[Total]])</f>
        <v>10</v>
      </c>
      <c r="L2204" s="12">
        <f>VENTAS[[#This Row],[Total]]-VENTAS[[#This Row],[Comisión 10%]]-VENTAS[[#This Row],[Costo SIN Comision]]</f>
        <v>6.1999999999999993</v>
      </c>
      <c r="M2204" s="49"/>
      <c r="N2204" s="50" t="s">
        <v>5214</v>
      </c>
    </row>
    <row r="2205" spans="1:14" ht="12" hidden="1" customHeight="1">
      <c r="A2205" s="51">
        <v>45631</v>
      </c>
      <c r="B2205" s="49"/>
      <c r="C2205" s="49"/>
      <c r="D2205" s="49" t="s">
        <v>5215</v>
      </c>
      <c r="E2205" s="49" t="s">
        <v>3561</v>
      </c>
      <c r="F2205" s="10" t="str">
        <f>IFERROR(VLOOKUP(VENTAS[[#This Row],[Código del producto Vendido]],STOCK[],5,FALSE),"-")</f>
        <v>Pantalones de sarga con pernera de darril negro H&amp;M</v>
      </c>
      <c r="G2205" s="49">
        <v>1</v>
      </c>
      <c r="H2205" s="49">
        <v>30</v>
      </c>
      <c r="I2205" s="12">
        <f>VENTAS[[#This Row],[Cantidad]]*VENTAS[[#This Row],[Precio Venta]]</f>
        <v>30</v>
      </c>
      <c r="J2205" s="12">
        <f>IF(VENTAS[[#This Row],[Nombre del Gestor]]&gt;1,VENTAS[[#This Row],[Total]]*10%,0)</f>
        <v>3</v>
      </c>
      <c r="K2205" s="12">
        <f>IFERROR(VLOOKUP(VENTAS[[#This Row],[Código del producto Vendido]],STOCK[],16,FALSE)*VENTAS[[#This Row],[Cantidad]]+VLOOKUP(VENTAS[[#This Row],[Código del producto Vendido]],STOCK[],19,FALSE)*VENTAS[[#This Row],[Cantidad]],VENTAS[[#This Row],[Total]])</f>
        <v>9</v>
      </c>
      <c r="L2205" s="12">
        <f>VENTAS[[#This Row],[Total]]-VENTAS[[#This Row],[Comisión 10%]]-VENTAS[[#This Row],[Costo SIN Comision]]</f>
        <v>18</v>
      </c>
      <c r="M2205" s="49"/>
      <c r="N2205" s="50" t="s">
        <v>5216</v>
      </c>
    </row>
    <row r="2206" spans="1:14" ht="12" customHeight="1">
      <c r="A2206" s="51">
        <v>45631</v>
      </c>
      <c r="B2206" s="49"/>
      <c r="C2206" s="49"/>
      <c r="D2206" s="49" t="s">
        <v>5217</v>
      </c>
      <c r="E2206" s="49" t="s">
        <v>3188</v>
      </c>
      <c r="F2206" s="10" t="str">
        <f>IFERROR(VLOOKUP(VENTAS[[#This Row],[Código del producto Vendido]],STOCK[],5,FALSE),"-")</f>
        <v>Pullover de hombre Loose Fit de gran calidad de cuello redondo gris oscuro Marca H&amp;M</v>
      </c>
      <c r="G2206" s="49">
        <v>1</v>
      </c>
      <c r="H2206" s="49">
        <v>18</v>
      </c>
      <c r="I2206" s="12">
        <f>VENTAS[[#This Row],[Cantidad]]*VENTAS[[#This Row],[Precio Venta]]</f>
        <v>18</v>
      </c>
      <c r="J2206" s="12">
        <f>IF(VENTAS[[#This Row],[Nombre del Gestor]]&gt;1,VENTAS[[#This Row],[Total]]*10%,0)</f>
        <v>1.8</v>
      </c>
      <c r="K2206" s="12">
        <f>IFERROR(VLOOKUP(VENTAS[[#This Row],[Código del producto Vendido]],STOCK[],16,FALSE)*VENTAS[[#This Row],[Cantidad]]+VLOOKUP(VENTAS[[#This Row],[Código del producto Vendido]],STOCK[],19,FALSE)*VENTAS[[#This Row],[Cantidad]],VENTAS[[#This Row],[Total]])</f>
        <v>10</v>
      </c>
      <c r="L2206" s="12">
        <f>VENTAS[[#This Row],[Total]]-VENTAS[[#This Row],[Comisión 10%]]-VENTAS[[#This Row],[Costo SIN Comision]]</f>
        <v>6.1999999999999993</v>
      </c>
      <c r="M2206" s="49"/>
      <c r="N2206" s="50" t="s">
        <v>5218</v>
      </c>
    </row>
    <row r="2207" spans="1:14" ht="12" customHeight="1">
      <c r="A2207" s="51">
        <v>45631</v>
      </c>
      <c r="B2207" s="49"/>
      <c r="C2207" s="49"/>
      <c r="D2207" s="49" t="s">
        <v>5217</v>
      </c>
      <c r="E2207" s="49" t="s">
        <v>3574</v>
      </c>
      <c r="F2207" s="10" t="str">
        <f>IFERROR(VLOOKUP(VENTAS[[#This Row],[Código del producto Vendido]],STOCK[],5,FALSE),"-")</f>
        <v>Pantalón gris deportivo de nylon de hombre H&amp;M</v>
      </c>
      <c r="G2207" s="49">
        <v>1</v>
      </c>
      <c r="H2207" s="49">
        <v>35</v>
      </c>
      <c r="I2207" s="12">
        <f>VENTAS[[#This Row],[Cantidad]]*VENTAS[[#This Row],[Precio Venta]]</f>
        <v>35</v>
      </c>
      <c r="J2207" s="12">
        <f>IF(VENTAS[[#This Row],[Nombre del Gestor]]&gt;1,VENTAS[[#This Row],[Total]]*10%,0)</f>
        <v>3.5</v>
      </c>
      <c r="K2207" s="12">
        <f>IFERROR(VLOOKUP(VENTAS[[#This Row],[Código del producto Vendido]],STOCK[],16,FALSE)*VENTAS[[#This Row],[Cantidad]]+VLOOKUP(VENTAS[[#This Row],[Código del producto Vendido]],STOCK[],19,FALSE)*VENTAS[[#This Row],[Cantidad]],VENTAS[[#This Row],[Total]])</f>
        <v>9</v>
      </c>
      <c r="L2207" s="12">
        <f>VENTAS[[#This Row],[Total]]-VENTAS[[#This Row],[Comisión 10%]]-VENTAS[[#This Row],[Costo SIN Comision]]</f>
        <v>22.5</v>
      </c>
      <c r="M2207" s="49"/>
      <c r="N2207" s="50" t="s">
        <v>5219</v>
      </c>
    </row>
    <row r="2208" spans="1:14" ht="12" customHeight="1">
      <c r="A2208" s="51">
        <v>45631</v>
      </c>
      <c r="B2208" s="49"/>
      <c r="C2208" s="49"/>
      <c r="D2208" s="49" t="s">
        <v>5217</v>
      </c>
      <c r="E2208" s="49" t="s">
        <v>3056</v>
      </c>
      <c r="F2208" s="10" t="str">
        <f>IFERROR(VLOOKUP(VENTAS[[#This Row],[Código del producto Vendido]],STOCK[],5,FALSE),"-")</f>
        <v>Shorts regular fit de algodón color verde army Marca H&amp;M</v>
      </c>
      <c r="G2208" s="49">
        <v>1</v>
      </c>
      <c r="H2208" s="49">
        <v>22</v>
      </c>
      <c r="I2208" s="12">
        <f>VENTAS[[#This Row],[Cantidad]]*VENTAS[[#This Row],[Precio Venta]]</f>
        <v>22</v>
      </c>
      <c r="J2208" s="12">
        <f>IF(VENTAS[[#This Row],[Nombre del Gestor]]&gt;1,VENTAS[[#This Row],[Total]]*10%,0)</f>
        <v>2.2000000000000002</v>
      </c>
      <c r="K2208" s="12">
        <f>IFERROR(VLOOKUP(VENTAS[[#This Row],[Código del producto Vendido]],STOCK[],16,FALSE)*VENTAS[[#This Row],[Cantidad]]+VLOOKUP(VENTAS[[#This Row],[Código del producto Vendido]],STOCK[],19,FALSE)*VENTAS[[#This Row],[Cantidad]],VENTAS[[#This Row],[Total]])</f>
        <v>10</v>
      </c>
      <c r="L2208" s="12">
        <f>VENTAS[[#This Row],[Total]]-VENTAS[[#This Row],[Comisión 10%]]-VENTAS[[#This Row],[Costo SIN Comision]]</f>
        <v>9.8000000000000007</v>
      </c>
      <c r="M2208" s="49"/>
      <c r="N2208" s="50" t="s">
        <v>5220</v>
      </c>
    </row>
    <row r="2209" spans="1:14" ht="12" customHeight="1">
      <c r="A2209" s="51">
        <v>45631</v>
      </c>
      <c r="B2209" s="49"/>
      <c r="C2209" s="49"/>
      <c r="D2209" s="49" t="s">
        <v>5217</v>
      </c>
      <c r="E2209" s="49" t="s">
        <v>3064</v>
      </c>
      <c r="F2209" s="10" t="str">
        <f>IFERROR(VLOOKUP(VENTAS[[#This Row],[Código del producto Vendido]],STOCK[],5,FALSE),"-")</f>
        <v>Jogger de pierna ancha color chantillí Marca H&amp;M</v>
      </c>
      <c r="G2209" s="49">
        <v>1</v>
      </c>
      <c r="H2209" s="49">
        <v>30</v>
      </c>
      <c r="I2209" s="12">
        <f>VENTAS[[#This Row],[Cantidad]]*VENTAS[[#This Row],[Precio Venta]]</f>
        <v>30</v>
      </c>
      <c r="J2209" s="12">
        <f>IF(VENTAS[[#This Row],[Nombre del Gestor]]&gt;1,VENTAS[[#This Row],[Total]]*10%,0)</f>
        <v>3</v>
      </c>
      <c r="K2209" s="12">
        <f>IFERROR(VLOOKUP(VENTAS[[#This Row],[Código del producto Vendido]],STOCK[],16,FALSE)*VENTAS[[#This Row],[Cantidad]]+VLOOKUP(VENTAS[[#This Row],[Código del producto Vendido]],STOCK[],19,FALSE)*VENTAS[[#This Row],[Cantidad]],VENTAS[[#This Row],[Total]])</f>
        <v>12</v>
      </c>
      <c r="L2209" s="12">
        <f>VENTAS[[#This Row],[Total]]-VENTAS[[#This Row],[Comisión 10%]]-VENTAS[[#This Row],[Costo SIN Comision]]</f>
        <v>15</v>
      </c>
      <c r="M2209" s="49"/>
      <c r="N2209" s="50" t="s">
        <v>5221</v>
      </c>
    </row>
    <row r="2210" spans="1:14" ht="12" customHeight="1">
      <c r="A2210" s="51">
        <v>45631</v>
      </c>
      <c r="B2210" s="49"/>
      <c r="C2210" s="49"/>
      <c r="D2210" s="49" t="s">
        <v>5217</v>
      </c>
      <c r="E2210" s="49" t="s">
        <v>2414</v>
      </c>
      <c r="F2210" s="10" t="str">
        <f>IFERROR(VLOOKUP(VENTAS[[#This Row],[Código del producto Vendido]],STOCK[],5,FALSE),"-")</f>
        <v>Pantalón de vestir de viscosa y lino (beige claro)</v>
      </c>
      <c r="G2210" s="49">
        <v>1</v>
      </c>
      <c r="H2210" s="49">
        <v>35</v>
      </c>
      <c r="I2210" s="12">
        <f>VENTAS[[#This Row],[Cantidad]]*VENTAS[[#This Row],[Precio Venta]]</f>
        <v>35</v>
      </c>
      <c r="J2210" s="12">
        <f>IF(VENTAS[[#This Row],[Nombre del Gestor]]&gt;1,VENTAS[[#This Row],[Total]]*10%,0)</f>
        <v>3.5</v>
      </c>
      <c r="K2210" s="12">
        <f>IFERROR(VLOOKUP(VENTAS[[#This Row],[Código del producto Vendido]],STOCK[],16,FALSE)*VENTAS[[#This Row],[Cantidad]]+VLOOKUP(VENTAS[[#This Row],[Código del producto Vendido]],STOCK[],19,FALSE)*VENTAS[[#This Row],[Cantidad]],VENTAS[[#This Row],[Total]])</f>
        <v>17.252021151586401</v>
      </c>
      <c r="L2210" s="12">
        <f>VENTAS[[#This Row],[Total]]-VENTAS[[#This Row],[Comisión 10%]]-VENTAS[[#This Row],[Costo SIN Comision]]</f>
        <v>14.247978848413599</v>
      </c>
      <c r="M2210" s="49"/>
      <c r="N2210" s="50" t="s">
        <v>5222</v>
      </c>
    </row>
    <row r="2211" spans="1:14" ht="12" customHeight="1">
      <c r="A2211" s="51">
        <v>45631</v>
      </c>
      <c r="B2211" s="49"/>
      <c r="C2211" s="49"/>
      <c r="D2211" s="49" t="s">
        <v>5217</v>
      </c>
      <c r="E2211" s="49" t="s">
        <v>3555</v>
      </c>
      <c r="F2211" s="10" t="str">
        <f>IFERROR(VLOOKUP(VENTAS[[#This Row],[Código del producto Vendido]],STOCK[],5,FALSE),"-")</f>
        <v>Camiseta jersey escote cuadrado de manga larga turquesa oscuro H&amp;M</v>
      </c>
      <c r="G2211" s="49">
        <v>1</v>
      </c>
      <c r="H2211" s="49">
        <v>18</v>
      </c>
      <c r="I2211" s="12">
        <f>VENTAS[[#This Row],[Cantidad]]*VENTAS[[#This Row],[Precio Venta]]</f>
        <v>18</v>
      </c>
      <c r="J2211" s="12">
        <f>IF(VENTAS[[#This Row],[Nombre del Gestor]]&gt;1,VENTAS[[#This Row],[Total]]*10%,0)</f>
        <v>1.8</v>
      </c>
      <c r="K2211" s="12">
        <f>IFERROR(VLOOKUP(VENTAS[[#This Row],[Código del producto Vendido]],STOCK[],16,FALSE)*VENTAS[[#This Row],[Cantidad]]+VLOOKUP(VENTAS[[#This Row],[Código del producto Vendido]],STOCK[],19,FALSE)*VENTAS[[#This Row],[Cantidad]],VENTAS[[#This Row],[Total]])</f>
        <v>9</v>
      </c>
      <c r="L2211" s="12">
        <f>VENTAS[[#This Row],[Total]]-VENTAS[[#This Row],[Comisión 10%]]-VENTAS[[#This Row],[Costo SIN Comision]]</f>
        <v>7.1999999999999993</v>
      </c>
      <c r="M2211" s="49"/>
      <c r="N2211" s="50" t="s">
        <v>5223</v>
      </c>
    </row>
    <row r="2212" spans="1:14" ht="12" customHeight="1">
      <c r="A2212" s="51">
        <v>45631</v>
      </c>
      <c r="B2212" s="49"/>
      <c r="C2212" s="49"/>
      <c r="D2212" s="49" t="s">
        <v>5217</v>
      </c>
      <c r="E2212" s="49" t="s">
        <v>3552</v>
      </c>
      <c r="F2212" s="10" t="str">
        <f>IFERROR(VLOOKUP(VENTAS[[#This Row],[Código del producto Vendido]],STOCK[],5,FALSE),"-")</f>
        <v>Pantalones negros deportivos de nylon de hombre H&amp;M</v>
      </c>
      <c r="G2212" s="49">
        <v>1</v>
      </c>
      <c r="H2212" s="49">
        <v>30</v>
      </c>
      <c r="I2212" s="12">
        <f>VENTAS[[#This Row],[Cantidad]]*VENTAS[[#This Row],[Precio Venta]]</f>
        <v>30</v>
      </c>
      <c r="J2212" s="12">
        <f>IF(VENTAS[[#This Row],[Nombre del Gestor]]&gt;1,VENTAS[[#This Row],[Total]]*10%,0)</f>
        <v>3</v>
      </c>
      <c r="K2212" s="12">
        <f>IFERROR(VLOOKUP(VENTAS[[#This Row],[Código del producto Vendido]],STOCK[],16,FALSE)*VENTAS[[#This Row],[Cantidad]]+VLOOKUP(VENTAS[[#This Row],[Código del producto Vendido]],STOCK[],19,FALSE)*VENTAS[[#This Row],[Cantidad]],VENTAS[[#This Row],[Total]])</f>
        <v>9</v>
      </c>
      <c r="L2212" s="12">
        <f>VENTAS[[#This Row],[Total]]-VENTAS[[#This Row],[Comisión 10%]]-VENTAS[[#This Row],[Costo SIN Comision]]</f>
        <v>18</v>
      </c>
      <c r="M2212" s="49"/>
      <c r="N2212" s="50" t="s">
        <v>5224</v>
      </c>
    </row>
    <row r="2213" spans="1:14" ht="12" hidden="1" customHeight="1">
      <c r="A2213" s="51">
        <v>45631</v>
      </c>
      <c r="B2213" s="49"/>
      <c r="C2213" s="49"/>
      <c r="D2213" s="49" t="s">
        <v>4473</v>
      </c>
      <c r="E2213" s="49" t="s">
        <v>3634</v>
      </c>
      <c r="F2213" s="10" t="str">
        <f>IFERROR(VLOOKUP(VENTAS[[#This Row],[Código del producto Vendido]],STOCK[],5,FALSE),"-")</f>
        <v>Top de punto fino negro H&amp;M</v>
      </c>
      <c r="G2213" s="49">
        <v>1</v>
      </c>
      <c r="H2213" s="49">
        <v>15</v>
      </c>
      <c r="I2213" s="12">
        <f>VENTAS[[#This Row],[Cantidad]]*VENTAS[[#This Row],[Precio Venta]]</f>
        <v>15</v>
      </c>
      <c r="J2213" s="12">
        <f>IF(VENTAS[[#This Row],[Nombre del Gestor]]&gt;1,VENTAS[[#This Row],[Total]]*10%,0)</f>
        <v>1.5</v>
      </c>
      <c r="K2213" s="12">
        <f>IFERROR(VLOOKUP(VENTAS[[#This Row],[Código del producto Vendido]],STOCK[],16,FALSE)*VENTAS[[#This Row],[Cantidad]]+VLOOKUP(VENTAS[[#This Row],[Código del producto Vendido]],STOCK[],19,FALSE)*VENTAS[[#This Row],[Cantidad]],VENTAS[[#This Row],[Total]])</f>
        <v>9</v>
      </c>
      <c r="L2213" s="12">
        <f>VENTAS[[#This Row],[Total]]-VENTAS[[#This Row],[Comisión 10%]]-VENTAS[[#This Row],[Costo SIN Comision]]</f>
        <v>4.5</v>
      </c>
      <c r="M2213" s="49"/>
      <c r="N2213" s="50" t="s">
        <v>5225</v>
      </c>
    </row>
    <row r="2214" spans="1:14" ht="12" hidden="1" customHeight="1">
      <c r="A2214" s="51">
        <v>45631</v>
      </c>
      <c r="B2214" s="49"/>
      <c r="C2214" s="49"/>
      <c r="D2214" s="49" t="s">
        <v>4374</v>
      </c>
      <c r="E2214" s="49" t="s">
        <v>1461</v>
      </c>
      <c r="F2214" s="10" t="str">
        <f>IFERROR(VLOOKUP(VENTAS[[#This Row],[Código del producto Vendido]],STOCK[],5,FALSE),"-")</f>
        <v>Pantalón alto de bajo elegante</v>
      </c>
      <c r="G2214" s="49">
        <v>1</v>
      </c>
      <c r="H2214" s="49">
        <v>32</v>
      </c>
      <c r="I2214" s="12">
        <f>VENTAS[[#This Row],[Cantidad]]*VENTAS[[#This Row],[Precio Venta]]</f>
        <v>32</v>
      </c>
      <c r="J2214" s="12">
        <f>IF(VENTAS[[#This Row],[Nombre del Gestor]]&gt;1,VENTAS[[#This Row],[Total]]*10%,0)</f>
        <v>3.2</v>
      </c>
      <c r="K2214" s="12">
        <f>IFERROR(VLOOKUP(VENTAS[[#This Row],[Código del producto Vendido]],STOCK[],16,FALSE)*VENTAS[[#This Row],[Cantidad]]+VLOOKUP(VENTAS[[#This Row],[Código del producto Vendido]],STOCK[],19,FALSE)*VENTAS[[#This Row],[Cantidad]],VENTAS[[#This Row],[Total]])</f>
        <v>16.189999999999998</v>
      </c>
      <c r="L2214" s="12">
        <f>VENTAS[[#This Row],[Total]]-VENTAS[[#This Row],[Comisión 10%]]-VENTAS[[#This Row],[Costo SIN Comision]]</f>
        <v>12.610000000000003</v>
      </c>
      <c r="M2214" s="49"/>
      <c r="N2214" s="50" t="s">
        <v>5226</v>
      </c>
    </row>
    <row r="2215" spans="1:14" ht="12" hidden="1" customHeight="1">
      <c r="A2215" s="51">
        <v>45631</v>
      </c>
      <c r="B2215" s="49"/>
      <c r="C2215" s="49"/>
      <c r="D2215" s="49" t="s">
        <v>4374</v>
      </c>
      <c r="E2215" s="49" t="s">
        <v>3629</v>
      </c>
      <c r="F2215" s="10" t="str">
        <f>IFERROR(VLOOKUP(VENTAS[[#This Row],[Código del producto Vendido]],STOCK[],5,FALSE),"-")</f>
        <v>Camiseta de microfibra manga larga negro H&amp;M</v>
      </c>
      <c r="G2215" s="49">
        <v>1</v>
      </c>
      <c r="H2215" s="49">
        <v>20</v>
      </c>
      <c r="I2215" s="12">
        <f>VENTAS[[#This Row],[Cantidad]]*VENTAS[[#This Row],[Precio Venta]]</f>
        <v>20</v>
      </c>
      <c r="J2215" s="12">
        <f>IF(VENTAS[[#This Row],[Nombre del Gestor]]&gt;1,VENTAS[[#This Row],[Total]]*10%,0)</f>
        <v>2</v>
      </c>
      <c r="K2215" s="12">
        <f>IFERROR(VLOOKUP(VENTAS[[#This Row],[Código del producto Vendido]],STOCK[],16,FALSE)*VENTAS[[#This Row],[Cantidad]]+VLOOKUP(VENTAS[[#This Row],[Código del producto Vendido]],STOCK[],19,FALSE)*VENTAS[[#This Row],[Cantidad]],VENTAS[[#This Row],[Total]])</f>
        <v>9</v>
      </c>
      <c r="L2215" s="12">
        <f>VENTAS[[#This Row],[Total]]-VENTAS[[#This Row],[Comisión 10%]]-VENTAS[[#This Row],[Costo SIN Comision]]</f>
        <v>9</v>
      </c>
      <c r="M2215" s="49"/>
      <c r="N2215" s="50" t="s">
        <v>5227</v>
      </c>
    </row>
    <row r="2216" spans="1:14" ht="12" hidden="1" customHeight="1">
      <c r="A2216" s="51">
        <v>45631</v>
      </c>
      <c r="B2216" s="49"/>
      <c r="C2216" s="49"/>
      <c r="D2216" s="49" t="s">
        <v>4885</v>
      </c>
      <c r="E2216" s="49" t="s">
        <v>3009</v>
      </c>
      <c r="F2216" s="10" t="str">
        <f>IFERROR(VLOOKUP(VENTAS[[#This Row],[Código del producto Vendido]],STOCK[],5,FALSE),"-")</f>
        <v>Conjunto de dos prendas elegante-casual color Beis</v>
      </c>
      <c r="G2216" s="49">
        <v>1</v>
      </c>
      <c r="H2216" s="49">
        <v>40</v>
      </c>
      <c r="I2216" s="12">
        <f>VENTAS[[#This Row],[Cantidad]]*VENTAS[[#This Row],[Precio Venta]]</f>
        <v>40</v>
      </c>
      <c r="J2216" s="12">
        <f>IF(VENTAS[[#This Row],[Nombre del Gestor]]&gt;1,VENTAS[[#This Row],[Total]]*10%,0)</f>
        <v>4</v>
      </c>
      <c r="K2216" s="12">
        <f>IFERROR(VLOOKUP(VENTAS[[#This Row],[Código del producto Vendido]],STOCK[],16,FALSE)*VENTAS[[#This Row],[Cantidad]]+VLOOKUP(VENTAS[[#This Row],[Código del producto Vendido]],STOCK[],19,FALSE)*VENTAS[[#This Row],[Cantidad]],VENTAS[[#This Row],[Total]])</f>
        <v>13.47</v>
      </c>
      <c r="L2216" s="12">
        <f>VENTAS[[#This Row],[Total]]-VENTAS[[#This Row],[Comisión 10%]]-VENTAS[[#This Row],[Costo SIN Comision]]</f>
        <v>22.53</v>
      </c>
      <c r="M2216" s="49"/>
      <c r="N2216" s="50" t="s">
        <v>5228</v>
      </c>
    </row>
    <row r="2217" spans="1:14" ht="12" hidden="1" customHeight="1">
      <c r="A2217" s="51">
        <v>45632</v>
      </c>
      <c r="B2217" s="49"/>
      <c r="C2217" s="49"/>
      <c r="D2217" s="49" t="s">
        <v>5229</v>
      </c>
      <c r="E2217" s="49" t="s">
        <v>3022</v>
      </c>
      <c r="F2217" s="10" t="str">
        <f>IFERROR(VLOOKUP(VENTAS[[#This Row],[Código del producto Vendido]],STOCK[],5,FALSE),"-")</f>
        <v>Sandalias de plataforma espadriles con correas doradas</v>
      </c>
      <c r="G2217" s="49">
        <v>1</v>
      </c>
      <c r="H2217" s="49">
        <v>40</v>
      </c>
      <c r="I2217" s="12">
        <f>VENTAS[[#This Row],[Cantidad]]*VENTAS[[#This Row],[Precio Venta]]</f>
        <v>40</v>
      </c>
      <c r="J2217" s="12">
        <f>IF(VENTAS[[#This Row],[Nombre del Gestor]]&gt;1,VENTAS[[#This Row],[Total]]*10%,0)</f>
        <v>4</v>
      </c>
      <c r="K2217" s="12">
        <f>IFERROR(VLOOKUP(VENTAS[[#This Row],[Código del producto Vendido]],STOCK[],16,FALSE)*VENTAS[[#This Row],[Cantidad]]+VLOOKUP(VENTAS[[#This Row],[Código del producto Vendido]],STOCK[],19,FALSE)*VENTAS[[#This Row],[Cantidad]],VENTAS[[#This Row],[Total]])</f>
        <v>11.65</v>
      </c>
      <c r="L2217" s="12">
        <f>VENTAS[[#This Row],[Total]]-VENTAS[[#This Row],[Comisión 10%]]-VENTAS[[#This Row],[Costo SIN Comision]]</f>
        <v>24.35</v>
      </c>
      <c r="M2217" s="49"/>
      <c r="N2217" s="50" t="s">
        <v>5230</v>
      </c>
    </row>
    <row r="2218" spans="1:14" ht="12" customHeight="1">
      <c r="A2218" s="51">
        <v>45633</v>
      </c>
      <c r="B2218" s="49"/>
      <c r="C2218" s="49"/>
      <c r="D2218" s="49" t="s">
        <v>4330</v>
      </c>
      <c r="E2218" s="49" t="s">
        <v>3620</v>
      </c>
      <c r="F2218" s="10" t="str">
        <f>IFERROR(VLOOKUP(VENTAS[[#This Row],[Código del producto Vendido]],STOCK[],5,FALSE),"-")</f>
        <v>Sudadera negra holgada de hombre H&amp;M</v>
      </c>
      <c r="G2218" s="49">
        <v>1</v>
      </c>
      <c r="H2218" s="49">
        <v>25</v>
      </c>
      <c r="I2218" s="12">
        <f>VENTAS[[#This Row],[Cantidad]]*VENTAS[[#This Row],[Precio Venta]]</f>
        <v>25</v>
      </c>
      <c r="J2218" s="12">
        <f>IF(VENTAS[[#This Row],[Nombre del Gestor]]&gt;1,VENTAS[[#This Row],[Total]]*10%,0)</f>
        <v>2.5</v>
      </c>
      <c r="K2218" s="12">
        <f>IFERROR(VLOOKUP(VENTAS[[#This Row],[Código del producto Vendido]],STOCK[],16,FALSE)*VENTAS[[#This Row],[Cantidad]]+VLOOKUP(VENTAS[[#This Row],[Código del producto Vendido]],STOCK[],19,FALSE)*VENTAS[[#This Row],[Cantidad]],VENTAS[[#This Row],[Total]])</f>
        <v>9</v>
      </c>
      <c r="L2218" s="12">
        <f>VENTAS[[#This Row],[Total]]-VENTAS[[#This Row],[Comisión 10%]]-VENTAS[[#This Row],[Costo SIN Comision]]</f>
        <v>13.5</v>
      </c>
      <c r="M2218" s="49"/>
      <c r="N2218" s="50" t="s">
        <v>5231</v>
      </c>
    </row>
    <row r="2219" spans="1:14" ht="12" hidden="1" customHeight="1">
      <c r="A2219" s="51">
        <v>45633</v>
      </c>
      <c r="B2219" s="49"/>
      <c r="C2219" s="49"/>
      <c r="D2219" s="49" t="s">
        <v>4374</v>
      </c>
      <c r="E2219" s="49" t="s">
        <v>2919</v>
      </c>
      <c r="F2219" s="10" t="str">
        <f>IFERROR(VLOOKUP(VENTAS[[#This Row],[Código del producto Vendido]],STOCK[],5,FALSE),"-")</f>
        <v>Chaleco de traje estilo blazer color blanco</v>
      </c>
      <c r="G2219" s="49">
        <v>1</v>
      </c>
      <c r="H2219" s="49">
        <v>25</v>
      </c>
      <c r="I2219" s="12">
        <f>VENTAS[[#This Row],[Cantidad]]*VENTAS[[#This Row],[Precio Venta]]</f>
        <v>25</v>
      </c>
      <c r="J2219" s="12">
        <f>IF(VENTAS[[#This Row],[Nombre del Gestor]]&gt;1,VENTAS[[#This Row],[Total]]*10%,0)</f>
        <v>2.5</v>
      </c>
      <c r="K2219" s="12">
        <f>IFERROR(VLOOKUP(VENTAS[[#This Row],[Código del producto Vendido]],STOCK[],16,FALSE)*VENTAS[[#This Row],[Cantidad]]+VLOOKUP(VENTAS[[#This Row],[Código del producto Vendido]],STOCK[],19,FALSE)*VENTAS[[#This Row],[Cantidad]],VENTAS[[#This Row],[Total]])</f>
        <v>12.040000000000001</v>
      </c>
      <c r="L2219" s="12">
        <f>VENTAS[[#This Row],[Total]]-VENTAS[[#This Row],[Comisión 10%]]-VENTAS[[#This Row],[Costo SIN Comision]]</f>
        <v>10.459999999999999</v>
      </c>
      <c r="M2219" s="49"/>
      <c r="N2219" s="50" t="s">
        <v>5232</v>
      </c>
    </row>
    <row r="2220" spans="1:14" ht="12" hidden="1" customHeight="1">
      <c r="A2220" s="51">
        <v>45633</v>
      </c>
      <c r="B2220" s="49"/>
      <c r="C2220" s="49"/>
      <c r="D2220" s="49" t="s">
        <v>5233</v>
      </c>
      <c r="E2220" s="49" t="s">
        <v>3572</v>
      </c>
      <c r="F2220" s="10" t="str">
        <f>IFERROR(VLOOKUP(VENTAS[[#This Row],[Código del producto Vendido]],STOCK[],5,FALSE),"-")</f>
        <v>Camisa de satén negro H&amp;M</v>
      </c>
      <c r="G2220" s="49">
        <v>1</v>
      </c>
      <c r="H2220" s="49">
        <v>25</v>
      </c>
      <c r="I2220" s="12">
        <f>VENTAS[[#This Row],[Cantidad]]*VENTAS[[#This Row],[Precio Venta]]</f>
        <v>25</v>
      </c>
      <c r="J2220" s="12">
        <f>IF(VENTAS[[#This Row],[Nombre del Gestor]]&gt;1,VENTAS[[#This Row],[Total]]*10%,0)</f>
        <v>2.5</v>
      </c>
      <c r="K2220" s="12">
        <f>IFERROR(VLOOKUP(VENTAS[[#This Row],[Código del producto Vendido]],STOCK[],16,FALSE)*VENTAS[[#This Row],[Cantidad]]+VLOOKUP(VENTAS[[#This Row],[Código del producto Vendido]],STOCK[],19,FALSE)*VENTAS[[#This Row],[Cantidad]],VENTAS[[#This Row],[Total]])</f>
        <v>9</v>
      </c>
      <c r="L2220" s="12">
        <f>VENTAS[[#This Row],[Total]]-VENTAS[[#This Row],[Comisión 10%]]-VENTAS[[#This Row],[Costo SIN Comision]]</f>
        <v>13.5</v>
      </c>
      <c r="M2220" s="49"/>
      <c r="N2220" s="50" t="s">
        <v>5234</v>
      </c>
    </row>
    <row r="2221" spans="1:14" ht="12" hidden="1" customHeight="1">
      <c r="A2221" s="51">
        <v>45634</v>
      </c>
      <c r="B2221" s="49"/>
      <c r="C2221" s="49"/>
      <c r="D2221" s="49" t="s">
        <v>4237</v>
      </c>
      <c r="E2221" s="49" t="s">
        <v>2586</v>
      </c>
      <c r="F2221" s="10" t="str">
        <f>IFERROR(VLOOKUP(VENTAS[[#This Row],[Código del producto Vendido]],STOCK[],5,FALSE),"-")</f>
        <v>Vestido negro espalda cruzada</v>
      </c>
      <c r="G2221" s="49">
        <v>1</v>
      </c>
      <c r="H2221" s="49">
        <v>30</v>
      </c>
      <c r="I2221" s="12">
        <f>VENTAS[[#This Row],[Cantidad]]*VENTAS[[#This Row],[Precio Venta]]</f>
        <v>30</v>
      </c>
      <c r="J2221" s="12">
        <f>IF(VENTAS[[#This Row],[Nombre del Gestor]]&gt;1,VENTAS[[#This Row],[Total]]*10%,0)</f>
        <v>3</v>
      </c>
      <c r="K2221" s="12">
        <f>IFERROR(VLOOKUP(VENTAS[[#This Row],[Código del producto Vendido]],STOCK[],16,FALSE)*VENTAS[[#This Row],[Cantidad]]+VLOOKUP(VENTAS[[#This Row],[Código del producto Vendido]],STOCK[],19,FALSE)*VENTAS[[#This Row],[Cantidad]],VENTAS[[#This Row],[Total]])</f>
        <v>15.440000000000001</v>
      </c>
      <c r="L2221" s="12">
        <f>VENTAS[[#This Row],[Total]]-VENTAS[[#This Row],[Comisión 10%]]-VENTAS[[#This Row],[Costo SIN Comision]]</f>
        <v>11.559999999999999</v>
      </c>
      <c r="M2221" s="49"/>
      <c r="N2221" s="50" t="s">
        <v>5235</v>
      </c>
    </row>
    <row r="2222" spans="1:14" ht="12" hidden="1" customHeight="1">
      <c r="A2222" s="51">
        <v>45634</v>
      </c>
      <c r="B2222" s="49"/>
      <c r="C2222" s="49"/>
      <c r="D2222" s="49" t="s">
        <v>4237</v>
      </c>
      <c r="E2222" s="49" t="s">
        <v>3171</v>
      </c>
      <c r="F2222" s="10" t="str">
        <f>IFERROR(VLOOKUP(VENTAS[[#This Row],[Código del producto Vendido]],STOCK[],5,FALSE),"-")</f>
        <v>Leggings mallas negros no transparentables Marca H&amp;M</v>
      </c>
      <c r="G2222" s="49">
        <v>1</v>
      </c>
      <c r="H2222" s="49">
        <v>12</v>
      </c>
      <c r="I2222" s="12">
        <f>VENTAS[[#This Row],[Cantidad]]*VENTAS[[#This Row],[Precio Venta]]</f>
        <v>12</v>
      </c>
      <c r="J2222" s="12">
        <f>IF(VENTAS[[#This Row],[Nombre del Gestor]]&gt;1,VENTAS[[#This Row],[Total]]*10%,0)</f>
        <v>1.2000000000000002</v>
      </c>
      <c r="K2222" s="12">
        <f>IFERROR(VLOOKUP(VENTAS[[#This Row],[Código del producto Vendido]],STOCK[],16,FALSE)*VENTAS[[#This Row],[Cantidad]]+VLOOKUP(VENTAS[[#This Row],[Código del producto Vendido]],STOCK[],19,FALSE)*VENTAS[[#This Row],[Cantidad]],VENTAS[[#This Row],[Total]])</f>
        <v>5</v>
      </c>
      <c r="L2222" s="12">
        <f>VENTAS[[#This Row],[Total]]-VENTAS[[#This Row],[Comisión 10%]]-VENTAS[[#This Row],[Costo SIN Comision]]</f>
        <v>5.8000000000000007</v>
      </c>
      <c r="M2222" s="49"/>
      <c r="N2222" s="50" t="s">
        <v>5236</v>
      </c>
    </row>
    <row r="2223" spans="1:14" ht="12" hidden="1" customHeight="1">
      <c r="A2223" s="51">
        <v>45634</v>
      </c>
      <c r="B2223" s="49"/>
      <c r="C2223" s="49"/>
      <c r="D2223" s="49" t="s">
        <v>4237</v>
      </c>
      <c r="E2223" s="49" t="s">
        <v>2791</v>
      </c>
      <c r="F2223" s="10" t="str">
        <f>IFERROR(VLOOKUP(VENTAS[[#This Row],[Código del producto Vendido]],STOCK[],5,FALSE),"-")</f>
        <v>Sandalias cruzadas de rafia natural y suela negra</v>
      </c>
      <c r="G2223" s="49">
        <v>1</v>
      </c>
      <c r="H2223" s="49">
        <v>30</v>
      </c>
      <c r="I2223" s="12">
        <f>VENTAS[[#This Row],[Cantidad]]*VENTAS[[#This Row],[Precio Venta]]</f>
        <v>30</v>
      </c>
      <c r="J2223" s="12">
        <f>IF(VENTAS[[#This Row],[Nombre del Gestor]]&gt;1,VENTAS[[#This Row],[Total]]*10%,0)</f>
        <v>3</v>
      </c>
      <c r="K2223" s="12">
        <f>IFERROR(VLOOKUP(VENTAS[[#This Row],[Código del producto Vendido]],STOCK[],16,FALSE)*VENTAS[[#This Row],[Cantidad]]+VLOOKUP(VENTAS[[#This Row],[Código del producto Vendido]],STOCK[],19,FALSE)*VENTAS[[#This Row],[Cantidad]],VENTAS[[#This Row],[Total]])</f>
        <v>10.4</v>
      </c>
      <c r="L2223" s="12">
        <f>VENTAS[[#This Row],[Total]]-VENTAS[[#This Row],[Comisión 10%]]-VENTAS[[#This Row],[Costo SIN Comision]]</f>
        <v>16.600000000000001</v>
      </c>
      <c r="M2223" s="49"/>
      <c r="N2223" s="50" t="s">
        <v>5237</v>
      </c>
    </row>
    <row r="2224" spans="1:14" ht="12" hidden="1" customHeight="1">
      <c r="A2224" s="51">
        <v>45634</v>
      </c>
      <c r="B2224" s="49"/>
      <c r="C2224" s="49"/>
      <c r="D2224" s="49" t="s">
        <v>4374</v>
      </c>
      <c r="E2224" s="49" t="s">
        <v>1709</v>
      </c>
      <c r="F2224" s="10" t="str">
        <f>IFERROR(VLOOKUP(VENTAS[[#This Row],[Código del producto Vendido]],STOCK[],5,FALSE),"-")</f>
        <v>Vestido ajustado con abertura de manga larga</v>
      </c>
      <c r="G2224" s="49">
        <v>1</v>
      </c>
      <c r="H2224" s="49">
        <v>20</v>
      </c>
      <c r="I2224" s="12">
        <f>VENTAS[[#This Row],[Cantidad]]*VENTAS[[#This Row],[Precio Venta]]</f>
        <v>20</v>
      </c>
      <c r="J2224" s="12">
        <f>IF(VENTAS[[#This Row],[Nombre del Gestor]]&gt;1,VENTAS[[#This Row],[Total]]*10%,0)</f>
        <v>2</v>
      </c>
      <c r="K2224" s="12">
        <f>IFERROR(VLOOKUP(VENTAS[[#This Row],[Código del producto Vendido]],STOCK[],16,FALSE)*VENTAS[[#This Row],[Cantidad]]+VLOOKUP(VENTAS[[#This Row],[Código del producto Vendido]],STOCK[],19,FALSE)*VENTAS[[#This Row],[Cantidad]],VENTAS[[#This Row],[Total]])</f>
        <v>9.9700000000000006</v>
      </c>
      <c r="L2224" s="12">
        <f>VENTAS[[#This Row],[Total]]-VENTAS[[#This Row],[Comisión 10%]]-VENTAS[[#This Row],[Costo SIN Comision]]</f>
        <v>8.0299999999999994</v>
      </c>
      <c r="M2224" s="49"/>
      <c r="N2224" s="50" t="s">
        <v>5238</v>
      </c>
    </row>
    <row r="2225" spans="1:14" ht="12" hidden="1" customHeight="1">
      <c r="A2225" s="51">
        <v>45634</v>
      </c>
      <c r="B2225" s="49"/>
      <c r="C2225" s="49"/>
      <c r="D2225" s="49" t="s">
        <v>5239</v>
      </c>
      <c r="E2225" s="49" t="s">
        <v>3524</v>
      </c>
      <c r="F2225" s="10" t="str">
        <f>IFERROR(VLOOKUP(VENTAS[[#This Row],[Código del producto Vendido]],STOCK[],5,FALSE),"-")</f>
        <v>Jeans holgados gris oscuro de hombre H&amp;M</v>
      </c>
      <c r="G2225" s="49">
        <v>1</v>
      </c>
      <c r="H2225" s="49">
        <v>38</v>
      </c>
      <c r="I2225" s="12">
        <f>VENTAS[[#This Row],[Cantidad]]*VENTAS[[#This Row],[Precio Venta]]</f>
        <v>38</v>
      </c>
      <c r="J2225" s="12">
        <f>IF(VENTAS[[#This Row],[Nombre del Gestor]]&gt;1,VENTAS[[#This Row],[Total]]*10%,0)</f>
        <v>3.8000000000000003</v>
      </c>
      <c r="K2225" s="12">
        <f>IFERROR(VLOOKUP(VENTAS[[#This Row],[Código del producto Vendido]],STOCK[],16,FALSE)*VENTAS[[#This Row],[Cantidad]]+VLOOKUP(VENTAS[[#This Row],[Código del producto Vendido]],STOCK[],19,FALSE)*VENTAS[[#This Row],[Cantidad]],VENTAS[[#This Row],[Total]])</f>
        <v>9</v>
      </c>
      <c r="L2225" s="12">
        <f>VENTAS[[#This Row],[Total]]-VENTAS[[#This Row],[Comisión 10%]]-VENTAS[[#This Row],[Costo SIN Comision]]</f>
        <v>25.200000000000003</v>
      </c>
      <c r="M2225" s="49"/>
      <c r="N2225" s="50" t="s">
        <v>5240</v>
      </c>
    </row>
    <row r="2226" spans="1:14" ht="12" hidden="1" customHeight="1">
      <c r="A2226" s="51">
        <v>45634</v>
      </c>
      <c r="B2226" s="49"/>
      <c r="C2226" s="49"/>
      <c r="D2226" s="49" t="s">
        <v>5239</v>
      </c>
      <c r="E2226" s="49" t="s">
        <v>3468</v>
      </c>
      <c r="F2226" s="10" t="str">
        <f>IFERROR(VLOOKUP(VENTAS[[#This Row],[Código del producto Vendido]],STOCK[],5,FALSE),"-")</f>
        <v>Botas punta cuadrada</v>
      </c>
      <c r="G2226" s="49">
        <v>1</v>
      </c>
      <c r="H2226" s="49">
        <v>70</v>
      </c>
      <c r="I2226" s="12">
        <f>VENTAS[[#This Row],[Cantidad]]*VENTAS[[#This Row],[Precio Venta]]</f>
        <v>70</v>
      </c>
      <c r="J2226" s="12">
        <f>IF(VENTAS[[#This Row],[Nombre del Gestor]]&gt;1,VENTAS[[#This Row],[Total]]*10%,0)</f>
        <v>7</v>
      </c>
      <c r="K2226" s="12">
        <f>IFERROR(VLOOKUP(VENTAS[[#This Row],[Código del producto Vendido]],STOCK[],16,FALSE)*VENTAS[[#This Row],[Cantidad]]+VLOOKUP(VENTAS[[#This Row],[Código del producto Vendido]],STOCK[],19,FALSE)*VENTAS[[#This Row],[Cantidad]],VENTAS[[#This Row],[Total]])</f>
        <v>0</v>
      </c>
      <c r="L2226" s="12">
        <f>VENTAS[[#This Row],[Total]]-VENTAS[[#This Row],[Comisión 10%]]-VENTAS[[#This Row],[Costo SIN Comision]]</f>
        <v>63</v>
      </c>
      <c r="M2226" s="49"/>
      <c r="N2226" s="50" t="s">
        <v>5241</v>
      </c>
    </row>
    <row r="2227" spans="1:14" ht="12" hidden="1" customHeight="1">
      <c r="A2227" s="51">
        <v>45634</v>
      </c>
      <c r="B2227" s="49"/>
      <c r="C2227" s="49"/>
      <c r="D2227" s="49" t="s">
        <v>5242</v>
      </c>
      <c r="E2227" s="49" t="s">
        <v>3229</v>
      </c>
      <c r="F2227" s="10" t="str">
        <f>IFERROR(VLOOKUP(VENTAS[[#This Row],[Código del producto Vendido]],STOCK[],5,FALSE),"-")</f>
        <v>Enguatada jersey negra de cuello tortuga Marca H&amp;M</v>
      </c>
      <c r="G2227" s="49">
        <v>1</v>
      </c>
      <c r="H2227" s="49">
        <v>30</v>
      </c>
      <c r="I2227" s="12">
        <f>VENTAS[[#This Row],[Cantidad]]*VENTAS[[#This Row],[Precio Venta]]</f>
        <v>30</v>
      </c>
      <c r="J2227" s="12">
        <f>IF(VENTAS[[#This Row],[Nombre del Gestor]]&gt;1,VENTAS[[#This Row],[Total]]*10%,0)</f>
        <v>3</v>
      </c>
      <c r="K2227" s="12">
        <f>IFERROR(VLOOKUP(VENTAS[[#This Row],[Código del producto Vendido]],STOCK[],16,FALSE)*VENTAS[[#This Row],[Cantidad]]+VLOOKUP(VENTAS[[#This Row],[Código del producto Vendido]],STOCK[],19,FALSE)*VENTAS[[#This Row],[Cantidad]],VENTAS[[#This Row],[Total]])</f>
        <v>12</v>
      </c>
      <c r="L2227" s="12">
        <f>VENTAS[[#This Row],[Total]]-VENTAS[[#This Row],[Comisión 10%]]-VENTAS[[#This Row],[Costo SIN Comision]]</f>
        <v>15</v>
      </c>
      <c r="M2227" s="49"/>
      <c r="N2227" s="50" t="s">
        <v>5243</v>
      </c>
    </row>
    <row r="2228" spans="1:14" ht="12" hidden="1" customHeight="1">
      <c r="A2228" s="51">
        <v>45634</v>
      </c>
      <c r="B2228" s="49"/>
      <c r="C2228" s="49"/>
      <c r="D2228" s="49" t="s">
        <v>5242</v>
      </c>
      <c r="E2228" s="49" t="s">
        <v>1361</v>
      </c>
      <c r="F2228" s="10" t="str">
        <f>IFERROR(VLOOKUP(VENTAS[[#This Row],[Código del producto Vendido]],STOCK[],5,FALSE),"-")</f>
        <v>Sweater de lana H&amp;M</v>
      </c>
      <c r="G2228" s="49">
        <v>1</v>
      </c>
      <c r="H2228" s="49">
        <v>25</v>
      </c>
      <c r="I2228" s="12">
        <f>VENTAS[[#This Row],[Cantidad]]*VENTAS[[#This Row],[Precio Venta]]</f>
        <v>25</v>
      </c>
      <c r="J2228" s="12">
        <f>IF(VENTAS[[#This Row],[Nombre del Gestor]]&gt;1,VENTAS[[#This Row],[Total]]*10%,0)</f>
        <v>2.5</v>
      </c>
      <c r="K2228" s="12">
        <f>IFERROR(VLOOKUP(VENTAS[[#This Row],[Código del producto Vendido]],STOCK[],16,FALSE)*VENTAS[[#This Row],[Cantidad]]+VLOOKUP(VENTAS[[#This Row],[Código del producto Vendido]],STOCK[],19,FALSE)*VENTAS[[#This Row],[Cantidad]],VENTAS[[#This Row],[Total]])</f>
        <v>15.45</v>
      </c>
      <c r="L2228" s="12">
        <f>VENTAS[[#This Row],[Total]]-VENTAS[[#This Row],[Comisión 10%]]-VENTAS[[#This Row],[Costo SIN Comision]]</f>
        <v>7.0500000000000007</v>
      </c>
      <c r="M2228" s="49"/>
      <c r="N2228" s="50" t="s">
        <v>5244</v>
      </c>
    </row>
    <row r="2229" spans="1:14" ht="12" hidden="1" customHeight="1">
      <c r="A2229" s="51">
        <v>45634</v>
      </c>
      <c r="B2229" s="49"/>
      <c r="C2229" s="49"/>
      <c r="D2229" s="49" t="s">
        <v>5242</v>
      </c>
      <c r="E2229" s="49" t="s">
        <v>2449</v>
      </c>
      <c r="F2229" s="10" t="str">
        <f>IFERROR(VLOOKUP(VENTAS[[#This Row],[Código del producto Vendido]],STOCK[],5,FALSE),"-")</f>
        <v>Sandalias carmelitas de moda con correa de velcro</v>
      </c>
      <c r="G2229" s="49">
        <v>1</v>
      </c>
      <c r="H2229" s="49">
        <v>35</v>
      </c>
      <c r="I2229" s="12">
        <f>VENTAS[[#This Row],[Cantidad]]*VENTAS[[#This Row],[Precio Venta]]</f>
        <v>35</v>
      </c>
      <c r="J2229" s="12">
        <f>IF(VENTAS[[#This Row],[Nombre del Gestor]]&gt;1,VENTAS[[#This Row],[Total]]*10%,0)</f>
        <v>3.5</v>
      </c>
      <c r="K2229" s="12">
        <f>IFERROR(VLOOKUP(VENTAS[[#This Row],[Código del producto Vendido]],STOCK[],16,FALSE)*VENTAS[[#This Row],[Cantidad]]+VLOOKUP(VENTAS[[#This Row],[Código del producto Vendido]],STOCK[],19,FALSE)*VENTAS[[#This Row],[Cantidad]],VENTAS[[#This Row],[Total]])</f>
        <v>19.47</v>
      </c>
      <c r="L2229" s="12">
        <f>VENTAS[[#This Row],[Total]]-VENTAS[[#This Row],[Comisión 10%]]-VENTAS[[#This Row],[Costo SIN Comision]]</f>
        <v>12.030000000000001</v>
      </c>
      <c r="M2229" s="49"/>
      <c r="N2229" s="50" t="s">
        <v>5245</v>
      </c>
    </row>
    <row r="2230" spans="1:14" ht="12" hidden="1" customHeight="1">
      <c r="A2230" s="51">
        <v>45634</v>
      </c>
      <c r="B2230" s="49"/>
      <c r="C2230" s="49"/>
      <c r="D2230" s="49" t="s">
        <v>4237</v>
      </c>
      <c r="E2230" s="49" t="s">
        <v>2888</v>
      </c>
      <c r="F2230" s="10" t="str">
        <f>IFERROR(VLOOKUP(VENTAS[[#This Row],[Código del producto Vendido]],STOCK[],5,FALSE),"-")</f>
        <v>Vestido floral bohemio de línea A de un hombro</v>
      </c>
      <c r="G2230" s="49">
        <v>1</v>
      </c>
      <c r="H2230" s="49">
        <v>35</v>
      </c>
      <c r="I2230" s="12">
        <f>VENTAS[[#This Row],[Cantidad]]*VENTAS[[#This Row],[Precio Venta]]</f>
        <v>35</v>
      </c>
      <c r="J2230" s="12">
        <f>IF(VENTAS[[#This Row],[Nombre del Gestor]]&gt;1,VENTAS[[#This Row],[Total]]*10%,0)</f>
        <v>3.5</v>
      </c>
      <c r="K2230" s="12">
        <f>IFERROR(VLOOKUP(VENTAS[[#This Row],[Código del producto Vendido]],STOCK[],16,FALSE)*VENTAS[[#This Row],[Cantidad]]+VLOOKUP(VENTAS[[#This Row],[Código del producto Vendido]],STOCK[],19,FALSE)*VENTAS[[#This Row],[Cantidad]],VENTAS[[#This Row],[Total]])</f>
        <v>13.63</v>
      </c>
      <c r="L2230" s="12">
        <f>VENTAS[[#This Row],[Total]]-VENTAS[[#This Row],[Comisión 10%]]-VENTAS[[#This Row],[Costo SIN Comision]]</f>
        <v>17.869999999999997</v>
      </c>
      <c r="M2230" s="49"/>
      <c r="N2230" s="50" t="s">
        <v>5246</v>
      </c>
    </row>
    <row r="2231" spans="1:14" ht="12" customHeight="1">
      <c r="A2231" s="51">
        <v>45634</v>
      </c>
      <c r="B2231" s="49"/>
      <c r="C2231" s="49"/>
      <c r="D2231" s="49" t="s">
        <v>5247</v>
      </c>
      <c r="E2231" s="49" t="s">
        <v>2953</v>
      </c>
      <c r="F2231" s="10" t="str">
        <f>IFERROR(VLOOKUP(VENTAS[[#This Row],[Código del producto Vendido]],STOCK[],5,FALSE),"-")</f>
        <v>Pantalón elegante de pierna ancha color crema</v>
      </c>
      <c r="G2231" s="49">
        <v>1</v>
      </c>
      <c r="H2231" s="49">
        <v>30</v>
      </c>
      <c r="I2231" s="12">
        <f>VENTAS[[#This Row],[Cantidad]]*VENTAS[[#This Row],[Precio Venta]]</f>
        <v>30</v>
      </c>
      <c r="J2231" s="12">
        <f>IF(VENTAS[[#This Row],[Nombre del Gestor]]&gt;1,VENTAS[[#This Row],[Total]]*10%,0)</f>
        <v>3</v>
      </c>
      <c r="K2231" s="12">
        <f>IFERROR(VLOOKUP(VENTAS[[#This Row],[Código del producto Vendido]],STOCK[],16,FALSE)*VENTAS[[#This Row],[Cantidad]]+VLOOKUP(VENTAS[[#This Row],[Código del producto Vendido]],STOCK[],19,FALSE)*VENTAS[[#This Row],[Cantidad]],VENTAS[[#This Row],[Total]])</f>
        <v>8.6</v>
      </c>
      <c r="L2231" s="12">
        <f>VENTAS[[#This Row],[Total]]-VENTAS[[#This Row],[Comisión 10%]]-VENTAS[[#This Row],[Costo SIN Comision]]</f>
        <v>18.399999999999999</v>
      </c>
      <c r="M2231" s="49"/>
      <c r="N2231" s="50" t="s">
        <v>5248</v>
      </c>
    </row>
    <row r="2232" spans="1:14" ht="12" customHeight="1">
      <c r="A2232" s="51">
        <v>45634</v>
      </c>
      <c r="B2232" s="49"/>
      <c r="C2232" s="49"/>
      <c r="D2232" s="49" t="s">
        <v>5247</v>
      </c>
      <c r="E2232" s="49" t="s">
        <v>3158</v>
      </c>
      <c r="F2232" s="10" t="str">
        <f>IFERROR(VLOOKUP(VENTAS[[#This Row],[Código del producto Vendido]],STOCK[],5,FALSE),"-")</f>
        <v>Top de micro fibra de manga larga Marca H&amp;M</v>
      </c>
      <c r="G2232" s="49">
        <v>1</v>
      </c>
      <c r="H2232" s="49">
        <v>20</v>
      </c>
      <c r="I2232" s="12">
        <f>VENTAS[[#This Row],[Cantidad]]*VENTAS[[#This Row],[Precio Venta]]</f>
        <v>20</v>
      </c>
      <c r="J2232" s="12">
        <f>IF(VENTAS[[#This Row],[Nombre del Gestor]]&gt;1,VENTAS[[#This Row],[Total]]*10%,0)</f>
        <v>2</v>
      </c>
      <c r="K2232" s="12">
        <f>IFERROR(VLOOKUP(VENTAS[[#This Row],[Código del producto Vendido]],STOCK[],16,FALSE)*VENTAS[[#This Row],[Cantidad]]+VLOOKUP(VENTAS[[#This Row],[Código del producto Vendido]],STOCK[],19,FALSE)*VENTAS[[#This Row],[Cantidad]],VENTAS[[#This Row],[Total]])</f>
        <v>8</v>
      </c>
      <c r="L2232" s="12">
        <f>VENTAS[[#This Row],[Total]]-VENTAS[[#This Row],[Comisión 10%]]-VENTAS[[#This Row],[Costo SIN Comision]]</f>
        <v>10</v>
      </c>
      <c r="M2232" s="49"/>
      <c r="N2232" s="50" t="s">
        <v>5249</v>
      </c>
    </row>
    <row r="2233" spans="1:14" ht="12" customHeight="1">
      <c r="A2233" s="51">
        <v>45634</v>
      </c>
      <c r="B2233" s="49"/>
      <c r="C2233" s="49"/>
      <c r="D2233" s="49" t="s">
        <v>5247</v>
      </c>
      <c r="E2233" s="49" t="s">
        <v>3070</v>
      </c>
      <c r="F2233" s="10" t="str">
        <f>IFERROR(VLOOKUP(VENTAS[[#This Row],[Código del producto Vendido]],STOCK[],5,FALSE),"-")</f>
        <v>Jogger de pierna ancha color azul marino Marca H&amp;M</v>
      </c>
      <c r="G2233" s="49">
        <v>1</v>
      </c>
      <c r="H2233" s="49">
        <v>30</v>
      </c>
      <c r="I2233" s="12">
        <f>VENTAS[[#This Row],[Cantidad]]*VENTAS[[#This Row],[Precio Venta]]</f>
        <v>30</v>
      </c>
      <c r="J2233" s="12">
        <f>IF(VENTAS[[#This Row],[Nombre del Gestor]]&gt;1,VENTAS[[#This Row],[Total]]*10%,0)</f>
        <v>3</v>
      </c>
      <c r="K2233" s="12">
        <f>IFERROR(VLOOKUP(VENTAS[[#This Row],[Código del producto Vendido]],STOCK[],16,FALSE)*VENTAS[[#This Row],[Cantidad]]+VLOOKUP(VENTAS[[#This Row],[Código del producto Vendido]],STOCK[],19,FALSE)*VENTAS[[#This Row],[Cantidad]],VENTAS[[#This Row],[Total]])</f>
        <v>12</v>
      </c>
      <c r="L2233" s="12">
        <f>VENTAS[[#This Row],[Total]]-VENTAS[[#This Row],[Comisión 10%]]-VENTAS[[#This Row],[Costo SIN Comision]]</f>
        <v>15</v>
      </c>
      <c r="M2233" s="49"/>
      <c r="N2233" s="50" t="s">
        <v>5250</v>
      </c>
    </row>
    <row r="2234" spans="1:14" ht="12" hidden="1" customHeight="1">
      <c r="A2234" s="51">
        <v>45634</v>
      </c>
      <c r="B2234" s="49"/>
      <c r="C2234" s="49"/>
      <c r="D2234" s="49" t="s">
        <v>4473</v>
      </c>
      <c r="E2234" s="49" t="s">
        <v>3156</v>
      </c>
      <c r="F2234" s="10" t="str">
        <f>IFERROR(VLOOKUP(VENTAS[[#This Row],[Código del producto Vendido]],STOCK[],5,FALSE),"-")</f>
        <v>Top de micro fibra de manga larga Marca H&amp;M</v>
      </c>
      <c r="G2234" s="49">
        <v>1</v>
      </c>
      <c r="H2234" s="49">
        <v>20</v>
      </c>
      <c r="I2234" s="12">
        <f>VENTAS[[#This Row],[Cantidad]]*VENTAS[[#This Row],[Precio Venta]]</f>
        <v>20</v>
      </c>
      <c r="J2234" s="12">
        <f>IF(VENTAS[[#This Row],[Nombre del Gestor]]&gt;1,VENTAS[[#This Row],[Total]]*10%,0)</f>
        <v>2</v>
      </c>
      <c r="K2234" s="12">
        <f>IFERROR(VLOOKUP(VENTAS[[#This Row],[Código del producto Vendido]],STOCK[],16,FALSE)*VENTAS[[#This Row],[Cantidad]]+VLOOKUP(VENTAS[[#This Row],[Código del producto Vendido]],STOCK[],19,FALSE)*VENTAS[[#This Row],[Cantidad]],VENTAS[[#This Row],[Total]])</f>
        <v>8</v>
      </c>
      <c r="L2234" s="12">
        <f>VENTAS[[#This Row],[Total]]-VENTAS[[#This Row],[Comisión 10%]]-VENTAS[[#This Row],[Costo SIN Comision]]</f>
        <v>10</v>
      </c>
      <c r="M2234" s="49"/>
      <c r="N2234" s="50" t="s">
        <v>5251</v>
      </c>
    </row>
    <row r="2235" spans="1:14" ht="12" hidden="1" customHeight="1">
      <c r="A2235" s="51">
        <v>45634</v>
      </c>
      <c r="B2235" s="49"/>
      <c r="C2235" s="49"/>
      <c r="D2235" s="49" t="s">
        <v>4473</v>
      </c>
      <c r="E2235" s="49" t="s">
        <v>3237</v>
      </c>
      <c r="F2235" s="10" t="str">
        <f>IFERROR(VLOOKUP(VENTAS[[#This Row],[Código del producto Vendido]],STOCK[],5,FALSE),"-")</f>
        <v>Jogger regular fit gris medio Marca H&amp;M</v>
      </c>
      <c r="G2235" s="49">
        <v>1</v>
      </c>
      <c r="H2235" s="49">
        <v>30</v>
      </c>
      <c r="I2235" s="12">
        <f>VENTAS[[#This Row],[Cantidad]]*VENTAS[[#This Row],[Precio Venta]]</f>
        <v>30</v>
      </c>
      <c r="J2235" s="12">
        <f>IF(VENTAS[[#This Row],[Nombre del Gestor]]&gt;1,VENTAS[[#This Row],[Total]]*10%,0)</f>
        <v>3</v>
      </c>
      <c r="K2235" s="12">
        <f>IFERROR(VLOOKUP(VENTAS[[#This Row],[Código del producto Vendido]],STOCK[],16,FALSE)*VENTAS[[#This Row],[Cantidad]]+VLOOKUP(VENTAS[[#This Row],[Código del producto Vendido]],STOCK[],19,FALSE)*VENTAS[[#This Row],[Cantidad]],VENTAS[[#This Row],[Total]])</f>
        <v>12</v>
      </c>
      <c r="L2235" s="12">
        <f>VENTAS[[#This Row],[Total]]-VENTAS[[#This Row],[Comisión 10%]]-VENTAS[[#This Row],[Costo SIN Comision]]</f>
        <v>15</v>
      </c>
      <c r="M2235" s="49"/>
      <c r="N2235" s="50" t="s">
        <v>5252</v>
      </c>
    </row>
    <row r="2236" spans="1:14" ht="12" hidden="1" customHeight="1">
      <c r="A2236" s="51">
        <v>45634</v>
      </c>
      <c r="B2236" s="49"/>
      <c r="C2236" s="49"/>
      <c r="D2236" s="49" t="s">
        <v>4349</v>
      </c>
      <c r="E2236" s="49" t="s">
        <v>2860</v>
      </c>
      <c r="F2236" s="10" t="str">
        <f>IFERROR(VLOOKUP(VENTAS[[#This Row],[Código del producto Vendido]],STOCK[],5,FALSE),"-")</f>
        <v>Vestido elegante de línea larga color negro de hombro atado</v>
      </c>
      <c r="G2236" s="49">
        <v>1</v>
      </c>
      <c r="H2236" s="49">
        <v>30</v>
      </c>
      <c r="I2236" s="12">
        <f>VENTAS[[#This Row],[Cantidad]]*VENTAS[[#This Row],[Precio Venta]]</f>
        <v>30</v>
      </c>
      <c r="J2236" s="12">
        <f>IF(VENTAS[[#This Row],[Nombre del Gestor]]&gt;1,VENTAS[[#This Row],[Total]]*10%,0)</f>
        <v>3</v>
      </c>
      <c r="K2236" s="12">
        <f>IFERROR(VLOOKUP(VENTAS[[#This Row],[Código del producto Vendido]],STOCK[],16,FALSE)*VENTAS[[#This Row],[Cantidad]]+VLOOKUP(VENTAS[[#This Row],[Código del producto Vendido]],STOCK[],19,FALSE)*VENTAS[[#This Row],[Cantidad]],VENTAS[[#This Row],[Total]])</f>
        <v>13.49</v>
      </c>
      <c r="L2236" s="12">
        <f>VENTAS[[#This Row],[Total]]-VENTAS[[#This Row],[Comisión 10%]]-VENTAS[[#This Row],[Costo SIN Comision]]</f>
        <v>13.51</v>
      </c>
      <c r="M2236" s="49"/>
      <c r="N2236" s="50" t="s">
        <v>5253</v>
      </c>
    </row>
    <row r="2237" spans="1:14" ht="12" hidden="1" customHeight="1">
      <c r="A2237" s="51">
        <v>45634</v>
      </c>
      <c r="B2237" s="49"/>
      <c r="C2237" s="49"/>
      <c r="D2237" s="49" t="s">
        <v>4349</v>
      </c>
      <c r="E2237" s="49" t="s">
        <v>2819</v>
      </c>
      <c r="F2237" s="10" t="str">
        <f>IFERROR(VLOOKUP(VENTAS[[#This Row],[Código del producto Vendido]],STOCK[],5,FALSE),"-")</f>
        <v>Bolso minimalista de moda cuadrado con solapa rojo</v>
      </c>
      <c r="G2237" s="49">
        <v>1</v>
      </c>
      <c r="H2237" s="49">
        <v>25</v>
      </c>
      <c r="I2237" s="12">
        <f>VENTAS[[#This Row],[Cantidad]]*VENTAS[[#This Row],[Precio Venta]]</f>
        <v>25</v>
      </c>
      <c r="J2237" s="12">
        <f>IF(VENTAS[[#This Row],[Nombre del Gestor]]&gt;1,VENTAS[[#This Row],[Total]]*10%,0)</f>
        <v>2.5</v>
      </c>
      <c r="K2237" s="12">
        <f>IFERROR(VLOOKUP(VENTAS[[#This Row],[Código del producto Vendido]],STOCK[],16,FALSE)*VENTAS[[#This Row],[Cantidad]]+VLOOKUP(VENTAS[[#This Row],[Código del producto Vendido]],STOCK[],19,FALSE)*VENTAS[[#This Row],[Cantidad]],VENTAS[[#This Row],[Total]])</f>
        <v>11.040000000000001</v>
      </c>
      <c r="L2237" s="12">
        <f>VENTAS[[#This Row],[Total]]-VENTAS[[#This Row],[Comisión 10%]]-VENTAS[[#This Row],[Costo SIN Comision]]</f>
        <v>11.459999999999999</v>
      </c>
      <c r="M2237" s="49"/>
      <c r="N2237" s="50" t="s">
        <v>5254</v>
      </c>
    </row>
    <row r="2238" spans="1:14" ht="12" hidden="1" customHeight="1">
      <c r="A2238" s="51">
        <v>45634</v>
      </c>
      <c r="B2238" s="49"/>
      <c r="C2238" s="49"/>
      <c r="D2238" s="49" t="s">
        <v>4473</v>
      </c>
      <c r="E2238" s="49" t="s">
        <v>3529</v>
      </c>
      <c r="F2238" s="10" t="str">
        <f>IFERROR(VLOOKUP(VENTAS[[#This Row],[Código del producto Vendido]],STOCK[],5,FALSE),"-")</f>
        <v>Jersey corto de punto fino de mujer H&amp;M</v>
      </c>
      <c r="G2238" s="49">
        <v>1</v>
      </c>
      <c r="H2238" s="49">
        <v>20</v>
      </c>
      <c r="I2238" s="12">
        <f>VENTAS[[#This Row],[Cantidad]]*VENTAS[[#This Row],[Precio Venta]]</f>
        <v>20</v>
      </c>
      <c r="J2238" s="12">
        <f>IF(VENTAS[[#This Row],[Nombre del Gestor]]&gt;1,VENTAS[[#This Row],[Total]]*10%,0)</f>
        <v>2</v>
      </c>
      <c r="K2238" s="12">
        <f>IFERROR(VLOOKUP(VENTAS[[#This Row],[Código del producto Vendido]],STOCK[],16,FALSE)*VENTAS[[#This Row],[Cantidad]]+VLOOKUP(VENTAS[[#This Row],[Código del producto Vendido]],STOCK[],19,FALSE)*VENTAS[[#This Row],[Cantidad]],VENTAS[[#This Row],[Total]])</f>
        <v>9</v>
      </c>
      <c r="L2238" s="12">
        <f>VENTAS[[#This Row],[Total]]-VENTAS[[#This Row],[Comisión 10%]]-VENTAS[[#This Row],[Costo SIN Comision]]</f>
        <v>9</v>
      </c>
      <c r="M2238" s="49"/>
      <c r="N2238" s="50" t="s">
        <v>5255</v>
      </c>
    </row>
    <row r="2239" spans="1:14" ht="12" hidden="1" customHeight="1">
      <c r="A2239" s="51">
        <v>45634</v>
      </c>
      <c r="B2239" s="49"/>
      <c r="C2239" s="49"/>
      <c r="D2239" s="49" t="s">
        <v>4473</v>
      </c>
      <c r="E2239" s="49" t="s">
        <v>3614</v>
      </c>
      <c r="F2239" s="10" t="str">
        <f>IFERROR(VLOOKUP(VENTAS[[#This Row],[Código del producto Vendido]],STOCK[],5,FALSE),"-")</f>
        <v>Camiseta de jersey escote cuadrado de manga larga marrón H&amp;M</v>
      </c>
      <c r="G2239" s="49">
        <v>1</v>
      </c>
      <c r="H2239" s="49">
        <v>15</v>
      </c>
      <c r="I2239" s="12">
        <f>VENTAS[[#This Row],[Cantidad]]*VENTAS[[#This Row],[Precio Venta]]</f>
        <v>15</v>
      </c>
      <c r="J2239" s="12">
        <f>IF(VENTAS[[#This Row],[Nombre del Gestor]]&gt;1,VENTAS[[#This Row],[Total]]*10%,0)</f>
        <v>1.5</v>
      </c>
      <c r="K2239" s="12">
        <f>IFERROR(VLOOKUP(VENTAS[[#This Row],[Código del producto Vendido]],STOCK[],16,FALSE)*VENTAS[[#This Row],[Cantidad]]+VLOOKUP(VENTAS[[#This Row],[Código del producto Vendido]],STOCK[],19,FALSE)*VENTAS[[#This Row],[Cantidad]],VENTAS[[#This Row],[Total]])</f>
        <v>9</v>
      </c>
      <c r="L2239" s="12">
        <f>VENTAS[[#This Row],[Total]]-VENTAS[[#This Row],[Comisión 10%]]-VENTAS[[#This Row],[Costo SIN Comision]]</f>
        <v>4.5</v>
      </c>
      <c r="M2239" s="49"/>
      <c r="N2239" s="50" t="s">
        <v>5256</v>
      </c>
    </row>
    <row r="2240" spans="1:14" ht="12" hidden="1" customHeight="1">
      <c r="A2240" s="51">
        <v>45634</v>
      </c>
      <c r="B2240" s="49"/>
      <c r="C2240" s="49"/>
      <c r="D2240" s="49" t="s">
        <v>4349</v>
      </c>
      <c r="E2240" s="49" t="s">
        <v>2781</v>
      </c>
      <c r="F2240" s="10" t="str">
        <f>IFERROR(VLOOKUP(VENTAS[[#This Row],[Código del producto Vendido]],STOCK[],5,FALSE),"-")</f>
        <v>Sandalias naranjas espadriles de saco atadas con hebilla al tobillo</v>
      </c>
      <c r="G2240" s="49">
        <v>1</v>
      </c>
      <c r="H2240" s="49">
        <v>35</v>
      </c>
      <c r="I2240" s="12">
        <f>VENTAS[[#This Row],[Cantidad]]*VENTAS[[#This Row],[Precio Venta]]</f>
        <v>35</v>
      </c>
      <c r="J2240" s="12">
        <f>IF(VENTAS[[#This Row],[Nombre del Gestor]]&gt;1,VENTAS[[#This Row],[Total]]*10%,0)</f>
        <v>3.5</v>
      </c>
      <c r="K2240" s="12">
        <f>IFERROR(VLOOKUP(VENTAS[[#This Row],[Código del producto Vendido]],STOCK[],16,FALSE)*VENTAS[[#This Row],[Cantidad]]+VLOOKUP(VENTAS[[#This Row],[Código del producto Vendido]],STOCK[],19,FALSE)*VENTAS[[#This Row],[Cantidad]],VENTAS[[#This Row],[Total]])</f>
        <v>10.4</v>
      </c>
      <c r="L2240" s="12">
        <f>VENTAS[[#This Row],[Total]]-VENTAS[[#This Row],[Comisión 10%]]-VENTAS[[#This Row],[Costo SIN Comision]]</f>
        <v>21.1</v>
      </c>
      <c r="M2240" s="49"/>
      <c r="N2240" s="50" t="s">
        <v>5257</v>
      </c>
    </row>
    <row r="2241" spans="1:14" ht="12" customHeight="1">
      <c r="A2241" s="51">
        <v>45634</v>
      </c>
      <c r="B2241" s="49"/>
      <c r="C2241" s="49"/>
      <c r="D2241" s="49" t="s">
        <v>4330</v>
      </c>
      <c r="E2241" s="49" t="s">
        <v>3631</v>
      </c>
      <c r="F2241" s="10" t="str">
        <f>IFERROR(VLOOKUP(VENTAS[[#This Row],[Código del producto Vendido]],STOCK[],5,FALSE),"-")</f>
        <v>Top de punto fino negro H&amp;M</v>
      </c>
      <c r="G2241" s="49">
        <v>1</v>
      </c>
      <c r="H2241" s="49">
        <v>15</v>
      </c>
      <c r="I2241" s="12">
        <f>VENTAS[[#This Row],[Cantidad]]*VENTAS[[#This Row],[Precio Venta]]</f>
        <v>15</v>
      </c>
      <c r="J2241" s="12">
        <f>IF(VENTAS[[#This Row],[Nombre del Gestor]]&gt;1,VENTAS[[#This Row],[Total]]*10%,0)</f>
        <v>1.5</v>
      </c>
      <c r="K2241" s="12">
        <f>IFERROR(VLOOKUP(VENTAS[[#This Row],[Código del producto Vendido]],STOCK[],16,FALSE)*VENTAS[[#This Row],[Cantidad]]+VLOOKUP(VENTAS[[#This Row],[Código del producto Vendido]],STOCK[],19,FALSE)*VENTAS[[#This Row],[Cantidad]],VENTAS[[#This Row],[Total]])</f>
        <v>9</v>
      </c>
      <c r="L2241" s="12">
        <f>VENTAS[[#This Row],[Total]]-VENTAS[[#This Row],[Comisión 10%]]-VENTAS[[#This Row],[Costo SIN Comision]]</f>
        <v>4.5</v>
      </c>
      <c r="M2241" s="49"/>
      <c r="N2241" s="50" t="s">
        <v>5258</v>
      </c>
    </row>
    <row r="2242" spans="1:14" ht="12" customHeight="1">
      <c r="A2242" s="51">
        <v>45634</v>
      </c>
      <c r="B2242" s="49"/>
      <c r="C2242" s="49"/>
      <c r="D2242" s="49" t="s">
        <v>4330</v>
      </c>
      <c r="E2242" s="49" t="s">
        <v>1364</v>
      </c>
      <c r="F2242" s="10" t="str">
        <f>IFERROR(VLOOKUP(VENTAS[[#This Row],[Código del producto Vendido]],STOCK[],5,FALSE),"-")</f>
        <v>Sweater de lana H&amp;M</v>
      </c>
      <c r="G2242" s="49">
        <v>1</v>
      </c>
      <c r="H2242" s="49">
        <v>25</v>
      </c>
      <c r="I2242" s="12">
        <f>VENTAS[[#This Row],[Cantidad]]*VENTAS[[#This Row],[Precio Venta]]</f>
        <v>25</v>
      </c>
      <c r="J2242" s="12">
        <f>IF(VENTAS[[#This Row],[Nombre del Gestor]]&gt;1,VENTAS[[#This Row],[Total]]*10%,0)</f>
        <v>2.5</v>
      </c>
      <c r="K2242" s="12">
        <f>IFERROR(VLOOKUP(VENTAS[[#This Row],[Código del producto Vendido]],STOCK[],16,FALSE)*VENTAS[[#This Row],[Cantidad]]+VLOOKUP(VENTAS[[#This Row],[Código del producto Vendido]],STOCK[],19,FALSE)*VENTAS[[#This Row],[Cantidad]],VENTAS[[#This Row],[Total]])</f>
        <v>15.45</v>
      </c>
      <c r="L2242" s="12">
        <f>VENTAS[[#This Row],[Total]]-VENTAS[[#This Row],[Comisión 10%]]-VENTAS[[#This Row],[Costo SIN Comision]]</f>
        <v>7.0500000000000007</v>
      </c>
      <c r="M2242" s="49"/>
      <c r="N2242" s="50" t="s">
        <v>5259</v>
      </c>
    </row>
    <row r="2243" spans="1:14" ht="12" hidden="1" customHeight="1">
      <c r="A2243" s="51">
        <v>45634</v>
      </c>
      <c r="B2243" s="49"/>
      <c r="C2243" s="49"/>
      <c r="D2243" s="49" t="s">
        <v>4380</v>
      </c>
      <c r="E2243" s="49" t="s">
        <v>3159</v>
      </c>
      <c r="F2243" s="10" t="str">
        <f>IFERROR(VLOOKUP(VENTAS[[#This Row],[Código del producto Vendido]],STOCK[],5,FALSE),"-")</f>
        <v>Top de manga larga de escote cuadrado Marca H&amp;M</v>
      </c>
      <c r="G2243" s="49">
        <v>1</v>
      </c>
      <c r="H2243" s="49">
        <v>20</v>
      </c>
      <c r="I2243" s="12">
        <f>VENTAS[[#This Row],[Cantidad]]*VENTAS[[#This Row],[Precio Venta]]</f>
        <v>20</v>
      </c>
      <c r="J2243" s="12">
        <f>IF(VENTAS[[#This Row],[Nombre del Gestor]]&gt;1,VENTAS[[#This Row],[Total]]*10%,0)</f>
        <v>2</v>
      </c>
      <c r="K2243" s="12">
        <f>IFERROR(VLOOKUP(VENTAS[[#This Row],[Código del producto Vendido]],STOCK[],16,FALSE)*VENTAS[[#This Row],[Cantidad]]+VLOOKUP(VENTAS[[#This Row],[Código del producto Vendido]],STOCK[],19,FALSE)*VENTAS[[#This Row],[Cantidad]],VENTAS[[#This Row],[Total]])</f>
        <v>8</v>
      </c>
      <c r="L2243" s="12">
        <f>VENTAS[[#This Row],[Total]]-VENTAS[[#This Row],[Comisión 10%]]-VENTAS[[#This Row],[Costo SIN Comision]]</f>
        <v>10</v>
      </c>
      <c r="M2243" s="49"/>
      <c r="N2243" s="50" t="s">
        <v>5260</v>
      </c>
    </row>
    <row r="2244" spans="1:14" ht="12" hidden="1" customHeight="1">
      <c r="A2244" s="51">
        <v>45634</v>
      </c>
      <c r="B2244" s="49"/>
      <c r="C2244" s="49"/>
      <c r="D2244" s="49" t="s">
        <v>4380</v>
      </c>
      <c r="E2244" s="49" t="s">
        <v>3136</v>
      </c>
      <c r="F2244" s="10" t="str">
        <f>IFERROR(VLOOKUP(VENTAS[[#This Row],[Código del producto Vendido]],STOCK[],5,FALSE),"-")</f>
        <v>Top de mangas traslúcido de cuello redondo Marca H&amp;M</v>
      </c>
      <c r="G2244" s="49">
        <v>1</v>
      </c>
      <c r="H2244" s="49">
        <v>15</v>
      </c>
      <c r="I2244" s="12">
        <f>VENTAS[[#This Row],[Cantidad]]*VENTAS[[#This Row],[Precio Venta]]</f>
        <v>15</v>
      </c>
      <c r="J2244" s="12">
        <f>IF(VENTAS[[#This Row],[Nombre del Gestor]]&gt;1,VENTAS[[#This Row],[Total]]*10%,0)</f>
        <v>1.5</v>
      </c>
      <c r="K2244" s="12">
        <f>IFERROR(VLOOKUP(VENTAS[[#This Row],[Código del producto Vendido]],STOCK[],16,FALSE)*VENTAS[[#This Row],[Cantidad]]+VLOOKUP(VENTAS[[#This Row],[Código del producto Vendido]],STOCK[],19,FALSE)*VENTAS[[#This Row],[Cantidad]],VENTAS[[#This Row],[Total]])</f>
        <v>8</v>
      </c>
      <c r="L2244" s="12">
        <f>VENTAS[[#This Row],[Total]]-VENTAS[[#This Row],[Comisión 10%]]-VENTAS[[#This Row],[Costo SIN Comision]]</f>
        <v>5.5</v>
      </c>
      <c r="M2244" s="49"/>
      <c r="N2244" s="50" t="s">
        <v>5261</v>
      </c>
    </row>
    <row r="2245" spans="1:14" ht="12" hidden="1" customHeight="1">
      <c r="A2245" s="51">
        <v>45634</v>
      </c>
      <c r="B2245" s="49"/>
      <c r="C2245" s="49"/>
      <c r="D2245" s="49" t="s">
        <v>4380</v>
      </c>
      <c r="E2245" s="49" t="s">
        <v>3614</v>
      </c>
      <c r="F2245" s="10" t="str">
        <f>IFERROR(VLOOKUP(VENTAS[[#This Row],[Código del producto Vendido]],STOCK[],5,FALSE),"-")</f>
        <v>Camiseta de jersey escote cuadrado de manga larga marrón H&amp;M</v>
      </c>
      <c r="G2245" s="49">
        <v>1</v>
      </c>
      <c r="H2245" s="49">
        <v>15</v>
      </c>
      <c r="I2245" s="12">
        <f>VENTAS[[#This Row],[Cantidad]]*VENTAS[[#This Row],[Precio Venta]]</f>
        <v>15</v>
      </c>
      <c r="J2245" s="12">
        <f>IF(VENTAS[[#This Row],[Nombre del Gestor]]&gt;1,VENTAS[[#This Row],[Total]]*10%,0)</f>
        <v>1.5</v>
      </c>
      <c r="K2245" s="12">
        <f>IFERROR(VLOOKUP(VENTAS[[#This Row],[Código del producto Vendido]],STOCK[],16,FALSE)*VENTAS[[#This Row],[Cantidad]]+VLOOKUP(VENTAS[[#This Row],[Código del producto Vendido]],STOCK[],19,FALSE)*VENTAS[[#This Row],[Cantidad]],VENTAS[[#This Row],[Total]])</f>
        <v>9</v>
      </c>
      <c r="L2245" s="12">
        <f>VENTAS[[#This Row],[Total]]-VENTAS[[#This Row],[Comisión 10%]]-VENTAS[[#This Row],[Costo SIN Comision]]</f>
        <v>4.5</v>
      </c>
      <c r="M2245" s="49"/>
      <c r="N2245" s="50" t="s">
        <v>5262</v>
      </c>
    </row>
    <row r="2246" spans="1:14" ht="12" hidden="1" customHeight="1">
      <c r="A2246" s="51">
        <v>45635</v>
      </c>
      <c r="B2246" s="49"/>
      <c r="C2246" s="49"/>
      <c r="D2246" s="49" t="s">
        <v>4374</v>
      </c>
      <c r="E2246" s="49" t="s">
        <v>2949</v>
      </c>
      <c r="F2246" s="10" t="str">
        <f>IFERROR(VLOOKUP(VENTAS[[#This Row],[Código del producto Vendido]],STOCK[],5,FALSE),"-")</f>
        <v>Pantalón elegante de pierna ancha color crema</v>
      </c>
      <c r="G2246" s="49">
        <v>1</v>
      </c>
      <c r="H2246" s="49">
        <v>30</v>
      </c>
      <c r="I2246" s="12">
        <f>VENTAS[[#This Row],[Cantidad]]*VENTAS[[#This Row],[Precio Venta]]</f>
        <v>30</v>
      </c>
      <c r="J2246" s="12">
        <f>IF(VENTAS[[#This Row],[Nombre del Gestor]]&gt;1,VENTAS[[#This Row],[Total]]*10%,0)</f>
        <v>3</v>
      </c>
      <c r="K2246" s="12">
        <f>IFERROR(VLOOKUP(VENTAS[[#This Row],[Código del producto Vendido]],STOCK[],16,FALSE)*VENTAS[[#This Row],[Cantidad]]+VLOOKUP(VENTAS[[#This Row],[Código del producto Vendido]],STOCK[],19,FALSE)*VENTAS[[#This Row],[Cantidad]],VENTAS[[#This Row],[Total]])</f>
        <v>8.6</v>
      </c>
      <c r="L2246" s="12">
        <f>VENTAS[[#This Row],[Total]]-VENTAS[[#This Row],[Comisión 10%]]-VENTAS[[#This Row],[Costo SIN Comision]]</f>
        <v>18.399999999999999</v>
      </c>
      <c r="M2246" s="49"/>
      <c r="N2246" s="50" t="s">
        <v>5263</v>
      </c>
    </row>
    <row r="2247" spans="1:14" ht="12" hidden="1" customHeight="1">
      <c r="A2247" s="51">
        <v>45635</v>
      </c>
      <c r="B2247" s="49"/>
      <c r="C2247" s="49"/>
      <c r="D2247" s="49" t="s">
        <v>4374</v>
      </c>
      <c r="E2247" s="49" t="s">
        <v>2749</v>
      </c>
      <c r="F2247" s="10" t="str">
        <f>IFERROR(VLOOKUP(VENTAS[[#This Row],[Código del producto Vendido]],STOCK[],5,FALSE),"-")</f>
        <v>Yoga Sexy Set Deportivo con abertura trasera color Albaricoque</v>
      </c>
      <c r="G2247" s="49">
        <v>1</v>
      </c>
      <c r="H2247" s="49">
        <v>35</v>
      </c>
      <c r="I2247" s="12">
        <f>VENTAS[[#This Row],[Cantidad]]*VENTAS[[#This Row],[Precio Venta]]</f>
        <v>35</v>
      </c>
      <c r="J2247" s="12">
        <f>IF(VENTAS[[#This Row],[Nombre del Gestor]]&gt;1,VENTAS[[#This Row],[Total]]*10%,0)</f>
        <v>3.5</v>
      </c>
      <c r="K2247" s="12">
        <f>IFERROR(VLOOKUP(VENTAS[[#This Row],[Código del producto Vendido]],STOCK[],16,FALSE)*VENTAS[[#This Row],[Cantidad]]+VLOOKUP(VENTAS[[#This Row],[Código del producto Vendido]],STOCK[],19,FALSE)*VENTAS[[#This Row],[Cantidad]],VENTAS[[#This Row],[Total]])</f>
        <v>14.52</v>
      </c>
      <c r="L2247" s="12">
        <f>VENTAS[[#This Row],[Total]]-VENTAS[[#This Row],[Comisión 10%]]-VENTAS[[#This Row],[Costo SIN Comision]]</f>
        <v>16.98</v>
      </c>
      <c r="M2247" s="49"/>
      <c r="N2247" s="50" t="s">
        <v>5264</v>
      </c>
    </row>
    <row r="2248" spans="1:14" ht="12" hidden="1" customHeight="1">
      <c r="A2248" s="51">
        <v>45635</v>
      </c>
      <c r="B2248" s="49"/>
      <c r="C2248" s="49"/>
      <c r="D2248" s="49" t="s">
        <v>4374</v>
      </c>
      <c r="E2248" s="49" t="s">
        <v>2848</v>
      </c>
      <c r="F2248" s="10" t="str">
        <f>IFERROR(VLOOKUP(VENTAS[[#This Row],[Código del producto Vendido]],STOCK[],5,FALSE),"-")</f>
        <v>Pantalones largros rayados de moda de gran comodidad</v>
      </c>
      <c r="G2248" s="49">
        <v>1</v>
      </c>
      <c r="H2248" s="49">
        <v>22</v>
      </c>
      <c r="I2248" s="12">
        <f>VENTAS[[#This Row],[Cantidad]]*VENTAS[[#This Row],[Precio Venta]]</f>
        <v>22</v>
      </c>
      <c r="J2248" s="12">
        <f>IF(VENTAS[[#This Row],[Nombre del Gestor]]&gt;1,VENTAS[[#This Row],[Total]]*10%,0)</f>
        <v>2.2000000000000002</v>
      </c>
      <c r="K2248" s="12">
        <f>IFERROR(VLOOKUP(VENTAS[[#This Row],[Código del producto Vendido]],STOCK[],16,FALSE)*VENTAS[[#This Row],[Cantidad]]+VLOOKUP(VENTAS[[#This Row],[Código del producto Vendido]],STOCK[],19,FALSE)*VENTAS[[#This Row],[Cantidad]],VENTAS[[#This Row],[Total]])</f>
        <v>10.52</v>
      </c>
      <c r="L2248" s="12">
        <f>VENTAS[[#This Row],[Total]]-VENTAS[[#This Row],[Comisión 10%]]-VENTAS[[#This Row],[Costo SIN Comision]]</f>
        <v>9.2800000000000011</v>
      </c>
      <c r="M2248" s="49"/>
      <c r="N2248" s="50" t="s">
        <v>5265</v>
      </c>
    </row>
    <row r="2249" spans="1:14" ht="12" hidden="1" customHeight="1">
      <c r="A2249" s="51">
        <v>45636</v>
      </c>
      <c r="B2249" s="49"/>
      <c r="C2249" s="49"/>
      <c r="D2249" s="49" t="s">
        <v>4571</v>
      </c>
      <c r="E2249" s="49" t="s">
        <v>932</v>
      </c>
      <c r="F2249" s="10" t="str">
        <f>IFERROR(VLOOKUP(VENTAS[[#This Row],[Código del producto Vendido]],STOCK[],5,FALSE),"-")</f>
        <v>Falda de trabajo</v>
      </c>
      <c r="G2249" s="49">
        <v>1</v>
      </c>
      <c r="H2249" s="49">
        <v>15</v>
      </c>
      <c r="I2249" s="12">
        <f>VENTAS[[#This Row],[Cantidad]]*VENTAS[[#This Row],[Precio Venta]]</f>
        <v>15</v>
      </c>
      <c r="J2249" s="12">
        <f>IF(VENTAS[[#This Row],[Nombre del Gestor]]&gt;1,VENTAS[[#This Row],[Total]]*10%,0)</f>
        <v>1.5</v>
      </c>
      <c r="K2249" s="12">
        <f>IFERROR(VLOOKUP(VENTAS[[#This Row],[Código del producto Vendido]],STOCK[],16,FALSE)*VENTAS[[#This Row],[Cantidad]]+VLOOKUP(VENTAS[[#This Row],[Código del producto Vendido]],STOCK[],19,FALSE)*VENTAS[[#This Row],[Cantidad]],VENTAS[[#This Row],[Total]])</f>
        <v>7.7486363636363595</v>
      </c>
      <c r="L2249" s="12">
        <f>VENTAS[[#This Row],[Total]]-VENTAS[[#This Row],[Comisión 10%]]-VENTAS[[#This Row],[Costo SIN Comision]]</f>
        <v>5.7513636363636405</v>
      </c>
      <c r="M2249" s="49"/>
      <c r="N2249" s="50" t="s">
        <v>5266</v>
      </c>
    </row>
    <row r="2250" spans="1:14" ht="12" hidden="1" customHeight="1">
      <c r="A2250" s="51">
        <v>45636</v>
      </c>
      <c r="B2250" s="49"/>
      <c r="C2250" s="49"/>
      <c r="D2250" s="49" t="s">
        <v>5267</v>
      </c>
      <c r="E2250" s="49" t="s">
        <v>3591</v>
      </c>
      <c r="F2250" s="10" t="str">
        <f>IFERROR(VLOOKUP(VENTAS[[#This Row],[Código del producto Vendido]],STOCK[],5,FALSE),"-")</f>
        <v>Suéter de ajuste perfecto negro H&amp;M</v>
      </c>
      <c r="G2250" s="49">
        <v>1</v>
      </c>
      <c r="H2250" s="49">
        <v>22</v>
      </c>
      <c r="I2250" s="12">
        <f>VENTAS[[#This Row],[Cantidad]]*VENTAS[[#This Row],[Precio Venta]]</f>
        <v>22</v>
      </c>
      <c r="J2250" s="12">
        <f>IF(VENTAS[[#This Row],[Nombre del Gestor]]&gt;1,VENTAS[[#This Row],[Total]]*10%,0)</f>
        <v>2.2000000000000002</v>
      </c>
      <c r="K2250" s="12">
        <f>IFERROR(VLOOKUP(VENTAS[[#This Row],[Código del producto Vendido]],STOCK[],16,FALSE)*VENTAS[[#This Row],[Cantidad]]+VLOOKUP(VENTAS[[#This Row],[Código del producto Vendido]],STOCK[],19,FALSE)*VENTAS[[#This Row],[Cantidad]],VENTAS[[#This Row],[Total]])</f>
        <v>9</v>
      </c>
      <c r="L2250" s="12">
        <f>VENTAS[[#This Row],[Total]]-VENTAS[[#This Row],[Comisión 10%]]-VENTAS[[#This Row],[Costo SIN Comision]]</f>
        <v>10.8</v>
      </c>
      <c r="M2250" s="49"/>
      <c r="N2250" s="50" t="s">
        <v>5268</v>
      </c>
    </row>
    <row r="2251" spans="1:14" ht="12" hidden="1" customHeight="1">
      <c r="A2251" s="51">
        <v>45636</v>
      </c>
      <c r="B2251" s="49"/>
      <c r="C2251" s="49"/>
      <c r="D2251" s="49" t="s">
        <v>5267</v>
      </c>
      <c r="E2251" s="49" t="s">
        <v>3600</v>
      </c>
      <c r="F2251" s="10" t="str">
        <f>IFERROR(VLOOKUP(VENTAS[[#This Row],[Código del producto Vendido]],STOCK[],5,FALSE),"-")</f>
        <v>Suéter de ajuste perfecto gris H&amp;M</v>
      </c>
      <c r="G2251" s="49">
        <v>1</v>
      </c>
      <c r="H2251" s="49">
        <v>20</v>
      </c>
      <c r="I2251" s="12">
        <f>VENTAS[[#This Row],[Cantidad]]*VENTAS[[#This Row],[Precio Venta]]</f>
        <v>20</v>
      </c>
      <c r="J2251" s="12">
        <f>IF(VENTAS[[#This Row],[Nombre del Gestor]]&gt;1,VENTAS[[#This Row],[Total]]*10%,0)</f>
        <v>2</v>
      </c>
      <c r="K2251" s="12">
        <f>IFERROR(VLOOKUP(VENTAS[[#This Row],[Código del producto Vendido]],STOCK[],16,FALSE)*VENTAS[[#This Row],[Cantidad]]+VLOOKUP(VENTAS[[#This Row],[Código del producto Vendido]],STOCK[],19,FALSE)*VENTAS[[#This Row],[Cantidad]],VENTAS[[#This Row],[Total]])</f>
        <v>9</v>
      </c>
      <c r="L2251" s="12">
        <f>VENTAS[[#This Row],[Total]]-VENTAS[[#This Row],[Comisión 10%]]-VENTAS[[#This Row],[Costo SIN Comision]]</f>
        <v>9</v>
      </c>
      <c r="M2251" s="49"/>
      <c r="N2251" s="50" t="s">
        <v>5269</v>
      </c>
    </row>
    <row r="2252" spans="1:14" ht="12" hidden="1" customHeight="1">
      <c r="A2252" s="51">
        <v>45636</v>
      </c>
      <c r="B2252" s="49"/>
      <c r="C2252" s="49"/>
      <c r="D2252" s="49" t="s">
        <v>5267</v>
      </c>
      <c r="E2252" s="49" t="s">
        <v>3507</v>
      </c>
      <c r="F2252" s="10" t="str">
        <f>IFERROR(VLOOKUP(VENTAS[[#This Row],[Código del producto Vendido]],STOCK[],5,FALSE),"-")</f>
        <v>Suéter de punto fino ajustado azul marino H&amp;M</v>
      </c>
      <c r="G2252" s="49">
        <v>1</v>
      </c>
      <c r="H2252" s="49">
        <v>25</v>
      </c>
      <c r="I2252" s="12">
        <f>VENTAS[[#This Row],[Cantidad]]*VENTAS[[#This Row],[Precio Venta]]</f>
        <v>25</v>
      </c>
      <c r="J2252" s="12">
        <f>IF(VENTAS[[#This Row],[Nombre del Gestor]]&gt;1,VENTAS[[#This Row],[Total]]*10%,0)</f>
        <v>2.5</v>
      </c>
      <c r="K2252" s="12">
        <f>IFERROR(VLOOKUP(VENTAS[[#This Row],[Código del producto Vendido]],STOCK[],16,FALSE)*VENTAS[[#This Row],[Cantidad]]+VLOOKUP(VENTAS[[#This Row],[Código del producto Vendido]],STOCK[],19,FALSE)*VENTAS[[#This Row],[Cantidad]],VENTAS[[#This Row],[Total]])</f>
        <v>9</v>
      </c>
      <c r="L2252" s="12">
        <f>VENTAS[[#This Row],[Total]]-VENTAS[[#This Row],[Comisión 10%]]-VENTAS[[#This Row],[Costo SIN Comision]]</f>
        <v>13.5</v>
      </c>
      <c r="M2252" s="49"/>
      <c r="N2252" s="50" t="s">
        <v>5270</v>
      </c>
    </row>
    <row r="2253" spans="1:14" ht="12" hidden="1" customHeight="1">
      <c r="A2253" s="51">
        <v>45639</v>
      </c>
      <c r="B2253" s="49"/>
      <c r="C2253" s="49"/>
      <c r="D2253" s="49" t="s">
        <v>4374</v>
      </c>
      <c r="E2253" s="49" t="s">
        <v>3025</v>
      </c>
      <c r="F2253" s="10" t="str">
        <f>IFERROR(VLOOKUP(VENTAS[[#This Row],[Código del producto Vendido]],STOCK[],5,FALSE),"-")</f>
        <v>Blusa de manga elegante en vuelos con ribete en contraste Color Rosa</v>
      </c>
      <c r="G2253" s="49">
        <v>1</v>
      </c>
      <c r="H2253" s="49">
        <v>18</v>
      </c>
      <c r="I2253" s="12">
        <f>VENTAS[[#This Row],[Cantidad]]*VENTAS[[#This Row],[Precio Venta]]</f>
        <v>18</v>
      </c>
      <c r="J2253" s="12">
        <f>IF(VENTAS[[#This Row],[Nombre del Gestor]]&gt;1,VENTAS[[#This Row],[Total]]*10%,0)</f>
        <v>1.8</v>
      </c>
      <c r="K2253" s="12">
        <f>IFERROR(VLOOKUP(VENTAS[[#This Row],[Código del producto Vendido]],STOCK[],16,FALSE)*VENTAS[[#This Row],[Cantidad]]+VLOOKUP(VENTAS[[#This Row],[Código del producto Vendido]],STOCK[],19,FALSE)*VENTAS[[#This Row],[Cantidad]],VENTAS[[#This Row],[Total]])</f>
        <v>9.02</v>
      </c>
      <c r="L2253" s="12">
        <f>VENTAS[[#This Row],[Total]]-VENTAS[[#This Row],[Comisión 10%]]-VENTAS[[#This Row],[Costo SIN Comision]]</f>
        <v>7.18</v>
      </c>
      <c r="M2253" s="49"/>
      <c r="N2253" s="50" t="s">
        <v>5271</v>
      </c>
    </row>
    <row r="2254" spans="1:14" ht="12" hidden="1" customHeight="1">
      <c r="A2254" s="51">
        <v>45639</v>
      </c>
      <c r="B2254" s="49"/>
      <c r="C2254" s="49"/>
      <c r="D2254" s="49" t="s">
        <v>4473</v>
      </c>
      <c r="E2254" s="49" t="s">
        <v>2921</v>
      </c>
      <c r="F2254" s="10" t="str">
        <f>IFERROR(VLOOKUP(VENTAS[[#This Row],[Código del producto Vendido]],STOCK[],5,FALSE),"-")</f>
        <v>Chaleco de traje estilo blazer color blanco</v>
      </c>
      <c r="G2254" s="49">
        <v>1</v>
      </c>
      <c r="H2254" s="49">
        <v>25</v>
      </c>
      <c r="I2254" s="12">
        <f>VENTAS[[#This Row],[Cantidad]]*VENTAS[[#This Row],[Precio Venta]]</f>
        <v>25</v>
      </c>
      <c r="J2254" s="12">
        <f>IF(VENTAS[[#This Row],[Nombre del Gestor]]&gt;1,VENTAS[[#This Row],[Total]]*10%,0)</f>
        <v>2.5</v>
      </c>
      <c r="K2254" s="12">
        <f>IFERROR(VLOOKUP(VENTAS[[#This Row],[Código del producto Vendido]],STOCK[],16,FALSE)*VENTAS[[#This Row],[Cantidad]]+VLOOKUP(VENTAS[[#This Row],[Código del producto Vendido]],STOCK[],19,FALSE)*VENTAS[[#This Row],[Cantidad]],VENTAS[[#This Row],[Total]])</f>
        <v>12.040000000000001</v>
      </c>
      <c r="L2254" s="12">
        <f>VENTAS[[#This Row],[Total]]-VENTAS[[#This Row],[Comisión 10%]]-VENTAS[[#This Row],[Costo SIN Comision]]</f>
        <v>10.459999999999999</v>
      </c>
      <c r="M2254" s="49"/>
      <c r="N2254" s="50" t="s">
        <v>5272</v>
      </c>
    </row>
    <row r="2255" spans="1:14" ht="12" hidden="1" customHeight="1">
      <c r="A2255" s="51">
        <v>45639</v>
      </c>
      <c r="B2255" s="49"/>
      <c r="C2255" s="49"/>
      <c r="D2255" s="49" t="s">
        <v>4473</v>
      </c>
      <c r="E2255" s="49" t="s">
        <v>2922</v>
      </c>
      <c r="F2255" s="10" t="str">
        <f>IFERROR(VLOOKUP(VENTAS[[#This Row],[Código del producto Vendido]],STOCK[],5,FALSE),"-")</f>
        <v>Chaleco de traje estilo blazer color blanco</v>
      </c>
      <c r="G2255" s="49">
        <v>1</v>
      </c>
      <c r="H2255" s="49">
        <v>25</v>
      </c>
      <c r="I2255" s="12">
        <f>VENTAS[[#This Row],[Cantidad]]*VENTAS[[#This Row],[Precio Venta]]</f>
        <v>25</v>
      </c>
      <c r="J2255" s="12">
        <f>IF(VENTAS[[#This Row],[Nombre del Gestor]]&gt;1,VENTAS[[#This Row],[Total]]*10%,0)</f>
        <v>2.5</v>
      </c>
      <c r="K2255" s="12">
        <f>IFERROR(VLOOKUP(VENTAS[[#This Row],[Código del producto Vendido]],STOCK[],16,FALSE)*VENTAS[[#This Row],[Cantidad]]+VLOOKUP(VENTAS[[#This Row],[Código del producto Vendido]],STOCK[],19,FALSE)*VENTAS[[#This Row],[Cantidad]],VENTAS[[#This Row],[Total]])</f>
        <v>12.040000000000001</v>
      </c>
      <c r="L2255" s="12">
        <f>VENTAS[[#This Row],[Total]]-VENTAS[[#This Row],[Comisión 10%]]-VENTAS[[#This Row],[Costo SIN Comision]]</f>
        <v>10.459999999999999</v>
      </c>
      <c r="M2255" s="49"/>
      <c r="N2255" s="50" t="s">
        <v>5273</v>
      </c>
    </row>
    <row r="2256" spans="1:14" ht="12" hidden="1" customHeight="1">
      <c r="A2256" s="51">
        <v>45639</v>
      </c>
      <c r="B2256" s="49"/>
      <c r="C2256" s="49"/>
      <c r="D2256" s="49" t="s">
        <v>4374</v>
      </c>
      <c r="E2256" s="49" t="s">
        <v>2840</v>
      </c>
      <c r="F2256" s="10" t="str">
        <f>IFERROR(VLOOKUP(VENTAS[[#This Row],[Código del producto Vendido]],STOCK[],5,FALSE),"-")</f>
        <v>Blusa casual delazos delanteros color negro</v>
      </c>
      <c r="G2256" s="49">
        <v>1</v>
      </c>
      <c r="H2256" s="49">
        <v>18</v>
      </c>
      <c r="I2256" s="12">
        <f>VENTAS[[#This Row],[Cantidad]]*VENTAS[[#This Row],[Precio Venta]]</f>
        <v>18</v>
      </c>
      <c r="J2256" s="12">
        <f>IF(VENTAS[[#This Row],[Nombre del Gestor]]&gt;1,VENTAS[[#This Row],[Total]]*10%,0)</f>
        <v>1.8</v>
      </c>
      <c r="K2256" s="12">
        <f>IFERROR(VLOOKUP(VENTAS[[#This Row],[Código del producto Vendido]],STOCK[],16,FALSE)*VENTAS[[#This Row],[Cantidad]]+VLOOKUP(VENTAS[[#This Row],[Código del producto Vendido]],STOCK[],19,FALSE)*VENTAS[[#This Row],[Cantidad]],VENTAS[[#This Row],[Total]])</f>
        <v>6.8000000000000007</v>
      </c>
      <c r="L2256" s="12">
        <f>VENTAS[[#This Row],[Total]]-VENTAS[[#This Row],[Comisión 10%]]-VENTAS[[#This Row],[Costo SIN Comision]]</f>
        <v>9.3999999999999986</v>
      </c>
      <c r="M2256" s="49"/>
      <c r="N2256" s="50" t="s">
        <v>5274</v>
      </c>
    </row>
    <row r="2257" spans="1:14" ht="12" hidden="1" customHeight="1">
      <c r="A2257" s="51">
        <v>45639</v>
      </c>
      <c r="B2257" s="49"/>
      <c r="C2257" s="49"/>
      <c r="D2257" s="49" t="s">
        <v>4374</v>
      </c>
      <c r="E2257" s="49" t="s">
        <v>2916</v>
      </c>
      <c r="F2257" s="10" t="str">
        <f>IFERROR(VLOOKUP(VENTAS[[#This Row],[Código del producto Vendido]],STOCK[],5,FALSE),"-")</f>
        <v>Chaleco de traje estilo blazer color negro</v>
      </c>
      <c r="G2257" s="49">
        <v>1</v>
      </c>
      <c r="H2257" s="49">
        <v>25</v>
      </c>
      <c r="I2257" s="12">
        <f>VENTAS[[#This Row],[Cantidad]]*VENTAS[[#This Row],[Precio Venta]]</f>
        <v>25</v>
      </c>
      <c r="J2257" s="12">
        <f>IF(VENTAS[[#This Row],[Nombre del Gestor]]&gt;1,VENTAS[[#This Row],[Total]]*10%,0)</f>
        <v>2.5</v>
      </c>
      <c r="K2257" s="12">
        <f>IFERROR(VLOOKUP(VENTAS[[#This Row],[Código del producto Vendido]],STOCK[],16,FALSE)*VENTAS[[#This Row],[Cantidad]]+VLOOKUP(VENTAS[[#This Row],[Código del producto Vendido]],STOCK[],19,FALSE)*VENTAS[[#This Row],[Cantidad]],VENTAS[[#This Row],[Total]])</f>
        <v>11.950000000000001</v>
      </c>
      <c r="L2257" s="12">
        <f>VENTAS[[#This Row],[Total]]-VENTAS[[#This Row],[Comisión 10%]]-VENTAS[[#This Row],[Costo SIN Comision]]</f>
        <v>10.549999999999999</v>
      </c>
      <c r="M2257" s="49"/>
      <c r="N2257" s="50" t="s">
        <v>5275</v>
      </c>
    </row>
    <row r="2258" spans="1:14" ht="12" hidden="1" customHeight="1">
      <c r="A2258" s="51">
        <v>45639</v>
      </c>
      <c r="B2258" s="49"/>
      <c r="C2258" s="49"/>
      <c r="D2258" s="49" t="s">
        <v>4237</v>
      </c>
      <c r="E2258" s="49" t="s">
        <v>2902</v>
      </c>
      <c r="F2258" s="10" t="str">
        <f>IFERROR(VLOOKUP(VENTAS[[#This Row],[Código del producto Vendido]],STOCK[],5,FALSE),"-")</f>
        <v>Sujetador de gran confort antideslizante sin tirantes color negro</v>
      </c>
      <c r="G2258" s="49">
        <v>1</v>
      </c>
      <c r="H2258" s="49">
        <v>15</v>
      </c>
      <c r="I2258" s="12">
        <f>VENTAS[[#This Row],[Cantidad]]*VENTAS[[#This Row],[Precio Venta]]</f>
        <v>15</v>
      </c>
      <c r="J2258" s="12">
        <f>IF(VENTAS[[#This Row],[Nombre del Gestor]]&gt;1,VENTAS[[#This Row],[Total]]*10%,0)</f>
        <v>1.5</v>
      </c>
      <c r="K2258" s="12">
        <f>IFERROR(VLOOKUP(VENTAS[[#This Row],[Código del producto Vendido]],STOCK[],16,FALSE)*VENTAS[[#This Row],[Cantidad]]+VLOOKUP(VENTAS[[#This Row],[Código del producto Vendido]],STOCK[],19,FALSE)*VENTAS[[#This Row],[Cantidad]],VENTAS[[#This Row],[Total]])</f>
        <v>6.3800000000000008</v>
      </c>
      <c r="L2258" s="12">
        <f>VENTAS[[#This Row],[Total]]-VENTAS[[#This Row],[Comisión 10%]]-VENTAS[[#This Row],[Costo SIN Comision]]</f>
        <v>7.1199999999999992</v>
      </c>
      <c r="M2258" s="49"/>
      <c r="N2258" s="50" t="s">
        <v>5276</v>
      </c>
    </row>
    <row r="2259" spans="1:14" ht="12" hidden="1" customHeight="1">
      <c r="A2259" s="51">
        <v>45639</v>
      </c>
      <c r="B2259" s="49"/>
      <c r="C2259" s="49"/>
      <c r="D2259" s="49" t="s">
        <v>4374</v>
      </c>
      <c r="E2259" s="49" t="s">
        <v>604</v>
      </c>
      <c r="F2259" s="10" t="str">
        <f>IFERROR(VLOOKUP(VENTAS[[#This Row],[Código del producto Vendido]],STOCK[],5,FALSE),"-")</f>
        <v>Vestido floral de mangas farol</v>
      </c>
      <c r="G2259" s="49">
        <v>1</v>
      </c>
      <c r="H2259" s="49">
        <v>18</v>
      </c>
      <c r="I2259" s="12">
        <f>VENTAS[[#This Row],[Cantidad]]*VENTAS[[#This Row],[Precio Venta]]</f>
        <v>18</v>
      </c>
      <c r="J2259" s="12">
        <f>IF(VENTAS[[#This Row],[Nombre del Gestor]]&gt;1,VENTAS[[#This Row],[Total]]*10%,0)</f>
        <v>1.8</v>
      </c>
      <c r="K2259" s="12">
        <f>IFERROR(VLOOKUP(VENTAS[[#This Row],[Código del producto Vendido]],STOCK[],16,FALSE)*VENTAS[[#This Row],[Cantidad]]+VLOOKUP(VENTAS[[#This Row],[Código del producto Vendido]],STOCK[],19,FALSE)*VENTAS[[#This Row],[Cantidad]],VENTAS[[#This Row],[Total]])</f>
        <v>10.72222222222222</v>
      </c>
      <c r="L2259" s="12">
        <f>VENTAS[[#This Row],[Total]]-VENTAS[[#This Row],[Comisión 10%]]-VENTAS[[#This Row],[Costo SIN Comision]]</f>
        <v>5.4777777777777796</v>
      </c>
      <c r="M2259" s="49"/>
      <c r="N2259" s="50" t="s">
        <v>5277</v>
      </c>
    </row>
    <row r="2260" spans="1:14" ht="12" hidden="1" customHeight="1">
      <c r="A2260" s="51">
        <v>45639</v>
      </c>
      <c r="B2260" s="49"/>
      <c r="C2260" s="49"/>
      <c r="D2260" s="49" t="s">
        <v>4184</v>
      </c>
      <c r="E2260" s="49" t="s">
        <v>1698</v>
      </c>
      <c r="F2260" s="10" t="str">
        <f>IFERROR(VLOOKUP(VENTAS[[#This Row],[Código del producto Vendido]],STOCK[],5,FALSE),"-")</f>
        <v>Jean Mom con bajo descosido</v>
      </c>
      <c r="G2260" s="49">
        <v>1</v>
      </c>
      <c r="H2260" s="49">
        <v>30</v>
      </c>
      <c r="I2260" s="12">
        <f>VENTAS[[#This Row],[Cantidad]]*VENTAS[[#This Row],[Precio Venta]]</f>
        <v>30</v>
      </c>
      <c r="J2260" s="12">
        <f>IF(VENTAS[[#This Row],[Nombre del Gestor]]&gt;1,VENTAS[[#This Row],[Total]]*10%,0)</f>
        <v>3</v>
      </c>
      <c r="K2260" s="12">
        <f>IFERROR(VLOOKUP(VENTAS[[#This Row],[Código del producto Vendido]],STOCK[],16,FALSE)*VENTAS[[#This Row],[Cantidad]]+VLOOKUP(VENTAS[[#This Row],[Código del producto Vendido]],STOCK[],19,FALSE)*VENTAS[[#This Row],[Cantidad]],VENTAS[[#This Row],[Total]])</f>
        <v>20.5</v>
      </c>
      <c r="L2260" s="12">
        <f>VENTAS[[#This Row],[Total]]-VENTAS[[#This Row],[Comisión 10%]]-VENTAS[[#This Row],[Costo SIN Comision]]</f>
        <v>6.5</v>
      </c>
      <c r="M2260" s="49"/>
      <c r="N2260" s="50" t="s">
        <v>5278</v>
      </c>
    </row>
    <row r="2261" spans="1:14" ht="12" hidden="1" customHeight="1">
      <c r="A2261" s="51">
        <v>45640</v>
      </c>
      <c r="B2261" s="49"/>
      <c r="C2261" s="49"/>
      <c r="D2261" s="49" t="s">
        <v>4380</v>
      </c>
      <c r="E2261" s="49" t="s">
        <v>3645</v>
      </c>
      <c r="F2261" s="10" t="str">
        <f>IFERROR(VLOOKUP(VENTAS[[#This Row],[Código del producto Vendido]],STOCK[],5,FALSE),"-")</f>
        <v>Top de jersey de algodón acanalado blanco H&amp;M</v>
      </c>
      <c r="G2261" s="49">
        <v>1</v>
      </c>
      <c r="H2261" s="49">
        <v>15</v>
      </c>
      <c r="I2261" s="12">
        <f>VENTAS[[#This Row],[Cantidad]]*VENTAS[[#This Row],[Precio Venta]]</f>
        <v>15</v>
      </c>
      <c r="J2261" s="12">
        <f>IF(VENTAS[[#This Row],[Nombre del Gestor]]&gt;1,VENTAS[[#This Row],[Total]]*10%,0)</f>
        <v>1.5</v>
      </c>
      <c r="K2261" s="12">
        <f>IFERROR(VLOOKUP(VENTAS[[#This Row],[Código del producto Vendido]],STOCK[],16,FALSE)*VENTAS[[#This Row],[Cantidad]]+VLOOKUP(VENTAS[[#This Row],[Código del producto Vendido]],STOCK[],19,FALSE)*VENTAS[[#This Row],[Cantidad]],VENTAS[[#This Row],[Total]])</f>
        <v>9</v>
      </c>
      <c r="L2261" s="12">
        <f>VENTAS[[#This Row],[Total]]-VENTAS[[#This Row],[Comisión 10%]]-VENTAS[[#This Row],[Costo SIN Comision]]</f>
        <v>4.5</v>
      </c>
      <c r="M2261" s="49"/>
      <c r="N2261" s="50" t="s">
        <v>5279</v>
      </c>
    </row>
    <row r="2262" spans="1:14" ht="12" hidden="1" customHeight="1">
      <c r="A2262" s="51">
        <v>45640</v>
      </c>
      <c r="B2262" s="49"/>
      <c r="C2262" s="49"/>
      <c r="D2262" s="49" t="s">
        <v>4712</v>
      </c>
      <c r="E2262" s="49" t="s">
        <v>3841</v>
      </c>
      <c r="F2262" s="10" t="str">
        <f>IFERROR(VLOOKUP(VENTAS[[#This Row],[Código del producto Vendido]],STOCK[],5,FALSE),"-")</f>
        <v>Jeans de pierna recta de talle alto</v>
      </c>
      <c r="G2262" s="49">
        <v>1</v>
      </c>
      <c r="H2262" s="49">
        <v>35</v>
      </c>
      <c r="I2262" s="12">
        <f>VENTAS[[#This Row],[Cantidad]]*VENTAS[[#This Row],[Precio Venta]]</f>
        <v>35</v>
      </c>
      <c r="J2262" s="12">
        <f>IF(VENTAS[[#This Row],[Nombre del Gestor]]&gt;1,VENTAS[[#This Row],[Total]]*10%,0)</f>
        <v>3.5</v>
      </c>
      <c r="K2262" s="12">
        <f>IFERROR(VLOOKUP(VENTAS[[#This Row],[Código del producto Vendido]],STOCK[],16,FALSE)*VENTAS[[#This Row],[Cantidad]]+VLOOKUP(VENTAS[[#This Row],[Código del producto Vendido]],STOCK[],19,FALSE)*VENTAS[[#This Row],[Cantidad]],VENTAS[[#This Row],[Total]])</f>
        <v>20.82</v>
      </c>
      <c r="L2262" s="12">
        <f>VENTAS[[#This Row],[Total]]-VENTAS[[#This Row],[Comisión 10%]]-VENTAS[[#This Row],[Costo SIN Comision]]</f>
        <v>10.68</v>
      </c>
      <c r="M2262" s="49"/>
      <c r="N2262" s="50" t="s">
        <v>5280</v>
      </c>
    </row>
    <row r="2263" spans="1:14" ht="12" hidden="1" customHeight="1">
      <c r="A2263" s="51">
        <v>45640</v>
      </c>
      <c r="B2263" s="49"/>
      <c r="C2263" s="49"/>
      <c r="D2263" s="49" t="s">
        <v>4374</v>
      </c>
      <c r="E2263" s="49" t="s">
        <v>3832</v>
      </c>
      <c r="F2263" s="10" t="str">
        <f>IFERROR(VLOOKUP(VENTAS[[#This Row],[Código del producto Vendido]],STOCK[],5,FALSE),"-")</f>
        <v>Cardigan corto de manga larga y botones delanteros negro</v>
      </c>
      <c r="G2263" s="49">
        <v>1</v>
      </c>
      <c r="H2263" s="49">
        <v>30</v>
      </c>
      <c r="I2263" s="12">
        <f>VENTAS[[#This Row],[Cantidad]]*VENTAS[[#This Row],[Precio Venta]]</f>
        <v>30</v>
      </c>
      <c r="J2263" s="12">
        <f>IF(VENTAS[[#This Row],[Nombre del Gestor]]&gt;1,VENTAS[[#This Row],[Total]]*10%,0)</f>
        <v>3</v>
      </c>
      <c r="K2263" s="12">
        <f>IFERROR(VLOOKUP(VENTAS[[#This Row],[Código del producto Vendido]],STOCK[],16,FALSE)*VENTAS[[#This Row],[Cantidad]]+VLOOKUP(VENTAS[[#This Row],[Código del producto Vendido]],STOCK[],19,FALSE)*VENTAS[[#This Row],[Cantidad]],VENTAS[[#This Row],[Total]])</f>
        <v>16.119999999999997</v>
      </c>
      <c r="L2263" s="12">
        <f>VENTAS[[#This Row],[Total]]-VENTAS[[#This Row],[Comisión 10%]]-VENTAS[[#This Row],[Costo SIN Comision]]</f>
        <v>10.880000000000003</v>
      </c>
      <c r="M2263" s="49"/>
      <c r="N2263" s="50" t="s">
        <v>5281</v>
      </c>
    </row>
    <row r="2264" spans="1:14" ht="12" hidden="1" customHeight="1">
      <c r="A2264" s="51">
        <v>45640</v>
      </c>
      <c r="B2264" s="49"/>
      <c r="C2264" s="49"/>
      <c r="D2264" s="49" t="s">
        <v>4473</v>
      </c>
      <c r="E2264" s="49" t="s">
        <v>3834</v>
      </c>
      <c r="F2264" s="10" t="str">
        <f>IFERROR(VLOOKUP(VENTAS[[#This Row],[Código del producto Vendido]],STOCK[],5,FALSE),"-")</f>
        <v>Cardigan corto de manga larga y botones delanteros negro</v>
      </c>
      <c r="G2264" s="49">
        <v>1</v>
      </c>
      <c r="H2264" s="49">
        <v>30</v>
      </c>
      <c r="I2264" s="12">
        <f>VENTAS[[#This Row],[Cantidad]]*VENTAS[[#This Row],[Precio Venta]]</f>
        <v>30</v>
      </c>
      <c r="J2264" s="12">
        <f>IF(VENTAS[[#This Row],[Nombre del Gestor]]&gt;1,VENTAS[[#This Row],[Total]]*10%,0)</f>
        <v>3</v>
      </c>
      <c r="K2264" s="12">
        <f>IFERROR(VLOOKUP(VENTAS[[#This Row],[Código del producto Vendido]],STOCK[],16,FALSE)*VENTAS[[#This Row],[Cantidad]]+VLOOKUP(VENTAS[[#This Row],[Código del producto Vendido]],STOCK[],19,FALSE)*VENTAS[[#This Row],[Cantidad]],VENTAS[[#This Row],[Total]])</f>
        <v>16.119999999999997</v>
      </c>
      <c r="L2264" s="12">
        <f>VENTAS[[#This Row],[Total]]-VENTAS[[#This Row],[Comisión 10%]]-VENTAS[[#This Row],[Costo SIN Comision]]</f>
        <v>10.880000000000003</v>
      </c>
      <c r="M2264" s="49"/>
      <c r="N2264" s="50" t="s">
        <v>5282</v>
      </c>
    </row>
    <row r="2265" spans="1:14" ht="12" hidden="1" customHeight="1">
      <c r="A2265" s="51">
        <v>45640</v>
      </c>
      <c r="B2265" s="49"/>
      <c r="C2265" s="49"/>
      <c r="D2265" s="49"/>
      <c r="E2265" s="49" t="s">
        <v>2819</v>
      </c>
      <c r="F2265" s="10" t="str">
        <f>IFERROR(VLOOKUP(VENTAS[[#This Row],[Código del producto Vendido]],STOCK[],5,FALSE),"-")</f>
        <v>Bolso minimalista de moda cuadrado con solapa rojo</v>
      </c>
      <c r="G2265" s="49">
        <v>1</v>
      </c>
      <c r="H2265" s="49">
        <v>25</v>
      </c>
      <c r="I2265" s="12">
        <f>VENTAS[[#This Row],[Cantidad]]*VENTAS[[#This Row],[Precio Venta]]</f>
        <v>25</v>
      </c>
      <c r="J2265" s="12">
        <f>IF(VENTAS[[#This Row],[Nombre del Gestor]]&gt;1,VENTAS[[#This Row],[Total]]*10%,0)</f>
        <v>0</v>
      </c>
      <c r="K2265" s="12">
        <f>IFERROR(VLOOKUP(VENTAS[[#This Row],[Código del producto Vendido]],STOCK[],16,FALSE)*VENTAS[[#This Row],[Cantidad]]+VLOOKUP(VENTAS[[#This Row],[Código del producto Vendido]],STOCK[],19,FALSE)*VENTAS[[#This Row],[Cantidad]],VENTAS[[#This Row],[Total]])</f>
        <v>11.040000000000001</v>
      </c>
      <c r="L2265" s="12">
        <f>VENTAS[[#This Row],[Total]]-VENTAS[[#This Row],[Comisión 10%]]-VENTAS[[#This Row],[Costo SIN Comision]]</f>
        <v>13.959999999999999</v>
      </c>
      <c r="M2265" s="49"/>
      <c r="N2265" s="50" t="s">
        <v>5283</v>
      </c>
    </row>
    <row r="2266" spans="1:14" ht="12" hidden="1" customHeight="1">
      <c r="A2266" s="51">
        <v>45640</v>
      </c>
      <c r="B2266" s="49"/>
      <c r="C2266" s="49"/>
      <c r="D2266" s="49"/>
      <c r="E2266" s="49" t="s">
        <v>1848</v>
      </c>
      <c r="F2266" s="10" t="str">
        <f>IFERROR(VLOOKUP(VENTAS[[#This Row],[Código del producto Vendido]],STOCK[],5,FALSE),"-")</f>
        <v>Crossbody Bag con hebilla</v>
      </c>
      <c r="G2266" s="49">
        <v>1</v>
      </c>
      <c r="H2266" s="49">
        <v>25</v>
      </c>
      <c r="I2266" s="12">
        <f>VENTAS[[#This Row],[Cantidad]]*VENTAS[[#This Row],[Precio Venta]]</f>
        <v>25</v>
      </c>
      <c r="J2266" s="12">
        <f>IF(VENTAS[[#This Row],[Nombre del Gestor]]&gt;1,VENTAS[[#This Row],[Total]]*10%,0)</f>
        <v>0</v>
      </c>
      <c r="K2266" s="12">
        <f>IFERROR(VLOOKUP(VENTAS[[#This Row],[Código del producto Vendido]],STOCK[],16,FALSE)*VENTAS[[#This Row],[Cantidad]]+VLOOKUP(VENTAS[[#This Row],[Código del producto Vendido]],STOCK[],19,FALSE)*VENTAS[[#This Row],[Cantidad]],VENTAS[[#This Row],[Total]])</f>
        <v>13.290000000000001</v>
      </c>
      <c r="L2266" s="12">
        <f>VENTAS[[#This Row],[Total]]-VENTAS[[#This Row],[Comisión 10%]]-VENTAS[[#This Row],[Costo SIN Comision]]</f>
        <v>11.709999999999999</v>
      </c>
      <c r="M2266" s="49"/>
      <c r="N2266" s="50" t="s">
        <v>5284</v>
      </c>
    </row>
    <row r="2267" spans="1:14" ht="12" hidden="1" customHeight="1">
      <c r="A2267" s="51">
        <v>45641</v>
      </c>
      <c r="B2267" s="49"/>
      <c r="C2267" s="49"/>
      <c r="D2267" s="49" t="s">
        <v>4349</v>
      </c>
      <c r="E2267" s="49" t="s">
        <v>3834</v>
      </c>
      <c r="F2267" s="10" t="str">
        <f>IFERROR(VLOOKUP(VENTAS[[#This Row],[Código del producto Vendido]],STOCK[],5,FALSE),"-")</f>
        <v>Cardigan corto de manga larga y botones delanteros negro</v>
      </c>
      <c r="G2267" s="49">
        <v>1</v>
      </c>
      <c r="H2267" s="49">
        <v>30</v>
      </c>
      <c r="I2267" s="12">
        <f>VENTAS[[#This Row],[Cantidad]]*VENTAS[[#This Row],[Precio Venta]]</f>
        <v>30</v>
      </c>
      <c r="J2267" s="12">
        <f>IF(VENTAS[[#This Row],[Nombre del Gestor]]&gt;1,VENTAS[[#This Row],[Total]]*10%,0)</f>
        <v>3</v>
      </c>
      <c r="K2267" s="12">
        <f>IFERROR(VLOOKUP(VENTAS[[#This Row],[Código del producto Vendido]],STOCK[],16,FALSE)*VENTAS[[#This Row],[Cantidad]]+VLOOKUP(VENTAS[[#This Row],[Código del producto Vendido]],STOCK[],19,FALSE)*VENTAS[[#This Row],[Cantidad]],VENTAS[[#This Row],[Total]])</f>
        <v>16.119999999999997</v>
      </c>
      <c r="L2267" s="12">
        <f>VENTAS[[#This Row],[Total]]-VENTAS[[#This Row],[Comisión 10%]]-VENTAS[[#This Row],[Costo SIN Comision]]</f>
        <v>10.880000000000003</v>
      </c>
      <c r="M2267" s="49"/>
      <c r="N2267" s="50" t="s">
        <v>5285</v>
      </c>
    </row>
    <row r="2268" spans="1:14" ht="12" hidden="1" customHeight="1">
      <c r="A2268" s="51">
        <v>45641</v>
      </c>
      <c r="B2268" s="49"/>
      <c r="C2268" s="49"/>
      <c r="D2268" s="49" t="s">
        <v>4473</v>
      </c>
      <c r="E2268" s="49" t="s">
        <v>3829</v>
      </c>
      <c r="F2268" s="10" t="str">
        <f>IFERROR(VLOOKUP(VENTAS[[#This Row],[Código del producto Vendido]],STOCK[],5,FALSE),"-")</f>
        <v>Cardigan corto de manga larga y botones delanteros Albaricoque</v>
      </c>
      <c r="G2268" s="49">
        <v>1</v>
      </c>
      <c r="H2268" s="49">
        <v>30</v>
      </c>
      <c r="I2268" s="12">
        <f>VENTAS[[#This Row],[Cantidad]]*VENTAS[[#This Row],[Precio Venta]]</f>
        <v>30</v>
      </c>
      <c r="J2268" s="12">
        <f>IF(VENTAS[[#This Row],[Nombre del Gestor]]&gt;1,VENTAS[[#This Row],[Total]]*10%,0)</f>
        <v>3</v>
      </c>
      <c r="K2268" s="12">
        <f>IFERROR(VLOOKUP(VENTAS[[#This Row],[Código del producto Vendido]],STOCK[],16,FALSE)*VENTAS[[#This Row],[Cantidad]]+VLOOKUP(VENTAS[[#This Row],[Código del producto Vendido]],STOCK[],19,FALSE)*VENTAS[[#This Row],[Cantidad]],VENTAS[[#This Row],[Total]])</f>
        <v>16.689999999999998</v>
      </c>
      <c r="L2268" s="12">
        <f>VENTAS[[#This Row],[Total]]-VENTAS[[#This Row],[Comisión 10%]]-VENTAS[[#This Row],[Costo SIN Comision]]</f>
        <v>10.310000000000002</v>
      </c>
      <c r="M2268" s="49"/>
      <c r="N2268" s="50" t="s">
        <v>5286</v>
      </c>
    </row>
    <row r="2269" spans="1:14" ht="12" hidden="1" customHeight="1">
      <c r="A2269" s="51">
        <v>45642</v>
      </c>
      <c r="B2269" s="49"/>
      <c r="C2269" s="49"/>
      <c r="D2269" s="49" t="s">
        <v>4237</v>
      </c>
      <c r="E2269" s="49" t="s">
        <v>3821</v>
      </c>
      <c r="F2269" s="10" t="str">
        <f>IFERROR(VLOOKUP(VENTAS[[#This Row],[Código del producto Vendido]],STOCK[],5,FALSE),"-")</f>
        <v>Pantalones De Traje De Pierna Ancha Negro</v>
      </c>
      <c r="G2269" s="49">
        <v>1</v>
      </c>
      <c r="H2269" s="49">
        <v>30</v>
      </c>
      <c r="I2269" s="12">
        <f>VENTAS[[#This Row],[Cantidad]]*VENTAS[[#This Row],[Precio Venta]]</f>
        <v>30</v>
      </c>
      <c r="J2269" s="12">
        <f>IF(VENTAS[[#This Row],[Nombre del Gestor]]&gt;1,VENTAS[[#This Row],[Total]]*10%,0)</f>
        <v>3</v>
      </c>
      <c r="K2269" s="12">
        <f>IFERROR(VLOOKUP(VENTAS[[#This Row],[Código del producto Vendido]],STOCK[],16,FALSE)*VENTAS[[#This Row],[Cantidad]]+VLOOKUP(VENTAS[[#This Row],[Código del producto Vendido]],STOCK[],19,FALSE)*VENTAS[[#This Row],[Cantidad]],VENTAS[[#This Row],[Total]])</f>
        <v>15.63</v>
      </c>
      <c r="L2269" s="12">
        <f>VENTAS[[#This Row],[Total]]-VENTAS[[#This Row],[Comisión 10%]]-VENTAS[[#This Row],[Costo SIN Comision]]</f>
        <v>11.37</v>
      </c>
      <c r="M2269" s="49"/>
      <c r="N2269" s="50" t="s">
        <v>5287</v>
      </c>
    </row>
    <row r="2270" spans="1:14" ht="12" hidden="1" customHeight="1">
      <c r="A2270" s="51">
        <v>45642</v>
      </c>
      <c r="B2270" s="49"/>
      <c r="C2270" s="49"/>
      <c r="D2270" s="49" t="s">
        <v>4237</v>
      </c>
      <c r="E2270" s="49" t="s">
        <v>3826</v>
      </c>
      <c r="F2270" s="10" t="str">
        <f>IFERROR(VLOOKUP(VENTAS[[#This Row],[Código del producto Vendido]],STOCK[],5,FALSE),"-")</f>
        <v>Pantalones De Traje De Pierna Ancha Beige</v>
      </c>
      <c r="G2270" s="49">
        <v>1</v>
      </c>
      <c r="H2270" s="49">
        <v>30</v>
      </c>
      <c r="I2270" s="12">
        <f>VENTAS[[#This Row],[Cantidad]]*VENTAS[[#This Row],[Precio Venta]]</f>
        <v>30</v>
      </c>
      <c r="J2270" s="12">
        <f>IF(VENTAS[[#This Row],[Nombre del Gestor]]&gt;1,VENTAS[[#This Row],[Total]]*10%,0)</f>
        <v>3</v>
      </c>
      <c r="K2270" s="12">
        <f>IFERROR(VLOOKUP(VENTAS[[#This Row],[Código del producto Vendido]],STOCK[],16,FALSE)*VENTAS[[#This Row],[Cantidad]]+VLOOKUP(VENTAS[[#This Row],[Código del producto Vendido]],STOCK[],19,FALSE)*VENTAS[[#This Row],[Cantidad]],VENTAS[[#This Row],[Total]])</f>
        <v>17.28</v>
      </c>
      <c r="L2270" s="12">
        <f>VENTAS[[#This Row],[Total]]-VENTAS[[#This Row],[Comisión 10%]]-VENTAS[[#This Row],[Costo SIN Comision]]</f>
        <v>9.7199999999999989</v>
      </c>
      <c r="M2270" s="49"/>
      <c r="N2270" s="50" t="s">
        <v>5288</v>
      </c>
    </row>
    <row r="2271" spans="1:14" ht="12" hidden="1" customHeight="1">
      <c r="A2271" s="51">
        <v>45642</v>
      </c>
      <c r="B2271" s="49"/>
      <c r="C2271" s="49"/>
      <c r="D2271" s="49"/>
      <c r="E2271" s="49" t="s">
        <v>3940</v>
      </c>
      <c r="F2271" s="10" t="str">
        <f>IFERROR(VLOOKUP(VENTAS[[#This Row],[Código del producto Vendido]],STOCK[],5,FALSE),"-")</f>
        <v>Bolso grande de rafia con zíper y adorno de charm</v>
      </c>
      <c r="G2271" s="49">
        <v>1</v>
      </c>
      <c r="H2271" s="49">
        <v>25</v>
      </c>
      <c r="I2271" s="12">
        <f>VENTAS[[#This Row],[Cantidad]]*VENTAS[[#This Row],[Precio Venta]]</f>
        <v>25</v>
      </c>
      <c r="J2271" s="12">
        <f>IF(VENTAS[[#This Row],[Nombre del Gestor]]&gt;1,VENTAS[[#This Row],[Total]]*10%,0)</f>
        <v>0</v>
      </c>
      <c r="K2271" s="12">
        <f>IFERROR(VLOOKUP(VENTAS[[#This Row],[Código del producto Vendido]],STOCK[],16,FALSE)*VENTAS[[#This Row],[Cantidad]]+VLOOKUP(VENTAS[[#This Row],[Código del producto Vendido]],STOCK[],19,FALSE)*VENTAS[[#This Row],[Cantidad]],VENTAS[[#This Row],[Total]])</f>
        <v>11.51</v>
      </c>
      <c r="L2271" s="12">
        <f>VENTAS[[#This Row],[Total]]-VENTAS[[#This Row],[Comisión 10%]]-VENTAS[[#This Row],[Costo SIN Comision]]</f>
        <v>13.49</v>
      </c>
      <c r="M2271" s="49"/>
      <c r="N2271" s="50" t="s">
        <v>5289</v>
      </c>
    </row>
    <row r="2272" spans="1:14" ht="12" hidden="1" customHeight="1">
      <c r="A2272" s="51">
        <v>45642</v>
      </c>
      <c r="B2272" s="49"/>
      <c r="C2272" s="49"/>
      <c r="D2272" s="49" t="s">
        <v>4473</v>
      </c>
      <c r="E2272" s="49" t="s">
        <v>3604</v>
      </c>
      <c r="F2272" s="10" t="str">
        <f>IFERROR(VLOOKUP(VENTAS[[#This Row],[Código del producto Vendido]],STOCK[],5,FALSE),"-")</f>
        <v>Conjunto de dos tops Blanco y Marrón oscuro H&amp;M</v>
      </c>
      <c r="G2272" s="49">
        <v>1</v>
      </c>
      <c r="H2272" s="49">
        <v>22</v>
      </c>
      <c r="I2272" s="12">
        <f>VENTAS[[#This Row],[Cantidad]]*VENTAS[[#This Row],[Precio Venta]]</f>
        <v>22</v>
      </c>
      <c r="J2272" s="12">
        <f>IF(VENTAS[[#This Row],[Nombre del Gestor]]&gt;1,VENTAS[[#This Row],[Total]]*10%,0)</f>
        <v>2.2000000000000002</v>
      </c>
      <c r="K2272" s="12">
        <f>IFERROR(VLOOKUP(VENTAS[[#This Row],[Código del producto Vendido]],STOCK[],16,FALSE)*VENTAS[[#This Row],[Cantidad]]+VLOOKUP(VENTAS[[#This Row],[Código del producto Vendido]],STOCK[],19,FALSE)*VENTAS[[#This Row],[Cantidad]],VENTAS[[#This Row],[Total]])</f>
        <v>9</v>
      </c>
      <c r="L2272" s="12">
        <f>VENTAS[[#This Row],[Total]]-VENTAS[[#This Row],[Comisión 10%]]-VENTAS[[#This Row],[Costo SIN Comision]]</f>
        <v>10.8</v>
      </c>
      <c r="M2272" s="49"/>
      <c r="N2272" s="50" t="s">
        <v>5290</v>
      </c>
    </row>
    <row r="2273" spans="1:14" ht="12" customHeight="1">
      <c r="A2273" s="51">
        <v>45642</v>
      </c>
      <c r="B2273" s="49"/>
      <c r="C2273" s="49"/>
      <c r="D2273" s="49" t="s">
        <v>4330</v>
      </c>
      <c r="E2273" s="49" t="s">
        <v>3827</v>
      </c>
      <c r="F2273" s="10" t="str">
        <f>IFERROR(VLOOKUP(VENTAS[[#This Row],[Código del producto Vendido]],STOCK[],5,FALSE),"-")</f>
        <v>Cardigan corto de manga larga y botones delanteros Albaricoque</v>
      </c>
      <c r="G2273" s="49">
        <v>1</v>
      </c>
      <c r="H2273" s="49">
        <v>30</v>
      </c>
      <c r="I2273" s="12">
        <f>VENTAS[[#This Row],[Cantidad]]*VENTAS[[#This Row],[Precio Venta]]</f>
        <v>30</v>
      </c>
      <c r="J2273" s="12">
        <f>IF(VENTAS[[#This Row],[Nombre del Gestor]]&gt;1,VENTAS[[#This Row],[Total]]*10%,0)</f>
        <v>3</v>
      </c>
      <c r="K2273" s="12">
        <f>IFERROR(VLOOKUP(VENTAS[[#This Row],[Código del producto Vendido]],STOCK[],16,FALSE)*VENTAS[[#This Row],[Cantidad]]+VLOOKUP(VENTAS[[#This Row],[Código del producto Vendido]],STOCK[],19,FALSE)*VENTAS[[#This Row],[Cantidad]],VENTAS[[#This Row],[Total]])</f>
        <v>16.689999999999998</v>
      </c>
      <c r="L2273" s="12">
        <f>VENTAS[[#This Row],[Total]]-VENTAS[[#This Row],[Comisión 10%]]-VENTAS[[#This Row],[Costo SIN Comision]]</f>
        <v>10.310000000000002</v>
      </c>
      <c r="M2273" s="49"/>
      <c r="N2273" s="50" t="s">
        <v>5291</v>
      </c>
    </row>
    <row r="2274" spans="1:14" ht="12" hidden="1" customHeight="1">
      <c r="A2274" s="51">
        <v>45642</v>
      </c>
      <c r="B2274" s="49"/>
      <c r="C2274" s="49"/>
      <c r="D2274" s="49" t="s">
        <v>4349</v>
      </c>
      <c r="E2274" s="49" t="s">
        <v>1875</v>
      </c>
      <c r="F2274" s="10" t="str">
        <f>IFERROR(VLOOKUP(VENTAS[[#This Row],[Código del producto Vendido]],STOCK[],5,FALSE),"-")</f>
        <v>Vestido Chic Primavera</v>
      </c>
      <c r="G2274" s="49">
        <v>1</v>
      </c>
      <c r="H2274" s="49">
        <v>30</v>
      </c>
      <c r="I2274" s="12">
        <f>VENTAS[[#This Row],[Cantidad]]*VENTAS[[#This Row],[Precio Venta]]</f>
        <v>30</v>
      </c>
      <c r="J2274" s="12">
        <f>IF(VENTAS[[#This Row],[Nombre del Gestor]]&gt;1,VENTAS[[#This Row],[Total]]*10%,0)</f>
        <v>3</v>
      </c>
      <c r="K2274" s="12">
        <f>IFERROR(VLOOKUP(VENTAS[[#This Row],[Código del producto Vendido]],STOCK[],16,FALSE)*VENTAS[[#This Row],[Cantidad]]+VLOOKUP(VENTAS[[#This Row],[Código del producto Vendido]],STOCK[],19,FALSE)*VENTAS[[#This Row],[Cantidad]],VENTAS[[#This Row],[Total]])</f>
        <v>19.38</v>
      </c>
      <c r="L2274" s="12">
        <f>VENTAS[[#This Row],[Total]]-VENTAS[[#This Row],[Comisión 10%]]-VENTAS[[#This Row],[Costo SIN Comision]]</f>
        <v>7.620000000000001</v>
      </c>
      <c r="M2274" s="49"/>
      <c r="N2274" s="50" t="s">
        <v>5292</v>
      </c>
    </row>
    <row r="2275" spans="1:14" ht="12" hidden="1" customHeight="1">
      <c r="A2275" s="51">
        <v>45642</v>
      </c>
      <c r="B2275" s="49"/>
      <c r="C2275" s="49"/>
      <c r="D2275" s="49" t="s">
        <v>4349</v>
      </c>
      <c r="E2275" s="49" t="s">
        <v>3829</v>
      </c>
      <c r="F2275" s="10" t="str">
        <f>IFERROR(VLOOKUP(VENTAS[[#This Row],[Código del producto Vendido]],STOCK[],5,FALSE),"-")</f>
        <v>Cardigan corto de manga larga y botones delanteros Albaricoque</v>
      </c>
      <c r="G2275" s="49">
        <v>1</v>
      </c>
      <c r="H2275" s="49">
        <v>30</v>
      </c>
      <c r="I2275" s="12">
        <f>VENTAS[[#This Row],[Cantidad]]*VENTAS[[#This Row],[Precio Venta]]</f>
        <v>30</v>
      </c>
      <c r="J2275" s="12">
        <f>IF(VENTAS[[#This Row],[Nombre del Gestor]]&gt;1,VENTAS[[#This Row],[Total]]*10%,0)</f>
        <v>3</v>
      </c>
      <c r="K2275" s="12">
        <f>IFERROR(VLOOKUP(VENTAS[[#This Row],[Código del producto Vendido]],STOCK[],16,FALSE)*VENTAS[[#This Row],[Cantidad]]+VLOOKUP(VENTAS[[#This Row],[Código del producto Vendido]],STOCK[],19,FALSE)*VENTAS[[#This Row],[Cantidad]],VENTAS[[#This Row],[Total]])</f>
        <v>16.689999999999998</v>
      </c>
      <c r="L2275" s="12">
        <f>VENTAS[[#This Row],[Total]]-VENTAS[[#This Row],[Comisión 10%]]-VENTAS[[#This Row],[Costo SIN Comision]]</f>
        <v>10.310000000000002</v>
      </c>
      <c r="M2275" s="49"/>
      <c r="N2275" s="50" t="s">
        <v>5293</v>
      </c>
    </row>
    <row r="2276" spans="1:14" ht="12" hidden="1" customHeight="1">
      <c r="A2276" s="51">
        <v>45642</v>
      </c>
      <c r="B2276" s="49"/>
      <c r="C2276" s="49"/>
      <c r="D2276" s="49"/>
      <c r="E2276" s="49" t="s">
        <v>3953</v>
      </c>
      <c r="F2276" s="10" t="str">
        <f>IFERROR(VLOOKUP(VENTAS[[#This Row],[Código del producto Vendido]],STOCK[],5,FALSE),"-")</f>
        <v xml:space="preserve">Botas negras ajustadas de zíper </v>
      </c>
      <c r="G2276" s="49">
        <v>1</v>
      </c>
      <c r="H2276" s="49">
        <v>40</v>
      </c>
      <c r="I2276" s="12">
        <f>VENTAS[[#This Row],[Cantidad]]*VENTAS[[#This Row],[Precio Venta]]</f>
        <v>40</v>
      </c>
      <c r="J2276" s="12">
        <f>IF(VENTAS[[#This Row],[Nombre del Gestor]]&gt;1,VENTAS[[#This Row],[Total]]*10%,0)</f>
        <v>0</v>
      </c>
      <c r="K2276" s="12">
        <f>IFERROR(VLOOKUP(VENTAS[[#This Row],[Código del producto Vendido]],STOCK[],16,FALSE)*VENTAS[[#This Row],[Cantidad]]+VLOOKUP(VENTAS[[#This Row],[Código del producto Vendido]],STOCK[],19,FALSE)*VENTAS[[#This Row],[Cantidad]],VENTAS[[#This Row],[Total]])</f>
        <v>20.25</v>
      </c>
      <c r="L2276" s="12">
        <f>VENTAS[[#This Row],[Total]]-VENTAS[[#This Row],[Comisión 10%]]-VENTAS[[#This Row],[Costo SIN Comision]]</f>
        <v>19.75</v>
      </c>
      <c r="M2276" s="49"/>
      <c r="N2276" s="50" t="s">
        <v>5294</v>
      </c>
    </row>
    <row r="2277" spans="1:14" ht="12" hidden="1" customHeight="1">
      <c r="A2277" s="51">
        <v>45642</v>
      </c>
      <c r="B2277" s="49"/>
      <c r="C2277" s="49"/>
      <c r="D2277" s="49" t="s">
        <v>4843</v>
      </c>
      <c r="E2277" s="49" t="s">
        <v>3641</v>
      </c>
      <c r="F2277" s="10" t="str">
        <f>IFERROR(VLOOKUP(VENTAS[[#This Row],[Código del producto Vendido]],STOCK[],5,FALSE),"-")</f>
        <v>Pantalones cortos deportivos gris H&amp;M</v>
      </c>
      <c r="G2277" s="49">
        <v>1</v>
      </c>
      <c r="H2277" s="49">
        <v>20</v>
      </c>
      <c r="I2277" s="12">
        <f>VENTAS[[#This Row],[Cantidad]]*VENTAS[[#This Row],[Precio Venta]]</f>
        <v>20</v>
      </c>
      <c r="J2277" s="12">
        <f>IF(VENTAS[[#This Row],[Nombre del Gestor]]&gt;1,VENTAS[[#This Row],[Total]]*10%,0)</f>
        <v>2</v>
      </c>
      <c r="K2277" s="12">
        <f>IFERROR(VLOOKUP(VENTAS[[#This Row],[Código del producto Vendido]],STOCK[],16,FALSE)*VENTAS[[#This Row],[Cantidad]]+VLOOKUP(VENTAS[[#This Row],[Código del producto Vendido]],STOCK[],19,FALSE)*VENTAS[[#This Row],[Cantidad]],VENTAS[[#This Row],[Total]])</f>
        <v>9</v>
      </c>
      <c r="L2277" s="12">
        <f>VENTAS[[#This Row],[Total]]-VENTAS[[#This Row],[Comisión 10%]]-VENTAS[[#This Row],[Costo SIN Comision]]</f>
        <v>9</v>
      </c>
      <c r="M2277" s="49"/>
      <c r="N2277" s="50" t="s">
        <v>5295</v>
      </c>
    </row>
    <row r="2278" spans="1:14" ht="12" hidden="1" customHeight="1">
      <c r="A2278" s="51">
        <v>45642</v>
      </c>
      <c r="B2278" s="49"/>
      <c r="C2278" s="49"/>
      <c r="D2278" s="49" t="s">
        <v>4843</v>
      </c>
      <c r="E2278" s="49" t="s">
        <v>3484</v>
      </c>
      <c r="F2278" s="10" t="str">
        <f>IFERROR(VLOOKUP(VENTAS[[#This Row],[Código del producto Vendido]],STOCK[],5,FALSE),"-")</f>
        <v>Pantalones cortos deportivos de hombre negro H&amp;M</v>
      </c>
      <c r="G2278" s="49">
        <v>1</v>
      </c>
      <c r="H2278" s="49">
        <v>20</v>
      </c>
      <c r="I2278" s="12">
        <f>VENTAS[[#This Row],[Cantidad]]*VENTAS[[#This Row],[Precio Venta]]</f>
        <v>20</v>
      </c>
      <c r="J2278" s="12">
        <f>IF(VENTAS[[#This Row],[Nombre del Gestor]]&gt;1,VENTAS[[#This Row],[Total]]*10%,0)</f>
        <v>2</v>
      </c>
      <c r="K2278" s="12">
        <f>IFERROR(VLOOKUP(VENTAS[[#This Row],[Código del producto Vendido]],STOCK[],16,FALSE)*VENTAS[[#This Row],[Cantidad]]+VLOOKUP(VENTAS[[#This Row],[Código del producto Vendido]],STOCK[],19,FALSE)*VENTAS[[#This Row],[Cantidad]],VENTAS[[#This Row],[Total]])</f>
        <v>9</v>
      </c>
      <c r="L2278" s="12">
        <f>VENTAS[[#This Row],[Total]]-VENTAS[[#This Row],[Comisión 10%]]-VENTAS[[#This Row],[Costo SIN Comision]]</f>
        <v>9</v>
      </c>
      <c r="M2278" s="49"/>
      <c r="N2278" s="50" t="s">
        <v>5296</v>
      </c>
    </row>
    <row r="2279" spans="1:14" ht="12" hidden="1" customHeight="1">
      <c r="A2279" s="51">
        <v>45642</v>
      </c>
      <c r="B2279" s="49"/>
      <c r="C2279" s="49"/>
      <c r="D2279" s="49"/>
      <c r="E2279" s="49" t="s">
        <v>3829</v>
      </c>
      <c r="F2279" s="10" t="str">
        <f>IFERROR(VLOOKUP(VENTAS[[#This Row],[Código del producto Vendido]],STOCK[],5,FALSE),"-")</f>
        <v>Cardigan corto de manga larga y botones delanteros Albaricoque</v>
      </c>
      <c r="G2279" s="49">
        <v>1</v>
      </c>
      <c r="H2279" s="49">
        <v>30</v>
      </c>
      <c r="I2279" s="12">
        <f>VENTAS[[#This Row],[Cantidad]]*VENTAS[[#This Row],[Precio Venta]]</f>
        <v>30</v>
      </c>
      <c r="J2279" s="12">
        <f>IF(VENTAS[[#This Row],[Nombre del Gestor]]&gt;1,VENTAS[[#This Row],[Total]]*10%,0)</f>
        <v>0</v>
      </c>
      <c r="K2279" s="12">
        <f>IFERROR(VLOOKUP(VENTAS[[#This Row],[Código del producto Vendido]],STOCK[],16,FALSE)*VENTAS[[#This Row],[Cantidad]]+VLOOKUP(VENTAS[[#This Row],[Código del producto Vendido]],STOCK[],19,FALSE)*VENTAS[[#This Row],[Cantidad]],VENTAS[[#This Row],[Total]])</f>
        <v>16.689999999999998</v>
      </c>
      <c r="L2279" s="12">
        <f>VENTAS[[#This Row],[Total]]-VENTAS[[#This Row],[Comisión 10%]]-VENTAS[[#This Row],[Costo SIN Comision]]</f>
        <v>13.310000000000002</v>
      </c>
      <c r="M2279" s="49"/>
      <c r="N2279" s="50" t="s">
        <v>5297</v>
      </c>
    </row>
    <row r="2280" spans="1:14" ht="12" hidden="1" customHeight="1">
      <c r="A2280" s="51">
        <v>45643</v>
      </c>
      <c r="B2280" s="49"/>
      <c r="C2280" s="49"/>
      <c r="D2280" s="49" t="s">
        <v>4349</v>
      </c>
      <c r="E2280" s="49" t="s">
        <v>3969</v>
      </c>
      <c r="F2280" s="10" t="str">
        <f>IFERROR(VLOOKUP(VENTAS[[#This Row],[Código del producto Vendido]],STOCK[],5,FALSE),"-")</f>
        <v>Plataforma negra en tendencia (talla reducida)</v>
      </c>
      <c r="G2280" s="49">
        <v>1</v>
      </c>
      <c r="H2280" s="49">
        <v>40</v>
      </c>
      <c r="I2280" s="12">
        <f>VENTAS[[#This Row],[Cantidad]]*VENTAS[[#This Row],[Precio Venta]]</f>
        <v>40</v>
      </c>
      <c r="J2280" s="12">
        <f>IF(VENTAS[[#This Row],[Nombre del Gestor]]&gt;1,VENTAS[[#This Row],[Total]]*10%,0)</f>
        <v>4</v>
      </c>
      <c r="K2280" s="12">
        <f>IFERROR(VLOOKUP(VENTAS[[#This Row],[Código del producto Vendido]],STOCK[],16,FALSE)*VENTAS[[#This Row],[Cantidad]]+VLOOKUP(VENTAS[[#This Row],[Código del producto Vendido]],STOCK[],19,FALSE)*VENTAS[[#This Row],[Cantidad]],VENTAS[[#This Row],[Total]])</f>
        <v>13.75</v>
      </c>
      <c r="L2280" s="12">
        <f>VENTAS[[#This Row],[Total]]-VENTAS[[#This Row],[Comisión 10%]]-VENTAS[[#This Row],[Costo SIN Comision]]</f>
        <v>22.25</v>
      </c>
      <c r="M2280" s="49"/>
      <c r="N2280" s="50" t="s">
        <v>5298</v>
      </c>
    </row>
    <row r="2281" spans="1:14" ht="12" hidden="1" customHeight="1">
      <c r="A2281" s="51">
        <v>45643</v>
      </c>
      <c r="B2281" s="49"/>
      <c r="C2281" s="49"/>
      <c r="D2281" s="49" t="s">
        <v>4349</v>
      </c>
      <c r="E2281" s="49" t="s">
        <v>3953</v>
      </c>
      <c r="F2281" s="10" t="str">
        <f>IFERROR(VLOOKUP(VENTAS[[#This Row],[Código del producto Vendido]],STOCK[],5,FALSE),"-")</f>
        <v xml:space="preserve">Botas negras ajustadas de zíper </v>
      </c>
      <c r="G2281" s="49">
        <v>1</v>
      </c>
      <c r="H2281" s="49">
        <v>40</v>
      </c>
      <c r="I2281" s="12">
        <f>VENTAS[[#This Row],[Cantidad]]*VENTAS[[#This Row],[Precio Venta]]</f>
        <v>40</v>
      </c>
      <c r="J2281" s="12">
        <f>IF(VENTAS[[#This Row],[Nombre del Gestor]]&gt;1,VENTAS[[#This Row],[Total]]*10%,0)</f>
        <v>4</v>
      </c>
      <c r="K2281" s="12">
        <f>IFERROR(VLOOKUP(VENTAS[[#This Row],[Código del producto Vendido]],STOCK[],16,FALSE)*VENTAS[[#This Row],[Cantidad]]+VLOOKUP(VENTAS[[#This Row],[Código del producto Vendido]],STOCK[],19,FALSE)*VENTAS[[#This Row],[Cantidad]],VENTAS[[#This Row],[Total]])</f>
        <v>20.25</v>
      </c>
      <c r="L2281" s="12">
        <f>VENTAS[[#This Row],[Total]]-VENTAS[[#This Row],[Comisión 10%]]-VENTAS[[#This Row],[Costo SIN Comision]]</f>
        <v>15.75</v>
      </c>
      <c r="M2281" s="49"/>
      <c r="N2281" s="50" t="s">
        <v>5299</v>
      </c>
    </row>
    <row r="2282" spans="1:14" ht="12" hidden="1" customHeight="1">
      <c r="A2282" s="51">
        <v>45643</v>
      </c>
      <c r="B2282" s="49"/>
      <c r="C2282" s="49"/>
      <c r="D2282" s="49" t="s">
        <v>4349</v>
      </c>
      <c r="E2282" s="49" t="s">
        <v>3940</v>
      </c>
      <c r="F2282" s="10" t="str">
        <f>IFERROR(VLOOKUP(VENTAS[[#This Row],[Código del producto Vendido]],STOCK[],5,FALSE),"-")</f>
        <v>Bolso grande de rafia con zíper y adorno de charm</v>
      </c>
      <c r="G2282" s="49">
        <v>1</v>
      </c>
      <c r="H2282" s="49">
        <v>30</v>
      </c>
      <c r="I2282" s="12">
        <f>VENTAS[[#This Row],[Cantidad]]*VENTAS[[#This Row],[Precio Venta]]</f>
        <v>30</v>
      </c>
      <c r="J2282" s="12">
        <f>IF(VENTAS[[#This Row],[Nombre del Gestor]]&gt;1,VENTAS[[#This Row],[Total]]*10%,0)</f>
        <v>3</v>
      </c>
      <c r="K2282" s="12">
        <f>IFERROR(VLOOKUP(VENTAS[[#This Row],[Código del producto Vendido]],STOCK[],16,FALSE)*VENTAS[[#This Row],[Cantidad]]+VLOOKUP(VENTAS[[#This Row],[Código del producto Vendido]],STOCK[],19,FALSE)*VENTAS[[#This Row],[Cantidad]],VENTAS[[#This Row],[Total]])</f>
        <v>11.51</v>
      </c>
      <c r="L2282" s="12">
        <f>VENTAS[[#This Row],[Total]]-VENTAS[[#This Row],[Comisión 10%]]-VENTAS[[#This Row],[Costo SIN Comision]]</f>
        <v>15.49</v>
      </c>
      <c r="M2282" s="49"/>
      <c r="N2282" s="50" t="s">
        <v>5300</v>
      </c>
    </row>
    <row r="2283" spans="1:14" ht="12" hidden="1" customHeight="1">
      <c r="A2283" s="51">
        <v>45643</v>
      </c>
      <c r="B2283" s="49"/>
      <c r="C2283" s="49"/>
      <c r="D2283" s="49" t="s">
        <v>4184</v>
      </c>
      <c r="E2283" s="49" t="s">
        <v>3832</v>
      </c>
      <c r="F2283" s="10" t="str">
        <f>IFERROR(VLOOKUP(VENTAS[[#This Row],[Código del producto Vendido]],STOCK[],5,FALSE),"-")</f>
        <v>Cardigan corto de manga larga y botones delanteros negro</v>
      </c>
      <c r="G2283" s="49">
        <v>1</v>
      </c>
      <c r="H2283" s="49">
        <v>30</v>
      </c>
      <c r="I2283" s="12">
        <f>VENTAS[[#This Row],[Cantidad]]*VENTAS[[#This Row],[Precio Venta]]</f>
        <v>30</v>
      </c>
      <c r="J2283" s="12">
        <f>IF(VENTAS[[#This Row],[Nombre del Gestor]]&gt;1,VENTAS[[#This Row],[Total]]*10%,0)</f>
        <v>3</v>
      </c>
      <c r="K2283" s="12">
        <f>IFERROR(VLOOKUP(VENTAS[[#This Row],[Código del producto Vendido]],STOCK[],16,FALSE)*VENTAS[[#This Row],[Cantidad]]+VLOOKUP(VENTAS[[#This Row],[Código del producto Vendido]],STOCK[],19,FALSE)*VENTAS[[#This Row],[Cantidad]],VENTAS[[#This Row],[Total]])</f>
        <v>16.119999999999997</v>
      </c>
      <c r="L2283" s="12">
        <f>VENTAS[[#This Row],[Total]]-VENTAS[[#This Row],[Comisión 10%]]-VENTAS[[#This Row],[Costo SIN Comision]]</f>
        <v>10.880000000000003</v>
      </c>
      <c r="M2283" s="49"/>
      <c r="N2283" s="50" t="s">
        <v>5301</v>
      </c>
    </row>
    <row r="2284" spans="1:14" ht="12" hidden="1" customHeight="1">
      <c r="A2284" s="51">
        <v>45643</v>
      </c>
      <c r="B2284" s="49"/>
      <c r="C2284" s="49"/>
      <c r="D2284" s="49" t="s">
        <v>4184</v>
      </c>
      <c r="E2284" s="49" t="s">
        <v>3966</v>
      </c>
      <c r="F2284" s="10" t="str">
        <f>IFERROR(VLOOKUP(VENTAS[[#This Row],[Código del producto Vendido]],STOCK[],5,FALSE),"-")</f>
        <v>Sandalias en tendencia y de gran comodidad Negro (talla reducida)</v>
      </c>
      <c r="G2284" s="49">
        <v>1</v>
      </c>
      <c r="H2284" s="49">
        <v>30</v>
      </c>
      <c r="I2284" s="12">
        <f>VENTAS[[#This Row],[Cantidad]]*VENTAS[[#This Row],[Precio Venta]]</f>
        <v>30</v>
      </c>
      <c r="J2284" s="12">
        <f>IF(VENTAS[[#This Row],[Nombre del Gestor]]&gt;1,VENTAS[[#This Row],[Total]]*10%,0)</f>
        <v>3</v>
      </c>
      <c r="K2284" s="12">
        <f>IFERROR(VLOOKUP(VENTAS[[#This Row],[Código del producto Vendido]],STOCK[],16,FALSE)*VENTAS[[#This Row],[Cantidad]]+VLOOKUP(VENTAS[[#This Row],[Código del producto Vendido]],STOCK[],19,FALSE)*VENTAS[[#This Row],[Cantidad]],VENTAS[[#This Row],[Total]])</f>
        <v>10.75</v>
      </c>
      <c r="L2284" s="12">
        <f>VENTAS[[#This Row],[Total]]-VENTAS[[#This Row],[Comisión 10%]]-VENTAS[[#This Row],[Costo SIN Comision]]</f>
        <v>16.25</v>
      </c>
      <c r="M2284" s="49"/>
      <c r="N2284" s="50" t="s">
        <v>5302</v>
      </c>
    </row>
    <row r="2285" spans="1:14" ht="12" hidden="1" customHeight="1">
      <c r="A2285" s="51">
        <v>45643</v>
      </c>
      <c r="B2285" s="49"/>
      <c r="C2285" s="49"/>
      <c r="D2285" s="49" t="s">
        <v>4349</v>
      </c>
      <c r="E2285" s="49" t="s">
        <v>3936</v>
      </c>
      <c r="F2285" s="10" t="str">
        <f>IFERROR(VLOOKUP(VENTAS[[#This Row],[Código del producto Vendido]],STOCK[],5,FALSE),"-")</f>
        <v>Bolso carmelita redondo de rafia con zíper</v>
      </c>
      <c r="G2285" s="49">
        <v>1</v>
      </c>
      <c r="H2285" s="49">
        <v>25</v>
      </c>
      <c r="I2285" s="12">
        <f>VENTAS[[#This Row],[Cantidad]]*VENTAS[[#This Row],[Precio Venta]]</f>
        <v>25</v>
      </c>
      <c r="J2285" s="12">
        <f>IF(VENTAS[[#This Row],[Nombre del Gestor]]&gt;1,VENTAS[[#This Row],[Total]]*10%,0)</f>
        <v>2.5</v>
      </c>
      <c r="K2285" s="12">
        <f>IFERROR(VLOOKUP(VENTAS[[#This Row],[Código del producto Vendido]],STOCK[],16,FALSE)*VENTAS[[#This Row],[Cantidad]]+VLOOKUP(VENTAS[[#This Row],[Código del producto Vendido]],STOCK[],19,FALSE)*VENTAS[[#This Row],[Cantidad]],VENTAS[[#This Row],[Total]])</f>
        <v>11.96</v>
      </c>
      <c r="L2285" s="12">
        <f>VENTAS[[#This Row],[Total]]-VENTAS[[#This Row],[Comisión 10%]]-VENTAS[[#This Row],[Costo SIN Comision]]</f>
        <v>10.54</v>
      </c>
      <c r="M2285" s="49"/>
      <c r="N2285" s="50" t="s">
        <v>5303</v>
      </c>
    </row>
    <row r="2286" spans="1:14" ht="12" hidden="1" customHeight="1">
      <c r="A2286" s="51">
        <v>45643</v>
      </c>
      <c r="B2286" s="49"/>
      <c r="C2286" s="49"/>
      <c r="D2286" s="49" t="s">
        <v>4237</v>
      </c>
      <c r="E2286" s="49" t="s">
        <v>3940</v>
      </c>
      <c r="F2286" s="10" t="str">
        <f>IFERROR(VLOOKUP(VENTAS[[#This Row],[Código del producto Vendido]],STOCK[],5,FALSE),"-")</f>
        <v>Bolso grande de rafia con zíper y adorno de charm</v>
      </c>
      <c r="G2286" s="49">
        <v>1</v>
      </c>
      <c r="H2286" s="49">
        <v>30</v>
      </c>
      <c r="I2286" s="12">
        <f>VENTAS[[#This Row],[Cantidad]]*VENTAS[[#This Row],[Precio Venta]]</f>
        <v>30</v>
      </c>
      <c r="J2286" s="12">
        <f>IF(VENTAS[[#This Row],[Nombre del Gestor]]&gt;1,VENTAS[[#This Row],[Total]]*10%,0)</f>
        <v>3</v>
      </c>
      <c r="K2286" s="12">
        <f>IFERROR(VLOOKUP(VENTAS[[#This Row],[Código del producto Vendido]],STOCK[],16,FALSE)*VENTAS[[#This Row],[Cantidad]]+VLOOKUP(VENTAS[[#This Row],[Código del producto Vendido]],STOCK[],19,FALSE)*VENTAS[[#This Row],[Cantidad]],VENTAS[[#This Row],[Total]])</f>
        <v>11.51</v>
      </c>
      <c r="L2286" s="12">
        <f>VENTAS[[#This Row],[Total]]-VENTAS[[#This Row],[Comisión 10%]]-VENTAS[[#This Row],[Costo SIN Comision]]</f>
        <v>15.49</v>
      </c>
      <c r="M2286" s="49"/>
      <c r="N2286" s="50" t="s">
        <v>5304</v>
      </c>
    </row>
    <row r="2287" spans="1:14" ht="12" hidden="1" customHeight="1">
      <c r="A2287" s="51">
        <v>45643</v>
      </c>
      <c r="B2287" s="49"/>
      <c r="C2287" s="49"/>
      <c r="D2287" s="49" t="s">
        <v>4473</v>
      </c>
      <c r="E2287" s="49" t="s">
        <v>3988</v>
      </c>
      <c r="F2287" s="10" t="str">
        <f>IFERROR(VLOOKUP(VENTAS[[#This Row],[Código del producto Vendido]],STOCK[],5,FALSE),"-")</f>
        <v>Vestido pullover acanalado Rosa (Victoria´s Secret)</v>
      </c>
      <c r="G2287" s="49">
        <v>1</v>
      </c>
      <c r="H2287" s="49">
        <v>30</v>
      </c>
      <c r="I2287" s="12">
        <f>VENTAS[[#This Row],[Cantidad]]*VENTAS[[#This Row],[Precio Venta]]</f>
        <v>30</v>
      </c>
      <c r="J2287" s="12">
        <f>IF(VENTAS[[#This Row],[Nombre del Gestor]]&gt;1,VENTAS[[#This Row],[Total]]*10%,0)</f>
        <v>3</v>
      </c>
      <c r="K2287" s="12">
        <f>IFERROR(VLOOKUP(VENTAS[[#This Row],[Código del producto Vendido]],STOCK[],16,FALSE)*VENTAS[[#This Row],[Cantidad]]+VLOOKUP(VENTAS[[#This Row],[Código del producto Vendido]],STOCK[],19,FALSE)*VENTAS[[#This Row],[Cantidad]],VENTAS[[#This Row],[Total]])</f>
        <v>17.240000000000002</v>
      </c>
      <c r="L2287" s="12">
        <f>VENTAS[[#This Row],[Total]]-VENTAS[[#This Row],[Comisión 10%]]-VENTAS[[#This Row],[Costo SIN Comision]]</f>
        <v>9.759999999999998</v>
      </c>
      <c r="M2287" s="49"/>
      <c r="N2287" s="50" t="s">
        <v>5305</v>
      </c>
    </row>
    <row r="2288" spans="1:14" ht="12" hidden="1" customHeight="1">
      <c r="A2288" s="51">
        <v>45643</v>
      </c>
      <c r="B2288" s="49"/>
      <c r="C2288" s="49"/>
      <c r="D2288" s="49" t="s">
        <v>4473</v>
      </c>
      <c r="E2288" s="49" t="s">
        <v>3980</v>
      </c>
      <c r="F2288" s="10" t="str">
        <f>IFERROR(VLOOKUP(VENTAS[[#This Row],[Código del producto Vendido]],STOCK[],5,FALSE),"-")</f>
        <v>Vestido pullover acanalado Oliva (Victoria´s Secret)</v>
      </c>
      <c r="G2288" s="49">
        <v>1</v>
      </c>
      <c r="H2288" s="49">
        <v>30</v>
      </c>
      <c r="I2288" s="12">
        <f>VENTAS[[#This Row],[Cantidad]]*VENTAS[[#This Row],[Precio Venta]]</f>
        <v>30</v>
      </c>
      <c r="J2288" s="12">
        <f>IF(VENTAS[[#This Row],[Nombre del Gestor]]&gt;1,VENTAS[[#This Row],[Total]]*10%,0)</f>
        <v>3</v>
      </c>
      <c r="K2288" s="12">
        <f>IFERROR(VLOOKUP(VENTAS[[#This Row],[Código del producto Vendido]],STOCK[],16,FALSE)*VENTAS[[#This Row],[Cantidad]]+VLOOKUP(VENTAS[[#This Row],[Código del producto Vendido]],STOCK[],19,FALSE)*VENTAS[[#This Row],[Cantidad]],VENTAS[[#This Row],[Total]])</f>
        <v>17.240000000000002</v>
      </c>
      <c r="L2288" s="12">
        <f>VENTAS[[#This Row],[Total]]-VENTAS[[#This Row],[Comisión 10%]]-VENTAS[[#This Row],[Costo SIN Comision]]</f>
        <v>9.759999999999998</v>
      </c>
      <c r="M2288" s="49"/>
      <c r="N2288" s="50" t="s">
        <v>5306</v>
      </c>
    </row>
    <row r="2289" spans="1:14" ht="12" hidden="1" customHeight="1">
      <c r="A2289" s="51">
        <v>45643</v>
      </c>
      <c r="B2289" s="49"/>
      <c r="C2289" s="49"/>
      <c r="D2289" s="49" t="s">
        <v>4473</v>
      </c>
      <c r="E2289" s="49" t="s">
        <v>3982</v>
      </c>
      <c r="F2289" s="10" t="str">
        <f>IFERROR(VLOOKUP(VENTAS[[#This Row],[Código del producto Vendido]],STOCK[],5,FALSE),"-")</f>
        <v>Vestido pullover acanalado Crema (Victoria´s Secret)</v>
      </c>
      <c r="G2289" s="49">
        <v>1</v>
      </c>
      <c r="H2289" s="49">
        <v>30</v>
      </c>
      <c r="I2289" s="12">
        <f>VENTAS[[#This Row],[Cantidad]]*VENTAS[[#This Row],[Precio Venta]]</f>
        <v>30</v>
      </c>
      <c r="J2289" s="12">
        <f>IF(VENTAS[[#This Row],[Nombre del Gestor]]&gt;1,VENTAS[[#This Row],[Total]]*10%,0)</f>
        <v>3</v>
      </c>
      <c r="K2289" s="12">
        <f>IFERROR(VLOOKUP(VENTAS[[#This Row],[Código del producto Vendido]],STOCK[],16,FALSE)*VENTAS[[#This Row],[Cantidad]]+VLOOKUP(VENTAS[[#This Row],[Código del producto Vendido]],STOCK[],19,FALSE)*VENTAS[[#This Row],[Cantidad]],VENTAS[[#This Row],[Total]])</f>
        <v>17.240000000000002</v>
      </c>
      <c r="L2289" s="12">
        <f>VENTAS[[#This Row],[Total]]-VENTAS[[#This Row],[Comisión 10%]]-VENTAS[[#This Row],[Costo SIN Comision]]</f>
        <v>9.759999999999998</v>
      </c>
      <c r="M2289" s="49"/>
      <c r="N2289" s="50" t="s">
        <v>5307</v>
      </c>
    </row>
    <row r="2290" spans="1:14" ht="12" hidden="1" customHeight="1">
      <c r="A2290" s="51">
        <v>45643</v>
      </c>
      <c r="B2290" s="49"/>
      <c r="C2290" s="49"/>
      <c r="D2290" s="49" t="s">
        <v>4380</v>
      </c>
      <c r="E2290" s="49" t="s">
        <v>3932</v>
      </c>
      <c r="F2290" s="10" t="str">
        <f>IFERROR(VLOOKUP(VENTAS[[#This Row],[Código del producto Vendido]],STOCK[],5,FALSE),"-")</f>
        <v>Bolso ratán de listas blancas</v>
      </c>
      <c r="G2290" s="49">
        <v>1</v>
      </c>
      <c r="H2290" s="49">
        <v>25</v>
      </c>
      <c r="I2290" s="12">
        <f>VENTAS[[#This Row],[Cantidad]]*VENTAS[[#This Row],[Precio Venta]]</f>
        <v>25</v>
      </c>
      <c r="J2290" s="12">
        <f>IF(VENTAS[[#This Row],[Nombre del Gestor]]&gt;1,VENTAS[[#This Row],[Total]]*10%,0)</f>
        <v>2.5</v>
      </c>
      <c r="K2290" s="12">
        <f>IFERROR(VLOOKUP(VENTAS[[#This Row],[Código del producto Vendido]],STOCK[],16,FALSE)*VENTAS[[#This Row],[Cantidad]]+VLOOKUP(VENTAS[[#This Row],[Código del producto Vendido]],STOCK[],19,FALSE)*VENTAS[[#This Row],[Cantidad]],VENTAS[[#This Row],[Total]])</f>
        <v>11.44</v>
      </c>
      <c r="L2290" s="12">
        <f>VENTAS[[#This Row],[Total]]-VENTAS[[#This Row],[Comisión 10%]]-VENTAS[[#This Row],[Costo SIN Comision]]</f>
        <v>11.06</v>
      </c>
      <c r="M2290" s="49"/>
      <c r="N2290" s="50" t="s">
        <v>5308</v>
      </c>
    </row>
    <row r="2291" spans="1:14" ht="12" hidden="1" customHeight="1">
      <c r="A2291" s="51">
        <v>45643</v>
      </c>
      <c r="B2291" s="49"/>
      <c r="C2291" s="49"/>
      <c r="D2291" s="49"/>
      <c r="E2291" s="49" t="s">
        <v>3972</v>
      </c>
      <c r="F2291" s="10" t="str">
        <f>IFERROR(VLOOKUP(VENTAS[[#This Row],[Código del producto Vendido]],STOCK[],5,FALSE),"-")</f>
        <v>Plataforma en bloque de color</v>
      </c>
      <c r="G2291" s="49">
        <v>1</v>
      </c>
      <c r="H2291" s="49">
        <v>35</v>
      </c>
      <c r="I2291" s="12">
        <f>VENTAS[[#This Row],[Cantidad]]*VENTAS[[#This Row],[Precio Venta]]</f>
        <v>35</v>
      </c>
      <c r="J2291" s="12">
        <f>IF(VENTAS[[#This Row],[Nombre del Gestor]]&gt;1,VENTAS[[#This Row],[Total]]*10%,0)</f>
        <v>0</v>
      </c>
      <c r="K2291" s="12">
        <f>IFERROR(VLOOKUP(VENTAS[[#This Row],[Código del producto Vendido]],STOCK[],16,FALSE)*VENTAS[[#This Row],[Cantidad]]+VLOOKUP(VENTAS[[#This Row],[Código del producto Vendido]],STOCK[],19,FALSE)*VENTAS[[#This Row],[Cantidad]],VENTAS[[#This Row],[Total]])</f>
        <v>11.75</v>
      </c>
      <c r="L2291" s="12">
        <f>VENTAS[[#This Row],[Total]]-VENTAS[[#This Row],[Comisión 10%]]-VENTAS[[#This Row],[Costo SIN Comision]]</f>
        <v>23.25</v>
      </c>
      <c r="M2291" s="49"/>
      <c r="N2291" s="50" t="s">
        <v>5309</v>
      </c>
    </row>
    <row r="2292" spans="1:14" ht="12" hidden="1" customHeight="1">
      <c r="A2292" s="51">
        <v>45643</v>
      </c>
      <c r="B2292" s="49"/>
      <c r="C2292" s="49"/>
      <c r="D2292" s="49" t="s">
        <v>4237</v>
      </c>
      <c r="E2292" s="49" t="s">
        <v>3940</v>
      </c>
      <c r="F2292" s="10" t="str">
        <f>IFERROR(VLOOKUP(VENTAS[[#This Row],[Código del producto Vendido]],STOCK[],5,FALSE),"-")</f>
        <v>Bolso grande de rafia con zíper y adorno de charm</v>
      </c>
      <c r="G2292" s="49">
        <v>1</v>
      </c>
      <c r="H2292" s="49">
        <v>30</v>
      </c>
      <c r="I2292" s="12">
        <f>VENTAS[[#This Row],[Cantidad]]*VENTAS[[#This Row],[Precio Venta]]</f>
        <v>30</v>
      </c>
      <c r="J2292" s="12">
        <f>IF(VENTAS[[#This Row],[Nombre del Gestor]]&gt;1,VENTAS[[#This Row],[Total]]*10%,0)</f>
        <v>3</v>
      </c>
      <c r="K2292" s="12">
        <f>IFERROR(VLOOKUP(VENTAS[[#This Row],[Código del producto Vendido]],STOCK[],16,FALSE)*VENTAS[[#This Row],[Cantidad]]+VLOOKUP(VENTAS[[#This Row],[Código del producto Vendido]],STOCK[],19,FALSE)*VENTAS[[#This Row],[Cantidad]],VENTAS[[#This Row],[Total]])</f>
        <v>11.51</v>
      </c>
      <c r="L2292" s="12">
        <f>VENTAS[[#This Row],[Total]]-VENTAS[[#This Row],[Comisión 10%]]-VENTAS[[#This Row],[Costo SIN Comision]]</f>
        <v>15.49</v>
      </c>
      <c r="M2292" s="49"/>
      <c r="N2292" s="50" t="s">
        <v>5310</v>
      </c>
    </row>
    <row r="2293" spans="1:14" ht="12" hidden="1" customHeight="1">
      <c r="A2293" s="51">
        <v>45643</v>
      </c>
      <c r="B2293" s="49"/>
      <c r="C2293" s="49"/>
      <c r="D2293" s="49" t="s">
        <v>4374</v>
      </c>
      <c r="E2293" s="49" t="s">
        <v>3929</v>
      </c>
      <c r="F2293" s="10" t="str">
        <f>IFERROR(VLOOKUP(VENTAS[[#This Row],[Código del producto Vendido]],STOCK[],5,FALSE),"-")</f>
        <v xml:space="preserve">Bolso ratán de listas negras </v>
      </c>
      <c r="G2293" s="49">
        <v>1</v>
      </c>
      <c r="H2293" s="49">
        <v>25</v>
      </c>
      <c r="I2293" s="12">
        <f>VENTAS[[#This Row],[Cantidad]]*VENTAS[[#This Row],[Precio Venta]]</f>
        <v>25</v>
      </c>
      <c r="J2293" s="12">
        <f>IF(VENTAS[[#This Row],[Nombre del Gestor]]&gt;1,VENTAS[[#This Row],[Total]]*10%,0)</f>
        <v>2.5</v>
      </c>
      <c r="K2293" s="12">
        <f>IFERROR(VLOOKUP(VENTAS[[#This Row],[Código del producto Vendido]],STOCK[],16,FALSE)*VENTAS[[#This Row],[Cantidad]]+VLOOKUP(VENTAS[[#This Row],[Código del producto Vendido]],STOCK[],19,FALSE)*VENTAS[[#This Row],[Cantidad]],VENTAS[[#This Row],[Total]])</f>
        <v>11.81</v>
      </c>
      <c r="L2293" s="12">
        <f>VENTAS[[#This Row],[Total]]-VENTAS[[#This Row],[Comisión 10%]]-VENTAS[[#This Row],[Costo SIN Comision]]</f>
        <v>10.69</v>
      </c>
      <c r="M2293" s="49"/>
      <c r="N2293" s="50" t="s">
        <v>5311</v>
      </c>
    </row>
    <row r="2294" spans="1:14" ht="12" hidden="1" customHeight="1">
      <c r="A2294" s="51">
        <v>45644</v>
      </c>
      <c r="B2294" s="49"/>
      <c r="C2294" s="49"/>
      <c r="D2294" s="49" t="s">
        <v>4349</v>
      </c>
      <c r="E2294" s="49" t="s">
        <v>3835</v>
      </c>
      <c r="F2294" s="10" t="str">
        <f>IFERROR(VLOOKUP(VENTAS[[#This Row],[Código del producto Vendido]],STOCK[],5,FALSE),"-")</f>
        <v>Cardigan corto de manga larga y botones delanteros negro</v>
      </c>
      <c r="G2294" s="49">
        <v>1</v>
      </c>
      <c r="H2294" s="49">
        <v>30</v>
      </c>
      <c r="I2294" s="12">
        <f>VENTAS[[#This Row],[Cantidad]]*VENTAS[[#This Row],[Precio Venta]]</f>
        <v>30</v>
      </c>
      <c r="J2294" s="12">
        <f>IF(VENTAS[[#This Row],[Nombre del Gestor]]&gt;1,VENTAS[[#This Row],[Total]]*10%,0)</f>
        <v>3</v>
      </c>
      <c r="K2294" s="12">
        <f>IFERROR(VLOOKUP(VENTAS[[#This Row],[Código del producto Vendido]],STOCK[],16,FALSE)*VENTAS[[#This Row],[Cantidad]]+VLOOKUP(VENTAS[[#This Row],[Código del producto Vendido]],STOCK[],19,FALSE)*VENTAS[[#This Row],[Cantidad]],VENTAS[[#This Row],[Total]])</f>
        <v>16.119999999999997</v>
      </c>
      <c r="L2294" s="12">
        <f>VENTAS[[#This Row],[Total]]-VENTAS[[#This Row],[Comisión 10%]]-VENTAS[[#This Row],[Costo SIN Comision]]</f>
        <v>10.880000000000003</v>
      </c>
      <c r="M2294" s="49"/>
      <c r="N2294" s="50" t="s">
        <v>5312</v>
      </c>
    </row>
    <row r="2295" spans="1:14" ht="12" hidden="1" customHeight="1">
      <c r="A2295" s="51">
        <v>45644</v>
      </c>
      <c r="B2295" s="49"/>
      <c r="C2295" s="49"/>
      <c r="D2295" s="49"/>
      <c r="E2295" s="49" t="s">
        <v>1874</v>
      </c>
      <c r="F2295" s="10" t="str">
        <f>IFERROR(VLOOKUP(VENTAS[[#This Row],[Código del producto Vendido]],STOCK[],5,FALSE),"-")</f>
        <v>Blazer entallado</v>
      </c>
      <c r="G2295" s="49">
        <v>1</v>
      </c>
      <c r="H2295" s="49">
        <v>40</v>
      </c>
      <c r="I2295" s="12">
        <f>VENTAS[[#This Row],[Cantidad]]*VENTAS[[#This Row],[Precio Venta]]</f>
        <v>40</v>
      </c>
      <c r="J2295" s="12">
        <f>IF(VENTAS[[#This Row],[Nombre del Gestor]]&gt;1,VENTAS[[#This Row],[Total]]*10%,0)</f>
        <v>0</v>
      </c>
      <c r="K2295" s="12">
        <f>IFERROR(VLOOKUP(VENTAS[[#This Row],[Código del producto Vendido]],STOCK[],16,FALSE)*VENTAS[[#This Row],[Cantidad]]+VLOOKUP(VENTAS[[#This Row],[Código del producto Vendido]],STOCK[],19,FALSE)*VENTAS[[#This Row],[Cantidad]],VENTAS[[#This Row],[Total]])</f>
        <v>24.29</v>
      </c>
      <c r="L2295" s="12">
        <f>VENTAS[[#This Row],[Total]]-VENTAS[[#This Row],[Comisión 10%]]-VENTAS[[#This Row],[Costo SIN Comision]]</f>
        <v>15.71</v>
      </c>
      <c r="M2295" s="49"/>
      <c r="N2295" s="50" t="s">
        <v>5313</v>
      </c>
    </row>
    <row r="2296" spans="1:14" ht="12" hidden="1" customHeight="1">
      <c r="A2296" s="51">
        <v>45644</v>
      </c>
      <c r="B2296" s="49"/>
      <c r="C2296" s="49"/>
      <c r="D2296" s="49" t="s">
        <v>4349</v>
      </c>
      <c r="E2296" s="49" t="s">
        <v>2461</v>
      </c>
      <c r="F2296" s="10" t="str">
        <f>IFERROR(VLOOKUP(VENTAS[[#This Row],[Código del producto Vendido]],STOCK[],5,FALSE),"-")</f>
        <v>Sneakers chunky blancos</v>
      </c>
      <c r="G2296" s="49">
        <v>1</v>
      </c>
      <c r="H2296" s="49">
        <v>45</v>
      </c>
      <c r="I2296" s="12">
        <f>VENTAS[[#This Row],[Cantidad]]*VENTAS[[#This Row],[Precio Venta]]</f>
        <v>45</v>
      </c>
      <c r="J2296" s="12">
        <f>IF(VENTAS[[#This Row],[Nombre del Gestor]]&gt;1,VENTAS[[#This Row],[Total]]*10%,0)</f>
        <v>4.5</v>
      </c>
      <c r="K2296" s="12">
        <f>IFERROR(VLOOKUP(VENTAS[[#This Row],[Código del producto Vendido]],STOCK[],16,FALSE)*VENTAS[[#This Row],[Cantidad]]+VLOOKUP(VENTAS[[#This Row],[Código del producto Vendido]],STOCK[],19,FALSE)*VENTAS[[#This Row],[Cantidad]],VENTAS[[#This Row],[Total]])</f>
        <v>24.47</v>
      </c>
      <c r="L2296" s="12">
        <f>VENTAS[[#This Row],[Total]]-VENTAS[[#This Row],[Comisión 10%]]-VENTAS[[#This Row],[Costo SIN Comision]]</f>
        <v>16.03</v>
      </c>
      <c r="M2296" s="49"/>
      <c r="N2296" s="50" t="s">
        <v>5314</v>
      </c>
    </row>
    <row r="2297" spans="1:14" ht="12" hidden="1" customHeight="1">
      <c r="A2297" s="51">
        <v>45644</v>
      </c>
      <c r="B2297" s="49"/>
      <c r="C2297" s="49"/>
      <c r="D2297" s="49" t="s">
        <v>4349</v>
      </c>
      <c r="E2297" s="49" t="s">
        <v>1756</v>
      </c>
      <c r="F2297" s="10" t="str">
        <f>IFERROR(VLOOKUP(VENTAS[[#This Row],[Código del producto Vendido]],STOCK[],5,FALSE),"-")</f>
        <v>Kimono Dazy Elegante</v>
      </c>
      <c r="G2297" s="49">
        <v>1</v>
      </c>
      <c r="H2297" s="49">
        <v>22</v>
      </c>
      <c r="I2297" s="12">
        <f>VENTAS[[#This Row],[Cantidad]]*VENTAS[[#This Row],[Precio Venta]]</f>
        <v>22</v>
      </c>
      <c r="J2297" s="12">
        <f>IF(VENTAS[[#This Row],[Nombre del Gestor]]&gt;1,VENTAS[[#This Row],[Total]]*10%,0)</f>
        <v>2.2000000000000002</v>
      </c>
      <c r="K2297" s="12">
        <f>IFERROR(VLOOKUP(VENTAS[[#This Row],[Código del producto Vendido]],STOCK[],16,FALSE)*VENTAS[[#This Row],[Cantidad]]+VLOOKUP(VENTAS[[#This Row],[Código del producto Vendido]],STOCK[],19,FALSE)*VENTAS[[#This Row],[Cantidad]],VENTAS[[#This Row],[Total]])</f>
        <v>13.352941176470591</v>
      </c>
      <c r="L2297" s="12">
        <f>VENTAS[[#This Row],[Total]]-VENTAS[[#This Row],[Comisión 10%]]-VENTAS[[#This Row],[Costo SIN Comision]]</f>
        <v>6.4470588235294102</v>
      </c>
      <c r="M2297" s="49"/>
      <c r="N2297" s="50" t="s">
        <v>5315</v>
      </c>
    </row>
    <row r="2298" spans="1:14" ht="12" hidden="1" customHeight="1">
      <c r="A2298" s="51">
        <v>45644</v>
      </c>
      <c r="B2298" s="49"/>
      <c r="C2298" s="49"/>
      <c r="D2298" s="49" t="s">
        <v>4349</v>
      </c>
      <c r="E2298" s="49" t="s">
        <v>3978</v>
      </c>
      <c r="F2298" s="10" t="str">
        <f>IFERROR(VLOOKUP(VENTAS[[#This Row],[Código del producto Vendido]],STOCK[],5,FALSE),"-")</f>
        <v>Pullover blanco Hot Stuff</v>
      </c>
      <c r="G2298" s="49">
        <v>1</v>
      </c>
      <c r="H2298" s="49">
        <v>12</v>
      </c>
      <c r="I2298" s="12">
        <f>VENTAS[[#This Row],[Cantidad]]*VENTAS[[#This Row],[Precio Venta]]</f>
        <v>12</v>
      </c>
      <c r="J2298" s="12">
        <f>IF(VENTAS[[#This Row],[Nombre del Gestor]]&gt;1,VENTAS[[#This Row],[Total]]*10%,0)</f>
        <v>1.2000000000000002</v>
      </c>
      <c r="K2298" s="12">
        <f>IFERROR(VLOOKUP(VENTAS[[#This Row],[Código del producto Vendido]],STOCK[],16,FALSE)*VENTAS[[#This Row],[Cantidad]]+VLOOKUP(VENTAS[[#This Row],[Código del producto Vendido]],STOCK[],19,FALSE)*VENTAS[[#This Row],[Cantidad]],VENTAS[[#This Row],[Total]])</f>
        <v>7.17</v>
      </c>
      <c r="L2298" s="12">
        <f>VENTAS[[#This Row],[Total]]-VENTAS[[#This Row],[Comisión 10%]]-VENTAS[[#This Row],[Costo SIN Comision]]</f>
        <v>3.6300000000000008</v>
      </c>
      <c r="M2298" s="49"/>
      <c r="N2298" s="50" t="s">
        <v>5316</v>
      </c>
    </row>
    <row r="2299" spans="1:14" ht="12" hidden="1" customHeight="1">
      <c r="A2299" s="51">
        <v>45644</v>
      </c>
      <c r="B2299" s="49"/>
      <c r="C2299" s="49"/>
      <c r="D2299" s="49" t="s">
        <v>4349</v>
      </c>
      <c r="E2299" s="49" t="s">
        <v>2515</v>
      </c>
      <c r="F2299" s="10" t="str">
        <f>IFERROR(VLOOKUP(VENTAS[[#This Row],[Código del producto Vendido]],STOCK[],5,FALSE),"-")</f>
        <v>Camisa elegante de listas</v>
      </c>
      <c r="G2299" s="49">
        <v>1</v>
      </c>
      <c r="H2299" s="49">
        <v>22</v>
      </c>
      <c r="I2299" s="12">
        <f>VENTAS[[#This Row],[Cantidad]]*VENTAS[[#This Row],[Precio Venta]]</f>
        <v>22</v>
      </c>
      <c r="J2299" s="12">
        <f>IF(VENTAS[[#This Row],[Nombre del Gestor]]&gt;1,VENTAS[[#This Row],[Total]]*10%,0)</f>
        <v>2.2000000000000002</v>
      </c>
      <c r="K2299" s="12">
        <f>IFERROR(VLOOKUP(VENTAS[[#This Row],[Código del producto Vendido]],STOCK[],16,FALSE)*VENTAS[[#This Row],[Cantidad]]+VLOOKUP(VENTAS[[#This Row],[Código del producto Vendido]],STOCK[],19,FALSE)*VENTAS[[#This Row],[Cantidad]],VENTAS[[#This Row],[Total]])</f>
        <v>11.3</v>
      </c>
      <c r="L2299" s="12">
        <f>VENTAS[[#This Row],[Total]]-VENTAS[[#This Row],[Comisión 10%]]-VENTAS[[#This Row],[Costo SIN Comision]]</f>
        <v>8.5</v>
      </c>
      <c r="M2299" s="49"/>
      <c r="N2299" s="50" t="s">
        <v>5317</v>
      </c>
    </row>
    <row r="2300" spans="1:14" ht="12" hidden="1" customHeight="1">
      <c r="A2300" s="51">
        <v>45644</v>
      </c>
      <c r="B2300" s="49"/>
      <c r="C2300" s="49"/>
      <c r="D2300" s="49" t="s">
        <v>4349</v>
      </c>
      <c r="E2300" s="49" t="s">
        <v>3826</v>
      </c>
      <c r="F2300" s="10" t="str">
        <f>IFERROR(VLOOKUP(VENTAS[[#This Row],[Código del producto Vendido]],STOCK[],5,FALSE),"-")</f>
        <v>Pantalones De Traje De Pierna Ancha Beige</v>
      </c>
      <c r="G2300" s="49">
        <v>1</v>
      </c>
      <c r="H2300" s="49">
        <v>30</v>
      </c>
      <c r="I2300" s="12">
        <f>VENTAS[[#This Row],[Cantidad]]*VENTAS[[#This Row],[Precio Venta]]</f>
        <v>30</v>
      </c>
      <c r="J2300" s="12">
        <f>IF(VENTAS[[#This Row],[Nombre del Gestor]]&gt;1,VENTAS[[#This Row],[Total]]*10%,0)</f>
        <v>3</v>
      </c>
      <c r="K2300" s="12">
        <f>IFERROR(VLOOKUP(VENTAS[[#This Row],[Código del producto Vendido]],STOCK[],16,FALSE)*VENTAS[[#This Row],[Cantidad]]+VLOOKUP(VENTAS[[#This Row],[Código del producto Vendido]],STOCK[],19,FALSE)*VENTAS[[#This Row],[Cantidad]],VENTAS[[#This Row],[Total]])</f>
        <v>17.28</v>
      </c>
      <c r="L2300" s="12">
        <f>VENTAS[[#This Row],[Total]]-VENTAS[[#This Row],[Comisión 10%]]-VENTAS[[#This Row],[Costo SIN Comision]]</f>
        <v>9.7199999999999989</v>
      </c>
      <c r="M2300" s="49"/>
      <c r="N2300" s="50" t="s">
        <v>5318</v>
      </c>
    </row>
    <row r="2301" spans="1:14" ht="12" hidden="1" customHeight="1">
      <c r="A2301" s="51">
        <v>45644</v>
      </c>
      <c r="B2301" s="49"/>
      <c r="C2301" s="49"/>
      <c r="D2301" s="49" t="s">
        <v>4380</v>
      </c>
      <c r="E2301" s="49" t="s">
        <v>3953</v>
      </c>
      <c r="F2301" s="10" t="str">
        <f>IFERROR(VLOOKUP(VENTAS[[#This Row],[Código del producto Vendido]],STOCK[],5,FALSE),"-")</f>
        <v xml:space="preserve">Botas negras ajustadas de zíper </v>
      </c>
      <c r="G2301" s="49">
        <v>1</v>
      </c>
      <c r="H2301" s="49">
        <v>40</v>
      </c>
      <c r="I2301" s="12">
        <f>VENTAS[[#This Row],[Cantidad]]*VENTAS[[#This Row],[Precio Venta]]</f>
        <v>40</v>
      </c>
      <c r="J2301" s="12">
        <f>IF(VENTAS[[#This Row],[Nombre del Gestor]]&gt;1,VENTAS[[#This Row],[Total]]*10%,0)</f>
        <v>4</v>
      </c>
      <c r="K2301" s="12">
        <f>IFERROR(VLOOKUP(VENTAS[[#This Row],[Código del producto Vendido]],STOCK[],16,FALSE)*VENTAS[[#This Row],[Cantidad]]+VLOOKUP(VENTAS[[#This Row],[Código del producto Vendido]],STOCK[],19,FALSE)*VENTAS[[#This Row],[Cantidad]],VENTAS[[#This Row],[Total]])</f>
        <v>20.25</v>
      </c>
      <c r="L2301" s="12">
        <f>VENTAS[[#This Row],[Total]]-VENTAS[[#This Row],[Comisión 10%]]-VENTAS[[#This Row],[Costo SIN Comision]]</f>
        <v>15.75</v>
      </c>
      <c r="M2301" s="49"/>
      <c r="N2301" s="50" t="s">
        <v>5319</v>
      </c>
    </row>
    <row r="2302" spans="1:14" ht="12" hidden="1" customHeight="1">
      <c r="A2302" s="51">
        <v>45644</v>
      </c>
      <c r="B2302" s="49"/>
      <c r="C2302" s="49"/>
      <c r="D2302" s="49" t="s">
        <v>4184</v>
      </c>
      <c r="E2302" s="49" t="s">
        <v>2783</v>
      </c>
      <c r="F2302" s="10" t="str">
        <f>IFERROR(VLOOKUP(VENTAS[[#This Row],[Código del producto Vendido]],STOCK[],5,FALSE),"-")</f>
        <v>Sandalias naranjas espadriles de saco atadas con hebilla al tobillo</v>
      </c>
      <c r="G2302" s="49">
        <v>1</v>
      </c>
      <c r="H2302" s="49">
        <v>35</v>
      </c>
      <c r="I2302" s="12">
        <f>VENTAS[[#This Row],[Cantidad]]*VENTAS[[#This Row],[Precio Venta]]</f>
        <v>35</v>
      </c>
      <c r="J2302" s="12">
        <f>IF(VENTAS[[#This Row],[Nombre del Gestor]]&gt;1,VENTAS[[#This Row],[Total]]*10%,0)</f>
        <v>3.5</v>
      </c>
      <c r="K2302" s="12">
        <f>IFERROR(VLOOKUP(VENTAS[[#This Row],[Código del producto Vendido]],STOCK[],16,FALSE)*VENTAS[[#This Row],[Cantidad]]+VLOOKUP(VENTAS[[#This Row],[Código del producto Vendido]],STOCK[],19,FALSE)*VENTAS[[#This Row],[Cantidad]],VENTAS[[#This Row],[Total]])</f>
        <v>10.4</v>
      </c>
      <c r="L2302" s="12">
        <f>VENTAS[[#This Row],[Total]]-VENTAS[[#This Row],[Comisión 10%]]-VENTAS[[#This Row],[Costo SIN Comision]]</f>
        <v>21.1</v>
      </c>
      <c r="M2302" s="49"/>
      <c r="N2302" s="50" t="s">
        <v>5320</v>
      </c>
    </row>
    <row r="2303" spans="1:14" ht="12" hidden="1" customHeight="1">
      <c r="A2303" s="51">
        <v>45644</v>
      </c>
      <c r="B2303" s="49"/>
      <c r="C2303" s="49"/>
      <c r="D2303" s="49" t="s">
        <v>4184</v>
      </c>
      <c r="E2303" s="49" t="s">
        <v>3947</v>
      </c>
      <c r="F2303" s="10" t="str">
        <f>IFERROR(VLOOKUP(VENTAS[[#This Row],[Código del producto Vendido]],STOCK[],5,FALSE),"-")</f>
        <v xml:space="preserve">Botas negras ajustadas de zíper </v>
      </c>
      <c r="G2303" s="49">
        <v>1</v>
      </c>
      <c r="H2303" s="49">
        <v>40</v>
      </c>
      <c r="I2303" s="12">
        <f>VENTAS[[#This Row],[Cantidad]]*VENTAS[[#This Row],[Precio Venta]]</f>
        <v>40</v>
      </c>
      <c r="J2303" s="12">
        <f>IF(VENTAS[[#This Row],[Nombre del Gestor]]&gt;1,VENTAS[[#This Row],[Total]]*10%,0)</f>
        <v>4</v>
      </c>
      <c r="K2303" s="12">
        <f>IFERROR(VLOOKUP(VENTAS[[#This Row],[Código del producto Vendido]],STOCK[],16,FALSE)*VENTAS[[#This Row],[Cantidad]]+VLOOKUP(VENTAS[[#This Row],[Código del producto Vendido]],STOCK[],19,FALSE)*VENTAS[[#This Row],[Cantidad]],VENTAS[[#This Row],[Total]])</f>
        <v>20.25</v>
      </c>
      <c r="L2303" s="12">
        <f>VENTAS[[#This Row],[Total]]-VENTAS[[#This Row],[Comisión 10%]]-VENTAS[[#This Row],[Costo SIN Comision]]</f>
        <v>15.75</v>
      </c>
      <c r="M2303" s="49"/>
      <c r="N2303" s="50" t="s">
        <v>5321</v>
      </c>
    </row>
    <row r="2304" spans="1:14" ht="12" hidden="1" customHeight="1">
      <c r="A2304" s="51">
        <v>45644</v>
      </c>
      <c r="B2304" s="49"/>
      <c r="C2304" s="49"/>
      <c r="D2304" s="49" t="s">
        <v>4237</v>
      </c>
      <c r="E2304" s="49" t="s">
        <v>3932</v>
      </c>
      <c r="F2304" s="10" t="str">
        <f>IFERROR(VLOOKUP(VENTAS[[#This Row],[Código del producto Vendido]],STOCK[],5,FALSE),"-")</f>
        <v>Bolso ratán de listas blancas</v>
      </c>
      <c r="G2304" s="49">
        <v>1</v>
      </c>
      <c r="H2304" s="49">
        <v>25</v>
      </c>
      <c r="I2304" s="12">
        <f>VENTAS[[#This Row],[Cantidad]]*VENTAS[[#This Row],[Precio Venta]]</f>
        <v>25</v>
      </c>
      <c r="J2304" s="12">
        <f>IF(VENTAS[[#This Row],[Nombre del Gestor]]&gt;1,VENTAS[[#This Row],[Total]]*10%,0)</f>
        <v>2.5</v>
      </c>
      <c r="K2304" s="12">
        <f>IFERROR(VLOOKUP(VENTAS[[#This Row],[Código del producto Vendido]],STOCK[],16,FALSE)*VENTAS[[#This Row],[Cantidad]]+VLOOKUP(VENTAS[[#This Row],[Código del producto Vendido]],STOCK[],19,FALSE)*VENTAS[[#This Row],[Cantidad]],VENTAS[[#This Row],[Total]])</f>
        <v>11.44</v>
      </c>
      <c r="L2304" s="12">
        <f>VENTAS[[#This Row],[Total]]-VENTAS[[#This Row],[Comisión 10%]]-VENTAS[[#This Row],[Costo SIN Comision]]</f>
        <v>11.06</v>
      </c>
      <c r="M2304" s="49"/>
      <c r="N2304" s="50" t="s">
        <v>5322</v>
      </c>
    </row>
    <row r="2305" spans="1:14" ht="12" hidden="1" customHeight="1">
      <c r="A2305" s="51">
        <v>45644</v>
      </c>
      <c r="B2305" s="49"/>
      <c r="C2305" s="49"/>
      <c r="D2305" s="49" t="s">
        <v>4349</v>
      </c>
      <c r="E2305" s="49" t="s">
        <v>3938</v>
      </c>
      <c r="F2305" s="10" t="str">
        <f>IFERROR(VLOOKUP(VENTAS[[#This Row],[Código del producto Vendido]],STOCK[],5,FALSE),"-")</f>
        <v xml:space="preserve">Bolso de rafia Chantillí </v>
      </c>
      <c r="G2305" s="49">
        <v>1</v>
      </c>
      <c r="H2305" s="49">
        <v>25</v>
      </c>
      <c r="I2305" s="12">
        <f>VENTAS[[#This Row],[Cantidad]]*VENTAS[[#This Row],[Precio Venta]]</f>
        <v>25</v>
      </c>
      <c r="J2305" s="12">
        <f>IF(VENTAS[[#This Row],[Nombre del Gestor]]&gt;1,VENTAS[[#This Row],[Total]]*10%,0)</f>
        <v>2.5</v>
      </c>
      <c r="K2305" s="12">
        <f>IFERROR(VLOOKUP(VENTAS[[#This Row],[Código del producto Vendido]],STOCK[],16,FALSE)*VENTAS[[#This Row],[Cantidad]]+VLOOKUP(VENTAS[[#This Row],[Código del producto Vendido]],STOCK[],19,FALSE)*VENTAS[[#This Row],[Cantidad]],VENTAS[[#This Row],[Total]])</f>
        <v>11.95</v>
      </c>
      <c r="L2305" s="12">
        <f>VENTAS[[#This Row],[Total]]-VENTAS[[#This Row],[Comisión 10%]]-VENTAS[[#This Row],[Costo SIN Comision]]</f>
        <v>10.55</v>
      </c>
      <c r="M2305" s="49"/>
      <c r="N2305" s="50" t="s">
        <v>5323</v>
      </c>
    </row>
    <row r="2306" spans="1:14" ht="12" hidden="1" customHeight="1">
      <c r="A2306" s="51">
        <v>45644</v>
      </c>
      <c r="B2306" s="49"/>
      <c r="C2306" s="49"/>
      <c r="D2306" s="49" t="s">
        <v>5209</v>
      </c>
      <c r="E2306" s="49" t="s">
        <v>3932</v>
      </c>
      <c r="F2306" s="10" t="str">
        <f>IFERROR(VLOOKUP(VENTAS[[#This Row],[Código del producto Vendido]],STOCK[],5,FALSE),"-")</f>
        <v>Bolso ratán de listas blancas</v>
      </c>
      <c r="G2306" s="49">
        <v>1</v>
      </c>
      <c r="H2306" s="49">
        <v>25</v>
      </c>
      <c r="I2306" s="12">
        <f>VENTAS[[#This Row],[Cantidad]]*VENTAS[[#This Row],[Precio Venta]]</f>
        <v>25</v>
      </c>
      <c r="J2306" s="12">
        <f>IF(VENTAS[[#This Row],[Nombre del Gestor]]&gt;1,VENTAS[[#This Row],[Total]]*10%,0)</f>
        <v>2.5</v>
      </c>
      <c r="K2306" s="12">
        <f>IFERROR(VLOOKUP(VENTAS[[#This Row],[Código del producto Vendido]],STOCK[],16,FALSE)*VENTAS[[#This Row],[Cantidad]]+VLOOKUP(VENTAS[[#This Row],[Código del producto Vendido]],STOCK[],19,FALSE)*VENTAS[[#This Row],[Cantidad]],VENTAS[[#This Row],[Total]])</f>
        <v>11.44</v>
      </c>
      <c r="L2306" s="12">
        <f>VENTAS[[#This Row],[Total]]-VENTAS[[#This Row],[Comisión 10%]]-VENTAS[[#This Row],[Costo SIN Comision]]</f>
        <v>11.06</v>
      </c>
      <c r="M2306" s="49"/>
      <c r="N2306" s="50" t="s">
        <v>5324</v>
      </c>
    </row>
    <row r="2307" spans="1:14" ht="12" hidden="1" customHeight="1">
      <c r="A2307" s="51">
        <v>45644</v>
      </c>
      <c r="B2307" s="49"/>
      <c r="C2307" s="49"/>
      <c r="D2307" s="49" t="s">
        <v>5209</v>
      </c>
      <c r="E2307" s="49" t="s">
        <v>3938</v>
      </c>
      <c r="F2307" s="10" t="str">
        <f>IFERROR(VLOOKUP(VENTAS[[#This Row],[Código del producto Vendido]],STOCK[],5,FALSE),"-")</f>
        <v xml:space="preserve">Bolso de rafia Chantillí </v>
      </c>
      <c r="G2307" s="49">
        <v>1</v>
      </c>
      <c r="H2307" s="49">
        <v>25</v>
      </c>
      <c r="I2307" s="12">
        <f>VENTAS[[#This Row],[Cantidad]]*VENTAS[[#This Row],[Precio Venta]]</f>
        <v>25</v>
      </c>
      <c r="J2307" s="12">
        <f>IF(VENTAS[[#This Row],[Nombre del Gestor]]&gt;1,VENTAS[[#This Row],[Total]]*10%,0)</f>
        <v>2.5</v>
      </c>
      <c r="K2307" s="12">
        <f>IFERROR(VLOOKUP(VENTAS[[#This Row],[Código del producto Vendido]],STOCK[],16,FALSE)*VENTAS[[#This Row],[Cantidad]]+VLOOKUP(VENTAS[[#This Row],[Código del producto Vendido]],STOCK[],19,FALSE)*VENTAS[[#This Row],[Cantidad]],VENTAS[[#This Row],[Total]])</f>
        <v>11.95</v>
      </c>
      <c r="L2307" s="12">
        <f>VENTAS[[#This Row],[Total]]-VENTAS[[#This Row],[Comisión 10%]]-VENTAS[[#This Row],[Costo SIN Comision]]</f>
        <v>10.55</v>
      </c>
      <c r="M2307" s="49"/>
      <c r="N2307" s="50" t="s">
        <v>5325</v>
      </c>
    </row>
    <row r="2308" spans="1:14" ht="12" hidden="1" customHeight="1">
      <c r="A2308" s="51">
        <v>45644</v>
      </c>
      <c r="B2308" s="49"/>
      <c r="C2308" s="49"/>
      <c r="D2308" s="49" t="s">
        <v>4843</v>
      </c>
      <c r="E2308" s="49" t="s">
        <v>313</v>
      </c>
      <c r="F2308" s="10" t="str">
        <f>IFERROR(VLOOKUP(VENTAS[[#This Row],[Código del producto Vendido]],STOCK[],5,FALSE),"-")</f>
        <v>Vestido línea A elegante</v>
      </c>
      <c r="G2308" s="49">
        <v>1</v>
      </c>
      <c r="H2308" s="49">
        <v>25</v>
      </c>
      <c r="I2308" s="12">
        <f>VENTAS[[#This Row],[Cantidad]]*VENTAS[[#This Row],[Precio Venta]]</f>
        <v>25</v>
      </c>
      <c r="J2308" s="12">
        <f>IF(VENTAS[[#This Row],[Nombre del Gestor]]&gt;1,VENTAS[[#This Row],[Total]]*10%,0)</f>
        <v>2.5</v>
      </c>
      <c r="K2308" s="12">
        <f>IFERROR(VLOOKUP(VENTAS[[#This Row],[Código del producto Vendido]],STOCK[],16,FALSE)*VENTAS[[#This Row],[Cantidad]]+VLOOKUP(VENTAS[[#This Row],[Código del producto Vendido]],STOCK[],19,FALSE)*VENTAS[[#This Row],[Cantidad]],VENTAS[[#This Row],[Total]])</f>
        <v>16.288888888888899</v>
      </c>
      <c r="L2308" s="12">
        <f>VENTAS[[#This Row],[Total]]-VENTAS[[#This Row],[Comisión 10%]]-VENTAS[[#This Row],[Costo SIN Comision]]</f>
        <v>6.2111111111111015</v>
      </c>
      <c r="M2308" s="49"/>
      <c r="N2308" s="50" t="s">
        <v>5326</v>
      </c>
    </row>
    <row r="2309" spans="1:14" ht="12" hidden="1" customHeight="1">
      <c r="A2309" s="51">
        <v>45644</v>
      </c>
      <c r="B2309" s="49"/>
      <c r="C2309" s="49"/>
      <c r="D2309" s="49" t="s">
        <v>4689</v>
      </c>
      <c r="E2309" s="49" t="s">
        <v>2916</v>
      </c>
      <c r="F2309" s="10" t="str">
        <f>IFERROR(VLOOKUP(VENTAS[[#This Row],[Código del producto Vendido]],STOCK[],5,FALSE),"-")</f>
        <v>Chaleco de traje estilo blazer color negro</v>
      </c>
      <c r="G2309" s="49">
        <v>1</v>
      </c>
      <c r="H2309" s="49">
        <v>25</v>
      </c>
      <c r="I2309" s="12">
        <f>VENTAS[[#This Row],[Cantidad]]*VENTAS[[#This Row],[Precio Venta]]</f>
        <v>25</v>
      </c>
      <c r="J2309" s="12">
        <f>IF(VENTAS[[#This Row],[Nombre del Gestor]]&gt;1,VENTAS[[#This Row],[Total]]*10%,0)</f>
        <v>2.5</v>
      </c>
      <c r="K2309" s="12">
        <f>IFERROR(VLOOKUP(VENTAS[[#This Row],[Código del producto Vendido]],STOCK[],16,FALSE)*VENTAS[[#This Row],[Cantidad]]+VLOOKUP(VENTAS[[#This Row],[Código del producto Vendido]],STOCK[],19,FALSE)*VENTAS[[#This Row],[Cantidad]],VENTAS[[#This Row],[Total]])</f>
        <v>11.950000000000001</v>
      </c>
      <c r="L2309" s="12">
        <f>VENTAS[[#This Row],[Total]]-VENTAS[[#This Row],[Comisión 10%]]-VENTAS[[#This Row],[Costo SIN Comision]]</f>
        <v>10.549999999999999</v>
      </c>
      <c r="M2309" s="49"/>
      <c r="N2309" s="50" t="s">
        <v>5327</v>
      </c>
    </row>
    <row r="2310" spans="1:14" ht="12" hidden="1" customHeight="1">
      <c r="A2310" s="51">
        <v>45644</v>
      </c>
      <c r="B2310" s="49"/>
      <c r="C2310" s="49"/>
      <c r="D2310" s="49" t="s">
        <v>4378</v>
      </c>
      <c r="E2310" s="49" t="s">
        <v>2097</v>
      </c>
      <c r="F2310" s="10" t="str">
        <f>IFERROR(VLOOKUP(VENTAS[[#This Row],[Código del producto Vendido]],STOCK[],5,FALSE),"-")</f>
        <v>Corset negro elegante de encaje</v>
      </c>
      <c r="G2310" s="49">
        <v>1</v>
      </c>
      <c r="H2310" s="49">
        <v>22</v>
      </c>
      <c r="I2310" s="12">
        <f>VENTAS[[#This Row],[Cantidad]]*VENTAS[[#This Row],[Precio Venta]]</f>
        <v>22</v>
      </c>
      <c r="J2310" s="12">
        <f>IF(VENTAS[[#This Row],[Nombre del Gestor]]&gt;1,VENTAS[[#This Row],[Total]]*10%,0)</f>
        <v>2.2000000000000002</v>
      </c>
      <c r="K2310" s="12">
        <f>IFERROR(VLOOKUP(VENTAS[[#This Row],[Código del producto Vendido]],STOCK[],16,FALSE)*VENTAS[[#This Row],[Cantidad]]+VLOOKUP(VENTAS[[#This Row],[Código del producto Vendido]],STOCK[],19,FALSE)*VENTAS[[#This Row],[Cantidad]],VENTAS[[#This Row],[Total]])</f>
        <v>11</v>
      </c>
      <c r="L2310" s="12">
        <f>VENTAS[[#This Row],[Total]]-VENTAS[[#This Row],[Comisión 10%]]-VENTAS[[#This Row],[Costo SIN Comision]]</f>
        <v>8.8000000000000007</v>
      </c>
      <c r="M2310" s="49"/>
      <c r="N2310" s="50" t="s">
        <v>5328</v>
      </c>
    </row>
    <row r="2311" spans="1:14" ht="12" hidden="1" customHeight="1">
      <c r="A2311" s="51">
        <v>45644</v>
      </c>
      <c r="B2311" s="49"/>
      <c r="C2311" s="49"/>
      <c r="D2311" s="49" t="s">
        <v>4378</v>
      </c>
      <c r="E2311" s="49" t="s">
        <v>2644</v>
      </c>
      <c r="F2311" s="10" t="str">
        <f>IFERROR(VLOOKUP(VENTAS[[#This Row],[Código del producto Vendido]],STOCK[],5,FALSE),"-")</f>
        <v>Top de punto y cuello elegante blanco H&amp;M</v>
      </c>
      <c r="G2311" s="49">
        <v>1</v>
      </c>
      <c r="H2311" s="49">
        <v>20</v>
      </c>
      <c r="I2311" s="12">
        <f>VENTAS[[#This Row],[Cantidad]]*VENTAS[[#This Row],[Precio Venta]]</f>
        <v>20</v>
      </c>
      <c r="J2311" s="12">
        <f>IF(VENTAS[[#This Row],[Nombre del Gestor]]&gt;1,VENTAS[[#This Row],[Total]]*10%,0)</f>
        <v>2</v>
      </c>
      <c r="K2311" s="12">
        <f>IFERROR(VLOOKUP(VENTAS[[#This Row],[Código del producto Vendido]],STOCK[],16,FALSE)*VENTAS[[#This Row],[Cantidad]]+VLOOKUP(VENTAS[[#This Row],[Código del producto Vendido]],STOCK[],19,FALSE)*VENTAS[[#This Row],[Cantidad]],VENTAS[[#This Row],[Total]])</f>
        <v>10.96</v>
      </c>
      <c r="L2311" s="12">
        <f>VENTAS[[#This Row],[Total]]-VENTAS[[#This Row],[Comisión 10%]]-VENTAS[[#This Row],[Costo SIN Comision]]</f>
        <v>7.0399999999999991</v>
      </c>
      <c r="M2311" s="49"/>
      <c r="N2311" s="50" t="s">
        <v>5329</v>
      </c>
    </row>
    <row r="2312" spans="1:14" ht="12" hidden="1" customHeight="1">
      <c r="A2312" s="51">
        <v>45644</v>
      </c>
      <c r="B2312" s="49"/>
      <c r="C2312" s="49"/>
      <c r="D2312" s="49" t="s">
        <v>4378</v>
      </c>
      <c r="E2312" s="49" t="s">
        <v>2917</v>
      </c>
      <c r="F2312" s="10" t="str">
        <f>IFERROR(VLOOKUP(VENTAS[[#This Row],[Código del producto Vendido]],STOCK[],5,FALSE),"-")</f>
        <v>Chaleco de traje estilo blazer color negro</v>
      </c>
      <c r="G2312" s="49">
        <v>1</v>
      </c>
      <c r="H2312" s="49">
        <v>25</v>
      </c>
      <c r="I2312" s="12">
        <f>VENTAS[[#This Row],[Cantidad]]*VENTAS[[#This Row],[Precio Venta]]</f>
        <v>25</v>
      </c>
      <c r="J2312" s="12">
        <f>IF(VENTAS[[#This Row],[Nombre del Gestor]]&gt;1,VENTAS[[#This Row],[Total]]*10%,0)</f>
        <v>2.5</v>
      </c>
      <c r="K2312" s="12">
        <f>IFERROR(VLOOKUP(VENTAS[[#This Row],[Código del producto Vendido]],STOCK[],16,FALSE)*VENTAS[[#This Row],[Cantidad]]+VLOOKUP(VENTAS[[#This Row],[Código del producto Vendido]],STOCK[],19,FALSE)*VENTAS[[#This Row],[Cantidad]],VENTAS[[#This Row],[Total]])</f>
        <v>11.96</v>
      </c>
      <c r="L2312" s="12">
        <f>VENTAS[[#This Row],[Total]]-VENTAS[[#This Row],[Comisión 10%]]-VENTAS[[#This Row],[Costo SIN Comision]]</f>
        <v>10.54</v>
      </c>
      <c r="M2312" s="49"/>
      <c r="N2312" s="50" t="s">
        <v>5330</v>
      </c>
    </row>
    <row r="2313" spans="1:14" ht="12" hidden="1" customHeight="1">
      <c r="A2313" s="51">
        <v>45644</v>
      </c>
      <c r="B2313" s="49"/>
      <c r="C2313" s="49"/>
      <c r="D2313" s="49" t="s">
        <v>4843</v>
      </c>
      <c r="E2313" s="49" t="s">
        <v>3929</v>
      </c>
      <c r="F2313" s="10" t="str">
        <f>IFERROR(VLOOKUP(VENTAS[[#This Row],[Código del producto Vendido]],STOCK[],5,FALSE),"-")</f>
        <v xml:space="preserve">Bolso ratán de listas negras </v>
      </c>
      <c r="G2313" s="49">
        <v>1</v>
      </c>
      <c r="H2313" s="49">
        <v>25</v>
      </c>
      <c r="I2313" s="12">
        <f>VENTAS[[#This Row],[Cantidad]]*VENTAS[[#This Row],[Precio Venta]]</f>
        <v>25</v>
      </c>
      <c r="J2313" s="12">
        <f>IF(VENTAS[[#This Row],[Nombre del Gestor]]&gt;1,VENTAS[[#This Row],[Total]]*10%,0)</f>
        <v>2.5</v>
      </c>
      <c r="K2313" s="12">
        <f>IFERROR(VLOOKUP(VENTAS[[#This Row],[Código del producto Vendido]],STOCK[],16,FALSE)*VENTAS[[#This Row],[Cantidad]]+VLOOKUP(VENTAS[[#This Row],[Código del producto Vendido]],STOCK[],19,FALSE)*VENTAS[[#This Row],[Cantidad]],VENTAS[[#This Row],[Total]])</f>
        <v>11.81</v>
      </c>
      <c r="L2313" s="12">
        <f>VENTAS[[#This Row],[Total]]-VENTAS[[#This Row],[Comisión 10%]]-VENTAS[[#This Row],[Costo SIN Comision]]</f>
        <v>10.69</v>
      </c>
      <c r="M2313" s="49"/>
      <c r="N2313" s="50" t="s">
        <v>5331</v>
      </c>
    </row>
    <row r="2314" spans="1:14" ht="12" hidden="1" customHeight="1">
      <c r="A2314" s="51">
        <v>45645</v>
      </c>
      <c r="B2314" s="49"/>
      <c r="C2314" s="49"/>
      <c r="D2314" s="49" t="s">
        <v>4843</v>
      </c>
      <c r="E2314" s="49" t="s">
        <v>3967</v>
      </c>
      <c r="F2314" s="10" t="str">
        <f>IFERROR(VLOOKUP(VENTAS[[#This Row],[Código del producto Vendido]],STOCK[],5,FALSE),"-")</f>
        <v>Plataforma negra en tendencia (talla reducida)</v>
      </c>
      <c r="G2314" s="49">
        <v>1</v>
      </c>
      <c r="H2314" s="49">
        <v>40</v>
      </c>
      <c r="I2314" s="12">
        <f>VENTAS[[#This Row],[Cantidad]]*VENTAS[[#This Row],[Precio Venta]]</f>
        <v>40</v>
      </c>
      <c r="J2314" s="12">
        <f>IF(VENTAS[[#This Row],[Nombre del Gestor]]&gt;1,VENTAS[[#This Row],[Total]]*10%,0)</f>
        <v>4</v>
      </c>
      <c r="K2314" s="12">
        <f>IFERROR(VLOOKUP(VENTAS[[#This Row],[Código del producto Vendido]],STOCK[],16,FALSE)*VENTAS[[#This Row],[Cantidad]]+VLOOKUP(VENTAS[[#This Row],[Código del producto Vendido]],STOCK[],19,FALSE)*VENTAS[[#This Row],[Cantidad]],VENTAS[[#This Row],[Total]])</f>
        <v>13.75</v>
      </c>
      <c r="L2314" s="12">
        <f>VENTAS[[#This Row],[Total]]-VENTAS[[#This Row],[Comisión 10%]]-VENTAS[[#This Row],[Costo SIN Comision]]</f>
        <v>22.25</v>
      </c>
      <c r="M2314" s="49"/>
      <c r="N2314" s="50" t="s">
        <v>5332</v>
      </c>
    </row>
    <row r="2315" spans="1:14" ht="12" hidden="1" customHeight="1">
      <c r="A2315" s="51">
        <v>45645</v>
      </c>
      <c r="B2315" s="49"/>
      <c r="C2315" s="49"/>
      <c r="D2315" s="49" t="s">
        <v>4374</v>
      </c>
      <c r="E2315" s="49" t="s">
        <v>3973</v>
      </c>
      <c r="F2315" s="10" t="str">
        <f>IFERROR(VLOOKUP(VENTAS[[#This Row],[Código del producto Vendido]],STOCK[],5,FALSE),"-")</f>
        <v>Plataforma en bloque de color</v>
      </c>
      <c r="G2315" s="49">
        <v>1</v>
      </c>
      <c r="H2315" s="49">
        <v>35</v>
      </c>
      <c r="I2315" s="12">
        <f>VENTAS[[#This Row],[Cantidad]]*VENTAS[[#This Row],[Precio Venta]]</f>
        <v>35</v>
      </c>
      <c r="J2315" s="12">
        <f>IF(VENTAS[[#This Row],[Nombre del Gestor]]&gt;1,VENTAS[[#This Row],[Total]]*10%,0)</f>
        <v>3.5</v>
      </c>
      <c r="K2315" s="12">
        <f>IFERROR(VLOOKUP(VENTAS[[#This Row],[Código del producto Vendido]],STOCK[],16,FALSE)*VENTAS[[#This Row],[Cantidad]]+VLOOKUP(VENTAS[[#This Row],[Código del producto Vendido]],STOCK[],19,FALSE)*VENTAS[[#This Row],[Cantidad]],VENTAS[[#This Row],[Total]])</f>
        <v>11.75</v>
      </c>
      <c r="L2315" s="12">
        <f>VENTAS[[#This Row],[Total]]-VENTAS[[#This Row],[Comisión 10%]]-VENTAS[[#This Row],[Costo SIN Comision]]</f>
        <v>19.75</v>
      </c>
      <c r="M2315" s="49"/>
      <c r="N2315" s="50" t="s">
        <v>5333</v>
      </c>
    </row>
    <row r="2316" spans="1:14" ht="12" hidden="1" customHeight="1">
      <c r="A2316" s="51">
        <v>45645</v>
      </c>
      <c r="B2316" s="49"/>
      <c r="C2316" s="49"/>
      <c r="D2316" s="49" t="s">
        <v>4349</v>
      </c>
      <c r="E2316" s="49" t="s">
        <v>3938</v>
      </c>
      <c r="F2316" s="10" t="str">
        <f>IFERROR(VLOOKUP(VENTAS[[#This Row],[Código del producto Vendido]],STOCK[],5,FALSE),"-")</f>
        <v xml:space="preserve">Bolso de rafia Chantillí </v>
      </c>
      <c r="G2316" s="49">
        <v>1</v>
      </c>
      <c r="H2316" s="49">
        <v>25</v>
      </c>
      <c r="I2316" s="12">
        <f>VENTAS[[#This Row],[Cantidad]]*VENTAS[[#This Row],[Precio Venta]]</f>
        <v>25</v>
      </c>
      <c r="J2316" s="12">
        <f>IF(VENTAS[[#This Row],[Nombre del Gestor]]&gt;1,VENTAS[[#This Row],[Total]]*10%,0)</f>
        <v>2.5</v>
      </c>
      <c r="K2316" s="12">
        <f>IFERROR(VLOOKUP(VENTAS[[#This Row],[Código del producto Vendido]],STOCK[],16,FALSE)*VENTAS[[#This Row],[Cantidad]]+VLOOKUP(VENTAS[[#This Row],[Código del producto Vendido]],STOCK[],19,FALSE)*VENTAS[[#This Row],[Cantidad]],VENTAS[[#This Row],[Total]])</f>
        <v>11.95</v>
      </c>
      <c r="L2316" s="12">
        <f>VENTAS[[#This Row],[Total]]-VENTAS[[#This Row],[Comisión 10%]]-VENTAS[[#This Row],[Costo SIN Comision]]</f>
        <v>10.55</v>
      </c>
      <c r="M2316" s="49"/>
      <c r="N2316" s="50" t="s">
        <v>5334</v>
      </c>
    </row>
    <row r="2317" spans="1:14" ht="12" hidden="1" customHeight="1">
      <c r="A2317" s="51">
        <v>45645</v>
      </c>
      <c r="B2317" s="49"/>
      <c r="C2317" s="49"/>
      <c r="D2317" s="49" t="s">
        <v>4757</v>
      </c>
      <c r="E2317" s="49" t="s">
        <v>3578</v>
      </c>
      <c r="F2317" s="10" t="str">
        <f>IFERROR(VLOOKUP(VENTAS[[#This Row],[Código del producto Vendido]],STOCK[],5,FALSE),"-")</f>
        <v>Camiseta blanca estampada de ajuste holgado de hombre H&amp;M</v>
      </c>
      <c r="G2317" s="49">
        <v>1</v>
      </c>
      <c r="H2317" s="49">
        <v>18</v>
      </c>
      <c r="I2317" s="12">
        <f>VENTAS[[#This Row],[Cantidad]]*VENTAS[[#This Row],[Precio Venta]]</f>
        <v>18</v>
      </c>
      <c r="J2317" s="12">
        <f>IF(VENTAS[[#This Row],[Nombre del Gestor]]&gt;1,VENTAS[[#This Row],[Total]]*10%,0)</f>
        <v>1.8</v>
      </c>
      <c r="K2317" s="12">
        <f>IFERROR(VLOOKUP(VENTAS[[#This Row],[Código del producto Vendido]],STOCK[],16,FALSE)*VENTAS[[#This Row],[Cantidad]]+VLOOKUP(VENTAS[[#This Row],[Código del producto Vendido]],STOCK[],19,FALSE)*VENTAS[[#This Row],[Cantidad]],VENTAS[[#This Row],[Total]])</f>
        <v>9</v>
      </c>
      <c r="L2317" s="12">
        <f>VENTAS[[#This Row],[Total]]-VENTAS[[#This Row],[Comisión 10%]]-VENTAS[[#This Row],[Costo SIN Comision]]</f>
        <v>7.1999999999999993</v>
      </c>
      <c r="M2317" s="49"/>
      <c r="N2317" s="50" t="s">
        <v>5335</v>
      </c>
    </row>
    <row r="2318" spans="1:14" ht="12" hidden="1" customHeight="1">
      <c r="A2318" s="51">
        <v>45645</v>
      </c>
      <c r="B2318" s="49"/>
      <c r="C2318" s="49"/>
      <c r="D2318" s="49" t="s">
        <v>4374</v>
      </c>
      <c r="E2318" s="49" t="s">
        <v>3969</v>
      </c>
      <c r="F2318" s="10" t="str">
        <f>IFERROR(VLOOKUP(VENTAS[[#This Row],[Código del producto Vendido]],STOCK[],5,FALSE),"-")</f>
        <v>Plataforma negra en tendencia (talla reducida)</v>
      </c>
      <c r="G2318" s="49">
        <v>1</v>
      </c>
      <c r="H2318" s="49">
        <v>40</v>
      </c>
      <c r="I2318" s="12">
        <f>VENTAS[[#This Row],[Cantidad]]*VENTAS[[#This Row],[Precio Venta]]</f>
        <v>40</v>
      </c>
      <c r="J2318" s="12">
        <f>IF(VENTAS[[#This Row],[Nombre del Gestor]]&gt;1,VENTAS[[#This Row],[Total]]*10%,0)</f>
        <v>4</v>
      </c>
      <c r="K2318" s="12">
        <f>IFERROR(VLOOKUP(VENTAS[[#This Row],[Código del producto Vendido]],STOCK[],16,FALSE)*VENTAS[[#This Row],[Cantidad]]+VLOOKUP(VENTAS[[#This Row],[Código del producto Vendido]],STOCK[],19,FALSE)*VENTAS[[#This Row],[Cantidad]],VENTAS[[#This Row],[Total]])</f>
        <v>13.75</v>
      </c>
      <c r="L2318" s="12">
        <f>VENTAS[[#This Row],[Total]]-VENTAS[[#This Row],[Comisión 10%]]-VENTAS[[#This Row],[Costo SIN Comision]]</f>
        <v>22.25</v>
      </c>
      <c r="M2318" s="49"/>
      <c r="N2318" s="50" t="s">
        <v>5336</v>
      </c>
    </row>
    <row r="2319" spans="1:14" ht="12" hidden="1" customHeight="1">
      <c r="A2319" s="51">
        <v>45645</v>
      </c>
      <c r="B2319" s="49"/>
      <c r="C2319" s="49"/>
      <c r="D2319" s="49" t="s">
        <v>4349</v>
      </c>
      <c r="E2319" s="49" t="s">
        <v>3934</v>
      </c>
      <c r="F2319" s="10" t="str">
        <f>IFERROR(VLOOKUP(VENTAS[[#This Row],[Código del producto Vendido]],STOCK[],5,FALSE),"-")</f>
        <v>Bolso carmelita cuadrado de rafia con zíper</v>
      </c>
      <c r="G2319" s="49">
        <v>1</v>
      </c>
      <c r="H2319" s="49">
        <v>25</v>
      </c>
      <c r="I2319" s="12">
        <f>VENTAS[[#This Row],[Cantidad]]*VENTAS[[#This Row],[Precio Venta]]</f>
        <v>25</v>
      </c>
      <c r="J2319" s="12">
        <f>IF(VENTAS[[#This Row],[Nombre del Gestor]]&gt;1,VENTAS[[#This Row],[Total]]*10%,0)</f>
        <v>2.5</v>
      </c>
      <c r="K2319" s="12">
        <f>IFERROR(VLOOKUP(VENTAS[[#This Row],[Código del producto Vendido]],STOCK[],16,FALSE)*VENTAS[[#This Row],[Cantidad]]+VLOOKUP(VENTAS[[#This Row],[Código del producto Vendido]],STOCK[],19,FALSE)*VENTAS[[#This Row],[Cantidad]],VENTAS[[#This Row],[Total]])</f>
        <v>10.4</v>
      </c>
      <c r="L2319" s="12">
        <f>VENTAS[[#This Row],[Total]]-VENTAS[[#This Row],[Comisión 10%]]-VENTAS[[#This Row],[Costo SIN Comision]]</f>
        <v>12.1</v>
      </c>
      <c r="M2319" s="49"/>
      <c r="N2319" s="50" t="s">
        <v>5337</v>
      </c>
    </row>
    <row r="2320" spans="1:14" ht="12" hidden="1" customHeight="1">
      <c r="A2320" s="51">
        <v>45645</v>
      </c>
      <c r="B2320" s="49"/>
      <c r="C2320" s="49"/>
      <c r="D2320" s="49" t="s">
        <v>4378</v>
      </c>
      <c r="E2320" s="49" t="s">
        <v>3838</v>
      </c>
      <c r="F2320" s="10" t="str">
        <f>IFERROR(VLOOKUP(VENTAS[[#This Row],[Código del producto Vendido]],STOCK[],5,FALSE),"-")</f>
        <v>Camiseta De Manga Corta A Rayas Con Cuello Redondo</v>
      </c>
      <c r="G2320" s="49">
        <v>1</v>
      </c>
      <c r="H2320" s="49">
        <v>12</v>
      </c>
      <c r="I2320" s="12">
        <f>VENTAS[[#This Row],[Cantidad]]*VENTAS[[#This Row],[Precio Venta]]</f>
        <v>12</v>
      </c>
      <c r="J2320" s="12">
        <f>IF(VENTAS[[#This Row],[Nombre del Gestor]]&gt;1,VENTAS[[#This Row],[Total]]*10%,0)</f>
        <v>1.2000000000000002</v>
      </c>
      <c r="K2320" s="12">
        <f>IFERROR(VLOOKUP(VENTAS[[#This Row],[Código del producto Vendido]],STOCK[],16,FALSE)*VENTAS[[#This Row],[Cantidad]]+VLOOKUP(VENTAS[[#This Row],[Código del producto Vendido]],STOCK[],19,FALSE)*VENTAS[[#This Row],[Cantidad]],VENTAS[[#This Row],[Total]])</f>
        <v>7.79</v>
      </c>
      <c r="L2320" s="12">
        <f>VENTAS[[#This Row],[Total]]-VENTAS[[#This Row],[Comisión 10%]]-VENTAS[[#This Row],[Costo SIN Comision]]</f>
        <v>3.0100000000000007</v>
      </c>
      <c r="M2320" s="49"/>
      <c r="N2320" s="50" t="s">
        <v>5338</v>
      </c>
    </row>
    <row r="2321" spans="1:14" ht="12" hidden="1" customHeight="1">
      <c r="A2321" s="51">
        <v>45645</v>
      </c>
      <c r="B2321" s="49"/>
      <c r="C2321" s="49"/>
      <c r="D2321" s="49"/>
      <c r="E2321" s="49" t="s">
        <v>3820</v>
      </c>
      <c r="F2321" s="10" t="str">
        <f>IFERROR(VLOOKUP(VENTAS[[#This Row],[Código del producto Vendido]],STOCK[],5,FALSE),"-")</f>
        <v>Pantalones De Traje De Pierna Ancha Negro</v>
      </c>
      <c r="G2321" s="49">
        <v>1</v>
      </c>
      <c r="H2321" s="49">
        <v>30</v>
      </c>
      <c r="I2321" s="12">
        <f>VENTAS[[#This Row],[Cantidad]]*VENTAS[[#This Row],[Precio Venta]]</f>
        <v>30</v>
      </c>
      <c r="J2321" s="12">
        <f>IF(VENTAS[[#This Row],[Nombre del Gestor]]&gt;1,VENTAS[[#This Row],[Total]]*10%,0)</f>
        <v>0</v>
      </c>
      <c r="K2321" s="12">
        <f>IFERROR(VLOOKUP(VENTAS[[#This Row],[Código del producto Vendido]],STOCK[],16,FALSE)*VENTAS[[#This Row],[Cantidad]]+VLOOKUP(VENTAS[[#This Row],[Código del producto Vendido]],STOCK[],19,FALSE)*VENTAS[[#This Row],[Cantidad]],VENTAS[[#This Row],[Total]])</f>
        <v>15.63</v>
      </c>
      <c r="L2321" s="12">
        <f>VENTAS[[#This Row],[Total]]-VENTAS[[#This Row],[Comisión 10%]]-VENTAS[[#This Row],[Costo SIN Comision]]</f>
        <v>14.37</v>
      </c>
      <c r="M2321" s="49"/>
      <c r="N2321" s="50" t="s">
        <v>5339</v>
      </c>
    </row>
    <row r="2322" spans="1:14" ht="12" hidden="1" customHeight="1">
      <c r="A2322" s="51">
        <v>45645</v>
      </c>
      <c r="B2322" s="49"/>
      <c r="C2322" s="49"/>
      <c r="D2322" s="49"/>
      <c r="E2322" s="49" t="s">
        <v>2613</v>
      </c>
      <c r="F2322" s="10" t="str">
        <f>IFERROR(VLOOKUP(VENTAS[[#This Row],[Código del producto Vendido]],STOCK[],5,FALSE),"-")</f>
        <v>Falda Midi Elegante Ajustada</v>
      </c>
      <c r="G2322" s="49">
        <v>1</v>
      </c>
      <c r="H2322" s="49">
        <v>20</v>
      </c>
      <c r="I2322" s="12">
        <f>VENTAS[[#This Row],[Cantidad]]*VENTAS[[#This Row],[Precio Venta]]</f>
        <v>20</v>
      </c>
      <c r="J2322" s="12">
        <f>IF(VENTAS[[#This Row],[Nombre del Gestor]]&gt;1,VENTAS[[#This Row],[Total]]*10%,0)</f>
        <v>0</v>
      </c>
      <c r="K2322" s="12">
        <f>IFERROR(VLOOKUP(VENTAS[[#This Row],[Código del producto Vendido]],STOCK[],16,FALSE)*VENTAS[[#This Row],[Cantidad]]+VLOOKUP(VENTAS[[#This Row],[Código del producto Vendido]],STOCK[],19,FALSE)*VENTAS[[#This Row],[Cantidad]],VENTAS[[#This Row],[Total]])</f>
        <v>10.360000000000001</v>
      </c>
      <c r="L2322" s="12">
        <f>VENTAS[[#This Row],[Total]]-VENTAS[[#This Row],[Comisión 10%]]-VENTAS[[#This Row],[Costo SIN Comision]]</f>
        <v>9.6399999999999988</v>
      </c>
      <c r="M2322" s="49"/>
      <c r="N2322" s="50" t="s">
        <v>5340</v>
      </c>
    </row>
    <row r="2323" spans="1:14" ht="12" hidden="1" customHeight="1">
      <c r="A2323" s="51">
        <v>45645</v>
      </c>
      <c r="B2323" s="49"/>
      <c r="C2323" s="49"/>
      <c r="D2323" s="49"/>
      <c r="E2323" s="49" t="s">
        <v>3825</v>
      </c>
      <c r="F2323" s="10" t="str">
        <f>IFERROR(VLOOKUP(VENTAS[[#This Row],[Código del producto Vendido]],STOCK[],5,FALSE),"-")</f>
        <v>Pantalones De Traje De Pierna Ancha Beige</v>
      </c>
      <c r="G2323" s="49">
        <v>1</v>
      </c>
      <c r="H2323" s="49">
        <v>30</v>
      </c>
      <c r="I2323" s="12">
        <f>VENTAS[[#This Row],[Cantidad]]*VENTAS[[#This Row],[Precio Venta]]</f>
        <v>30</v>
      </c>
      <c r="J2323" s="12">
        <f>IF(VENTAS[[#This Row],[Nombre del Gestor]]&gt;1,VENTAS[[#This Row],[Total]]*10%,0)</f>
        <v>0</v>
      </c>
      <c r="K2323" s="12">
        <f>IFERROR(VLOOKUP(VENTAS[[#This Row],[Código del producto Vendido]],STOCK[],16,FALSE)*VENTAS[[#This Row],[Cantidad]]+VLOOKUP(VENTAS[[#This Row],[Código del producto Vendido]],STOCK[],19,FALSE)*VENTAS[[#This Row],[Cantidad]],VENTAS[[#This Row],[Total]])</f>
        <v>18.28</v>
      </c>
      <c r="L2323" s="12">
        <f>VENTAS[[#This Row],[Total]]-VENTAS[[#This Row],[Comisión 10%]]-VENTAS[[#This Row],[Costo SIN Comision]]</f>
        <v>11.719999999999999</v>
      </c>
      <c r="M2323" s="49"/>
      <c r="N2323" s="50" t="s">
        <v>5341</v>
      </c>
    </row>
    <row r="2324" spans="1:14" ht="12" hidden="1" customHeight="1">
      <c r="A2324" s="51">
        <v>45645</v>
      </c>
      <c r="B2324" s="49"/>
      <c r="C2324" s="49"/>
      <c r="D2324" s="49"/>
      <c r="E2324" s="49" t="s">
        <v>2927</v>
      </c>
      <c r="F2324" s="10" t="str">
        <f>IFERROR(VLOOKUP(VENTAS[[#This Row],[Código del producto Vendido]],STOCK[],5,FALSE),"-")</f>
        <v>Camiseta ajustada de rayas sin mangas</v>
      </c>
      <c r="G2324" s="49">
        <v>1</v>
      </c>
      <c r="H2324" s="49">
        <v>8</v>
      </c>
      <c r="I2324" s="12">
        <f>VENTAS[[#This Row],[Cantidad]]*VENTAS[[#This Row],[Precio Venta]]</f>
        <v>8</v>
      </c>
      <c r="J2324" s="12">
        <f>IF(VENTAS[[#This Row],[Nombre del Gestor]]&gt;1,VENTAS[[#This Row],[Total]]*10%,0)</f>
        <v>0</v>
      </c>
      <c r="K2324" s="12">
        <f>IFERROR(VLOOKUP(VENTAS[[#This Row],[Código del producto Vendido]],STOCK[],16,FALSE)*VENTAS[[#This Row],[Cantidad]]+VLOOKUP(VENTAS[[#This Row],[Código del producto Vendido]],STOCK[],19,FALSE)*VENTAS[[#This Row],[Cantidad]],VENTAS[[#This Row],[Total]])</f>
        <v>3.94</v>
      </c>
      <c r="L2324" s="12">
        <f>VENTAS[[#This Row],[Total]]-VENTAS[[#This Row],[Comisión 10%]]-VENTAS[[#This Row],[Costo SIN Comision]]</f>
        <v>4.0600000000000005</v>
      </c>
      <c r="M2324" s="49"/>
      <c r="N2324" s="50" t="s">
        <v>5342</v>
      </c>
    </row>
    <row r="2325" spans="1:14" ht="12" hidden="1" customHeight="1">
      <c r="A2325" s="51">
        <v>45645</v>
      </c>
      <c r="B2325" s="49"/>
      <c r="C2325" s="49"/>
      <c r="D2325" s="49" t="s">
        <v>4380</v>
      </c>
      <c r="E2325" s="49" t="s">
        <v>3972</v>
      </c>
      <c r="F2325" s="10" t="str">
        <f>IFERROR(VLOOKUP(VENTAS[[#This Row],[Código del producto Vendido]],STOCK[],5,FALSE),"-")</f>
        <v>Plataforma en bloque de color</v>
      </c>
      <c r="G2325" s="49">
        <v>1</v>
      </c>
      <c r="H2325" s="49">
        <v>35</v>
      </c>
      <c r="I2325" s="12">
        <f>VENTAS[[#This Row],[Cantidad]]*VENTAS[[#This Row],[Precio Venta]]</f>
        <v>35</v>
      </c>
      <c r="J2325" s="12">
        <f>IF(VENTAS[[#This Row],[Nombre del Gestor]]&gt;1,VENTAS[[#This Row],[Total]]*10%,0)</f>
        <v>3.5</v>
      </c>
      <c r="K2325" s="12">
        <f>IFERROR(VLOOKUP(VENTAS[[#This Row],[Código del producto Vendido]],STOCK[],16,FALSE)*VENTAS[[#This Row],[Cantidad]]+VLOOKUP(VENTAS[[#This Row],[Código del producto Vendido]],STOCK[],19,FALSE)*VENTAS[[#This Row],[Cantidad]],VENTAS[[#This Row],[Total]])</f>
        <v>11.75</v>
      </c>
      <c r="L2325" s="12">
        <f>VENTAS[[#This Row],[Total]]-VENTAS[[#This Row],[Comisión 10%]]-VENTAS[[#This Row],[Costo SIN Comision]]</f>
        <v>19.75</v>
      </c>
      <c r="M2325" s="49"/>
      <c r="N2325" s="50" t="s">
        <v>5343</v>
      </c>
    </row>
    <row r="2326" spans="1:14" ht="12" hidden="1" customHeight="1">
      <c r="A2326" s="51">
        <v>45645</v>
      </c>
      <c r="B2326" s="49"/>
      <c r="C2326" s="49"/>
      <c r="D2326" s="49" t="s">
        <v>4349</v>
      </c>
      <c r="E2326" s="49" t="s">
        <v>3966</v>
      </c>
      <c r="F2326" s="10" t="str">
        <f>IFERROR(VLOOKUP(VENTAS[[#This Row],[Código del producto Vendido]],STOCK[],5,FALSE),"-")</f>
        <v>Sandalias en tendencia y de gran comodidad Negro (talla reducida)</v>
      </c>
      <c r="G2326" s="49">
        <v>1</v>
      </c>
      <c r="H2326" s="49">
        <v>30</v>
      </c>
      <c r="I2326" s="12">
        <f>VENTAS[[#This Row],[Cantidad]]*VENTAS[[#This Row],[Precio Venta]]</f>
        <v>30</v>
      </c>
      <c r="J2326" s="12">
        <f>IF(VENTAS[[#This Row],[Nombre del Gestor]]&gt;1,VENTAS[[#This Row],[Total]]*10%,0)</f>
        <v>3</v>
      </c>
      <c r="K2326" s="12">
        <f>IFERROR(VLOOKUP(VENTAS[[#This Row],[Código del producto Vendido]],STOCK[],16,FALSE)*VENTAS[[#This Row],[Cantidad]]+VLOOKUP(VENTAS[[#This Row],[Código del producto Vendido]],STOCK[],19,FALSE)*VENTAS[[#This Row],[Cantidad]],VENTAS[[#This Row],[Total]])</f>
        <v>10.75</v>
      </c>
      <c r="L2326" s="12">
        <f>VENTAS[[#This Row],[Total]]-VENTAS[[#This Row],[Comisión 10%]]-VENTAS[[#This Row],[Costo SIN Comision]]</f>
        <v>16.25</v>
      </c>
      <c r="M2326" s="49"/>
      <c r="N2326" s="50" t="s">
        <v>5344</v>
      </c>
    </row>
    <row r="2327" spans="1:14" ht="12" hidden="1" customHeight="1">
      <c r="A2327" s="51">
        <v>45645</v>
      </c>
      <c r="B2327" s="49"/>
      <c r="C2327" s="49"/>
      <c r="D2327" s="49" t="s">
        <v>4349</v>
      </c>
      <c r="E2327" s="49" t="s">
        <v>3929</v>
      </c>
      <c r="F2327" s="10" t="str">
        <f>IFERROR(VLOOKUP(VENTAS[[#This Row],[Código del producto Vendido]],STOCK[],5,FALSE),"-")</f>
        <v xml:space="preserve">Bolso ratán de listas negras </v>
      </c>
      <c r="G2327" s="49">
        <v>1</v>
      </c>
      <c r="H2327" s="49">
        <v>25</v>
      </c>
      <c r="I2327" s="12">
        <f>VENTAS[[#This Row],[Cantidad]]*VENTAS[[#This Row],[Precio Venta]]</f>
        <v>25</v>
      </c>
      <c r="J2327" s="12">
        <f>IF(VENTAS[[#This Row],[Nombre del Gestor]]&gt;1,VENTAS[[#This Row],[Total]]*10%,0)</f>
        <v>2.5</v>
      </c>
      <c r="K2327" s="12">
        <f>IFERROR(VLOOKUP(VENTAS[[#This Row],[Código del producto Vendido]],STOCK[],16,FALSE)*VENTAS[[#This Row],[Cantidad]]+VLOOKUP(VENTAS[[#This Row],[Código del producto Vendido]],STOCK[],19,FALSE)*VENTAS[[#This Row],[Cantidad]],VENTAS[[#This Row],[Total]])</f>
        <v>11.81</v>
      </c>
      <c r="L2327" s="12">
        <f>VENTAS[[#This Row],[Total]]-VENTAS[[#This Row],[Comisión 10%]]-VENTAS[[#This Row],[Costo SIN Comision]]</f>
        <v>10.69</v>
      </c>
      <c r="M2327" s="49"/>
      <c r="N2327" s="50" t="s">
        <v>5345</v>
      </c>
    </row>
    <row r="2328" spans="1:14" ht="12" hidden="1" customHeight="1">
      <c r="A2328" s="51">
        <v>45645</v>
      </c>
      <c r="B2328" s="49"/>
      <c r="C2328" s="49"/>
      <c r="D2328" s="49" t="s">
        <v>5346</v>
      </c>
      <c r="E2328" s="49" t="s">
        <v>3959</v>
      </c>
      <c r="F2328" s="10" t="str">
        <f>IFERROR(VLOOKUP(VENTAS[[#This Row],[Código del producto Vendido]],STOCK[],5,FALSE),"-")</f>
        <v>Sandalias en tendencia y de gran comodidad Oliva (talla reducida)</v>
      </c>
      <c r="G2328" s="49">
        <v>1</v>
      </c>
      <c r="H2328" s="49">
        <v>30</v>
      </c>
      <c r="I2328" s="12">
        <f>VENTAS[[#This Row],[Cantidad]]*VENTAS[[#This Row],[Precio Venta]]</f>
        <v>30</v>
      </c>
      <c r="J2328" s="12">
        <f>IF(VENTAS[[#This Row],[Nombre del Gestor]]&gt;1,VENTAS[[#This Row],[Total]]*10%,0)</f>
        <v>3</v>
      </c>
      <c r="K2328" s="12">
        <f>IFERROR(VLOOKUP(VENTAS[[#This Row],[Código del producto Vendido]],STOCK[],16,FALSE)*VENTAS[[#This Row],[Cantidad]]+VLOOKUP(VENTAS[[#This Row],[Código del producto Vendido]],STOCK[],19,FALSE)*VENTAS[[#This Row],[Cantidad]],VENTAS[[#This Row],[Total]])</f>
        <v>10.75</v>
      </c>
      <c r="L2328" s="12">
        <f>VENTAS[[#This Row],[Total]]-VENTAS[[#This Row],[Comisión 10%]]-VENTAS[[#This Row],[Costo SIN Comision]]</f>
        <v>16.25</v>
      </c>
      <c r="M2328" s="49"/>
      <c r="N2328" s="50" t="s">
        <v>5347</v>
      </c>
    </row>
    <row r="2329" spans="1:14" ht="12" hidden="1" customHeight="1">
      <c r="A2329" s="51">
        <v>45645</v>
      </c>
      <c r="B2329" s="49"/>
      <c r="C2329" s="49"/>
      <c r="D2329" s="49"/>
      <c r="E2329" s="49" t="s">
        <v>3957</v>
      </c>
      <c r="F2329" s="10" t="str">
        <f>IFERROR(VLOOKUP(VENTAS[[#This Row],[Código del producto Vendido]],STOCK[],5,FALSE),"-")</f>
        <v>Sandalias en tendencia y de gran comodidad Oliva (talla reducida)</v>
      </c>
      <c r="G2329" s="49">
        <v>1</v>
      </c>
      <c r="H2329" s="49">
        <v>30</v>
      </c>
      <c r="I2329" s="12">
        <f>VENTAS[[#This Row],[Cantidad]]*VENTAS[[#This Row],[Precio Venta]]</f>
        <v>30</v>
      </c>
      <c r="J2329" s="12">
        <f>IF(VENTAS[[#This Row],[Nombre del Gestor]]&gt;1,VENTAS[[#This Row],[Total]]*10%,0)</f>
        <v>0</v>
      </c>
      <c r="K2329" s="12">
        <f>IFERROR(VLOOKUP(VENTAS[[#This Row],[Código del producto Vendido]],STOCK[],16,FALSE)*VENTAS[[#This Row],[Cantidad]]+VLOOKUP(VENTAS[[#This Row],[Código del producto Vendido]],STOCK[],19,FALSE)*VENTAS[[#This Row],[Cantidad]],VENTAS[[#This Row],[Total]])</f>
        <v>10.75</v>
      </c>
      <c r="L2329" s="12">
        <f>VENTAS[[#This Row],[Total]]-VENTAS[[#This Row],[Comisión 10%]]-VENTAS[[#This Row],[Costo SIN Comision]]</f>
        <v>19.25</v>
      </c>
      <c r="M2329" s="49"/>
      <c r="N2329" s="50" t="s">
        <v>5348</v>
      </c>
    </row>
    <row r="2330" spans="1:14" ht="12" hidden="1" customHeight="1">
      <c r="A2330" s="51">
        <v>45645</v>
      </c>
      <c r="B2330" s="49"/>
      <c r="C2330" s="49"/>
      <c r="D2330" s="49" t="s">
        <v>4237</v>
      </c>
      <c r="E2330" s="49" t="s">
        <v>3951</v>
      </c>
      <c r="F2330" s="10" t="str">
        <f>IFERROR(VLOOKUP(VENTAS[[#This Row],[Código del producto Vendido]],STOCK[],5,FALSE),"-")</f>
        <v xml:space="preserve">Botas negras ajustadas de zíper </v>
      </c>
      <c r="G2330" s="49">
        <v>1</v>
      </c>
      <c r="H2330" s="49">
        <v>40</v>
      </c>
      <c r="I2330" s="12">
        <f>VENTAS[[#This Row],[Cantidad]]*VENTAS[[#This Row],[Precio Venta]]</f>
        <v>40</v>
      </c>
      <c r="J2330" s="12">
        <f>IF(VENTAS[[#This Row],[Nombre del Gestor]]&gt;1,VENTAS[[#This Row],[Total]]*10%,0)</f>
        <v>4</v>
      </c>
      <c r="K2330" s="12">
        <f>IFERROR(VLOOKUP(VENTAS[[#This Row],[Código del producto Vendido]],STOCK[],16,FALSE)*VENTAS[[#This Row],[Cantidad]]+VLOOKUP(VENTAS[[#This Row],[Código del producto Vendido]],STOCK[],19,FALSE)*VENTAS[[#This Row],[Cantidad]],VENTAS[[#This Row],[Total]])</f>
        <v>20.25</v>
      </c>
      <c r="L2330" s="12">
        <f>VENTAS[[#This Row],[Total]]-VENTAS[[#This Row],[Comisión 10%]]-VENTAS[[#This Row],[Costo SIN Comision]]</f>
        <v>15.75</v>
      </c>
      <c r="M2330" s="49"/>
      <c r="N2330" s="50" t="s">
        <v>5349</v>
      </c>
    </row>
    <row r="2331" spans="1:14" ht="12" hidden="1" customHeight="1">
      <c r="A2331" s="51">
        <v>45645</v>
      </c>
      <c r="B2331" s="49"/>
      <c r="C2331" s="49"/>
      <c r="D2331" s="49" t="s">
        <v>4237</v>
      </c>
      <c r="E2331" s="49" t="s">
        <v>3825</v>
      </c>
      <c r="F2331" s="10" t="str">
        <f>IFERROR(VLOOKUP(VENTAS[[#This Row],[Código del producto Vendido]],STOCK[],5,FALSE),"-")</f>
        <v>Pantalones De Traje De Pierna Ancha Beige</v>
      </c>
      <c r="G2331" s="49">
        <v>1</v>
      </c>
      <c r="H2331" s="49">
        <v>30</v>
      </c>
      <c r="I2331" s="12">
        <f>VENTAS[[#This Row],[Cantidad]]*VENTAS[[#This Row],[Precio Venta]]</f>
        <v>30</v>
      </c>
      <c r="J2331" s="12">
        <f>IF(VENTAS[[#This Row],[Nombre del Gestor]]&gt;1,VENTAS[[#This Row],[Total]]*10%,0)</f>
        <v>3</v>
      </c>
      <c r="K2331" s="12">
        <f>IFERROR(VLOOKUP(VENTAS[[#This Row],[Código del producto Vendido]],STOCK[],16,FALSE)*VENTAS[[#This Row],[Cantidad]]+VLOOKUP(VENTAS[[#This Row],[Código del producto Vendido]],STOCK[],19,FALSE)*VENTAS[[#This Row],[Cantidad]],VENTAS[[#This Row],[Total]])</f>
        <v>18.28</v>
      </c>
      <c r="L2331" s="12">
        <f>VENTAS[[#This Row],[Total]]-VENTAS[[#This Row],[Comisión 10%]]-VENTAS[[#This Row],[Costo SIN Comision]]</f>
        <v>8.7199999999999989</v>
      </c>
      <c r="M2331" s="49"/>
      <c r="N2331" s="50" t="s">
        <v>5350</v>
      </c>
    </row>
    <row r="2332" spans="1:14" ht="12" hidden="1" customHeight="1">
      <c r="A2332" s="51">
        <v>45645</v>
      </c>
      <c r="B2332" s="49"/>
      <c r="C2332" s="49"/>
      <c r="D2332" s="49" t="s">
        <v>4237</v>
      </c>
      <c r="E2332" s="49" t="s">
        <v>3824</v>
      </c>
      <c r="F2332" s="10" t="str">
        <f>IFERROR(VLOOKUP(VENTAS[[#This Row],[Código del producto Vendido]],STOCK[],5,FALSE),"-")</f>
        <v>Pantalones De Traje De Pierna Ancha Beige</v>
      </c>
      <c r="G2332" s="49">
        <v>1</v>
      </c>
      <c r="H2332" s="49">
        <v>30</v>
      </c>
      <c r="I2332" s="12">
        <f>VENTAS[[#This Row],[Cantidad]]*VENTAS[[#This Row],[Precio Venta]]</f>
        <v>30</v>
      </c>
      <c r="J2332" s="12">
        <f>IF(VENTAS[[#This Row],[Nombre del Gestor]]&gt;1,VENTAS[[#This Row],[Total]]*10%,0)</f>
        <v>3</v>
      </c>
      <c r="K2332" s="12">
        <f>IFERROR(VLOOKUP(VENTAS[[#This Row],[Código del producto Vendido]],STOCK[],16,FALSE)*VENTAS[[#This Row],[Cantidad]]+VLOOKUP(VENTAS[[#This Row],[Código del producto Vendido]],STOCK[],19,FALSE)*VENTAS[[#This Row],[Cantidad]],VENTAS[[#This Row],[Total]])</f>
        <v>18.28</v>
      </c>
      <c r="L2332" s="12">
        <f>VENTAS[[#This Row],[Total]]-VENTAS[[#This Row],[Comisión 10%]]-VENTAS[[#This Row],[Costo SIN Comision]]</f>
        <v>8.7199999999999989</v>
      </c>
      <c r="M2332" s="49"/>
      <c r="N2332" s="50" t="s">
        <v>5351</v>
      </c>
    </row>
    <row r="2333" spans="1:14" ht="12" hidden="1" customHeight="1">
      <c r="A2333" s="51">
        <v>45645</v>
      </c>
      <c r="B2333" s="49"/>
      <c r="C2333" s="49"/>
      <c r="D2333" s="49" t="s">
        <v>4349</v>
      </c>
      <c r="E2333" s="49" t="s">
        <v>3967</v>
      </c>
      <c r="F2333" s="10" t="str">
        <f>IFERROR(VLOOKUP(VENTAS[[#This Row],[Código del producto Vendido]],STOCK[],5,FALSE),"-")</f>
        <v>Plataforma negra en tendencia (talla reducida)</v>
      </c>
      <c r="G2333" s="49">
        <v>1</v>
      </c>
      <c r="H2333" s="49">
        <v>40</v>
      </c>
      <c r="I2333" s="12">
        <f>VENTAS[[#This Row],[Cantidad]]*VENTAS[[#This Row],[Precio Venta]]</f>
        <v>40</v>
      </c>
      <c r="J2333" s="12">
        <f>IF(VENTAS[[#This Row],[Nombre del Gestor]]&gt;1,VENTAS[[#This Row],[Total]]*10%,0)</f>
        <v>4</v>
      </c>
      <c r="K2333" s="12">
        <f>IFERROR(VLOOKUP(VENTAS[[#This Row],[Código del producto Vendido]],STOCK[],16,FALSE)*VENTAS[[#This Row],[Cantidad]]+VLOOKUP(VENTAS[[#This Row],[Código del producto Vendido]],STOCK[],19,FALSE)*VENTAS[[#This Row],[Cantidad]],VENTAS[[#This Row],[Total]])</f>
        <v>13.75</v>
      </c>
      <c r="L2333" s="12">
        <f>VENTAS[[#This Row],[Total]]-VENTAS[[#This Row],[Comisión 10%]]-VENTAS[[#This Row],[Costo SIN Comision]]</f>
        <v>22.25</v>
      </c>
      <c r="M2333" s="49"/>
      <c r="N2333" s="50" t="s">
        <v>5352</v>
      </c>
    </row>
    <row r="2334" spans="1:14" ht="12" hidden="1" customHeight="1">
      <c r="A2334" s="51">
        <v>45645</v>
      </c>
      <c r="B2334" s="49"/>
      <c r="C2334" s="49"/>
      <c r="D2334" s="49" t="s">
        <v>4349</v>
      </c>
      <c r="E2334" s="49" t="s">
        <v>3932</v>
      </c>
      <c r="F2334" s="10" t="str">
        <f>IFERROR(VLOOKUP(VENTAS[[#This Row],[Código del producto Vendido]],STOCK[],5,FALSE),"-")</f>
        <v>Bolso ratán de listas blancas</v>
      </c>
      <c r="G2334" s="49">
        <v>1</v>
      </c>
      <c r="H2334" s="49">
        <v>25</v>
      </c>
      <c r="I2334" s="12">
        <f>VENTAS[[#This Row],[Cantidad]]*VENTAS[[#This Row],[Precio Venta]]</f>
        <v>25</v>
      </c>
      <c r="J2334" s="12">
        <f>IF(VENTAS[[#This Row],[Nombre del Gestor]]&gt;1,VENTAS[[#This Row],[Total]]*10%,0)</f>
        <v>2.5</v>
      </c>
      <c r="K2334" s="12">
        <f>IFERROR(VLOOKUP(VENTAS[[#This Row],[Código del producto Vendido]],STOCK[],16,FALSE)*VENTAS[[#This Row],[Cantidad]]+VLOOKUP(VENTAS[[#This Row],[Código del producto Vendido]],STOCK[],19,FALSE)*VENTAS[[#This Row],[Cantidad]],VENTAS[[#This Row],[Total]])</f>
        <v>11.44</v>
      </c>
      <c r="L2334" s="12">
        <f>VENTAS[[#This Row],[Total]]-VENTAS[[#This Row],[Comisión 10%]]-VENTAS[[#This Row],[Costo SIN Comision]]</f>
        <v>11.06</v>
      </c>
      <c r="M2334" s="49"/>
      <c r="N2334" s="50" t="s">
        <v>5353</v>
      </c>
    </row>
    <row r="2335" spans="1:14" ht="12" hidden="1" customHeight="1">
      <c r="A2335" s="51">
        <v>45645</v>
      </c>
      <c r="B2335" s="49"/>
      <c r="C2335" s="49"/>
      <c r="D2335" s="49" t="s">
        <v>4843</v>
      </c>
      <c r="E2335" s="49" t="s">
        <v>4000</v>
      </c>
      <c r="F2335" s="10" t="str">
        <f>IFERROR(VLOOKUP(VENTAS[[#This Row],[Código del producto Vendido]],STOCK[],5,FALSE),"-")</f>
        <v>Pijama de pantalón largo de algodón Rosa (Victoria´s Secret)</v>
      </c>
      <c r="G2335" s="49">
        <v>1</v>
      </c>
      <c r="H2335" s="49">
        <v>30</v>
      </c>
      <c r="I2335" s="12">
        <f>VENTAS[[#This Row],[Cantidad]]*VENTAS[[#This Row],[Precio Venta]]</f>
        <v>30</v>
      </c>
      <c r="J2335" s="12">
        <f>IF(VENTAS[[#This Row],[Nombre del Gestor]]&gt;1,VENTAS[[#This Row],[Total]]*10%,0)</f>
        <v>3</v>
      </c>
      <c r="K2335" s="12">
        <f>IFERROR(VLOOKUP(VENTAS[[#This Row],[Código del producto Vendido]],STOCK[],16,FALSE)*VENTAS[[#This Row],[Cantidad]]+VLOOKUP(VENTAS[[#This Row],[Código del producto Vendido]],STOCK[],19,FALSE)*VENTAS[[#This Row],[Cantidad]],VENTAS[[#This Row],[Total]])</f>
        <v>16.32</v>
      </c>
      <c r="L2335" s="12">
        <f>VENTAS[[#This Row],[Total]]-VENTAS[[#This Row],[Comisión 10%]]-VENTAS[[#This Row],[Costo SIN Comision]]</f>
        <v>10.68</v>
      </c>
      <c r="M2335" s="49"/>
      <c r="N2335" s="50" t="s">
        <v>5354</v>
      </c>
    </row>
    <row r="2336" spans="1:14" ht="12" hidden="1" customHeight="1">
      <c r="A2336" s="51">
        <v>45645</v>
      </c>
      <c r="B2336" s="49"/>
      <c r="C2336" s="49"/>
      <c r="D2336" s="49" t="s">
        <v>4374</v>
      </c>
      <c r="E2336" s="49" t="s">
        <v>3028</v>
      </c>
      <c r="F2336" s="10" t="str">
        <f>IFERROR(VLOOKUP(VENTAS[[#This Row],[Código del producto Vendido]],STOCK[],5,FALSE),"-")</f>
        <v>Blusa de manga elegante en vuelos con ribete en contraste Color Rosa</v>
      </c>
      <c r="G2336" s="49">
        <v>1</v>
      </c>
      <c r="H2336" s="49">
        <v>18</v>
      </c>
      <c r="I2336" s="12">
        <f>VENTAS[[#This Row],[Cantidad]]*VENTAS[[#This Row],[Precio Venta]]</f>
        <v>18</v>
      </c>
      <c r="J2336" s="12">
        <f>IF(VENTAS[[#This Row],[Nombre del Gestor]]&gt;1,VENTAS[[#This Row],[Total]]*10%,0)</f>
        <v>1.8</v>
      </c>
      <c r="K2336" s="12">
        <f>IFERROR(VLOOKUP(VENTAS[[#This Row],[Código del producto Vendido]],STOCK[],16,FALSE)*VENTAS[[#This Row],[Cantidad]]+VLOOKUP(VENTAS[[#This Row],[Código del producto Vendido]],STOCK[],19,FALSE)*VENTAS[[#This Row],[Cantidad]],VENTAS[[#This Row],[Total]])</f>
        <v>9.68</v>
      </c>
      <c r="L2336" s="12">
        <f>VENTAS[[#This Row],[Total]]-VENTAS[[#This Row],[Comisión 10%]]-VENTAS[[#This Row],[Costo SIN Comision]]</f>
        <v>6.52</v>
      </c>
      <c r="M2336" s="49"/>
      <c r="N2336" s="50" t="s">
        <v>5355</v>
      </c>
    </row>
    <row r="2337" spans="1:14" ht="12" hidden="1" customHeight="1">
      <c r="A2337" s="51">
        <v>45645</v>
      </c>
      <c r="B2337" s="49"/>
      <c r="C2337" s="49"/>
      <c r="D2337" s="49" t="s">
        <v>4374</v>
      </c>
      <c r="E2337" s="49" t="s">
        <v>2854</v>
      </c>
      <c r="F2337" s="10" t="str">
        <f>IFERROR(VLOOKUP(VENTAS[[#This Row],[Código del producto Vendido]],STOCK[],5,FALSE),"-")</f>
        <v>Blusa casual corta de lazos color blanco</v>
      </c>
      <c r="G2337" s="49">
        <v>1</v>
      </c>
      <c r="H2337" s="49">
        <v>18</v>
      </c>
      <c r="I2337" s="12">
        <f>VENTAS[[#This Row],[Cantidad]]*VENTAS[[#This Row],[Precio Venta]]</f>
        <v>18</v>
      </c>
      <c r="J2337" s="12">
        <f>IF(VENTAS[[#This Row],[Nombre del Gestor]]&gt;1,VENTAS[[#This Row],[Total]]*10%,0)</f>
        <v>1.8</v>
      </c>
      <c r="K2337" s="12">
        <f>IFERROR(VLOOKUP(VENTAS[[#This Row],[Código del producto Vendido]],STOCK[],16,FALSE)*VENTAS[[#This Row],[Cantidad]]+VLOOKUP(VENTAS[[#This Row],[Código del producto Vendido]],STOCK[],19,FALSE)*VENTAS[[#This Row],[Cantidad]],VENTAS[[#This Row],[Total]])</f>
        <v>8.7200000000000006</v>
      </c>
      <c r="L2337" s="12">
        <f>VENTAS[[#This Row],[Total]]-VENTAS[[#This Row],[Comisión 10%]]-VENTAS[[#This Row],[Costo SIN Comision]]</f>
        <v>7.4799999999999986</v>
      </c>
      <c r="M2337" s="49"/>
      <c r="N2337" s="50" t="s">
        <v>5356</v>
      </c>
    </row>
    <row r="2338" spans="1:14" ht="12" hidden="1" customHeight="1">
      <c r="A2338" s="51">
        <v>45645</v>
      </c>
      <c r="B2338" s="49"/>
      <c r="C2338" s="49"/>
      <c r="D2338" s="49" t="s">
        <v>4843</v>
      </c>
      <c r="E2338" s="49" t="s">
        <v>3936</v>
      </c>
      <c r="F2338" s="10" t="str">
        <f>IFERROR(VLOOKUP(VENTAS[[#This Row],[Código del producto Vendido]],STOCK[],5,FALSE),"-")</f>
        <v>Bolso carmelita redondo de rafia con zíper</v>
      </c>
      <c r="G2338" s="49">
        <v>1</v>
      </c>
      <c r="H2338" s="49">
        <v>25</v>
      </c>
      <c r="I2338" s="12">
        <f>VENTAS[[#This Row],[Cantidad]]*VENTAS[[#This Row],[Precio Venta]]</f>
        <v>25</v>
      </c>
      <c r="J2338" s="12">
        <f>IF(VENTAS[[#This Row],[Nombre del Gestor]]&gt;1,VENTAS[[#This Row],[Total]]*10%,0)</f>
        <v>2.5</v>
      </c>
      <c r="K2338" s="12">
        <f>IFERROR(VLOOKUP(VENTAS[[#This Row],[Código del producto Vendido]],STOCK[],16,FALSE)*VENTAS[[#This Row],[Cantidad]]+VLOOKUP(VENTAS[[#This Row],[Código del producto Vendido]],STOCK[],19,FALSE)*VENTAS[[#This Row],[Cantidad]],VENTAS[[#This Row],[Total]])</f>
        <v>11.96</v>
      </c>
      <c r="L2338" s="12">
        <f>VENTAS[[#This Row],[Total]]-VENTAS[[#This Row],[Comisión 10%]]-VENTAS[[#This Row],[Costo SIN Comision]]</f>
        <v>10.54</v>
      </c>
      <c r="M2338" s="49"/>
      <c r="N2338" s="50" t="s">
        <v>5357</v>
      </c>
    </row>
    <row r="2339" spans="1:14" ht="12" hidden="1" customHeight="1">
      <c r="A2339" s="51">
        <v>45645</v>
      </c>
      <c r="B2339" s="49"/>
      <c r="C2339" s="49"/>
      <c r="D2339" s="49" t="s">
        <v>4349</v>
      </c>
      <c r="E2339" s="49" t="s">
        <v>3962</v>
      </c>
      <c r="F2339" s="10" t="str">
        <f>IFERROR(VLOOKUP(VENTAS[[#This Row],[Código del producto Vendido]],STOCK[],5,FALSE),"-")</f>
        <v>Sandalias en tendencia y de gran comodidad Oliva (talla reducida)</v>
      </c>
      <c r="G2339" s="49">
        <v>1</v>
      </c>
      <c r="H2339" s="49">
        <v>30</v>
      </c>
      <c r="I2339" s="12">
        <f>VENTAS[[#This Row],[Cantidad]]*VENTAS[[#This Row],[Precio Venta]]</f>
        <v>30</v>
      </c>
      <c r="J2339" s="12">
        <f>IF(VENTAS[[#This Row],[Nombre del Gestor]]&gt;1,VENTAS[[#This Row],[Total]]*10%,0)</f>
        <v>3</v>
      </c>
      <c r="K2339" s="12">
        <f>IFERROR(VLOOKUP(VENTAS[[#This Row],[Código del producto Vendido]],STOCK[],16,FALSE)*VENTAS[[#This Row],[Cantidad]]+VLOOKUP(VENTAS[[#This Row],[Código del producto Vendido]],STOCK[],19,FALSE)*VENTAS[[#This Row],[Cantidad]],VENTAS[[#This Row],[Total]])</f>
        <v>10.75</v>
      </c>
      <c r="L2339" s="12">
        <f>VENTAS[[#This Row],[Total]]-VENTAS[[#This Row],[Comisión 10%]]-VENTAS[[#This Row],[Costo SIN Comision]]</f>
        <v>16.25</v>
      </c>
      <c r="M2339" s="49"/>
      <c r="N2339" s="50" t="s">
        <v>5358</v>
      </c>
    </row>
    <row r="2340" spans="1:14" ht="12" hidden="1" customHeight="1">
      <c r="A2340" s="51">
        <v>45646</v>
      </c>
      <c r="B2340" s="49"/>
      <c r="C2340" s="49"/>
      <c r="D2340" s="49" t="s">
        <v>4349</v>
      </c>
      <c r="E2340" s="49" t="s">
        <v>3974</v>
      </c>
      <c r="F2340" s="10" t="str">
        <f>IFERROR(VLOOKUP(VENTAS[[#This Row],[Código del producto Vendido]],STOCK[],5,FALSE),"-")</f>
        <v>Plataforma en bloque de color</v>
      </c>
      <c r="G2340" s="49">
        <v>1</v>
      </c>
      <c r="H2340" s="49">
        <v>35</v>
      </c>
      <c r="I2340" s="12">
        <f>VENTAS[[#This Row],[Cantidad]]*VENTAS[[#This Row],[Precio Venta]]</f>
        <v>35</v>
      </c>
      <c r="J2340" s="12">
        <f>IF(VENTAS[[#This Row],[Nombre del Gestor]]&gt;1,VENTAS[[#This Row],[Total]]*10%,0)</f>
        <v>3.5</v>
      </c>
      <c r="K2340" s="12">
        <f>IFERROR(VLOOKUP(VENTAS[[#This Row],[Código del producto Vendido]],STOCK[],16,FALSE)*VENTAS[[#This Row],[Cantidad]]+VLOOKUP(VENTAS[[#This Row],[Código del producto Vendido]],STOCK[],19,FALSE)*VENTAS[[#This Row],[Cantidad]],VENTAS[[#This Row],[Total]])</f>
        <v>11.75</v>
      </c>
      <c r="L2340" s="12">
        <f>VENTAS[[#This Row],[Total]]-VENTAS[[#This Row],[Comisión 10%]]-VENTAS[[#This Row],[Costo SIN Comision]]</f>
        <v>19.75</v>
      </c>
      <c r="M2340" s="49"/>
      <c r="N2340" s="50" t="s">
        <v>5359</v>
      </c>
    </row>
    <row r="2341" spans="1:14" ht="12" hidden="1" customHeight="1">
      <c r="A2341" s="51">
        <v>45646</v>
      </c>
      <c r="B2341" s="49"/>
      <c r="C2341" s="49"/>
      <c r="D2341" s="49" t="s">
        <v>4374</v>
      </c>
      <c r="E2341" s="49" t="s">
        <v>3951</v>
      </c>
      <c r="F2341" s="10" t="str">
        <f>IFERROR(VLOOKUP(VENTAS[[#This Row],[Código del producto Vendido]],STOCK[],5,FALSE),"-")</f>
        <v xml:space="preserve">Botas negras ajustadas de zíper </v>
      </c>
      <c r="G2341" s="49">
        <v>1</v>
      </c>
      <c r="H2341" s="49">
        <v>40</v>
      </c>
      <c r="I2341" s="12">
        <f>VENTAS[[#This Row],[Cantidad]]*VENTAS[[#This Row],[Precio Venta]]</f>
        <v>40</v>
      </c>
      <c r="J2341" s="12">
        <f>IF(VENTAS[[#This Row],[Nombre del Gestor]]&gt;1,VENTAS[[#This Row],[Total]]*10%,0)</f>
        <v>4</v>
      </c>
      <c r="K2341" s="12">
        <f>IFERROR(VLOOKUP(VENTAS[[#This Row],[Código del producto Vendido]],STOCK[],16,FALSE)*VENTAS[[#This Row],[Cantidad]]+VLOOKUP(VENTAS[[#This Row],[Código del producto Vendido]],STOCK[],19,FALSE)*VENTAS[[#This Row],[Cantidad]],VENTAS[[#This Row],[Total]])</f>
        <v>20.25</v>
      </c>
      <c r="L2341" s="12">
        <f>VENTAS[[#This Row],[Total]]-VENTAS[[#This Row],[Comisión 10%]]-VENTAS[[#This Row],[Costo SIN Comision]]</f>
        <v>15.75</v>
      </c>
      <c r="M2341" s="49"/>
      <c r="N2341" s="50" t="s">
        <v>5360</v>
      </c>
    </row>
    <row r="2342" spans="1:14" ht="12" hidden="1" customHeight="1">
      <c r="A2342" s="51">
        <v>45646</v>
      </c>
      <c r="B2342" s="49"/>
      <c r="C2342" s="49"/>
      <c r="D2342" s="49" t="s">
        <v>4349</v>
      </c>
      <c r="E2342" s="49" t="s">
        <v>3955</v>
      </c>
      <c r="F2342" s="10" t="str">
        <f>IFERROR(VLOOKUP(VENTAS[[#This Row],[Código del producto Vendido]],STOCK[],5,FALSE),"-")</f>
        <v xml:space="preserve">Botas negras ajustadas de zíper </v>
      </c>
      <c r="G2342" s="49">
        <v>1</v>
      </c>
      <c r="H2342" s="49">
        <v>40</v>
      </c>
      <c r="I2342" s="12">
        <f>VENTAS[[#This Row],[Cantidad]]*VENTAS[[#This Row],[Precio Venta]]</f>
        <v>40</v>
      </c>
      <c r="J2342" s="12">
        <f>IF(VENTAS[[#This Row],[Nombre del Gestor]]&gt;1,VENTAS[[#This Row],[Total]]*10%,0)</f>
        <v>4</v>
      </c>
      <c r="K2342" s="12">
        <f>IFERROR(VLOOKUP(VENTAS[[#This Row],[Código del producto Vendido]],STOCK[],16,FALSE)*VENTAS[[#This Row],[Cantidad]]+VLOOKUP(VENTAS[[#This Row],[Código del producto Vendido]],STOCK[],19,FALSE)*VENTAS[[#This Row],[Cantidad]],VENTAS[[#This Row],[Total]])</f>
        <v>20.25</v>
      </c>
      <c r="L2342" s="12">
        <f>VENTAS[[#This Row],[Total]]-VENTAS[[#This Row],[Comisión 10%]]-VENTAS[[#This Row],[Costo SIN Comision]]</f>
        <v>15.75</v>
      </c>
      <c r="M2342" s="49"/>
      <c r="N2342" s="50" t="s">
        <v>5361</v>
      </c>
    </row>
    <row r="2343" spans="1:14" ht="12" hidden="1" customHeight="1">
      <c r="A2343" s="51">
        <v>45646</v>
      </c>
      <c r="B2343" s="49"/>
      <c r="C2343" s="49"/>
      <c r="D2343" s="49" t="s">
        <v>4349</v>
      </c>
      <c r="E2343" s="49" t="s">
        <v>3962</v>
      </c>
      <c r="F2343" s="10" t="str">
        <f>IFERROR(VLOOKUP(VENTAS[[#This Row],[Código del producto Vendido]],STOCK[],5,FALSE),"-")</f>
        <v>Sandalias en tendencia y de gran comodidad Oliva (talla reducida)</v>
      </c>
      <c r="G2343" s="49">
        <v>1</v>
      </c>
      <c r="H2343" s="49">
        <v>30</v>
      </c>
      <c r="I2343" s="12">
        <f>VENTAS[[#This Row],[Cantidad]]*VENTAS[[#This Row],[Precio Venta]]</f>
        <v>30</v>
      </c>
      <c r="J2343" s="12">
        <f>IF(VENTAS[[#This Row],[Nombre del Gestor]]&gt;1,VENTAS[[#This Row],[Total]]*10%,0)</f>
        <v>3</v>
      </c>
      <c r="K2343" s="12">
        <f>IFERROR(VLOOKUP(VENTAS[[#This Row],[Código del producto Vendido]],STOCK[],16,FALSE)*VENTAS[[#This Row],[Cantidad]]+VLOOKUP(VENTAS[[#This Row],[Código del producto Vendido]],STOCK[],19,FALSE)*VENTAS[[#This Row],[Cantidad]],VENTAS[[#This Row],[Total]])</f>
        <v>10.75</v>
      </c>
      <c r="L2343" s="12">
        <f>VENTAS[[#This Row],[Total]]-VENTAS[[#This Row],[Comisión 10%]]-VENTAS[[#This Row],[Costo SIN Comision]]</f>
        <v>16.25</v>
      </c>
      <c r="M2343" s="49"/>
      <c r="N2343" s="50" t="s">
        <v>5362</v>
      </c>
    </row>
    <row r="2344" spans="1:14" ht="12" hidden="1" customHeight="1">
      <c r="A2344" s="51">
        <v>45646</v>
      </c>
      <c r="B2344" s="49"/>
      <c r="C2344" s="49"/>
      <c r="D2344" s="49"/>
      <c r="E2344" s="49" t="s">
        <v>3850</v>
      </c>
      <c r="F2344" s="10" t="str">
        <f>IFERROR(VLOOKUP(VENTAS[[#This Row],[Código del producto Vendido]],STOCK[],5,FALSE),"-")</f>
        <v>Vestido rojo largo con escote profundo y diseño calado con adorno metálico</v>
      </c>
      <c r="G2344" s="49">
        <v>1</v>
      </c>
      <c r="H2344" s="49">
        <v>35</v>
      </c>
      <c r="I2344" s="12">
        <f>VENTAS[[#This Row],[Cantidad]]*VENTAS[[#This Row],[Precio Venta]]</f>
        <v>35</v>
      </c>
      <c r="J2344" s="12">
        <f>IF(VENTAS[[#This Row],[Nombre del Gestor]]&gt;1,VENTAS[[#This Row],[Total]]*10%,0)</f>
        <v>0</v>
      </c>
      <c r="K2344" s="12">
        <f>IFERROR(VLOOKUP(VENTAS[[#This Row],[Código del producto Vendido]],STOCK[],16,FALSE)*VENTAS[[#This Row],[Cantidad]]+VLOOKUP(VENTAS[[#This Row],[Código del producto Vendido]],STOCK[],19,FALSE)*VENTAS[[#This Row],[Cantidad]],VENTAS[[#This Row],[Total]])</f>
        <v>15.12</v>
      </c>
      <c r="L2344" s="12">
        <f>VENTAS[[#This Row],[Total]]-VENTAS[[#This Row],[Comisión 10%]]-VENTAS[[#This Row],[Costo SIN Comision]]</f>
        <v>19.880000000000003</v>
      </c>
      <c r="M2344" s="49"/>
      <c r="N2344" s="50" t="s">
        <v>5363</v>
      </c>
    </row>
    <row r="2345" spans="1:14" ht="12" hidden="1" customHeight="1">
      <c r="A2345" s="51">
        <v>45646</v>
      </c>
      <c r="B2345" s="49"/>
      <c r="C2345" s="49"/>
      <c r="D2345" s="49" t="s">
        <v>4237</v>
      </c>
      <c r="E2345" s="49" t="s">
        <v>3830</v>
      </c>
      <c r="F2345" s="10" t="str">
        <f>IFERROR(VLOOKUP(VENTAS[[#This Row],[Código del producto Vendido]],STOCK[],5,FALSE),"-")</f>
        <v>Cardigan corto de manga larga y botones delanteros Albaricoque</v>
      </c>
      <c r="G2345" s="49">
        <v>1</v>
      </c>
      <c r="H2345" s="49">
        <v>30</v>
      </c>
      <c r="I2345" s="12">
        <f>VENTAS[[#This Row],[Cantidad]]*VENTAS[[#This Row],[Precio Venta]]</f>
        <v>30</v>
      </c>
      <c r="J2345" s="12">
        <f>IF(VENTAS[[#This Row],[Nombre del Gestor]]&gt;1,VENTAS[[#This Row],[Total]]*10%,0)</f>
        <v>3</v>
      </c>
      <c r="K2345" s="12">
        <f>IFERROR(VLOOKUP(VENTAS[[#This Row],[Código del producto Vendido]],STOCK[],16,FALSE)*VENTAS[[#This Row],[Cantidad]]+VLOOKUP(VENTAS[[#This Row],[Código del producto Vendido]],STOCK[],19,FALSE)*VENTAS[[#This Row],[Cantidad]],VENTAS[[#This Row],[Total]])</f>
        <v>16.689999999999998</v>
      </c>
      <c r="L2345" s="12">
        <f>VENTAS[[#This Row],[Total]]-VENTAS[[#This Row],[Comisión 10%]]-VENTAS[[#This Row],[Costo SIN Comision]]</f>
        <v>10.310000000000002</v>
      </c>
      <c r="M2345" s="49"/>
      <c r="N2345" s="50" t="s">
        <v>5364</v>
      </c>
    </row>
    <row r="2346" spans="1:14" ht="12" hidden="1" customHeight="1">
      <c r="A2346" s="51">
        <v>45646</v>
      </c>
      <c r="B2346" s="49"/>
      <c r="C2346" s="49"/>
      <c r="D2346" s="49" t="s">
        <v>4843</v>
      </c>
      <c r="E2346" s="49" t="s">
        <v>3972</v>
      </c>
      <c r="F2346" s="10" t="str">
        <f>IFERROR(VLOOKUP(VENTAS[[#This Row],[Código del producto Vendido]],STOCK[],5,FALSE),"-")</f>
        <v>Plataforma en bloque de color</v>
      </c>
      <c r="G2346" s="49">
        <v>1</v>
      </c>
      <c r="H2346" s="49">
        <v>35</v>
      </c>
      <c r="I2346" s="12">
        <f>VENTAS[[#This Row],[Cantidad]]*VENTAS[[#This Row],[Precio Venta]]</f>
        <v>35</v>
      </c>
      <c r="J2346" s="12">
        <f>IF(VENTAS[[#This Row],[Nombre del Gestor]]&gt;1,VENTAS[[#This Row],[Total]]*10%,0)</f>
        <v>3.5</v>
      </c>
      <c r="K2346" s="12">
        <f>IFERROR(VLOOKUP(VENTAS[[#This Row],[Código del producto Vendido]],STOCK[],16,FALSE)*VENTAS[[#This Row],[Cantidad]]+VLOOKUP(VENTAS[[#This Row],[Código del producto Vendido]],STOCK[],19,FALSE)*VENTAS[[#This Row],[Cantidad]],VENTAS[[#This Row],[Total]])</f>
        <v>11.75</v>
      </c>
      <c r="L2346" s="12">
        <f>VENTAS[[#This Row],[Total]]-VENTAS[[#This Row],[Comisión 10%]]-VENTAS[[#This Row],[Costo SIN Comision]]</f>
        <v>19.75</v>
      </c>
      <c r="M2346" s="49"/>
      <c r="N2346" s="50" t="s">
        <v>5365</v>
      </c>
    </row>
    <row r="2347" spans="1:14" ht="12" hidden="1" customHeight="1">
      <c r="A2347" s="51">
        <v>45646</v>
      </c>
      <c r="B2347" s="49"/>
      <c r="C2347" s="49"/>
      <c r="D2347" s="49" t="s">
        <v>4349</v>
      </c>
      <c r="E2347" s="49" t="s">
        <v>3934</v>
      </c>
      <c r="F2347" s="10" t="str">
        <f>IFERROR(VLOOKUP(VENTAS[[#This Row],[Código del producto Vendido]],STOCK[],5,FALSE),"-")</f>
        <v>Bolso carmelita cuadrado de rafia con zíper</v>
      </c>
      <c r="G2347" s="49">
        <v>1</v>
      </c>
      <c r="H2347" s="49">
        <v>25</v>
      </c>
      <c r="I2347" s="12">
        <f>VENTAS[[#This Row],[Cantidad]]*VENTAS[[#This Row],[Precio Venta]]</f>
        <v>25</v>
      </c>
      <c r="J2347" s="12">
        <f>IF(VENTAS[[#This Row],[Nombre del Gestor]]&gt;1,VENTAS[[#This Row],[Total]]*10%,0)</f>
        <v>2.5</v>
      </c>
      <c r="K2347" s="12">
        <f>IFERROR(VLOOKUP(VENTAS[[#This Row],[Código del producto Vendido]],STOCK[],16,FALSE)*VENTAS[[#This Row],[Cantidad]]+VLOOKUP(VENTAS[[#This Row],[Código del producto Vendido]],STOCK[],19,FALSE)*VENTAS[[#This Row],[Cantidad]],VENTAS[[#This Row],[Total]])</f>
        <v>10.4</v>
      </c>
      <c r="L2347" s="12">
        <f>VENTAS[[#This Row],[Total]]-VENTAS[[#This Row],[Comisión 10%]]-VENTAS[[#This Row],[Costo SIN Comision]]</f>
        <v>12.1</v>
      </c>
      <c r="M2347" s="49"/>
      <c r="N2347" s="50" t="s">
        <v>5366</v>
      </c>
    </row>
    <row r="2348" spans="1:14" ht="12" hidden="1" customHeight="1">
      <c r="A2348" s="51">
        <v>45647</v>
      </c>
      <c r="B2348" s="49"/>
      <c r="C2348" s="49"/>
      <c r="D2348" s="49" t="s">
        <v>4349</v>
      </c>
      <c r="E2348" s="49" t="s">
        <v>3966</v>
      </c>
      <c r="F2348" s="10" t="str">
        <f>IFERROR(VLOOKUP(VENTAS[[#This Row],[Código del producto Vendido]],STOCK[],5,FALSE),"-")</f>
        <v>Sandalias en tendencia y de gran comodidad Negro (talla reducida)</v>
      </c>
      <c r="G2348" s="49">
        <v>1</v>
      </c>
      <c r="H2348" s="49">
        <v>30</v>
      </c>
      <c r="I2348" s="12">
        <f>VENTAS[[#This Row],[Cantidad]]*VENTAS[[#This Row],[Precio Venta]]</f>
        <v>30</v>
      </c>
      <c r="J2348" s="12">
        <f>IF(VENTAS[[#This Row],[Nombre del Gestor]]&gt;1,VENTAS[[#This Row],[Total]]*10%,0)</f>
        <v>3</v>
      </c>
      <c r="K2348" s="12">
        <f>IFERROR(VLOOKUP(VENTAS[[#This Row],[Código del producto Vendido]],STOCK[],16,FALSE)*VENTAS[[#This Row],[Cantidad]]+VLOOKUP(VENTAS[[#This Row],[Código del producto Vendido]],STOCK[],19,FALSE)*VENTAS[[#This Row],[Cantidad]],VENTAS[[#This Row],[Total]])</f>
        <v>10.75</v>
      </c>
      <c r="L2348" s="12">
        <f>VENTAS[[#This Row],[Total]]-VENTAS[[#This Row],[Comisión 10%]]-VENTAS[[#This Row],[Costo SIN Comision]]</f>
        <v>16.25</v>
      </c>
      <c r="M2348" s="49"/>
      <c r="N2348" s="50" t="s">
        <v>5367</v>
      </c>
    </row>
    <row r="2349" spans="1:14" ht="12" hidden="1" customHeight="1">
      <c r="A2349" s="51">
        <v>45647</v>
      </c>
      <c r="B2349" s="49"/>
      <c r="C2349" s="49"/>
      <c r="D2349" s="49" t="s">
        <v>4349</v>
      </c>
      <c r="E2349" s="49" t="s">
        <v>3840</v>
      </c>
      <c r="F2349" s="10" t="str">
        <f>IFERROR(VLOOKUP(VENTAS[[#This Row],[Código del producto Vendido]],STOCK[],5,FALSE),"-")</f>
        <v>Camiseta De Manga Corta A Rayas Con Cuello Redondo</v>
      </c>
      <c r="G2349" s="49">
        <v>1</v>
      </c>
      <c r="H2349" s="49">
        <v>12</v>
      </c>
      <c r="I2349" s="12">
        <f>VENTAS[[#This Row],[Cantidad]]*VENTAS[[#This Row],[Precio Venta]]</f>
        <v>12</v>
      </c>
      <c r="J2349" s="12">
        <f>IF(VENTAS[[#This Row],[Nombre del Gestor]]&gt;1,VENTAS[[#This Row],[Total]]*10%,0)</f>
        <v>1.2000000000000002</v>
      </c>
      <c r="K2349" s="12">
        <f>IFERROR(VLOOKUP(VENTAS[[#This Row],[Código del producto Vendido]],STOCK[],16,FALSE)*VENTAS[[#This Row],[Cantidad]]+VLOOKUP(VENTAS[[#This Row],[Código del producto Vendido]],STOCK[],19,FALSE)*VENTAS[[#This Row],[Cantidad]],VENTAS[[#This Row],[Total]])</f>
        <v>7.79</v>
      </c>
      <c r="L2349" s="12">
        <f>VENTAS[[#This Row],[Total]]-VENTAS[[#This Row],[Comisión 10%]]-VENTAS[[#This Row],[Costo SIN Comision]]</f>
        <v>3.0100000000000007</v>
      </c>
      <c r="M2349" s="49"/>
      <c r="N2349" s="50" t="s">
        <v>5368</v>
      </c>
    </row>
    <row r="2350" spans="1:14" ht="12" hidden="1" customHeight="1">
      <c r="A2350" s="51">
        <v>45647</v>
      </c>
      <c r="B2350" s="49"/>
      <c r="C2350" s="49"/>
      <c r="D2350" s="49" t="s">
        <v>4843</v>
      </c>
      <c r="E2350" s="49" t="s">
        <v>1413</v>
      </c>
      <c r="F2350" s="10" t="str">
        <f>IFERROR(VLOOKUP(VENTAS[[#This Row],[Código del producto Vendido]],STOCK[],5,FALSE),"-")</f>
        <v>Jean MOM con rotos</v>
      </c>
      <c r="G2350" s="49">
        <v>1</v>
      </c>
      <c r="H2350" s="49">
        <v>30</v>
      </c>
      <c r="I2350" s="12">
        <f>VENTAS[[#This Row],[Cantidad]]*VENTAS[[#This Row],[Precio Venta]]</f>
        <v>30</v>
      </c>
      <c r="J2350" s="12">
        <f>IF(VENTAS[[#This Row],[Nombre del Gestor]]&gt;1,VENTAS[[#This Row],[Total]]*10%,0)</f>
        <v>3</v>
      </c>
      <c r="K2350" s="12">
        <f>IFERROR(VLOOKUP(VENTAS[[#This Row],[Código del producto Vendido]],STOCK[],16,FALSE)*VENTAS[[#This Row],[Cantidad]]+VLOOKUP(VENTAS[[#This Row],[Código del producto Vendido]],STOCK[],19,FALSE)*VENTAS[[#This Row],[Cantidad]],VENTAS[[#This Row],[Total]])</f>
        <v>20</v>
      </c>
      <c r="L2350" s="12">
        <f>VENTAS[[#This Row],[Total]]-VENTAS[[#This Row],[Comisión 10%]]-VENTAS[[#This Row],[Costo SIN Comision]]</f>
        <v>7</v>
      </c>
      <c r="M2350" s="49"/>
      <c r="N2350" s="50" t="s">
        <v>5369</v>
      </c>
    </row>
    <row r="2351" spans="1:14" ht="12" hidden="1" customHeight="1">
      <c r="A2351" s="51">
        <v>45647</v>
      </c>
      <c r="B2351" s="49"/>
      <c r="C2351" s="49"/>
      <c r="D2351" s="49" t="s">
        <v>4349</v>
      </c>
      <c r="E2351" s="49" t="s">
        <v>766</v>
      </c>
      <c r="F2351" s="10" t="str">
        <f>IFERROR(VLOOKUP(VENTAS[[#This Row],[Código del producto Vendido]],STOCK[],5,FALSE),"-")</f>
        <v>Sandalias anudadas</v>
      </c>
      <c r="G2351" s="49">
        <v>1</v>
      </c>
      <c r="H2351" s="49">
        <v>27</v>
      </c>
      <c r="I2351" s="12">
        <f>VENTAS[[#This Row],[Cantidad]]*VENTAS[[#This Row],[Precio Venta]]</f>
        <v>27</v>
      </c>
      <c r="J2351" s="12">
        <f>IF(VENTAS[[#This Row],[Nombre del Gestor]]&gt;1,VENTAS[[#This Row],[Total]]*10%,0)</f>
        <v>2.7</v>
      </c>
      <c r="K2351" s="12">
        <f>IFERROR(VLOOKUP(VENTAS[[#This Row],[Código del producto Vendido]],STOCK[],16,FALSE)*VENTAS[[#This Row],[Cantidad]]+VLOOKUP(VENTAS[[#This Row],[Código del producto Vendido]],STOCK[],19,FALSE)*VENTAS[[#This Row],[Cantidad]],VENTAS[[#This Row],[Total]])</f>
        <v>18.7222222222222</v>
      </c>
      <c r="L2351" s="12">
        <f>VENTAS[[#This Row],[Total]]-VENTAS[[#This Row],[Comisión 10%]]-VENTAS[[#This Row],[Costo SIN Comision]]</f>
        <v>5.5777777777778006</v>
      </c>
      <c r="M2351" s="49"/>
      <c r="N2351" s="50" t="s">
        <v>5370</v>
      </c>
    </row>
    <row r="2352" spans="1:14" ht="12" hidden="1" customHeight="1">
      <c r="A2352" s="51">
        <v>45647</v>
      </c>
      <c r="B2352" s="49"/>
      <c r="C2352" s="49"/>
      <c r="D2352" s="49" t="s">
        <v>4349</v>
      </c>
      <c r="E2352" s="49" t="s">
        <v>3957</v>
      </c>
      <c r="F2352" s="10" t="str">
        <f>IFERROR(VLOOKUP(VENTAS[[#This Row],[Código del producto Vendido]],STOCK[],5,FALSE),"-")</f>
        <v>Sandalias en tendencia y de gran comodidad Oliva (talla reducida)</v>
      </c>
      <c r="G2352" s="49">
        <v>1</v>
      </c>
      <c r="H2352" s="49">
        <v>30</v>
      </c>
      <c r="I2352" s="12">
        <f>VENTAS[[#This Row],[Cantidad]]*VENTAS[[#This Row],[Precio Venta]]</f>
        <v>30</v>
      </c>
      <c r="J2352" s="12">
        <f>IF(VENTAS[[#This Row],[Nombre del Gestor]]&gt;1,VENTAS[[#This Row],[Total]]*10%,0)</f>
        <v>3</v>
      </c>
      <c r="K2352" s="12">
        <f>IFERROR(VLOOKUP(VENTAS[[#This Row],[Código del producto Vendido]],STOCK[],16,FALSE)*VENTAS[[#This Row],[Cantidad]]+VLOOKUP(VENTAS[[#This Row],[Código del producto Vendido]],STOCK[],19,FALSE)*VENTAS[[#This Row],[Cantidad]],VENTAS[[#This Row],[Total]])</f>
        <v>10.75</v>
      </c>
      <c r="L2352" s="12">
        <f>VENTAS[[#This Row],[Total]]-VENTAS[[#This Row],[Comisión 10%]]-VENTAS[[#This Row],[Costo SIN Comision]]</f>
        <v>16.25</v>
      </c>
      <c r="M2352" s="49"/>
      <c r="N2352" s="50" t="s">
        <v>5371</v>
      </c>
    </row>
    <row r="2353" spans="1:14" ht="12" hidden="1" customHeight="1">
      <c r="A2353" s="51">
        <v>45647</v>
      </c>
      <c r="B2353" s="49"/>
      <c r="C2353" s="49"/>
      <c r="D2353" s="49" t="s">
        <v>4184</v>
      </c>
      <c r="E2353" s="49" t="s">
        <v>3830</v>
      </c>
      <c r="F2353" s="10" t="str">
        <f>IFERROR(VLOOKUP(VENTAS[[#This Row],[Código del producto Vendido]],STOCK[],5,FALSE),"-")</f>
        <v>Cardigan corto de manga larga y botones delanteros Albaricoque</v>
      </c>
      <c r="G2353" s="49">
        <v>1</v>
      </c>
      <c r="H2353" s="49">
        <v>30</v>
      </c>
      <c r="I2353" s="12">
        <f>VENTAS[[#This Row],[Cantidad]]*VENTAS[[#This Row],[Precio Venta]]</f>
        <v>30</v>
      </c>
      <c r="J2353" s="12">
        <f>IF(VENTAS[[#This Row],[Nombre del Gestor]]&gt;1,VENTAS[[#This Row],[Total]]*10%,0)</f>
        <v>3</v>
      </c>
      <c r="K2353" s="12">
        <f>IFERROR(VLOOKUP(VENTAS[[#This Row],[Código del producto Vendido]],STOCK[],16,FALSE)*VENTAS[[#This Row],[Cantidad]]+VLOOKUP(VENTAS[[#This Row],[Código del producto Vendido]],STOCK[],19,FALSE)*VENTAS[[#This Row],[Cantidad]],VENTAS[[#This Row],[Total]])</f>
        <v>16.689999999999998</v>
      </c>
      <c r="L2353" s="12">
        <f>VENTAS[[#This Row],[Total]]-VENTAS[[#This Row],[Comisión 10%]]-VENTAS[[#This Row],[Costo SIN Comision]]</f>
        <v>10.310000000000002</v>
      </c>
      <c r="M2353" s="49"/>
      <c r="N2353" s="50" t="s">
        <v>5372</v>
      </c>
    </row>
    <row r="2354" spans="1:14" ht="12" hidden="1" customHeight="1">
      <c r="A2354" s="51">
        <v>45647</v>
      </c>
      <c r="B2354" s="49"/>
      <c r="C2354" s="49"/>
      <c r="D2354" s="49" t="s">
        <v>4184</v>
      </c>
      <c r="E2354" s="49" t="s">
        <v>3951</v>
      </c>
      <c r="F2354" s="10" t="str">
        <f>IFERROR(VLOOKUP(VENTAS[[#This Row],[Código del producto Vendido]],STOCK[],5,FALSE),"-")</f>
        <v xml:space="preserve">Botas negras ajustadas de zíper </v>
      </c>
      <c r="G2354" s="49">
        <v>1</v>
      </c>
      <c r="H2354" s="49">
        <v>40</v>
      </c>
      <c r="I2354" s="12">
        <f>VENTAS[[#This Row],[Cantidad]]*VENTAS[[#This Row],[Precio Venta]]</f>
        <v>40</v>
      </c>
      <c r="J2354" s="12">
        <f>IF(VENTAS[[#This Row],[Nombre del Gestor]]&gt;1,VENTAS[[#This Row],[Total]]*10%,0)</f>
        <v>4</v>
      </c>
      <c r="K2354" s="12">
        <f>IFERROR(VLOOKUP(VENTAS[[#This Row],[Código del producto Vendido]],STOCK[],16,FALSE)*VENTAS[[#This Row],[Cantidad]]+VLOOKUP(VENTAS[[#This Row],[Código del producto Vendido]],STOCK[],19,FALSE)*VENTAS[[#This Row],[Cantidad]],VENTAS[[#This Row],[Total]])</f>
        <v>20.25</v>
      </c>
      <c r="L2354" s="12">
        <f>VENTAS[[#This Row],[Total]]-VENTAS[[#This Row],[Comisión 10%]]-VENTAS[[#This Row],[Costo SIN Comision]]</f>
        <v>15.75</v>
      </c>
      <c r="M2354" s="49"/>
      <c r="N2354" s="50" t="s">
        <v>5373</v>
      </c>
    </row>
    <row r="2355" spans="1:14" ht="12" hidden="1" customHeight="1">
      <c r="A2355" s="51">
        <v>45647</v>
      </c>
      <c r="B2355" s="49"/>
      <c r="C2355" s="49"/>
      <c r="D2355" s="49" t="s">
        <v>4578</v>
      </c>
      <c r="E2355" s="49" t="s">
        <v>3824</v>
      </c>
      <c r="F2355" s="10" t="str">
        <f>IFERROR(VLOOKUP(VENTAS[[#This Row],[Código del producto Vendido]],STOCK[],5,FALSE),"-")</f>
        <v>Pantalones De Traje De Pierna Ancha Beige</v>
      </c>
      <c r="G2355" s="49">
        <v>1</v>
      </c>
      <c r="H2355" s="49">
        <v>30</v>
      </c>
      <c r="I2355" s="12">
        <f>VENTAS[[#This Row],[Cantidad]]*VENTAS[[#This Row],[Precio Venta]]</f>
        <v>30</v>
      </c>
      <c r="J2355" s="12">
        <f>IF(VENTAS[[#This Row],[Nombre del Gestor]]&gt;1,VENTAS[[#This Row],[Total]]*10%,0)</f>
        <v>3</v>
      </c>
      <c r="K2355" s="12">
        <f>IFERROR(VLOOKUP(VENTAS[[#This Row],[Código del producto Vendido]],STOCK[],16,FALSE)*VENTAS[[#This Row],[Cantidad]]+VLOOKUP(VENTAS[[#This Row],[Código del producto Vendido]],STOCK[],19,FALSE)*VENTAS[[#This Row],[Cantidad]],VENTAS[[#This Row],[Total]])</f>
        <v>18.28</v>
      </c>
      <c r="L2355" s="12">
        <f>VENTAS[[#This Row],[Total]]-VENTAS[[#This Row],[Comisión 10%]]-VENTAS[[#This Row],[Costo SIN Comision]]</f>
        <v>8.7199999999999989</v>
      </c>
      <c r="M2355" s="49"/>
      <c r="N2355" s="50" t="s">
        <v>5374</v>
      </c>
    </row>
    <row r="2356" spans="1:14" ht="12" hidden="1" customHeight="1">
      <c r="A2356" s="51">
        <v>45647</v>
      </c>
      <c r="B2356" s="49"/>
      <c r="C2356" s="49"/>
      <c r="D2356" s="49" t="s">
        <v>4349</v>
      </c>
      <c r="E2356" s="49" t="s">
        <v>3970</v>
      </c>
      <c r="F2356" s="10" t="str">
        <f>IFERROR(VLOOKUP(VENTAS[[#This Row],[Código del producto Vendido]],STOCK[],5,FALSE),"-")</f>
        <v>Plataforma en bloque de color</v>
      </c>
      <c r="G2356" s="49">
        <v>1</v>
      </c>
      <c r="H2356" s="49">
        <v>35</v>
      </c>
      <c r="I2356" s="12">
        <f>VENTAS[[#This Row],[Cantidad]]*VENTAS[[#This Row],[Precio Venta]]</f>
        <v>35</v>
      </c>
      <c r="J2356" s="12">
        <f>IF(VENTAS[[#This Row],[Nombre del Gestor]]&gt;1,VENTAS[[#This Row],[Total]]*10%,0)</f>
        <v>3.5</v>
      </c>
      <c r="K2356" s="12">
        <f>IFERROR(VLOOKUP(VENTAS[[#This Row],[Código del producto Vendido]],STOCK[],16,FALSE)*VENTAS[[#This Row],[Cantidad]]+VLOOKUP(VENTAS[[#This Row],[Código del producto Vendido]],STOCK[],19,FALSE)*VENTAS[[#This Row],[Cantidad]],VENTAS[[#This Row],[Total]])</f>
        <v>11.75</v>
      </c>
      <c r="L2356" s="12">
        <f>VENTAS[[#This Row],[Total]]-VENTAS[[#This Row],[Comisión 10%]]-VENTAS[[#This Row],[Costo SIN Comision]]</f>
        <v>19.75</v>
      </c>
      <c r="M2356" s="49"/>
      <c r="N2356" s="50" t="s">
        <v>5375</v>
      </c>
    </row>
    <row r="2357" spans="1:14" ht="12" hidden="1" customHeight="1">
      <c r="A2357" s="51">
        <v>45648</v>
      </c>
      <c r="B2357" s="49"/>
      <c r="C2357" s="49"/>
      <c r="D2357" s="49" t="s">
        <v>4380</v>
      </c>
      <c r="E2357" s="49" t="s">
        <v>3973</v>
      </c>
      <c r="F2357" s="10" t="str">
        <f>IFERROR(VLOOKUP(VENTAS[[#This Row],[Código del producto Vendido]],STOCK[],5,FALSE),"-")</f>
        <v>Plataforma en bloque de color</v>
      </c>
      <c r="G2357" s="49">
        <v>1</v>
      </c>
      <c r="H2357" s="49">
        <v>35</v>
      </c>
      <c r="I2357" s="12">
        <f>VENTAS[[#This Row],[Cantidad]]*VENTAS[[#This Row],[Precio Venta]]</f>
        <v>35</v>
      </c>
      <c r="J2357" s="12">
        <f>IF(VENTAS[[#This Row],[Nombre del Gestor]]&gt;1,VENTAS[[#This Row],[Total]]*10%,0)</f>
        <v>3.5</v>
      </c>
      <c r="K2357" s="12">
        <f>IFERROR(VLOOKUP(VENTAS[[#This Row],[Código del producto Vendido]],STOCK[],16,FALSE)*VENTAS[[#This Row],[Cantidad]]+VLOOKUP(VENTAS[[#This Row],[Código del producto Vendido]],STOCK[],19,FALSE)*VENTAS[[#This Row],[Cantidad]],VENTAS[[#This Row],[Total]])</f>
        <v>11.75</v>
      </c>
      <c r="L2357" s="12">
        <f>VENTAS[[#This Row],[Total]]-VENTAS[[#This Row],[Comisión 10%]]-VENTAS[[#This Row],[Costo SIN Comision]]</f>
        <v>19.75</v>
      </c>
      <c r="M2357" s="49"/>
      <c r="N2357" s="50" t="s">
        <v>5376</v>
      </c>
    </row>
    <row r="2358" spans="1:14" ht="12" hidden="1" customHeight="1">
      <c r="A2358" s="51">
        <v>45648</v>
      </c>
      <c r="B2358" s="49"/>
      <c r="C2358" s="49"/>
      <c r="D2358" s="49"/>
      <c r="E2358" s="49" t="s">
        <v>3780</v>
      </c>
      <c r="F2358" s="10" t="str">
        <f>IFERROR(VLOOKUP(VENTAS[[#This Row],[Código del producto Vendido]],STOCK[],5,FALSE),"-")</f>
        <v>Enguatada de microfibra gris oscuro de mujer H&amp;M</v>
      </c>
      <c r="G2358" s="49">
        <v>1</v>
      </c>
      <c r="H2358" s="49">
        <v>20</v>
      </c>
      <c r="I2358" s="12">
        <f>VENTAS[[#This Row],[Cantidad]]*VENTAS[[#This Row],[Precio Venta]]</f>
        <v>20</v>
      </c>
      <c r="J2358" s="12">
        <f>IF(VENTAS[[#This Row],[Nombre del Gestor]]&gt;1,VENTAS[[#This Row],[Total]]*10%,0)</f>
        <v>0</v>
      </c>
      <c r="K2358" s="12">
        <f>IFERROR(VLOOKUP(VENTAS[[#This Row],[Código del producto Vendido]],STOCK[],16,FALSE)*VENTAS[[#This Row],[Cantidad]]+VLOOKUP(VENTAS[[#This Row],[Código del producto Vendido]],STOCK[],19,FALSE)*VENTAS[[#This Row],[Cantidad]],VENTAS[[#This Row],[Total]])</f>
        <v>9</v>
      </c>
      <c r="L2358" s="12">
        <f>VENTAS[[#This Row],[Total]]-VENTAS[[#This Row],[Comisión 10%]]-VENTAS[[#This Row],[Costo SIN Comision]]</f>
        <v>11</v>
      </c>
      <c r="M2358" s="49"/>
      <c r="N2358" s="50" t="s">
        <v>5377</v>
      </c>
    </row>
    <row r="2359" spans="1:14" ht="12" hidden="1" customHeight="1">
      <c r="A2359" s="51">
        <v>45648</v>
      </c>
      <c r="B2359" s="49"/>
      <c r="C2359" s="49"/>
      <c r="D2359" s="49" t="s">
        <v>4473</v>
      </c>
      <c r="E2359" s="49" t="s">
        <v>3852</v>
      </c>
      <c r="F2359" s="10" t="str">
        <f>IFERROR(VLOOKUP(VENTAS[[#This Row],[Código del producto Vendido]],STOCK[],5,FALSE),"-")</f>
        <v>Vestido rojo largo con escote profundo y diseño calado con adorno metálico</v>
      </c>
      <c r="G2359" s="49">
        <v>1</v>
      </c>
      <c r="H2359" s="49">
        <v>35</v>
      </c>
      <c r="I2359" s="12">
        <f>VENTAS[[#This Row],[Cantidad]]*VENTAS[[#This Row],[Precio Venta]]</f>
        <v>35</v>
      </c>
      <c r="J2359" s="12">
        <f>IF(VENTAS[[#This Row],[Nombre del Gestor]]&gt;1,VENTAS[[#This Row],[Total]]*10%,0)</f>
        <v>3.5</v>
      </c>
      <c r="K2359" s="12">
        <f>IFERROR(VLOOKUP(VENTAS[[#This Row],[Código del producto Vendido]],STOCK[],16,FALSE)*VENTAS[[#This Row],[Cantidad]]+VLOOKUP(VENTAS[[#This Row],[Código del producto Vendido]],STOCK[],19,FALSE)*VENTAS[[#This Row],[Cantidad]],VENTAS[[#This Row],[Total]])</f>
        <v>15.12</v>
      </c>
      <c r="L2359" s="12">
        <f>VENTAS[[#This Row],[Total]]-VENTAS[[#This Row],[Comisión 10%]]-VENTAS[[#This Row],[Costo SIN Comision]]</f>
        <v>16.380000000000003</v>
      </c>
      <c r="M2359" s="49"/>
      <c r="N2359" s="50" t="s">
        <v>5378</v>
      </c>
    </row>
    <row r="2360" spans="1:14" ht="12" hidden="1" customHeight="1">
      <c r="A2360" s="51">
        <v>45648</v>
      </c>
      <c r="B2360" s="49"/>
      <c r="C2360" s="49"/>
      <c r="D2360" s="49" t="s">
        <v>4380</v>
      </c>
      <c r="E2360" s="49" t="s">
        <v>3955</v>
      </c>
      <c r="F2360" s="10" t="str">
        <f>IFERROR(VLOOKUP(VENTAS[[#This Row],[Código del producto Vendido]],STOCK[],5,FALSE),"-")</f>
        <v xml:space="preserve">Botas negras ajustadas de zíper </v>
      </c>
      <c r="G2360" s="49">
        <v>1</v>
      </c>
      <c r="H2360" s="49">
        <v>40</v>
      </c>
      <c r="I2360" s="12">
        <f>VENTAS[[#This Row],[Cantidad]]*VENTAS[[#This Row],[Precio Venta]]</f>
        <v>40</v>
      </c>
      <c r="J2360" s="12">
        <f>IF(VENTAS[[#This Row],[Nombre del Gestor]]&gt;1,VENTAS[[#This Row],[Total]]*10%,0)</f>
        <v>4</v>
      </c>
      <c r="K2360" s="12">
        <f>IFERROR(VLOOKUP(VENTAS[[#This Row],[Código del producto Vendido]],STOCK[],16,FALSE)*VENTAS[[#This Row],[Cantidad]]+VLOOKUP(VENTAS[[#This Row],[Código del producto Vendido]],STOCK[],19,FALSE)*VENTAS[[#This Row],[Cantidad]],VENTAS[[#This Row],[Total]])</f>
        <v>20.25</v>
      </c>
      <c r="L2360" s="12">
        <f>VENTAS[[#This Row],[Total]]-VENTAS[[#This Row],[Comisión 10%]]-VENTAS[[#This Row],[Costo SIN Comision]]</f>
        <v>15.75</v>
      </c>
      <c r="M2360" s="49"/>
      <c r="N2360" s="50" t="s">
        <v>5379</v>
      </c>
    </row>
    <row r="2361" spans="1:14" ht="12" hidden="1" customHeight="1">
      <c r="A2361" s="51">
        <v>45648</v>
      </c>
      <c r="B2361" s="49"/>
      <c r="C2361" s="49"/>
      <c r="D2361" s="49" t="s">
        <v>4325</v>
      </c>
      <c r="E2361" s="49" t="s">
        <v>3863</v>
      </c>
      <c r="F2361" s="10" t="str">
        <f>IFERROR(VLOOKUP(VENTAS[[#This Row],[Código del producto Vendido]],STOCK[],5,FALSE),"-")</f>
        <v>Bragas Culotte Terracota</v>
      </c>
      <c r="G2361" s="49">
        <v>1</v>
      </c>
      <c r="H2361" s="49">
        <v>3</v>
      </c>
      <c r="I2361" s="12">
        <f>VENTAS[[#This Row],[Cantidad]]*VENTAS[[#This Row],[Precio Venta]]</f>
        <v>3</v>
      </c>
      <c r="J2361" s="12">
        <f>IF(VENTAS[[#This Row],[Nombre del Gestor]]&gt;1,VENTAS[[#This Row],[Total]]*10%,0)</f>
        <v>0.30000000000000004</v>
      </c>
      <c r="K2361" s="12">
        <f>IFERROR(VLOOKUP(VENTAS[[#This Row],[Código del producto Vendido]],STOCK[],16,FALSE)*VENTAS[[#This Row],[Cantidad]]+VLOOKUP(VENTAS[[#This Row],[Código del producto Vendido]],STOCK[],19,FALSE)*VENTAS[[#This Row],[Cantidad]],VENTAS[[#This Row],[Total]])</f>
        <v>1.45</v>
      </c>
      <c r="L2361" s="12">
        <f>VENTAS[[#This Row],[Total]]-VENTAS[[#This Row],[Comisión 10%]]-VENTAS[[#This Row],[Costo SIN Comision]]</f>
        <v>1.2500000000000002</v>
      </c>
      <c r="M2361" s="49"/>
      <c r="N2361" s="50" t="s">
        <v>5380</v>
      </c>
    </row>
    <row r="2362" spans="1:14" ht="12" hidden="1" customHeight="1">
      <c r="A2362" s="51">
        <v>45648</v>
      </c>
      <c r="B2362" s="49"/>
      <c r="C2362" s="49"/>
      <c r="D2362" s="49" t="s">
        <v>4325</v>
      </c>
      <c r="E2362" s="49" t="s">
        <v>3932</v>
      </c>
      <c r="F2362" s="10" t="str">
        <f>IFERROR(VLOOKUP(VENTAS[[#This Row],[Código del producto Vendido]],STOCK[],5,FALSE),"-")</f>
        <v>Bolso ratán de listas blancas</v>
      </c>
      <c r="G2362" s="49">
        <v>1</v>
      </c>
      <c r="H2362" s="49">
        <v>25</v>
      </c>
      <c r="I2362" s="12">
        <f>VENTAS[[#This Row],[Cantidad]]*VENTAS[[#This Row],[Precio Venta]]</f>
        <v>25</v>
      </c>
      <c r="J2362" s="12">
        <f>IF(VENTAS[[#This Row],[Nombre del Gestor]]&gt;1,VENTAS[[#This Row],[Total]]*10%,0)</f>
        <v>2.5</v>
      </c>
      <c r="K2362" s="12">
        <f>IFERROR(VLOOKUP(VENTAS[[#This Row],[Código del producto Vendido]],STOCK[],16,FALSE)*VENTAS[[#This Row],[Cantidad]]+VLOOKUP(VENTAS[[#This Row],[Código del producto Vendido]],STOCK[],19,FALSE)*VENTAS[[#This Row],[Cantidad]],VENTAS[[#This Row],[Total]])</f>
        <v>11.44</v>
      </c>
      <c r="L2362" s="12">
        <f>VENTAS[[#This Row],[Total]]-VENTAS[[#This Row],[Comisión 10%]]-VENTAS[[#This Row],[Costo SIN Comision]]</f>
        <v>11.06</v>
      </c>
      <c r="M2362" s="49"/>
      <c r="N2362" s="50" t="s">
        <v>5381</v>
      </c>
    </row>
    <row r="2363" spans="1:14" ht="12" hidden="1" customHeight="1">
      <c r="A2363" s="51">
        <v>45648</v>
      </c>
      <c r="B2363" s="49"/>
      <c r="C2363" s="49"/>
      <c r="D2363" s="49" t="s">
        <v>4325</v>
      </c>
      <c r="E2363" s="49" t="s">
        <v>3858</v>
      </c>
      <c r="F2363" s="10" t="str">
        <f>IFERROR(VLOOKUP(VENTAS[[#This Row],[Código del producto Vendido]],STOCK[],5,FALSE),"-")</f>
        <v>Bragas Culotte Negro</v>
      </c>
      <c r="G2363" s="49">
        <v>1</v>
      </c>
      <c r="H2363" s="49">
        <v>3</v>
      </c>
      <c r="I2363" s="12">
        <f>VENTAS[[#This Row],[Cantidad]]*VENTAS[[#This Row],[Precio Venta]]</f>
        <v>3</v>
      </c>
      <c r="J2363" s="12">
        <f>IF(VENTAS[[#This Row],[Nombre del Gestor]]&gt;1,VENTAS[[#This Row],[Total]]*10%,0)</f>
        <v>0.30000000000000004</v>
      </c>
      <c r="K2363" s="12">
        <f>IFERROR(VLOOKUP(VENTAS[[#This Row],[Código del producto Vendido]],STOCK[],16,FALSE)*VENTAS[[#This Row],[Cantidad]]+VLOOKUP(VENTAS[[#This Row],[Código del producto Vendido]],STOCK[],19,FALSE)*VENTAS[[#This Row],[Cantidad]],VENTAS[[#This Row],[Total]])</f>
        <v>1.45</v>
      </c>
      <c r="L2363" s="12">
        <f>VENTAS[[#This Row],[Total]]-VENTAS[[#This Row],[Comisión 10%]]-VENTAS[[#This Row],[Costo SIN Comision]]</f>
        <v>1.2500000000000002</v>
      </c>
      <c r="M2363" s="49"/>
      <c r="N2363" s="50" t="s">
        <v>5382</v>
      </c>
    </row>
    <row r="2364" spans="1:14" ht="12" hidden="1" customHeight="1">
      <c r="A2364" s="51">
        <v>45648</v>
      </c>
      <c r="B2364" s="49"/>
      <c r="C2364" s="49"/>
      <c r="D2364" s="49" t="s">
        <v>4325</v>
      </c>
      <c r="E2364" s="49" t="s">
        <v>3857</v>
      </c>
      <c r="F2364" s="10" t="str">
        <f>IFERROR(VLOOKUP(VENTAS[[#This Row],[Código del producto Vendido]],STOCK[],5,FALSE),"-")</f>
        <v>Bragas Culotte Negro</v>
      </c>
      <c r="G2364" s="49">
        <v>1</v>
      </c>
      <c r="H2364" s="49">
        <v>3</v>
      </c>
      <c r="I2364" s="12">
        <f>VENTAS[[#This Row],[Cantidad]]*VENTAS[[#This Row],[Precio Venta]]</f>
        <v>3</v>
      </c>
      <c r="J2364" s="12">
        <f>IF(VENTAS[[#This Row],[Nombre del Gestor]]&gt;1,VENTAS[[#This Row],[Total]]*10%,0)</f>
        <v>0.30000000000000004</v>
      </c>
      <c r="K2364" s="12">
        <f>IFERROR(VLOOKUP(VENTAS[[#This Row],[Código del producto Vendido]],STOCK[],16,FALSE)*VENTAS[[#This Row],[Cantidad]]+VLOOKUP(VENTAS[[#This Row],[Código del producto Vendido]],STOCK[],19,FALSE)*VENTAS[[#This Row],[Cantidad]],VENTAS[[#This Row],[Total]])</f>
        <v>1.45</v>
      </c>
      <c r="L2364" s="12">
        <f>VENTAS[[#This Row],[Total]]-VENTAS[[#This Row],[Comisión 10%]]-VENTAS[[#This Row],[Costo SIN Comision]]</f>
        <v>1.2500000000000002</v>
      </c>
      <c r="M2364" s="49"/>
      <c r="N2364" s="50" t="s">
        <v>5383</v>
      </c>
    </row>
    <row r="2365" spans="1:14" ht="12" hidden="1" customHeight="1">
      <c r="A2365" s="51">
        <v>45648</v>
      </c>
      <c r="B2365" s="49"/>
      <c r="C2365" s="49"/>
      <c r="D2365" s="49" t="s">
        <v>4325</v>
      </c>
      <c r="E2365" s="49" t="s">
        <v>3864</v>
      </c>
      <c r="F2365" s="10" t="str">
        <f>IFERROR(VLOOKUP(VENTAS[[#This Row],[Código del producto Vendido]],STOCK[],5,FALSE),"-")</f>
        <v>Bragas Culotte Terracota</v>
      </c>
      <c r="G2365" s="49">
        <v>1</v>
      </c>
      <c r="H2365" s="49">
        <v>3</v>
      </c>
      <c r="I2365" s="12">
        <f>VENTAS[[#This Row],[Cantidad]]*VENTAS[[#This Row],[Precio Venta]]</f>
        <v>3</v>
      </c>
      <c r="J2365" s="12">
        <f>IF(VENTAS[[#This Row],[Nombre del Gestor]]&gt;1,VENTAS[[#This Row],[Total]]*10%,0)</f>
        <v>0.30000000000000004</v>
      </c>
      <c r="K2365" s="12">
        <f>IFERROR(VLOOKUP(VENTAS[[#This Row],[Código del producto Vendido]],STOCK[],16,FALSE)*VENTAS[[#This Row],[Cantidad]]+VLOOKUP(VENTAS[[#This Row],[Código del producto Vendido]],STOCK[],19,FALSE)*VENTAS[[#This Row],[Cantidad]],VENTAS[[#This Row],[Total]])</f>
        <v>1.45</v>
      </c>
      <c r="L2365" s="12">
        <f>VENTAS[[#This Row],[Total]]-VENTAS[[#This Row],[Comisión 10%]]-VENTAS[[#This Row],[Costo SIN Comision]]</f>
        <v>1.2500000000000002</v>
      </c>
      <c r="M2365" s="49"/>
      <c r="N2365" s="50" t="s">
        <v>5384</v>
      </c>
    </row>
    <row r="2366" spans="1:14" ht="12" hidden="1" customHeight="1">
      <c r="A2366" s="51">
        <v>45648</v>
      </c>
      <c r="B2366" s="49"/>
      <c r="C2366" s="49"/>
      <c r="D2366" s="49" t="s">
        <v>4325</v>
      </c>
      <c r="E2366" s="49" t="s">
        <v>3882</v>
      </c>
      <c r="F2366" s="10" t="str">
        <f>IFERROR(VLOOKUP(VENTAS[[#This Row],[Código del producto Vendido]],STOCK[],5,FALSE),"-")</f>
        <v>Bragas Culotte Mocca</v>
      </c>
      <c r="G2366" s="49">
        <v>1</v>
      </c>
      <c r="H2366" s="49">
        <v>3</v>
      </c>
      <c r="I2366" s="12">
        <f>VENTAS[[#This Row],[Cantidad]]*VENTAS[[#This Row],[Precio Venta]]</f>
        <v>3</v>
      </c>
      <c r="J2366" s="12">
        <f>IF(VENTAS[[#This Row],[Nombre del Gestor]]&gt;1,VENTAS[[#This Row],[Total]]*10%,0)</f>
        <v>0.30000000000000004</v>
      </c>
      <c r="K2366" s="12">
        <f>IFERROR(VLOOKUP(VENTAS[[#This Row],[Código del producto Vendido]],STOCK[],16,FALSE)*VENTAS[[#This Row],[Cantidad]]+VLOOKUP(VENTAS[[#This Row],[Código del producto Vendido]],STOCK[],19,FALSE)*VENTAS[[#This Row],[Cantidad]],VENTAS[[#This Row],[Total]])</f>
        <v>1.45</v>
      </c>
      <c r="L2366" s="12">
        <f>VENTAS[[#This Row],[Total]]-VENTAS[[#This Row],[Comisión 10%]]-VENTAS[[#This Row],[Costo SIN Comision]]</f>
        <v>1.2500000000000002</v>
      </c>
      <c r="M2366" s="49"/>
      <c r="N2366" s="50" t="s">
        <v>5385</v>
      </c>
    </row>
    <row r="2367" spans="1:14" ht="12" hidden="1" customHeight="1">
      <c r="A2367" s="51">
        <v>45648</v>
      </c>
      <c r="B2367" s="49"/>
      <c r="C2367" s="49"/>
      <c r="D2367" s="49" t="s">
        <v>4325</v>
      </c>
      <c r="E2367" s="49" t="s">
        <v>3870</v>
      </c>
      <c r="F2367" s="10" t="str">
        <f>IFERROR(VLOOKUP(VENTAS[[#This Row],[Código del producto Vendido]],STOCK[],5,FALSE),"-")</f>
        <v>Bragas Culotte Café</v>
      </c>
      <c r="G2367" s="49">
        <v>1</v>
      </c>
      <c r="H2367" s="49">
        <v>3</v>
      </c>
      <c r="I2367" s="12">
        <f>VENTAS[[#This Row],[Cantidad]]*VENTAS[[#This Row],[Precio Venta]]</f>
        <v>3</v>
      </c>
      <c r="J2367" s="12">
        <f>IF(VENTAS[[#This Row],[Nombre del Gestor]]&gt;1,VENTAS[[#This Row],[Total]]*10%,0)</f>
        <v>0.30000000000000004</v>
      </c>
      <c r="K2367" s="12">
        <f>IFERROR(VLOOKUP(VENTAS[[#This Row],[Código del producto Vendido]],STOCK[],16,FALSE)*VENTAS[[#This Row],[Cantidad]]+VLOOKUP(VENTAS[[#This Row],[Código del producto Vendido]],STOCK[],19,FALSE)*VENTAS[[#This Row],[Cantidad]],VENTAS[[#This Row],[Total]])</f>
        <v>1.45</v>
      </c>
      <c r="L2367" s="12">
        <f>VENTAS[[#This Row],[Total]]-VENTAS[[#This Row],[Comisión 10%]]-VENTAS[[#This Row],[Costo SIN Comision]]</f>
        <v>1.2500000000000002</v>
      </c>
      <c r="M2367" s="49"/>
      <c r="N2367" s="50" t="s">
        <v>5386</v>
      </c>
    </row>
    <row r="2368" spans="1:14" ht="12" hidden="1" customHeight="1">
      <c r="A2368" s="51">
        <v>45648</v>
      </c>
      <c r="B2368" s="49"/>
      <c r="C2368" s="49"/>
      <c r="D2368" s="49" t="s">
        <v>4325</v>
      </c>
      <c r="E2368" s="49" t="s">
        <v>3876</v>
      </c>
      <c r="F2368" s="10" t="str">
        <f>IFERROR(VLOOKUP(VENTAS[[#This Row],[Código del producto Vendido]],STOCK[],5,FALSE),"-")</f>
        <v>Bragas Culotte Beige</v>
      </c>
      <c r="G2368" s="49">
        <v>1</v>
      </c>
      <c r="H2368" s="49">
        <v>3</v>
      </c>
      <c r="I2368" s="12">
        <f>VENTAS[[#This Row],[Cantidad]]*VENTAS[[#This Row],[Precio Venta]]</f>
        <v>3</v>
      </c>
      <c r="J2368" s="12">
        <f>IF(VENTAS[[#This Row],[Nombre del Gestor]]&gt;1,VENTAS[[#This Row],[Total]]*10%,0)</f>
        <v>0.30000000000000004</v>
      </c>
      <c r="K2368" s="12">
        <f>IFERROR(VLOOKUP(VENTAS[[#This Row],[Código del producto Vendido]],STOCK[],16,FALSE)*VENTAS[[#This Row],[Cantidad]]+VLOOKUP(VENTAS[[#This Row],[Código del producto Vendido]],STOCK[],19,FALSE)*VENTAS[[#This Row],[Cantidad]],VENTAS[[#This Row],[Total]])</f>
        <v>1.45</v>
      </c>
      <c r="L2368" s="12">
        <f>VENTAS[[#This Row],[Total]]-VENTAS[[#This Row],[Comisión 10%]]-VENTAS[[#This Row],[Costo SIN Comision]]</f>
        <v>1.2500000000000002</v>
      </c>
      <c r="M2368" s="49"/>
      <c r="N2368" s="50" t="s">
        <v>5387</v>
      </c>
    </row>
    <row r="2369" spans="1:14" ht="12" hidden="1" customHeight="1">
      <c r="A2369" s="51">
        <v>45648</v>
      </c>
      <c r="B2369" s="49"/>
      <c r="C2369" s="49"/>
      <c r="D2369" s="49" t="s">
        <v>4349</v>
      </c>
      <c r="E2369" s="49" t="s">
        <v>3949</v>
      </c>
      <c r="F2369" s="10" t="str">
        <f>IFERROR(VLOOKUP(VENTAS[[#This Row],[Código del producto Vendido]],STOCK[],5,FALSE),"-")</f>
        <v xml:space="preserve">Botas negras ajustadas de zíper </v>
      </c>
      <c r="G2369" s="49">
        <v>1</v>
      </c>
      <c r="H2369" s="49">
        <v>40</v>
      </c>
      <c r="I2369" s="12">
        <f>VENTAS[[#This Row],[Cantidad]]*VENTAS[[#This Row],[Precio Venta]]</f>
        <v>40</v>
      </c>
      <c r="J2369" s="12">
        <f>IF(VENTAS[[#This Row],[Nombre del Gestor]]&gt;1,VENTAS[[#This Row],[Total]]*10%,0)</f>
        <v>4</v>
      </c>
      <c r="K2369" s="12">
        <f>IFERROR(VLOOKUP(VENTAS[[#This Row],[Código del producto Vendido]],STOCK[],16,FALSE)*VENTAS[[#This Row],[Cantidad]]+VLOOKUP(VENTAS[[#This Row],[Código del producto Vendido]],STOCK[],19,FALSE)*VENTAS[[#This Row],[Cantidad]],VENTAS[[#This Row],[Total]])</f>
        <v>20.25</v>
      </c>
      <c r="L2369" s="12">
        <f>VENTAS[[#This Row],[Total]]-VENTAS[[#This Row],[Comisión 10%]]-VENTAS[[#This Row],[Costo SIN Comision]]</f>
        <v>15.75</v>
      </c>
      <c r="M2369" s="49"/>
      <c r="N2369" s="50" t="s">
        <v>5388</v>
      </c>
    </row>
    <row r="2370" spans="1:14" ht="12" hidden="1" customHeight="1">
      <c r="A2370" s="51">
        <v>45649</v>
      </c>
      <c r="B2370" s="49"/>
      <c r="C2370" s="49"/>
      <c r="D2370" s="49" t="s">
        <v>4349</v>
      </c>
      <c r="E2370" s="49" t="s">
        <v>3960</v>
      </c>
      <c r="F2370" s="10" t="str">
        <f>IFERROR(VLOOKUP(VENTAS[[#This Row],[Código del producto Vendido]],STOCK[],5,FALSE),"-")</f>
        <v>Sandalias en tendencia y de gran comodidad Oliva (talla reducida)</v>
      </c>
      <c r="G2370" s="49">
        <v>1</v>
      </c>
      <c r="H2370" s="49">
        <v>30</v>
      </c>
      <c r="I2370" s="12">
        <f>VENTAS[[#This Row],[Cantidad]]*VENTAS[[#This Row],[Precio Venta]]</f>
        <v>30</v>
      </c>
      <c r="J2370" s="12">
        <f>IF(VENTAS[[#This Row],[Nombre del Gestor]]&gt;1,VENTAS[[#This Row],[Total]]*10%,0)</f>
        <v>3</v>
      </c>
      <c r="K2370" s="12">
        <f>IFERROR(VLOOKUP(VENTAS[[#This Row],[Código del producto Vendido]],STOCK[],16,FALSE)*VENTAS[[#This Row],[Cantidad]]+VLOOKUP(VENTAS[[#This Row],[Código del producto Vendido]],STOCK[],19,FALSE)*VENTAS[[#This Row],[Cantidad]],VENTAS[[#This Row],[Total]])</f>
        <v>10.75</v>
      </c>
      <c r="L2370" s="12">
        <f>VENTAS[[#This Row],[Total]]-VENTAS[[#This Row],[Comisión 10%]]-VENTAS[[#This Row],[Costo SIN Comision]]</f>
        <v>16.25</v>
      </c>
      <c r="M2370" s="49"/>
      <c r="N2370" s="50" t="s">
        <v>5389</v>
      </c>
    </row>
    <row r="2371" spans="1:14" ht="12" hidden="1" customHeight="1">
      <c r="A2371" s="51">
        <v>45649</v>
      </c>
      <c r="B2371" s="49"/>
      <c r="C2371" s="49"/>
      <c r="D2371" s="49" t="s">
        <v>4237</v>
      </c>
      <c r="E2371" s="49" t="s">
        <v>3977</v>
      </c>
      <c r="F2371" s="10" t="str">
        <f>IFERROR(VLOOKUP(VENTAS[[#This Row],[Código del producto Vendido]],STOCK[],5,FALSE),"-")</f>
        <v>Pullover blanco Hot Stuff</v>
      </c>
      <c r="G2371" s="49">
        <v>1</v>
      </c>
      <c r="H2371" s="49">
        <v>12</v>
      </c>
      <c r="I2371" s="12">
        <f>VENTAS[[#This Row],[Cantidad]]*VENTAS[[#This Row],[Precio Venta]]</f>
        <v>12</v>
      </c>
      <c r="J2371" s="12">
        <f>IF(VENTAS[[#This Row],[Nombre del Gestor]]&gt;1,VENTAS[[#This Row],[Total]]*10%,0)</f>
        <v>1.2000000000000002</v>
      </c>
      <c r="K2371" s="12">
        <f>IFERROR(VLOOKUP(VENTAS[[#This Row],[Código del producto Vendido]],STOCK[],16,FALSE)*VENTAS[[#This Row],[Cantidad]]+VLOOKUP(VENTAS[[#This Row],[Código del producto Vendido]],STOCK[],19,FALSE)*VENTAS[[#This Row],[Cantidad]],VENTAS[[#This Row],[Total]])</f>
        <v>7.17</v>
      </c>
      <c r="L2371" s="12">
        <f>VENTAS[[#This Row],[Total]]-VENTAS[[#This Row],[Comisión 10%]]-VENTAS[[#This Row],[Costo SIN Comision]]</f>
        <v>3.6300000000000008</v>
      </c>
      <c r="M2371" s="49"/>
      <c r="N2371" s="50" t="s">
        <v>5390</v>
      </c>
    </row>
    <row r="2372" spans="1:14" ht="12" hidden="1" customHeight="1">
      <c r="A2372" s="51">
        <v>45649</v>
      </c>
      <c r="B2372" s="49"/>
      <c r="C2372" s="49"/>
      <c r="D2372" s="49" t="s">
        <v>4237</v>
      </c>
      <c r="E2372" s="49" t="s">
        <v>3616</v>
      </c>
      <c r="F2372" s="10" t="str">
        <f>IFERROR(VLOOKUP(VENTAS[[#This Row],[Código del producto Vendido]],STOCK[],5,FALSE),"-")</f>
        <v>Top de hombros descubiertos H&amp;M</v>
      </c>
      <c r="G2372" s="49">
        <v>1</v>
      </c>
      <c r="H2372" s="49">
        <v>15</v>
      </c>
      <c r="I2372" s="12">
        <f>VENTAS[[#This Row],[Cantidad]]*VENTAS[[#This Row],[Precio Venta]]</f>
        <v>15</v>
      </c>
      <c r="J2372" s="12">
        <f>IF(VENTAS[[#This Row],[Nombre del Gestor]]&gt;1,VENTAS[[#This Row],[Total]]*10%,0)</f>
        <v>1.5</v>
      </c>
      <c r="K2372" s="12">
        <f>IFERROR(VLOOKUP(VENTAS[[#This Row],[Código del producto Vendido]],STOCK[],16,FALSE)*VENTAS[[#This Row],[Cantidad]]+VLOOKUP(VENTAS[[#This Row],[Código del producto Vendido]],STOCK[],19,FALSE)*VENTAS[[#This Row],[Cantidad]],VENTAS[[#This Row],[Total]])</f>
        <v>9</v>
      </c>
      <c r="L2372" s="12">
        <f>VENTAS[[#This Row],[Total]]-VENTAS[[#This Row],[Comisión 10%]]-VENTAS[[#This Row],[Costo SIN Comision]]</f>
        <v>4.5</v>
      </c>
      <c r="M2372" s="49"/>
      <c r="N2372" s="50" t="s">
        <v>5391</v>
      </c>
    </row>
    <row r="2373" spans="1:14" ht="12" hidden="1" customHeight="1">
      <c r="A2373" s="51">
        <v>45649</v>
      </c>
      <c r="B2373" s="49"/>
      <c r="C2373" s="49"/>
      <c r="D2373" s="49"/>
      <c r="E2373" s="49" t="s">
        <v>3701</v>
      </c>
      <c r="F2373" s="10" t="str">
        <f>IFERROR(VLOOKUP(VENTAS[[#This Row],[Código del producto Vendido]],STOCK[],5,FALSE),"-")</f>
        <v>Camiseta cuello en V ajustado blanco H&amp;M</v>
      </c>
      <c r="G2373" s="49">
        <v>1</v>
      </c>
      <c r="H2373" s="49">
        <v>15</v>
      </c>
      <c r="I2373" s="12">
        <f>VENTAS[[#This Row],[Cantidad]]*VENTAS[[#This Row],[Precio Venta]]</f>
        <v>15</v>
      </c>
      <c r="J2373" s="12">
        <f>IF(VENTAS[[#This Row],[Nombre del Gestor]]&gt;1,VENTAS[[#This Row],[Total]]*10%,0)</f>
        <v>0</v>
      </c>
      <c r="K2373" s="12">
        <f>IFERROR(VLOOKUP(VENTAS[[#This Row],[Código del producto Vendido]],STOCK[],16,FALSE)*VENTAS[[#This Row],[Cantidad]]+VLOOKUP(VENTAS[[#This Row],[Código del producto Vendido]],STOCK[],19,FALSE)*VENTAS[[#This Row],[Cantidad]],VENTAS[[#This Row],[Total]])</f>
        <v>9</v>
      </c>
      <c r="L2373" s="12">
        <f>VENTAS[[#This Row],[Total]]-VENTAS[[#This Row],[Comisión 10%]]-VENTAS[[#This Row],[Costo SIN Comision]]</f>
        <v>6</v>
      </c>
      <c r="M2373" s="49"/>
      <c r="N2373" s="50" t="s">
        <v>5392</v>
      </c>
    </row>
    <row r="2374" spans="1:14" ht="12" hidden="1" customHeight="1">
      <c r="A2374" s="51">
        <v>45649</v>
      </c>
      <c r="B2374" s="49"/>
      <c r="C2374" s="49"/>
      <c r="D2374" s="49" t="s">
        <v>4843</v>
      </c>
      <c r="E2374" s="49" t="s">
        <v>3798</v>
      </c>
      <c r="F2374" s="10" t="str">
        <f>IFERROR(VLOOKUP(VENTAS[[#This Row],[Código del producto Vendido]],STOCK[],5,FALSE),"-")</f>
        <v>Suéter de cuello alto de punto fino y ajuste slim negro de hombre H&amp;M</v>
      </c>
      <c r="G2374" s="49">
        <v>2</v>
      </c>
      <c r="H2374" s="49">
        <v>30</v>
      </c>
      <c r="I2374" s="12">
        <f>VENTAS[[#This Row],[Cantidad]]*VENTAS[[#This Row],[Precio Venta]]</f>
        <v>60</v>
      </c>
      <c r="J2374" s="12">
        <f>IF(VENTAS[[#This Row],[Nombre del Gestor]]&gt;1,VENTAS[[#This Row],[Total]]*10%,0)</f>
        <v>6</v>
      </c>
      <c r="K2374" s="12">
        <f>IFERROR(VLOOKUP(VENTAS[[#This Row],[Código del producto Vendido]],STOCK[],16,FALSE)*VENTAS[[#This Row],[Cantidad]]+VLOOKUP(VENTAS[[#This Row],[Código del producto Vendido]],STOCK[],19,FALSE)*VENTAS[[#This Row],[Cantidad]],VENTAS[[#This Row],[Total]])</f>
        <v>18</v>
      </c>
      <c r="L2374" s="12">
        <f>VENTAS[[#This Row],[Total]]-VENTAS[[#This Row],[Comisión 10%]]-VENTAS[[#This Row],[Costo SIN Comision]]</f>
        <v>36</v>
      </c>
      <c r="M2374" s="49"/>
      <c r="N2374" s="50" t="s">
        <v>5393</v>
      </c>
    </row>
    <row r="2375" spans="1:14" ht="12" hidden="1" customHeight="1">
      <c r="A2375" s="51">
        <v>45649</v>
      </c>
      <c r="B2375" s="49"/>
      <c r="C2375" s="49"/>
      <c r="D2375" s="49" t="s">
        <v>4349</v>
      </c>
      <c r="E2375" s="49" t="s">
        <v>3827</v>
      </c>
      <c r="F2375" s="10" t="str">
        <f>IFERROR(VLOOKUP(VENTAS[[#This Row],[Código del producto Vendido]],STOCK[],5,FALSE),"-")</f>
        <v>Cardigan corto de manga larga y botones delanteros Albaricoque</v>
      </c>
      <c r="G2375" s="49">
        <v>1</v>
      </c>
      <c r="H2375" s="49">
        <v>30</v>
      </c>
      <c r="I2375" s="12">
        <f>VENTAS[[#This Row],[Cantidad]]*VENTAS[[#This Row],[Precio Venta]]</f>
        <v>30</v>
      </c>
      <c r="J2375" s="12">
        <f>IF(VENTAS[[#This Row],[Nombre del Gestor]]&gt;1,VENTAS[[#This Row],[Total]]*10%,0)</f>
        <v>3</v>
      </c>
      <c r="K2375" s="12">
        <f>IFERROR(VLOOKUP(VENTAS[[#This Row],[Código del producto Vendido]],STOCK[],16,FALSE)*VENTAS[[#This Row],[Cantidad]]+VLOOKUP(VENTAS[[#This Row],[Código del producto Vendido]],STOCK[],19,FALSE)*VENTAS[[#This Row],[Cantidad]],VENTAS[[#This Row],[Total]])</f>
        <v>16.689999999999998</v>
      </c>
      <c r="L2375" s="12">
        <f>VENTAS[[#This Row],[Total]]-VENTAS[[#This Row],[Comisión 10%]]-VENTAS[[#This Row],[Costo SIN Comision]]</f>
        <v>10.310000000000002</v>
      </c>
      <c r="M2375" s="49"/>
      <c r="N2375" s="50" t="s">
        <v>5394</v>
      </c>
    </row>
    <row r="2376" spans="1:14" ht="12" hidden="1" customHeight="1">
      <c r="A2376" s="51">
        <v>45649</v>
      </c>
      <c r="B2376" s="49"/>
      <c r="C2376" s="49"/>
      <c r="D2376" s="49"/>
      <c r="E2376" s="49" t="s">
        <v>3658</v>
      </c>
      <c r="F2376" s="10" t="str">
        <f>IFERROR(VLOOKUP(VENTAS[[#This Row],[Código del producto Vendido]],STOCK[],5,FALSE),"-")</f>
        <v xml:space="preserve">Suéter de entrenamiento rosa palo de mujer H&amp;M </v>
      </c>
      <c r="G2376" s="49">
        <v>1</v>
      </c>
      <c r="H2376" s="49">
        <v>30</v>
      </c>
      <c r="I2376" s="12">
        <f>VENTAS[[#This Row],[Cantidad]]*VENTAS[[#This Row],[Precio Venta]]</f>
        <v>30</v>
      </c>
      <c r="J2376" s="12">
        <f>IF(VENTAS[[#This Row],[Nombre del Gestor]]&gt;1,VENTAS[[#This Row],[Total]]*10%,0)</f>
        <v>0</v>
      </c>
      <c r="K2376" s="12">
        <f>IFERROR(VLOOKUP(VENTAS[[#This Row],[Código del producto Vendido]],STOCK[],16,FALSE)*VENTAS[[#This Row],[Cantidad]]+VLOOKUP(VENTAS[[#This Row],[Código del producto Vendido]],STOCK[],19,FALSE)*VENTAS[[#This Row],[Cantidad]],VENTAS[[#This Row],[Total]])</f>
        <v>9</v>
      </c>
      <c r="L2376" s="12">
        <f>VENTAS[[#This Row],[Total]]-VENTAS[[#This Row],[Comisión 10%]]-VENTAS[[#This Row],[Costo SIN Comision]]</f>
        <v>21</v>
      </c>
      <c r="M2376" s="49"/>
      <c r="N2376" s="50" t="s">
        <v>5395</v>
      </c>
    </row>
    <row r="2377" spans="1:14" ht="12" hidden="1" customHeight="1">
      <c r="A2377" s="51">
        <v>45649</v>
      </c>
      <c r="B2377" s="49"/>
      <c r="C2377" s="49"/>
      <c r="D2377" s="49" t="s">
        <v>4374</v>
      </c>
      <c r="E2377" s="49" t="s">
        <v>4046</v>
      </c>
      <c r="F2377" s="10" t="str">
        <f>IFERROR(VLOOKUP(VENTAS[[#This Row],[Código del producto Vendido]],STOCK[],5,FALSE),"-")</f>
        <v>Colonia Velvet Petals (Victoria´s Secret)</v>
      </c>
      <c r="G2377" s="49">
        <v>1</v>
      </c>
      <c r="H2377" s="49">
        <v>22</v>
      </c>
      <c r="I2377" s="12">
        <f>VENTAS[[#This Row],[Cantidad]]*VENTAS[[#This Row],[Precio Venta]]</f>
        <v>22</v>
      </c>
      <c r="J2377" s="12">
        <f>IF(VENTAS[[#This Row],[Nombre del Gestor]]&gt;1,VENTAS[[#This Row],[Total]]*10%,0)</f>
        <v>2.2000000000000002</v>
      </c>
      <c r="K2377" s="12">
        <f>IFERROR(VLOOKUP(VENTAS[[#This Row],[Código del producto Vendido]],STOCK[],16,FALSE)*VENTAS[[#This Row],[Cantidad]]+VLOOKUP(VENTAS[[#This Row],[Código del producto Vendido]],STOCK[],19,FALSE)*VENTAS[[#This Row],[Cantidad]],VENTAS[[#This Row],[Total]])</f>
        <v>9.5</v>
      </c>
      <c r="L2377" s="12">
        <f>VENTAS[[#This Row],[Total]]-VENTAS[[#This Row],[Comisión 10%]]-VENTAS[[#This Row],[Costo SIN Comision]]</f>
        <v>10.3</v>
      </c>
      <c r="M2377" s="49"/>
      <c r="N2377" s="50" t="s">
        <v>5396</v>
      </c>
    </row>
    <row r="2378" spans="1:14" ht="12" hidden="1" customHeight="1">
      <c r="A2378" s="51">
        <v>45649</v>
      </c>
      <c r="B2378" s="49"/>
      <c r="C2378" s="49"/>
      <c r="D2378" s="49"/>
      <c r="E2378" s="49" t="s">
        <v>3070</v>
      </c>
      <c r="F2378" s="10" t="str">
        <f>IFERROR(VLOOKUP(VENTAS[[#This Row],[Código del producto Vendido]],STOCK[],5,FALSE),"-")</f>
        <v>Jogger de pierna ancha color azul marino Marca H&amp;M</v>
      </c>
      <c r="G2378" s="49">
        <v>1</v>
      </c>
      <c r="H2378" s="49">
        <v>30</v>
      </c>
      <c r="I2378" s="12">
        <f>VENTAS[[#This Row],[Cantidad]]*VENTAS[[#This Row],[Precio Venta]]</f>
        <v>30</v>
      </c>
      <c r="J2378" s="12">
        <f>IF(VENTAS[[#This Row],[Nombre del Gestor]]&gt;1,VENTAS[[#This Row],[Total]]*10%,0)</f>
        <v>0</v>
      </c>
      <c r="K2378" s="12">
        <f>IFERROR(VLOOKUP(VENTAS[[#This Row],[Código del producto Vendido]],STOCK[],16,FALSE)*VENTAS[[#This Row],[Cantidad]]+VLOOKUP(VENTAS[[#This Row],[Código del producto Vendido]],STOCK[],19,FALSE)*VENTAS[[#This Row],[Cantidad]],VENTAS[[#This Row],[Total]])</f>
        <v>12</v>
      </c>
      <c r="L2378" s="12">
        <f>VENTAS[[#This Row],[Total]]-VENTAS[[#This Row],[Comisión 10%]]-VENTAS[[#This Row],[Costo SIN Comision]]</f>
        <v>18</v>
      </c>
      <c r="M2378" s="49"/>
      <c r="N2378" s="50" t="s">
        <v>5397</v>
      </c>
    </row>
    <row r="2379" spans="1:14" ht="12" hidden="1" customHeight="1">
      <c r="A2379" s="51">
        <v>45649</v>
      </c>
      <c r="B2379" s="49"/>
      <c r="C2379" s="49"/>
      <c r="D2379" s="49" t="s">
        <v>4237</v>
      </c>
      <c r="E2379" s="49" t="s">
        <v>3841</v>
      </c>
      <c r="F2379" s="10" t="str">
        <f>IFERROR(VLOOKUP(VENTAS[[#This Row],[Código del producto Vendido]],STOCK[],5,FALSE),"-")</f>
        <v>Jeans de pierna recta de talle alto</v>
      </c>
      <c r="G2379" s="49">
        <v>1</v>
      </c>
      <c r="H2379" s="49">
        <v>35</v>
      </c>
      <c r="I2379" s="12">
        <f>VENTAS[[#This Row],[Cantidad]]*VENTAS[[#This Row],[Precio Venta]]</f>
        <v>35</v>
      </c>
      <c r="J2379" s="12">
        <f>IF(VENTAS[[#This Row],[Nombre del Gestor]]&gt;1,VENTAS[[#This Row],[Total]]*10%,0)</f>
        <v>3.5</v>
      </c>
      <c r="K2379" s="12">
        <f>IFERROR(VLOOKUP(VENTAS[[#This Row],[Código del producto Vendido]],STOCK[],16,FALSE)*VENTAS[[#This Row],[Cantidad]]+VLOOKUP(VENTAS[[#This Row],[Código del producto Vendido]],STOCK[],19,FALSE)*VENTAS[[#This Row],[Cantidad]],VENTAS[[#This Row],[Total]])</f>
        <v>20.82</v>
      </c>
      <c r="L2379" s="12">
        <f>VENTAS[[#This Row],[Total]]-VENTAS[[#This Row],[Comisión 10%]]-VENTAS[[#This Row],[Costo SIN Comision]]</f>
        <v>10.68</v>
      </c>
      <c r="M2379" s="49"/>
      <c r="N2379" s="50" t="s">
        <v>5398</v>
      </c>
    </row>
    <row r="2380" spans="1:14" ht="12" hidden="1" customHeight="1">
      <c r="A2380" s="51">
        <v>45650</v>
      </c>
      <c r="B2380" s="49"/>
      <c r="C2380" s="49"/>
      <c r="D2380" s="49" t="s">
        <v>4374</v>
      </c>
      <c r="E2380" s="49" t="s">
        <v>3844</v>
      </c>
      <c r="F2380" s="10" t="str">
        <f>IFERROR(VLOOKUP(VENTAS[[#This Row],[Código del producto Vendido]],STOCK[],5,FALSE),"-")</f>
        <v>Jeans de pierna recta de talle alto</v>
      </c>
      <c r="G2380" s="49">
        <v>1</v>
      </c>
      <c r="H2380" s="49">
        <v>35</v>
      </c>
      <c r="I2380" s="12">
        <f>VENTAS[[#This Row],[Cantidad]]*VENTAS[[#This Row],[Precio Venta]]</f>
        <v>35</v>
      </c>
      <c r="J2380" s="12">
        <f>IF(VENTAS[[#This Row],[Nombre del Gestor]]&gt;1,VENTAS[[#This Row],[Total]]*10%,0)</f>
        <v>3.5</v>
      </c>
      <c r="K2380" s="12">
        <f>IFERROR(VLOOKUP(VENTAS[[#This Row],[Código del producto Vendido]],STOCK[],16,FALSE)*VENTAS[[#This Row],[Cantidad]]+VLOOKUP(VENTAS[[#This Row],[Código del producto Vendido]],STOCK[],19,FALSE)*VENTAS[[#This Row],[Cantidad]],VENTAS[[#This Row],[Total]])</f>
        <v>20.82</v>
      </c>
      <c r="L2380" s="12">
        <f>VENTAS[[#This Row],[Total]]-VENTAS[[#This Row],[Comisión 10%]]-VENTAS[[#This Row],[Costo SIN Comision]]</f>
        <v>10.68</v>
      </c>
      <c r="M2380" s="49"/>
      <c r="N2380" s="50" t="s">
        <v>5399</v>
      </c>
    </row>
    <row r="2381" spans="1:14" ht="12" hidden="1" customHeight="1">
      <c r="A2381" s="51">
        <v>45650</v>
      </c>
      <c r="B2381" s="49"/>
      <c r="C2381" s="49"/>
      <c r="D2381" s="49" t="s">
        <v>4843</v>
      </c>
      <c r="E2381" s="49" t="s">
        <v>3969</v>
      </c>
      <c r="F2381" s="10" t="str">
        <f>IFERROR(VLOOKUP(VENTAS[[#This Row],[Código del producto Vendido]],STOCK[],5,FALSE),"-")</f>
        <v>Plataforma negra en tendencia (talla reducida)</v>
      </c>
      <c r="G2381" s="49">
        <v>1</v>
      </c>
      <c r="H2381" s="49">
        <v>40</v>
      </c>
      <c r="I2381" s="12">
        <f>VENTAS[[#This Row],[Cantidad]]*VENTAS[[#This Row],[Precio Venta]]</f>
        <v>40</v>
      </c>
      <c r="J2381" s="12">
        <f>IF(VENTAS[[#This Row],[Nombre del Gestor]]&gt;1,VENTAS[[#This Row],[Total]]*10%,0)</f>
        <v>4</v>
      </c>
      <c r="K2381" s="12">
        <f>IFERROR(VLOOKUP(VENTAS[[#This Row],[Código del producto Vendido]],STOCK[],16,FALSE)*VENTAS[[#This Row],[Cantidad]]+VLOOKUP(VENTAS[[#This Row],[Código del producto Vendido]],STOCK[],19,FALSE)*VENTAS[[#This Row],[Cantidad]],VENTAS[[#This Row],[Total]])</f>
        <v>13.75</v>
      </c>
      <c r="L2381" s="12">
        <f>VENTAS[[#This Row],[Total]]-VENTAS[[#This Row],[Comisión 10%]]-VENTAS[[#This Row],[Costo SIN Comision]]</f>
        <v>22.25</v>
      </c>
      <c r="M2381" s="49"/>
      <c r="N2381" s="50" t="s">
        <v>5400</v>
      </c>
    </row>
    <row r="2382" spans="1:14" ht="12" hidden="1" customHeight="1">
      <c r="A2382" s="51">
        <v>45650</v>
      </c>
      <c r="B2382" s="49"/>
      <c r="C2382" s="49"/>
      <c r="D2382" s="49" t="s">
        <v>4237</v>
      </c>
      <c r="E2382" s="49" t="s">
        <v>3938</v>
      </c>
      <c r="F2382" s="10" t="str">
        <f>IFERROR(VLOOKUP(VENTAS[[#This Row],[Código del producto Vendido]],STOCK[],5,FALSE),"-")</f>
        <v xml:space="preserve">Bolso de rafia Chantillí </v>
      </c>
      <c r="G2382" s="49">
        <v>1</v>
      </c>
      <c r="H2382" s="49">
        <v>25</v>
      </c>
      <c r="I2382" s="12">
        <f>VENTAS[[#This Row],[Cantidad]]*VENTAS[[#This Row],[Precio Venta]]</f>
        <v>25</v>
      </c>
      <c r="J2382" s="12">
        <f>IF(VENTAS[[#This Row],[Nombre del Gestor]]&gt;1,VENTAS[[#This Row],[Total]]*10%,0)</f>
        <v>2.5</v>
      </c>
      <c r="K2382" s="12">
        <f>IFERROR(VLOOKUP(VENTAS[[#This Row],[Código del producto Vendido]],STOCK[],16,FALSE)*VENTAS[[#This Row],[Cantidad]]+VLOOKUP(VENTAS[[#This Row],[Código del producto Vendido]],STOCK[],19,FALSE)*VENTAS[[#This Row],[Cantidad]],VENTAS[[#This Row],[Total]])</f>
        <v>11.95</v>
      </c>
      <c r="L2382" s="12">
        <f>VENTAS[[#This Row],[Total]]-VENTAS[[#This Row],[Comisión 10%]]-VENTAS[[#This Row],[Costo SIN Comision]]</f>
        <v>10.55</v>
      </c>
      <c r="M2382" s="49"/>
      <c r="N2382" s="50" t="s">
        <v>5401</v>
      </c>
    </row>
    <row r="2383" spans="1:14" ht="12" hidden="1" customHeight="1">
      <c r="A2383" s="51">
        <v>45650</v>
      </c>
      <c r="B2383" s="49"/>
      <c r="C2383" s="49"/>
      <c r="D2383" s="49" t="s">
        <v>5233</v>
      </c>
      <c r="E2383" s="49" t="s">
        <v>3973</v>
      </c>
      <c r="F2383" s="10" t="str">
        <f>IFERROR(VLOOKUP(VENTAS[[#This Row],[Código del producto Vendido]],STOCK[],5,FALSE),"-")</f>
        <v>Plataforma en bloque de color</v>
      </c>
      <c r="G2383" s="49">
        <v>1</v>
      </c>
      <c r="H2383" s="49">
        <v>35</v>
      </c>
      <c r="I2383" s="12">
        <f>VENTAS[[#This Row],[Cantidad]]*VENTAS[[#This Row],[Precio Venta]]</f>
        <v>35</v>
      </c>
      <c r="J2383" s="12">
        <f>IF(VENTAS[[#This Row],[Nombre del Gestor]]&gt;1,VENTAS[[#This Row],[Total]]*10%,0)</f>
        <v>3.5</v>
      </c>
      <c r="K2383" s="12">
        <f>IFERROR(VLOOKUP(VENTAS[[#This Row],[Código del producto Vendido]],STOCK[],16,FALSE)*VENTAS[[#This Row],[Cantidad]]+VLOOKUP(VENTAS[[#This Row],[Código del producto Vendido]],STOCK[],19,FALSE)*VENTAS[[#This Row],[Cantidad]],VENTAS[[#This Row],[Total]])</f>
        <v>11.75</v>
      </c>
      <c r="L2383" s="12">
        <f>VENTAS[[#This Row],[Total]]-VENTAS[[#This Row],[Comisión 10%]]-VENTAS[[#This Row],[Costo SIN Comision]]</f>
        <v>19.75</v>
      </c>
      <c r="M2383" s="49"/>
      <c r="N2383" s="50" t="s">
        <v>5402</v>
      </c>
    </row>
    <row r="2384" spans="1:14" ht="12" hidden="1" customHeight="1">
      <c r="A2384" s="51">
        <v>45650</v>
      </c>
      <c r="B2384" s="49"/>
      <c r="C2384" s="49"/>
      <c r="D2384" s="49" t="s">
        <v>5233</v>
      </c>
      <c r="E2384" s="49" t="s">
        <v>3929</v>
      </c>
      <c r="F2384" s="10" t="str">
        <f>IFERROR(VLOOKUP(VENTAS[[#This Row],[Código del producto Vendido]],STOCK[],5,FALSE),"-")</f>
        <v xml:space="preserve">Bolso ratán de listas negras </v>
      </c>
      <c r="G2384" s="49">
        <v>1</v>
      </c>
      <c r="H2384" s="49">
        <v>25</v>
      </c>
      <c r="I2384" s="12">
        <f>VENTAS[[#This Row],[Cantidad]]*VENTAS[[#This Row],[Precio Venta]]</f>
        <v>25</v>
      </c>
      <c r="J2384" s="12">
        <f>IF(VENTAS[[#This Row],[Nombre del Gestor]]&gt;1,VENTAS[[#This Row],[Total]]*10%,0)</f>
        <v>2.5</v>
      </c>
      <c r="K2384" s="12">
        <f>IFERROR(VLOOKUP(VENTAS[[#This Row],[Código del producto Vendido]],STOCK[],16,FALSE)*VENTAS[[#This Row],[Cantidad]]+VLOOKUP(VENTAS[[#This Row],[Código del producto Vendido]],STOCK[],19,FALSE)*VENTAS[[#This Row],[Cantidad]],VENTAS[[#This Row],[Total]])</f>
        <v>11.81</v>
      </c>
      <c r="L2384" s="12">
        <f>VENTAS[[#This Row],[Total]]-VENTAS[[#This Row],[Comisión 10%]]-VENTAS[[#This Row],[Costo SIN Comision]]</f>
        <v>10.69</v>
      </c>
      <c r="M2384" s="49"/>
      <c r="N2384" s="50" t="s">
        <v>5403</v>
      </c>
    </row>
    <row r="2385" spans="1:14" ht="12" hidden="1" customHeight="1">
      <c r="A2385" s="51">
        <v>45650</v>
      </c>
      <c r="B2385" s="49"/>
      <c r="C2385" s="49"/>
      <c r="D2385" s="49" t="s">
        <v>4374</v>
      </c>
      <c r="E2385" s="49" t="s">
        <v>2976</v>
      </c>
      <c r="F2385" s="10" t="str">
        <f>IFERROR(VLOOKUP(VENTAS[[#This Row],[Código del producto Vendido]],STOCK[],5,FALSE),"-")</f>
        <v>Vestido de un hombro con abertura trasera color azul celeste</v>
      </c>
      <c r="G2385" s="49">
        <v>1</v>
      </c>
      <c r="H2385" s="49">
        <v>25</v>
      </c>
      <c r="I2385" s="12">
        <f>VENTAS[[#This Row],[Cantidad]]*VENTAS[[#This Row],[Precio Venta]]</f>
        <v>25</v>
      </c>
      <c r="J2385" s="12">
        <f>IF(VENTAS[[#This Row],[Nombre del Gestor]]&gt;1,VENTAS[[#This Row],[Total]]*10%,0)</f>
        <v>2.5</v>
      </c>
      <c r="K2385" s="12">
        <f>IFERROR(VLOOKUP(VENTAS[[#This Row],[Código del producto Vendido]],STOCK[],16,FALSE)*VENTAS[[#This Row],[Cantidad]]+VLOOKUP(VENTAS[[#This Row],[Código del producto Vendido]],STOCK[],19,FALSE)*VENTAS[[#This Row],[Cantidad]],VENTAS[[#This Row],[Total]])</f>
        <v>12.32</v>
      </c>
      <c r="L2385" s="12">
        <f>VENTAS[[#This Row],[Total]]-VENTAS[[#This Row],[Comisión 10%]]-VENTAS[[#This Row],[Costo SIN Comision]]</f>
        <v>10.18</v>
      </c>
      <c r="M2385" s="49"/>
      <c r="N2385" s="50" t="s">
        <v>5404</v>
      </c>
    </row>
    <row r="2386" spans="1:14" ht="12" hidden="1" customHeight="1">
      <c r="A2386" s="51">
        <v>45650</v>
      </c>
      <c r="B2386" s="49"/>
      <c r="C2386" s="49"/>
      <c r="D2386" s="49" t="s">
        <v>4237</v>
      </c>
      <c r="E2386" s="49" t="s">
        <v>3831</v>
      </c>
      <c r="F2386" s="10" t="str">
        <f>IFERROR(VLOOKUP(VENTAS[[#This Row],[Código del producto Vendido]],STOCK[],5,FALSE),"-")</f>
        <v>Cardigan corto de manga larga y botones delanteros Albaricoque</v>
      </c>
      <c r="G2386" s="49">
        <v>1</v>
      </c>
      <c r="H2386" s="49">
        <v>30</v>
      </c>
      <c r="I2386" s="12">
        <f>VENTAS[[#This Row],[Cantidad]]*VENTAS[[#This Row],[Precio Venta]]</f>
        <v>30</v>
      </c>
      <c r="J2386" s="12">
        <f>IF(VENTAS[[#This Row],[Nombre del Gestor]]&gt;1,VENTAS[[#This Row],[Total]]*10%,0)</f>
        <v>3</v>
      </c>
      <c r="K2386" s="12">
        <f>IFERROR(VLOOKUP(VENTAS[[#This Row],[Código del producto Vendido]],STOCK[],16,FALSE)*VENTAS[[#This Row],[Cantidad]]+VLOOKUP(VENTAS[[#This Row],[Código del producto Vendido]],STOCK[],19,FALSE)*VENTAS[[#This Row],[Cantidad]],VENTAS[[#This Row],[Total]])</f>
        <v>16.689999999999998</v>
      </c>
      <c r="L2386" s="12">
        <f>VENTAS[[#This Row],[Total]]-VENTAS[[#This Row],[Comisión 10%]]-VENTAS[[#This Row],[Costo SIN Comision]]</f>
        <v>10.310000000000002</v>
      </c>
      <c r="M2386" s="49"/>
      <c r="N2386" s="50" t="s">
        <v>5405</v>
      </c>
    </row>
    <row r="2387" spans="1:14" ht="12" hidden="1" customHeight="1">
      <c r="A2387" s="51">
        <v>45650</v>
      </c>
      <c r="B2387" s="49"/>
      <c r="C2387" s="49"/>
      <c r="D2387" s="49" t="s">
        <v>4374</v>
      </c>
      <c r="E2387" s="49" t="s">
        <v>3840</v>
      </c>
      <c r="F2387" s="10" t="str">
        <f>IFERROR(VLOOKUP(VENTAS[[#This Row],[Código del producto Vendido]],STOCK[],5,FALSE),"-")</f>
        <v>Camiseta De Manga Corta A Rayas Con Cuello Redondo</v>
      </c>
      <c r="G2387" s="49">
        <v>1</v>
      </c>
      <c r="H2387" s="49">
        <v>12</v>
      </c>
      <c r="I2387" s="12">
        <f>VENTAS[[#This Row],[Cantidad]]*VENTAS[[#This Row],[Precio Venta]]</f>
        <v>12</v>
      </c>
      <c r="J2387" s="12">
        <f>IF(VENTAS[[#This Row],[Nombre del Gestor]]&gt;1,VENTAS[[#This Row],[Total]]*10%,0)</f>
        <v>1.2000000000000002</v>
      </c>
      <c r="K2387" s="12">
        <f>IFERROR(VLOOKUP(VENTAS[[#This Row],[Código del producto Vendido]],STOCK[],16,FALSE)*VENTAS[[#This Row],[Cantidad]]+VLOOKUP(VENTAS[[#This Row],[Código del producto Vendido]],STOCK[],19,FALSE)*VENTAS[[#This Row],[Cantidad]],VENTAS[[#This Row],[Total]])</f>
        <v>7.79</v>
      </c>
      <c r="L2387" s="12">
        <f>VENTAS[[#This Row],[Total]]-VENTAS[[#This Row],[Comisión 10%]]-VENTAS[[#This Row],[Costo SIN Comision]]</f>
        <v>3.0100000000000007</v>
      </c>
      <c r="M2387" s="49"/>
      <c r="N2387" s="50" t="s">
        <v>5406</v>
      </c>
    </row>
    <row r="2388" spans="1:14" ht="12" hidden="1" customHeight="1">
      <c r="A2388" s="51">
        <v>45650</v>
      </c>
      <c r="B2388" s="49"/>
      <c r="C2388" s="49"/>
      <c r="D2388" s="49" t="s">
        <v>4374</v>
      </c>
      <c r="E2388" s="49" t="s">
        <v>3028</v>
      </c>
      <c r="F2388" s="10" t="str">
        <f>IFERROR(VLOOKUP(VENTAS[[#This Row],[Código del producto Vendido]],STOCK[],5,FALSE),"-")</f>
        <v>Blusa de manga elegante en vuelos con ribete en contraste Color Rosa</v>
      </c>
      <c r="G2388" s="49">
        <v>1</v>
      </c>
      <c r="H2388" s="49">
        <v>18</v>
      </c>
      <c r="I2388" s="12">
        <f>VENTAS[[#This Row],[Cantidad]]*VENTAS[[#This Row],[Precio Venta]]</f>
        <v>18</v>
      </c>
      <c r="J2388" s="12">
        <f>IF(VENTAS[[#This Row],[Nombre del Gestor]]&gt;1,VENTAS[[#This Row],[Total]]*10%,0)</f>
        <v>1.8</v>
      </c>
      <c r="K2388" s="12">
        <f>IFERROR(VLOOKUP(VENTAS[[#This Row],[Código del producto Vendido]],STOCK[],16,FALSE)*VENTAS[[#This Row],[Cantidad]]+VLOOKUP(VENTAS[[#This Row],[Código del producto Vendido]],STOCK[],19,FALSE)*VENTAS[[#This Row],[Cantidad]],VENTAS[[#This Row],[Total]])</f>
        <v>9.68</v>
      </c>
      <c r="L2388" s="12">
        <f>VENTAS[[#This Row],[Total]]-VENTAS[[#This Row],[Comisión 10%]]-VENTAS[[#This Row],[Costo SIN Comision]]</f>
        <v>6.52</v>
      </c>
      <c r="M2388" s="49"/>
      <c r="N2388" s="50" t="s">
        <v>5407</v>
      </c>
    </row>
    <row r="2389" spans="1:14" ht="12" hidden="1" customHeight="1">
      <c r="A2389" s="51">
        <v>45650</v>
      </c>
      <c r="B2389" s="49"/>
      <c r="C2389" s="49"/>
      <c r="D2389" s="49" t="s">
        <v>4237</v>
      </c>
      <c r="E2389" s="49" t="s">
        <v>3942</v>
      </c>
      <c r="F2389" s="10" t="str">
        <f>IFERROR(VLOOKUP(VENTAS[[#This Row],[Código del producto Vendido]],STOCK[],5,FALSE),"-")</f>
        <v>Bolso grande de textura de cocodrilo con neceser</v>
      </c>
      <c r="G2389" s="49">
        <v>1</v>
      </c>
      <c r="H2389" s="49">
        <v>25</v>
      </c>
      <c r="I2389" s="12">
        <f>VENTAS[[#This Row],[Cantidad]]*VENTAS[[#This Row],[Precio Venta]]</f>
        <v>25</v>
      </c>
      <c r="J2389" s="12">
        <f>IF(VENTAS[[#This Row],[Nombre del Gestor]]&gt;1,VENTAS[[#This Row],[Total]]*10%,0)</f>
        <v>2.5</v>
      </c>
      <c r="K2389" s="12">
        <f>IFERROR(VLOOKUP(VENTAS[[#This Row],[Código del producto Vendido]],STOCK[],16,FALSE)*VENTAS[[#This Row],[Cantidad]]+VLOOKUP(VENTAS[[#This Row],[Código del producto Vendido]],STOCK[],19,FALSE)*VENTAS[[#This Row],[Cantidad]],VENTAS[[#This Row],[Total]])</f>
        <v>11.47</v>
      </c>
      <c r="L2389" s="12">
        <f>VENTAS[[#This Row],[Total]]-VENTAS[[#This Row],[Comisión 10%]]-VENTAS[[#This Row],[Costo SIN Comision]]</f>
        <v>11.03</v>
      </c>
      <c r="M2389" s="49"/>
      <c r="N2389" s="50" t="s">
        <v>5408</v>
      </c>
    </row>
    <row r="2390" spans="1:14" ht="12" hidden="1" customHeight="1">
      <c r="A2390" s="51">
        <v>45650</v>
      </c>
      <c r="B2390" s="49"/>
      <c r="C2390" s="49"/>
      <c r="D2390" s="49" t="s">
        <v>4237</v>
      </c>
      <c r="E2390" s="49" t="s">
        <v>3949</v>
      </c>
      <c r="F2390" s="10" t="str">
        <f>IFERROR(VLOOKUP(VENTAS[[#This Row],[Código del producto Vendido]],STOCK[],5,FALSE),"-")</f>
        <v xml:space="preserve">Botas negras ajustadas de zíper </v>
      </c>
      <c r="G2390" s="49">
        <v>1</v>
      </c>
      <c r="H2390" s="49">
        <v>40</v>
      </c>
      <c r="I2390" s="12">
        <f>VENTAS[[#This Row],[Cantidad]]*VENTAS[[#This Row],[Precio Venta]]</f>
        <v>40</v>
      </c>
      <c r="J2390" s="12">
        <f>IF(VENTAS[[#This Row],[Nombre del Gestor]]&gt;1,VENTAS[[#This Row],[Total]]*10%,0)</f>
        <v>4</v>
      </c>
      <c r="K2390" s="12">
        <f>IFERROR(VLOOKUP(VENTAS[[#This Row],[Código del producto Vendido]],STOCK[],16,FALSE)*VENTAS[[#This Row],[Cantidad]]+VLOOKUP(VENTAS[[#This Row],[Código del producto Vendido]],STOCK[],19,FALSE)*VENTAS[[#This Row],[Cantidad]],VENTAS[[#This Row],[Total]])</f>
        <v>20.25</v>
      </c>
      <c r="L2390" s="12">
        <f>VENTAS[[#This Row],[Total]]-VENTAS[[#This Row],[Comisión 10%]]-VENTAS[[#This Row],[Costo SIN Comision]]</f>
        <v>15.75</v>
      </c>
      <c r="M2390" s="49"/>
      <c r="N2390" s="50" t="s">
        <v>5409</v>
      </c>
    </row>
    <row r="2391" spans="1:14" ht="12" hidden="1" customHeight="1">
      <c r="A2391" s="51">
        <v>45650</v>
      </c>
      <c r="B2391" s="49"/>
      <c r="C2391" s="49"/>
      <c r="D2391" s="49" t="s">
        <v>5410</v>
      </c>
      <c r="E2391" s="49" t="s">
        <v>4029</v>
      </c>
      <c r="F2391" s="10" t="str">
        <f>IFERROR(VLOOKUP(VENTAS[[#This Row],[Código del producto Vendido]],STOCK[],5,FALSE),"-")</f>
        <v>Vestido negro largo con escote profundo y diseño calado con adorno metálico</v>
      </c>
      <c r="G2391" s="49">
        <v>1</v>
      </c>
      <c r="H2391" s="49">
        <v>35</v>
      </c>
      <c r="I2391" s="12">
        <f>VENTAS[[#This Row],[Cantidad]]*VENTAS[[#This Row],[Precio Venta]]</f>
        <v>35</v>
      </c>
      <c r="J2391" s="12">
        <f>IF(VENTAS[[#This Row],[Nombre del Gestor]]&gt;1,VENTAS[[#This Row],[Total]]*10%,0)</f>
        <v>3.5</v>
      </c>
      <c r="K2391" s="12">
        <f>IFERROR(VLOOKUP(VENTAS[[#This Row],[Código del producto Vendido]],STOCK[],16,FALSE)*VENTAS[[#This Row],[Cantidad]]+VLOOKUP(VENTAS[[#This Row],[Código del producto Vendido]],STOCK[],19,FALSE)*VENTAS[[#This Row],[Cantidad]],VENTAS[[#This Row],[Total]])</f>
        <v>14.05</v>
      </c>
      <c r="L2391" s="12">
        <f>VENTAS[[#This Row],[Total]]-VENTAS[[#This Row],[Comisión 10%]]-VENTAS[[#This Row],[Costo SIN Comision]]</f>
        <v>17.45</v>
      </c>
      <c r="M2391" s="49"/>
      <c r="N2391" s="50" t="s">
        <v>5411</v>
      </c>
    </row>
    <row r="2392" spans="1:14" ht="12" hidden="1" customHeight="1">
      <c r="A2392" s="51">
        <v>45650</v>
      </c>
      <c r="B2392" s="49"/>
      <c r="C2392" s="49"/>
      <c r="D2392" s="49" t="s">
        <v>4380</v>
      </c>
      <c r="E2392" s="49" t="s">
        <v>3844</v>
      </c>
      <c r="F2392" s="10" t="str">
        <f>IFERROR(VLOOKUP(VENTAS[[#This Row],[Código del producto Vendido]],STOCK[],5,FALSE),"-")</f>
        <v>Jeans de pierna recta de talle alto</v>
      </c>
      <c r="G2392" s="49">
        <v>1</v>
      </c>
      <c r="H2392" s="49">
        <v>35</v>
      </c>
      <c r="I2392" s="12">
        <f>VENTAS[[#This Row],[Cantidad]]*VENTAS[[#This Row],[Precio Venta]]</f>
        <v>35</v>
      </c>
      <c r="J2392" s="12">
        <f>IF(VENTAS[[#This Row],[Nombre del Gestor]]&gt;1,VENTAS[[#This Row],[Total]]*10%,0)</f>
        <v>3.5</v>
      </c>
      <c r="K2392" s="12">
        <f>IFERROR(VLOOKUP(VENTAS[[#This Row],[Código del producto Vendido]],STOCK[],16,FALSE)*VENTAS[[#This Row],[Cantidad]]+VLOOKUP(VENTAS[[#This Row],[Código del producto Vendido]],STOCK[],19,FALSE)*VENTAS[[#This Row],[Cantidad]],VENTAS[[#This Row],[Total]])</f>
        <v>20.82</v>
      </c>
      <c r="L2392" s="12">
        <f>VENTAS[[#This Row],[Total]]-VENTAS[[#This Row],[Comisión 10%]]-VENTAS[[#This Row],[Costo SIN Comision]]</f>
        <v>10.68</v>
      </c>
      <c r="M2392" s="49"/>
      <c r="N2392" s="50" t="s">
        <v>5412</v>
      </c>
    </row>
    <row r="2393" spans="1:14" ht="12" hidden="1" customHeight="1">
      <c r="A2393" s="51">
        <v>45650</v>
      </c>
      <c r="B2393" s="49"/>
      <c r="C2393" s="49"/>
      <c r="D2393" s="49" t="s">
        <v>5413</v>
      </c>
      <c r="E2393" s="49" t="s">
        <v>3949</v>
      </c>
      <c r="F2393" s="10" t="str">
        <f>IFERROR(VLOOKUP(VENTAS[[#This Row],[Código del producto Vendido]],STOCK[],5,FALSE),"-")</f>
        <v xml:space="preserve">Botas negras ajustadas de zíper </v>
      </c>
      <c r="G2393" s="49">
        <v>1</v>
      </c>
      <c r="H2393" s="49">
        <v>40</v>
      </c>
      <c r="I2393" s="12">
        <f>VENTAS[[#This Row],[Cantidad]]*VENTAS[[#This Row],[Precio Venta]]</f>
        <v>40</v>
      </c>
      <c r="J2393" s="12">
        <f>IF(VENTAS[[#This Row],[Nombre del Gestor]]&gt;1,VENTAS[[#This Row],[Total]]*10%,0)</f>
        <v>4</v>
      </c>
      <c r="K2393" s="12">
        <f>IFERROR(VLOOKUP(VENTAS[[#This Row],[Código del producto Vendido]],STOCK[],16,FALSE)*VENTAS[[#This Row],[Cantidad]]+VLOOKUP(VENTAS[[#This Row],[Código del producto Vendido]],STOCK[],19,FALSE)*VENTAS[[#This Row],[Cantidad]],VENTAS[[#This Row],[Total]])</f>
        <v>20.25</v>
      </c>
      <c r="L2393" s="12">
        <f>VENTAS[[#This Row],[Total]]-VENTAS[[#This Row],[Comisión 10%]]-VENTAS[[#This Row],[Costo SIN Comision]]</f>
        <v>15.75</v>
      </c>
      <c r="M2393" s="49"/>
      <c r="N2393" s="50" t="s">
        <v>5414</v>
      </c>
    </row>
    <row r="2394" spans="1:14" ht="12" hidden="1" customHeight="1">
      <c r="A2394" s="51">
        <v>45650</v>
      </c>
      <c r="B2394" s="49"/>
      <c r="C2394" s="49"/>
      <c r="D2394" s="49"/>
      <c r="E2394" s="49" t="s">
        <v>3654</v>
      </c>
      <c r="F2394" s="10" t="str">
        <f>IFERROR(VLOOKUP(VENTAS[[#This Row],[Código del producto Vendido]],STOCK[],5,FALSE),"-")</f>
        <v>Suéter de punto cable de ajuste regular crema de hombre H&amp;M</v>
      </c>
      <c r="G2394" s="49">
        <v>1</v>
      </c>
      <c r="H2394" s="49">
        <v>30</v>
      </c>
      <c r="I2394" s="12">
        <f>VENTAS[[#This Row],[Cantidad]]*VENTAS[[#This Row],[Precio Venta]]</f>
        <v>30</v>
      </c>
      <c r="J2394" s="12">
        <f>IF(VENTAS[[#This Row],[Nombre del Gestor]]&gt;1,VENTAS[[#This Row],[Total]]*10%,0)</f>
        <v>0</v>
      </c>
      <c r="K2394" s="12">
        <f>IFERROR(VLOOKUP(VENTAS[[#This Row],[Código del producto Vendido]],STOCK[],16,FALSE)*VENTAS[[#This Row],[Cantidad]]+VLOOKUP(VENTAS[[#This Row],[Código del producto Vendido]],STOCK[],19,FALSE)*VENTAS[[#This Row],[Cantidad]],VENTAS[[#This Row],[Total]])</f>
        <v>9</v>
      </c>
      <c r="L2394" s="12">
        <f>VENTAS[[#This Row],[Total]]-VENTAS[[#This Row],[Comisión 10%]]-VENTAS[[#This Row],[Costo SIN Comision]]</f>
        <v>21</v>
      </c>
      <c r="M2394" s="49"/>
      <c r="N2394" s="50" t="s">
        <v>5415</v>
      </c>
    </row>
    <row r="2395" spans="1:14" ht="12" hidden="1" customHeight="1">
      <c r="A2395" s="51">
        <v>45651</v>
      </c>
      <c r="B2395" s="49"/>
      <c r="C2395" s="49"/>
      <c r="D2395" s="49"/>
      <c r="E2395" s="49" t="s">
        <v>3496</v>
      </c>
      <c r="F2395" s="10" t="str">
        <f>IFERROR(VLOOKUP(VENTAS[[#This Row],[Código del producto Vendido]],STOCK[],5,FALSE),"-")</f>
        <v>Jeans Bajos y anchos Baggy Azul vaquero H&amp;M</v>
      </c>
      <c r="G2395" s="49">
        <v>1</v>
      </c>
      <c r="H2395" s="49">
        <v>40</v>
      </c>
      <c r="I2395" s="12">
        <f>VENTAS[[#This Row],[Cantidad]]*VENTAS[[#This Row],[Precio Venta]]</f>
        <v>40</v>
      </c>
      <c r="J2395" s="12">
        <f>IF(VENTAS[[#This Row],[Nombre del Gestor]]&gt;1,VENTAS[[#This Row],[Total]]*10%,0)</f>
        <v>0</v>
      </c>
      <c r="K2395" s="12">
        <f>IFERROR(VLOOKUP(VENTAS[[#This Row],[Código del producto Vendido]],STOCK[],16,FALSE)*VENTAS[[#This Row],[Cantidad]]+VLOOKUP(VENTAS[[#This Row],[Código del producto Vendido]],STOCK[],19,FALSE)*VENTAS[[#This Row],[Cantidad]],VENTAS[[#This Row],[Total]])</f>
        <v>9</v>
      </c>
      <c r="L2395" s="12">
        <f>VENTAS[[#This Row],[Total]]-VENTAS[[#This Row],[Comisión 10%]]-VENTAS[[#This Row],[Costo SIN Comision]]</f>
        <v>31</v>
      </c>
      <c r="M2395" s="49"/>
      <c r="N2395" s="50" t="s">
        <v>5416</v>
      </c>
    </row>
    <row r="2396" spans="1:14" ht="12" hidden="1" customHeight="1">
      <c r="A2396" s="51">
        <v>45651</v>
      </c>
      <c r="B2396" s="49"/>
      <c r="C2396" s="49"/>
      <c r="D2396" s="49" t="s">
        <v>4380</v>
      </c>
      <c r="E2396" s="49" t="s">
        <v>3841</v>
      </c>
      <c r="F2396" s="10" t="str">
        <f>IFERROR(VLOOKUP(VENTAS[[#This Row],[Código del producto Vendido]],STOCK[],5,FALSE),"-")</f>
        <v>Jeans de pierna recta de talle alto</v>
      </c>
      <c r="G2396" s="49">
        <v>1</v>
      </c>
      <c r="H2396" s="49">
        <v>35</v>
      </c>
      <c r="I2396" s="12">
        <f>VENTAS[[#This Row],[Cantidad]]*VENTAS[[#This Row],[Precio Venta]]</f>
        <v>35</v>
      </c>
      <c r="J2396" s="12">
        <f>IF(VENTAS[[#This Row],[Nombre del Gestor]]&gt;1,VENTAS[[#This Row],[Total]]*10%,0)</f>
        <v>3.5</v>
      </c>
      <c r="K2396" s="12">
        <f>IFERROR(VLOOKUP(VENTAS[[#This Row],[Código del producto Vendido]],STOCK[],16,FALSE)*VENTAS[[#This Row],[Cantidad]]+VLOOKUP(VENTAS[[#This Row],[Código del producto Vendido]],STOCK[],19,FALSE)*VENTAS[[#This Row],[Cantidad]],VENTAS[[#This Row],[Total]])</f>
        <v>20.82</v>
      </c>
      <c r="L2396" s="12">
        <f>VENTAS[[#This Row],[Total]]-VENTAS[[#This Row],[Comisión 10%]]-VENTAS[[#This Row],[Costo SIN Comision]]</f>
        <v>10.68</v>
      </c>
      <c r="M2396" s="49"/>
      <c r="N2396" s="50" t="s">
        <v>5417</v>
      </c>
    </row>
    <row r="2397" spans="1:14" ht="12" hidden="1" customHeight="1">
      <c r="A2397" s="51">
        <v>45651</v>
      </c>
      <c r="B2397" s="49"/>
      <c r="C2397" s="49"/>
      <c r="D2397" s="49" t="s">
        <v>4374</v>
      </c>
      <c r="E2397" s="49" t="s">
        <v>2609</v>
      </c>
      <c r="F2397" s="10" t="str">
        <f>IFERROR(VLOOKUP(VENTAS[[#This Row],[Código del producto Vendido]],STOCK[],5,FALSE),"-")</f>
        <v>Vestido crema ajustado de hombro torcido</v>
      </c>
      <c r="G2397" s="49">
        <v>1</v>
      </c>
      <c r="H2397" s="49">
        <v>25</v>
      </c>
      <c r="I2397" s="12">
        <f>VENTAS[[#This Row],[Cantidad]]*VENTAS[[#This Row],[Precio Venta]]</f>
        <v>25</v>
      </c>
      <c r="J2397" s="12">
        <f>IF(VENTAS[[#This Row],[Nombre del Gestor]]&gt;1,VENTAS[[#This Row],[Total]]*10%,0)</f>
        <v>2.5</v>
      </c>
      <c r="K2397" s="12">
        <f>IFERROR(VLOOKUP(VENTAS[[#This Row],[Código del producto Vendido]],STOCK[],16,FALSE)*VENTAS[[#This Row],[Cantidad]]+VLOOKUP(VENTAS[[#This Row],[Código del producto Vendido]],STOCK[],19,FALSE)*VENTAS[[#This Row],[Cantidad]],VENTAS[[#This Row],[Total]])</f>
        <v>13.440000000000001</v>
      </c>
      <c r="L2397" s="12">
        <f>VENTAS[[#This Row],[Total]]-VENTAS[[#This Row],[Comisión 10%]]-VENTAS[[#This Row],[Costo SIN Comision]]</f>
        <v>9.0599999999999987</v>
      </c>
      <c r="M2397" s="49"/>
      <c r="N2397" s="50" t="s">
        <v>5418</v>
      </c>
    </row>
    <row r="2398" spans="1:14" ht="12" hidden="1" customHeight="1">
      <c r="A2398" s="51">
        <v>45651</v>
      </c>
      <c r="B2398" s="49"/>
      <c r="C2398" s="49"/>
      <c r="D2398" s="49" t="s">
        <v>4349</v>
      </c>
      <c r="E2398" s="49" t="s">
        <v>3934</v>
      </c>
      <c r="F2398" s="10" t="str">
        <f>IFERROR(VLOOKUP(VENTAS[[#This Row],[Código del producto Vendido]],STOCK[],5,FALSE),"-")</f>
        <v>Bolso carmelita cuadrado de rafia con zíper</v>
      </c>
      <c r="G2398" s="49">
        <v>1</v>
      </c>
      <c r="H2398" s="49">
        <v>25</v>
      </c>
      <c r="I2398" s="12">
        <f>VENTAS[[#This Row],[Cantidad]]*VENTAS[[#This Row],[Precio Venta]]</f>
        <v>25</v>
      </c>
      <c r="J2398" s="12">
        <f>IF(VENTAS[[#This Row],[Nombre del Gestor]]&gt;1,VENTAS[[#This Row],[Total]]*10%,0)</f>
        <v>2.5</v>
      </c>
      <c r="K2398" s="12">
        <f>IFERROR(VLOOKUP(VENTAS[[#This Row],[Código del producto Vendido]],STOCK[],16,FALSE)*VENTAS[[#This Row],[Cantidad]]+VLOOKUP(VENTAS[[#This Row],[Código del producto Vendido]],STOCK[],19,FALSE)*VENTAS[[#This Row],[Cantidad]],VENTAS[[#This Row],[Total]])</f>
        <v>10.4</v>
      </c>
      <c r="L2398" s="12">
        <f>VENTAS[[#This Row],[Total]]-VENTAS[[#This Row],[Comisión 10%]]-VENTAS[[#This Row],[Costo SIN Comision]]</f>
        <v>12.1</v>
      </c>
      <c r="M2398" s="49"/>
      <c r="N2398" s="50" t="s">
        <v>5419</v>
      </c>
    </row>
    <row r="2399" spans="1:14" ht="12" hidden="1" customHeight="1">
      <c r="A2399" s="51">
        <v>45651</v>
      </c>
      <c r="B2399" s="49"/>
      <c r="C2399" s="49"/>
      <c r="D2399" s="49" t="s">
        <v>4380</v>
      </c>
      <c r="E2399" s="49" t="s">
        <v>3934</v>
      </c>
      <c r="F2399" s="10" t="str">
        <f>IFERROR(VLOOKUP(VENTAS[[#This Row],[Código del producto Vendido]],STOCK[],5,FALSE),"-")</f>
        <v>Bolso carmelita cuadrado de rafia con zíper</v>
      </c>
      <c r="G2399" s="49">
        <v>1</v>
      </c>
      <c r="H2399" s="49">
        <v>25</v>
      </c>
      <c r="I2399" s="12">
        <f>VENTAS[[#This Row],[Cantidad]]*VENTAS[[#This Row],[Precio Venta]]</f>
        <v>25</v>
      </c>
      <c r="J2399" s="12">
        <f>IF(VENTAS[[#This Row],[Nombre del Gestor]]&gt;1,VENTAS[[#This Row],[Total]]*10%,0)</f>
        <v>2.5</v>
      </c>
      <c r="K2399" s="12">
        <f>IFERROR(VLOOKUP(VENTAS[[#This Row],[Código del producto Vendido]],STOCK[],16,FALSE)*VENTAS[[#This Row],[Cantidad]]+VLOOKUP(VENTAS[[#This Row],[Código del producto Vendido]],STOCK[],19,FALSE)*VENTAS[[#This Row],[Cantidad]],VENTAS[[#This Row],[Total]])</f>
        <v>10.4</v>
      </c>
      <c r="L2399" s="12">
        <f>VENTAS[[#This Row],[Total]]-VENTAS[[#This Row],[Comisión 10%]]-VENTAS[[#This Row],[Costo SIN Comision]]</f>
        <v>12.1</v>
      </c>
      <c r="M2399" s="49"/>
      <c r="N2399" s="50" t="s">
        <v>5420</v>
      </c>
    </row>
    <row r="2400" spans="1:14" ht="12" hidden="1" customHeight="1">
      <c r="A2400" s="51">
        <v>45651</v>
      </c>
      <c r="B2400" s="49"/>
      <c r="C2400" s="49"/>
      <c r="D2400" s="49" t="s">
        <v>4378</v>
      </c>
      <c r="E2400" s="49" t="s">
        <v>3852</v>
      </c>
      <c r="F2400" s="10" t="str">
        <f>IFERROR(VLOOKUP(VENTAS[[#This Row],[Código del producto Vendido]],STOCK[],5,FALSE),"-")</f>
        <v>Vestido rojo largo con escote profundo y diseño calado con adorno metálico</v>
      </c>
      <c r="G2400" s="49">
        <v>1</v>
      </c>
      <c r="H2400" s="49">
        <v>35</v>
      </c>
      <c r="I2400" s="12">
        <f>VENTAS[[#This Row],[Cantidad]]*VENTAS[[#This Row],[Precio Venta]]</f>
        <v>35</v>
      </c>
      <c r="J2400" s="12">
        <f>IF(VENTAS[[#This Row],[Nombre del Gestor]]&gt;1,VENTAS[[#This Row],[Total]]*10%,0)</f>
        <v>3.5</v>
      </c>
      <c r="K2400" s="12">
        <f>IFERROR(VLOOKUP(VENTAS[[#This Row],[Código del producto Vendido]],STOCK[],16,FALSE)*VENTAS[[#This Row],[Cantidad]]+VLOOKUP(VENTAS[[#This Row],[Código del producto Vendido]],STOCK[],19,FALSE)*VENTAS[[#This Row],[Cantidad]],VENTAS[[#This Row],[Total]])</f>
        <v>15.12</v>
      </c>
      <c r="L2400" s="12">
        <f>VENTAS[[#This Row],[Total]]-VENTAS[[#This Row],[Comisión 10%]]-VENTAS[[#This Row],[Costo SIN Comision]]</f>
        <v>16.380000000000003</v>
      </c>
      <c r="M2400" s="49"/>
      <c r="N2400" s="50" t="s">
        <v>5421</v>
      </c>
    </row>
    <row r="2401" spans="1:14" ht="12" hidden="1" customHeight="1">
      <c r="A2401" s="51">
        <v>45651</v>
      </c>
      <c r="B2401" s="49"/>
      <c r="C2401" s="49"/>
      <c r="D2401" s="49" t="s">
        <v>4349</v>
      </c>
      <c r="E2401" s="49" t="s">
        <v>3612</v>
      </c>
      <c r="F2401" s="10" t="str">
        <f>IFERROR(VLOOKUP(VENTAS[[#This Row],[Código del producto Vendido]],STOCK[],5,FALSE),"-")</f>
        <v>Camiseta de algodón negro de hombre H&amp;M</v>
      </c>
      <c r="G2401" s="49">
        <v>1</v>
      </c>
      <c r="H2401" s="49">
        <v>15</v>
      </c>
      <c r="I2401" s="12">
        <f>VENTAS[[#This Row],[Cantidad]]*VENTAS[[#This Row],[Precio Venta]]</f>
        <v>15</v>
      </c>
      <c r="J2401" s="12">
        <f>IF(VENTAS[[#This Row],[Nombre del Gestor]]&gt;1,VENTAS[[#This Row],[Total]]*10%,0)</f>
        <v>1.5</v>
      </c>
      <c r="K2401" s="12">
        <f>IFERROR(VLOOKUP(VENTAS[[#This Row],[Código del producto Vendido]],STOCK[],16,FALSE)*VENTAS[[#This Row],[Cantidad]]+VLOOKUP(VENTAS[[#This Row],[Código del producto Vendido]],STOCK[],19,FALSE)*VENTAS[[#This Row],[Cantidad]],VENTAS[[#This Row],[Total]])</f>
        <v>9</v>
      </c>
      <c r="L2401" s="12">
        <f>VENTAS[[#This Row],[Total]]-VENTAS[[#This Row],[Comisión 10%]]-VENTAS[[#This Row],[Costo SIN Comision]]</f>
        <v>4.5</v>
      </c>
      <c r="M2401" s="49"/>
      <c r="N2401" s="50" t="s">
        <v>5422</v>
      </c>
    </row>
    <row r="2402" spans="1:14" ht="12" hidden="1" customHeight="1">
      <c r="A2402" s="51">
        <v>45651</v>
      </c>
      <c r="B2402" s="49"/>
      <c r="C2402" s="49"/>
      <c r="D2402" s="49" t="s">
        <v>4349</v>
      </c>
      <c r="E2402" s="49" t="s">
        <v>3045</v>
      </c>
      <c r="F2402" s="10" t="str">
        <f>IFERROR(VLOOKUP(VENTAS[[#This Row],[Código del producto Vendido]],STOCK[],5,FALSE),"-")</f>
        <v>Shorts de algodón color beige de gran calidad Marca H&amp;M</v>
      </c>
      <c r="G2402" s="49">
        <v>1</v>
      </c>
      <c r="H2402" s="49">
        <v>22</v>
      </c>
      <c r="I2402" s="12">
        <f>VENTAS[[#This Row],[Cantidad]]*VENTAS[[#This Row],[Precio Venta]]</f>
        <v>22</v>
      </c>
      <c r="J2402" s="12">
        <f>IF(VENTAS[[#This Row],[Nombre del Gestor]]&gt;1,VENTAS[[#This Row],[Total]]*10%,0)</f>
        <v>2.2000000000000002</v>
      </c>
      <c r="K2402" s="12">
        <f>IFERROR(VLOOKUP(VENTAS[[#This Row],[Código del producto Vendido]],STOCK[],16,FALSE)*VENTAS[[#This Row],[Cantidad]]+VLOOKUP(VENTAS[[#This Row],[Código del producto Vendido]],STOCK[],19,FALSE)*VENTAS[[#This Row],[Cantidad]],VENTAS[[#This Row],[Total]])</f>
        <v>10</v>
      </c>
      <c r="L2402" s="12">
        <f>VENTAS[[#This Row],[Total]]-VENTAS[[#This Row],[Comisión 10%]]-VENTAS[[#This Row],[Costo SIN Comision]]</f>
        <v>9.8000000000000007</v>
      </c>
      <c r="M2402" s="49"/>
      <c r="N2402" s="50" t="s">
        <v>5423</v>
      </c>
    </row>
    <row r="2403" spans="1:14" ht="12" hidden="1" customHeight="1">
      <c r="A2403" s="51">
        <v>45651</v>
      </c>
      <c r="B2403" s="49"/>
      <c r="C2403" s="49"/>
      <c r="D2403" s="49" t="s">
        <v>4349</v>
      </c>
      <c r="E2403" s="49" t="s">
        <v>3942</v>
      </c>
      <c r="F2403" s="10" t="str">
        <f>IFERROR(VLOOKUP(VENTAS[[#This Row],[Código del producto Vendido]],STOCK[],5,FALSE),"-")</f>
        <v>Bolso grande de textura de cocodrilo con neceser</v>
      </c>
      <c r="G2403" s="49">
        <v>1</v>
      </c>
      <c r="H2403" s="49">
        <v>25</v>
      </c>
      <c r="I2403" s="12">
        <f>VENTAS[[#This Row],[Cantidad]]*VENTAS[[#This Row],[Precio Venta]]</f>
        <v>25</v>
      </c>
      <c r="J2403" s="12">
        <f>IF(VENTAS[[#This Row],[Nombre del Gestor]]&gt;1,VENTAS[[#This Row],[Total]]*10%,0)</f>
        <v>2.5</v>
      </c>
      <c r="K2403" s="12">
        <f>IFERROR(VLOOKUP(VENTAS[[#This Row],[Código del producto Vendido]],STOCK[],16,FALSE)*VENTAS[[#This Row],[Cantidad]]+VLOOKUP(VENTAS[[#This Row],[Código del producto Vendido]],STOCK[],19,FALSE)*VENTAS[[#This Row],[Cantidad]],VENTAS[[#This Row],[Total]])</f>
        <v>11.47</v>
      </c>
      <c r="L2403" s="12">
        <f>VENTAS[[#This Row],[Total]]-VENTAS[[#This Row],[Comisión 10%]]-VENTAS[[#This Row],[Costo SIN Comision]]</f>
        <v>11.03</v>
      </c>
      <c r="M2403" s="49"/>
      <c r="N2403" s="50" t="s">
        <v>5424</v>
      </c>
    </row>
  </sheetData>
  <mergeCells count="2">
    <mergeCell ref="A1:E1"/>
    <mergeCell ref="G1:H1"/>
  </mergeCells>
  <conditionalFormatting sqref="E359">
    <cfRule type="expression" dxfId="20" priority="2433">
      <formula>#REF!=0</formula>
    </cfRule>
    <cfRule type="duplicateValues" dxfId="19" priority="2434"/>
  </conditionalFormatting>
  <conditionalFormatting sqref="E368">
    <cfRule type="expression" dxfId="18" priority="2435">
      <formula>#REF!=0</formula>
    </cfRule>
    <cfRule type="duplicateValues" dxfId="17" priority="2436"/>
  </conditionalFormatting>
  <conditionalFormatting sqref="E445">
    <cfRule type="duplicateValues" dxfId="16" priority="4"/>
  </conditionalFormatting>
  <conditionalFormatting sqref="E520:E531">
    <cfRule type="duplicateValues" dxfId="15" priority="2"/>
  </conditionalFormatting>
  <conditionalFormatting sqref="E445 E520:E531">
    <cfRule type="expression" dxfId="14" priority="2437">
      <formula>#REF!=0</formula>
    </cfRule>
  </conditionalFormatting>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STOCK</vt:lpstr>
      <vt:lpstr>VENTAS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2023-09-25T23:59:00Z</dcterms:created>
  <dcterms:modified xsi:type="dcterms:W3CDTF">2025-02-14T07:26:43Z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